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chartsheets/sheet5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T:\projects\sr14\version_14_1_x\abm_runs\2016\analysis\validation\"/>
    </mc:Choice>
  </mc:AlternateContent>
  <bookViews>
    <workbookView xWindow="0" yWindow="0" windowWidth="28800" windowHeight="14100" tabRatio="621" firstSheet="1" activeTab="1"/>
  </bookViews>
  <sheets>
    <sheet name="worksheet" sheetId="68" state="veryHidden" r:id="rId1"/>
    <sheet name="readme" sheetId="84" r:id="rId2"/>
    <sheet name="keylocation" sheetId="57" r:id="rId3"/>
    <sheet name="sum_all" sheetId="82" r:id="rId4"/>
    <sheet name="chart_all" sheetId="83" r:id="rId5"/>
    <sheet name="sum_nb" sheetId="46" r:id="rId6"/>
    <sheet name="chart_nb" sheetId="77" r:id="rId7"/>
    <sheet name="sum_sb" sheetId="74" r:id="rId8"/>
    <sheet name="chart_sb" sheetId="79" r:id="rId9"/>
    <sheet name="sum_wb" sheetId="75" r:id="rId10"/>
    <sheet name="chart_wb" sheetId="80" r:id="rId11"/>
    <sheet name="sum_eb" sheetId="76" r:id="rId12"/>
    <sheet name="chart_eb" sheetId="81" r:id="rId13"/>
    <sheet name="I_5_NB" sheetId="6" r:id="rId14"/>
    <sheet name="I_15_NB" sheetId="1" r:id="rId15"/>
    <sheet name="I_805_NB" sheetId="9" r:id="rId16"/>
    <sheet name="SR_163_NB" sheetId="12" r:id="rId17"/>
    <sheet name="SR_125_NB" sheetId="14" r:id="rId18"/>
    <sheet name="SR_67_NB" sheetId="31" r:id="rId19"/>
    <sheet name="SR_75_NB" sheetId="66" r:id="rId20"/>
    <sheet name="I_15HOV_NB" sheetId="71" r:id="rId21"/>
    <sheet name="I_5HOV_NB" sheetId="70" r:id="rId22"/>
    <sheet name="I_5_SB" sheetId="4" r:id="rId23"/>
    <sheet name="I_15_SB" sheetId="7" r:id="rId24"/>
    <sheet name="I_805_SB" sheetId="11" r:id="rId25"/>
    <sheet name="SR_163_SB" sheetId="13" r:id="rId26"/>
    <sheet name="SR_125_SB" sheetId="15" r:id="rId27"/>
    <sheet name="SR_67_SB" sheetId="32" r:id="rId28"/>
    <sheet name="SR_75_SB" sheetId="67" r:id="rId29"/>
    <sheet name="I_15HOV_SB" sheetId="72" r:id="rId30"/>
    <sheet name="I_5HOV_SB" sheetId="73" r:id="rId31"/>
    <sheet name="I_8_WB" sheetId="22" r:id="rId32"/>
    <sheet name="SR_78_WB" sheetId="17" r:id="rId33"/>
    <sheet name="SR_52_WB" sheetId="24" r:id="rId34"/>
    <sheet name="SR_54_WB" sheetId="28" r:id="rId35"/>
    <sheet name="SR_56_WB" sheetId="20" r:id="rId36"/>
    <sheet name="SR_905_WB" sheetId="30" r:id="rId37"/>
    <sheet name="SR_94_WB" sheetId="26" r:id="rId38"/>
    <sheet name="I_8_EB" sheetId="21" r:id="rId39"/>
    <sheet name="SR_78_EB" sheetId="16" r:id="rId40"/>
    <sheet name="SR_52_EB" sheetId="23" r:id="rId41"/>
    <sheet name="SR_54_EB" sheetId="27" r:id="rId42"/>
    <sheet name="SR_56_EB" sheetId="19" r:id="rId43"/>
    <sheet name="SR_905_EB" sheetId="29" r:id="rId44"/>
    <sheet name="SR_94_EB" sheetId="25" r:id="rId45"/>
    <sheet name="ref" sheetId="78" state="hidden" r:id="rId46"/>
    <sheet name="count" sheetId="87" state="hidden" r:id="rId47"/>
    <sheet name="check" sheetId="89" state="hidden" r:id="rId48"/>
    <sheet name="ref2" sheetId="85" state="hidden" r:id="rId49"/>
  </sheets>
  <externalReferences>
    <externalReference r:id="rId50"/>
    <externalReference r:id="rId51"/>
  </externalReferences>
  <definedNames>
    <definedName name="_xlnm._FilterDatabase" localSheetId="11" hidden="1">sum_eb!#REF!</definedName>
    <definedName name="_xlnm._FilterDatabase" localSheetId="5" hidden="1">sum_nb!#REF!</definedName>
    <definedName name="_xlnm._FilterDatabase" localSheetId="7" hidden="1">sum_sb!#REF!</definedName>
    <definedName name="_xlnm._FilterDatabase" localSheetId="9" hidden="1">sum_wb!#REF!</definedName>
    <definedName name="_xlnm._FilterDatabase" localSheetId="0" hidden="1">worksheet!$L$1:$L$652</definedName>
    <definedName name="eb_c" localSheetId="47">[1]worksheet!$K$526:$K$629</definedName>
    <definedName name="eb_c">worksheet!$K$526:$K$629</definedName>
    <definedName name="eb_f" localSheetId="47">[1]worksheet!$L$526:$L$629</definedName>
    <definedName name="eb_f">worksheet!$L$526:$L$629</definedName>
    <definedName name="eb_x2" localSheetId="47">[1]worksheet!$N$526:$N$629</definedName>
    <definedName name="eb_x2">worksheet!$N$526:$N$629</definedName>
    <definedName name="nb_c" localSheetId="47">[1]worksheet!$K$2:$K$201</definedName>
    <definedName name="nb_c">worksheet!$K$2:$K$201</definedName>
    <definedName name="nb_f" localSheetId="47">[1]worksheet!$L$2:$L$201</definedName>
    <definedName name="nb_f">worksheet!$L$2:$L$201</definedName>
    <definedName name="nb_x2" localSheetId="47">[1]worksheet!$N$2:$N$201</definedName>
    <definedName name="nb_x2">worksheet!$N$2:$N$201</definedName>
    <definedName name="ReportType">"Manifest"</definedName>
    <definedName name="sb_c" localSheetId="47">[1]worksheet!$K$202:$K$400</definedName>
    <definedName name="sb_c">worksheet!$K$202:$K$400</definedName>
    <definedName name="sb_f" localSheetId="47">[1]worksheet!$L$202:$L$400</definedName>
    <definedName name="sb_f">worksheet!$L$202:$L$400</definedName>
    <definedName name="sb_x2" localSheetId="47">[1]worksheet!$N$202:$N$400</definedName>
    <definedName name="sb_x2">worksheet!$N$202:$N$400</definedName>
    <definedName name="socioeca8.sandag.org_ws_abm2_f4" localSheetId="1" hidden="1">readme!$E$1:$I$1643</definedName>
    <definedName name="sql2014a8.sandag.org_ws_flow2015day" localSheetId="1" hidden="1">readme!$K$1:$O$1643</definedName>
    <definedName name="wb_c" localSheetId="47">[1]worksheet!$K$401:$K$525</definedName>
    <definedName name="wb_c">worksheet!$K$401:$K$525</definedName>
    <definedName name="wb_f" localSheetId="47">[1]worksheet!$L$401:$L$525</definedName>
    <definedName name="wb_f">worksheet!$L$401:$L$525</definedName>
    <definedName name="wb_x2" localSheetId="47">[1]worksheet!$N$401:$N$525</definedName>
    <definedName name="wb_x2">worksheet!$N$401:$N$525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4" l="1"/>
  <c r="H3" i="84"/>
  <c r="I3" i="84"/>
  <c r="G4" i="84"/>
  <c r="H4" i="84"/>
  <c r="I4" i="84"/>
  <c r="G5" i="84"/>
  <c r="H5" i="84"/>
  <c r="I5" i="84"/>
  <c r="G6" i="84"/>
  <c r="H6" i="84"/>
  <c r="I6" i="84"/>
  <c r="G7" i="84"/>
  <c r="H7" i="84"/>
  <c r="I7" i="84"/>
  <c r="G8" i="84"/>
  <c r="H8" i="84"/>
  <c r="I8" i="84"/>
  <c r="G9" i="84"/>
  <c r="H9" i="84"/>
  <c r="I9" i="84"/>
  <c r="G10" i="84"/>
  <c r="H10" i="84"/>
  <c r="I10" i="84"/>
  <c r="G11" i="84"/>
  <c r="H11" i="84"/>
  <c r="I11" i="84"/>
  <c r="G12" i="84"/>
  <c r="H12" i="84"/>
  <c r="I12" i="84"/>
  <c r="G13" i="84"/>
  <c r="H13" i="84"/>
  <c r="I13" i="84"/>
  <c r="G14" i="84"/>
  <c r="H14" i="84"/>
  <c r="I14" i="84"/>
  <c r="G15" i="84"/>
  <c r="H15" i="84"/>
  <c r="I15" i="84"/>
  <c r="G16" i="84"/>
  <c r="H16" i="84"/>
  <c r="I16" i="84"/>
  <c r="G17" i="84"/>
  <c r="H17" i="84"/>
  <c r="I17" i="84"/>
  <c r="G18" i="84"/>
  <c r="H18" i="84"/>
  <c r="I18" i="84"/>
  <c r="G19" i="84"/>
  <c r="H19" i="84"/>
  <c r="I19" i="84"/>
  <c r="G20" i="84"/>
  <c r="H20" i="84"/>
  <c r="I20" i="84"/>
  <c r="G21" i="84"/>
  <c r="H21" i="84"/>
  <c r="I21" i="84"/>
  <c r="G22" i="84"/>
  <c r="H22" i="84"/>
  <c r="I22" i="84"/>
  <c r="G23" i="84"/>
  <c r="H23" i="84"/>
  <c r="I23" i="84"/>
  <c r="G24" i="84"/>
  <c r="H24" i="84"/>
  <c r="I24" i="84"/>
  <c r="G25" i="84"/>
  <c r="H25" i="84"/>
  <c r="I25" i="84"/>
  <c r="G26" i="84"/>
  <c r="H26" i="84"/>
  <c r="I26" i="84"/>
  <c r="G27" i="84"/>
  <c r="H27" i="84"/>
  <c r="I27" i="84"/>
  <c r="G28" i="84"/>
  <c r="H28" i="84"/>
  <c r="I28" i="84"/>
  <c r="G29" i="84"/>
  <c r="H29" i="84"/>
  <c r="I29" i="84"/>
  <c r="G30" i="84"/>
  <c r="H30" i="84"/>
  <c r="I30" i="84"/>
  <c r="G31" i="84"/>
  <c r="H31" i="84"/>
  <c r="I31" i="84"/>
  <c r="G32" i="84"/>
  <c r="H32" i="84"/>
  <c r="I32" i="84"/>
  <c r="G33" i="84"/>
  <c r="H33" i="84"/>
  <c r="I33" i="84"/>
  <c r="G34" i="84"/>
  <c r="H34" i="84"/>
  <c r="I34" i="84"/>
  <c r="G35" i="84"/>
  <c r="H35" i="84"/>
  <c r="I35" i="84"/>
  <c r="G36" i="84"/>
  <c r="H36" i="84"/>
  <c r="I36" i="84"/>
  <c r="G37" i="84"/>
  <c r="H37" i="84"/>
  <c r="I37" i="84"/>
  <c r="G38" i="84"/>
  <c r="H38" i="84"/>
  <c r="I38" i="84"/>
  <c r="G39" i="84"/>
  <c r="H39" i="84"/>
  <c r="I39" i="84"/>
  <c r="G40" i="84"/>
  <c r="H40" i="84"/>
  <c r="I40" i="84"/>
  <c r="G41" i="84"/>
  <c r="H41" i="84"/>
  <c r="I41" i="84"/>
  <c r="G42" i="84"/>
  <c r="H42" i="84"/>
  <c r="I42" i="84"/>
  <c r="G43" i="84"/>
  <c r="H43" i="84"/>
  <c r="I43" i="84"/>
  <c r="G44" i="84"/>
  <c r="H44" i="84"/>
  <c r="I44" i="84"/>
  <c r="G45" i="84"/>
  <c r="H45" i="84"/>
  <c r="I45" i="84"/>
  <c r="G46" i="84"/>
  <c r="H46" i="84"/>
  <c r="I46" i="84"/>
  <c r="G47" i="84"/>
  <c r="H47" i="84"/>
  <c r="I47" i="84"/>
  <c r="G48" i="84"/>
  <c r="H48" i="84"/>
  <c r="I48" i="84"/>
  <c r="G49" i="84"/>
  <c r="H49" i="84"/>
  <c r="I49" i="84"/>
  <c r="G50" i="84"/>
  <c r="H50" i="84"/>
  <c r="I50" i="84"/>
  <c r="G51" i="84"/>
  <c r="H51" i="84"/>
  <c r="I51" i="84"/>
  <c r="G52" i="84"/>
  <c r="H52" i="84"/>
  <c r="I52" i="84"/>
  <c r="G53" i="84"/>
  <c r="H53" i="84"/>
  <c r="I53" i="84"/>
  <c r="G54" i="84"/>
  <c r="H54" i="84"/>
  <c r="I54" i="84"/>
  <c r="G55" i="84"/>
  <c r="H55" i="84"/>
  <c r="I55" i="84"/>
  <c r="G56" i="84"/>
  <c r="H56" i="84"/>
  <c r="I56" i="84"/>
  <c r="G57" i="84"/>
  <c r="H57" i="84"/>
  <c r="I57" i="84"/>
  <c r="G58" i="84"/>
  <c r="H58" i="84"/>
  <c r="I58" i="84"/>
  <c r="G59" i="84"/>
  <c r="H59" i="84"/>
  <c r="I59" i="84"/>
  <c r="G60" i="84"/>
  <c r="H60" i="84"/>
  <c r="I60" i="84"/>
  <c r="G61" i="84"/>
  <c r="H61" i="84"/>
  <c r="I61" i="84"/>
  <c r="G62" i="84"/>
  <c r="H62" i="84"/>
  <c r="I62" i="84"/>
  <c r="G63" i="84"/>
  <c r="H63" i="84"/>
  <c r="I63" i="84"/>
  <c r="G64" i="84"/>
  <c r="H64" i="84"/>
  <c r="I64" i="84"/>
  <c r="G65" i="84"/>
  <c r="H65" i="84"/>
  <c r="I65" i="84"/>
  <c r="G66" i="84"/>
  <c r="H66" i="84"/>
  <c r="I66" i="84"/>
  <c r="G67" i="84"/>
  <c r="H67" i="84"/>
  <c r="I67" i="84"/>
  <c r="G68" i="84"/>
  <c r="H68" i="84"/>
  <c r="I68" i="84"/>
  <c r="G69" i="84"/>
  <c r="H69" i="84"/>
  <c r="I69" i="84"/>
  <c r="G70" i="84"/>
  <c r="H70" i="84"/>
  <c r="I70" i="84"/>
  <c r="G71" i="84"/>
  <c r="H71" i="84"/>
  <c r="I71" i="84"/>
  <c r="G72" i="84"/>
  <c r="H72" i="84"/>
  <c r="I72" i="84"/>
  <c r="G73" i="84"/>
  <c r="H73" i="84"/>
  <c r="I73" i="84"/>
  <c r="G74" i="84"/>
  <c r="H74" i="84"/>
  <c r="I74" i="84"/>
  <c r="G75" i="84"/>
  <c r="H75" i="84"/>
  <c r="I75" i="84"/>
  <c r="G76" i="84"/>
  <c r="H76" i="84"/>
  <c r="I76" i="84"/>
  <c r="G77" i="84"/>
  <c r="H77" i="84"/>
  <c r="I77" i="84"/>
  <c r="G78" i="84"/>
  <c r="H78" i="84"/>
  <c r="I78" i="84"/>
  <c r="G79" i="84"/>
  <c r="H79" i="84"/>
  <c r="I79" i="84"/>
  <c r="G80" i="84"/>
  <c r="H80" i="84"/>
  <c r="I80" i="84"/>
  <c r="G81" i="84"/>
  <c r="H81" i="84"/>
  <c r="I81" i="84"/>
  <c r="G82" i="84"/>
  <c r="H82" i="84"/>
  <c r="I82" i="84"/>
  <c r="G83" i="84"/>
  <c r="H83" i="84"/>
  <c r="I83" i="84"/>
  <c r="G84" i="84"/>
  <c r="H84" i="84"/>
  <c r="I84" i="84"/>
  <c r="G85" i="84"/>
  <c r="H85" i="84"/>
  <c r="I85" i="84"/>
  <c r="G86" i="84"/>
  <c r="H86" i="84"/>
  <c r="I86" i="84"/>
  <c r="G87" i="84"/>
  <c r="H87" i="84"/>
  <c r="I87" i="84"/>
  <c r="G88" i="84"/>
  <c r="H88" i="84"/>
  <c r="I88" i="84"/>
  <c r="G89" i="84"/>
  <c r="H89" i="84"/>
  <c r="I89" i="84"/>
  <c r="G90" i="84"/>
  <c r="H90" i="84"/>
  <c r="I90" i="84"/>
  <c r="G91" i="84"/>
  <c r="H91" i="84"/>
  <c r="I91" i="84"/>
  <c r="G92" i="84"/>
  <c r="H92" i="84"/>
  <c r="I92" i="84"/>
  <c r="G93" i="84"/>
  <c r="H93" i="84"/>
  <c r="I93" i="84"/>
  <c r="G94" i="84"/>
  <c r="H94" i="84"/>
  <c r="I94" i="84"/>
  <c r="G95" i="84"/>
  <c r="H95" i="84"/>
  <c r="I95" i="84"/>
  <c r="G96" i="84"/>
  <c r="H96" i="84"/>
  <c r="I96" i="84"/>
  <c r="G97" i="84"/>
  <c r="H97" i="84"/>
  <c r="I97" i="84"/>
  <c r="G98" i="84"/>
  <c r="H98" i="84"/>
  <c r="I98" i="84"/>
  <c r="G99" i="84"/>
  <c r="H99" i="84"/>
  <c r="I99" i="84"/>
  <c r="G100" i="84"/>
  <c r="H100" i="84"/>
  <c r="I100" i="84"/>
  <c r="G101" i="84"/>
  <c r="H101" i="84"/>
  <c r="I101" i="84"/>
  <c r="G102" i="84"/>
  <c r="H102" i="84"/>
  <c r="I102" i="84"/>
  <c r="G103" i="84"/>
  <c r="H103" i="84"/>
  <c r="I103" i="84"/>
  <c r="G104" i="84"/>
  <c r="H104" i="84"/>
  <c r="I104" i="84"/>
  <c r="G105" i="84"/>
  <c r="H105" i="84"/>
  <c r="I105" i="84"/>
  <c r="G106" i="84"/>
  <c r="H106" i="84"/>
  <c r="I106" i="84"/>
  <c r="G107" i="84"/>
  <c r="H107" i="84"/>
  <c r="I107" i="84"/>
  <c r="G108" i="84"/>
  <c r="H108" i="84"/>
  <c r="I108" i="84"/>
  <c r="G109" i="84"/>
  <c r="H109" i="84"/>
  <c r="I109" i="84"/>
  <c r="G110" i="84"/>
  <c r="H110" i="84"/>
  <c r="I110" i="84"/>
  <c r="G111" i="84"/>
  <c r="H111" i="84"/>
  <c r="I111" i="84"/>
  <c r="G112" i="84"/>
  <c r="H112" i="84"/>
  <c r="I112" i="84"/>
  <c r="G113" i="84"/>
  <c r="H113" i="84"/>
  <c r="I113" i="84"/>
  <c r="G114" i="84"/>
  <c r="H114" i="84"/>
  <c r="I114" i="84"/>
  <c r="G115" i="84"/>
  <c r="H115" i="84"/>
  <c r="I115" i="84"/>
  <c r="G116" i="84"/>
  <c r="H116" i="84"/>
  <c r="I116" i="84"/>
  <c r="G117" i="84"/>
  <c r="H117" i="84"/>
  <c r="I117" i="84"/>
  <c r="G118" i="84"/>
  <c r="H118" i="84"/>
  <c r="I118" i="84"/>
  <c r="G119" i="84"/>
  <c r="H119" i="84"/>
  <c r="I119" i="84"/>
  <c r="G120" i="84"/>
  <c r="H120" i="84"/>
  <c r="I120" i="84"/>
  <c r="G121" i="84"/>
  <c r="H121" i="84"/>
  <c r="I121" i="84"/>
  <c r="G122" i="84"/>
  <c r="H122" i="84"/>
  <c r="I122" i="84"/>
  <c r="G123" i="84"/>
  <c r="H123" i="84"/>
  <c r="I123" i="84"/>
  <c r="G124" i="84"/>
  <c r="H124" i="84"/>
  <c r="I124" i="84"/>
  <c r="G125" i="84"/>
  <c r="H125" i="84"/>
  <c r="I125" i="84"/>
  <c r="G126" i="84"/>
  <c r="H126" i="84"/>
  <c r="I126" i="84"/>
  <c r="G127" i="84"/>
  <c r="H127" i="84"/>
  <c r="I127" i="84"/>
  <c r="G128" i="84"/>
  <c r="H128" i="84"/>
  <c r="I128" i="84"/>
  <c r="G129" i="84"/>
  <c r="H129" i="84"/>
  <c r="I129" i="84"/>
  <c r="G130" i="84"/>
  <c r="H130" i="84"/>
  <c r="I130" i="84"/>
  <c r="G131" i="84"/>
  <c r="H131" i="84"/>
  <c r="I131" i="84"/>
  <c r="G132" i="84"/>
  <c r="H132" i="84"/>
  <c r="I132" i="84"/>
  <c r="G133" i="84"/>
  <c r="H133" i="84"/>
  <c r="I133" i="84"/>
  <c r="G134" i="84"/>
  <c r="H134" i="84"/>
  <c r="I134" i="84"/>
  <c r="G135" i="84"/>
  <c r="H135" i="84"/>
  <c r="I135" i="84"/>
  <c r="G136" i="84"/>
  <c r="H136" i="84"/>
  <c r="I136" i="84"/>
  <c r="G137" i="84"/>
  <c r="H137" i="84"/>
  <c r="I137" i="84"/>
  <c r="G138" i="84"/>
  <c r="H138" i="84"/>
  <c r="I138" i="84"/>
  <c r="G139" i="84"/>
  <c r="H139" i="84"/>
  <c r="I139" i="84"/>
  <c r="G140" i="84"/>
  <c r="H140" i="84"/>
  <c r="I140" i="84"/>
  <c r="G141" i="84"/>
  <c r="H141" i="84"/>
  <c r="I141" i="84"/>
  <c r="G142" i="84"/>
  <c r="H142" i="84"/>
  <c r="I142" i="84"/>
  <c r="G143" i="84"/>
  <c r="H143" i="84"/>
  <c r="I143" i="84"/>
  <c r="G144" i="84"/>
  <c r="H144" i="84"/>
  <c r="I144" i="84"/>
  <c r="G145" i="84"/>
  <c r="H145" i="84"/>
  <c r="I145" i="84"/>
  <c r="G146" i="84"/>
  <c r="H146" i="84"/>
  <c r="I146" i="84"/>
  <c r="G147" i="84"/>
  <c r="H147" i="84"/>
  <c r="I147" i="84"/>
  <c r="G148" i="84"/>
  <c r="H148" i="84"/>
  <c r="I148" i="84"/>
  <c r="G149" i="84"/>
  <c r="H149" i="84"/>
  <c r="I149" i="84"/>
  <c r="G150" i="84"/>
  <c r="H150" i="84"/>
  <c r="I150" i="84"/>
  <c r="G151" i="84"/>
  <c r="H151" i="84"/>
  <c r="I151" i="84"/>
  <c r="G152" i="84"/>
  <c r="H152" i="84"/>
  <c r="I152" i="84"/>
  <c r="G153" i="84"/>
  <c r="H153" i="84"/>
  <c r="I153" i="84"/>
  <c r="G154" i="84"/>
  <c r="H154" i="84"/>
  <c r="I154" i="84"/>
  <c r="G155" i="84"/>
  <c r="H155" i="84"/>
  <c r="I155" i="84"/>
  <c r="G156" i="84"/>
  <c r="H156" i="84"/>
  <c r="I156" i="84"/>
  <c r="G157" i="84"/>
  <c r="H157" i="84"/>
  <c r="I157" i="84"/>
  <c r="G158" i="84"/>
  <c r="H158" i="84"/>
  <c r="I158" i="84"/>
  <c r="G159" i="84"/>
  <c r="H159" i="84"/>
  <c r="I159" i="84"/>
  <c r="G160" i="84"/>
  <c r="H160" i="84"/>
  <c r="I160" i="84"/>
  <c r="G161" i="84"/>
  <c r="H161" i="84"/>
  <c r="I161" i="84"/>
  <c r="G162" i="84"/>
  <c r="H162" i="84"/>
  <c r="I162" i="84"/>
  <c r="G163" i="84"/>
  <c r="H163" i="84"/>
  <c r="I163" i="84"/>
  <c r="G164" i="84"/>
  <c r="H164" i="84"/>
  <c r="I164" i="84"/>
  <c r="G165" i="84"/>
  <c r="H165" i="84"/>
  <c r="I165" i="84"/>
  <c r="G166" i="84"/>
  <c r="H166" i="84"/>
  <c r="I166" i="84"/>
  <c r="G167" i="84"/>
  <c r="H167" i="84"/>
  <c r="I167" i="84"/>
  <c r="G168" i="84"/>
  <c r="H168" i="84"/>
  <c r="I168" i="84"/>
  <c r="G169" i="84"/>
  <c r="H169" i="84"/>
  <c r="I169" i="84"/>
  <c r="G170" i="84"/>
  <c r="H170" i="84"/>
  <c r="I170" i="84"/>
  <c r="G171" i="84"/>
  <c r="H171" i="84"/>
  <c r="I171" i="84"/>
  <c r="G172" i="84"/>
  <c r="H172" i="84"/>
  <c r="I172" i="84"/>
  <c r="G173" i="84"/>
  <c r="H173" i="84"/>
  <c r="I173" i="84"/>
  <c r="G174" i="84"/>
  <c r="H174" i="84"/>
  <c r="I174" i="84"/>
  <c r="G175" i="84"/>
  <c r="H175" i="84"/>
  <c r="I175" i="84"/>
  <c r="G176" i="84"/>
  <c r="H176" i="84"/>
  <c r="I176" i="84"/>
  <c r="G177" i="84"/>
  <c r="H177" i="84"/>
  <c r="I177" i="84"/>
  <c r="G178" i="84"/>
  <c r="H178" i="84"/>
  <c r="I178" i="84"/>
  <c r="G179" i="84"/>
  <c r="H179" i="84"/>
  <c r="I179" i="84"/>
  <c r="G180" i="84"/>
  <c r="H180" i="84"/>
  <c r="I180" i="84"/>
  <c r="G181" i="84"/>
  <c r="H181" i="84"/>
  <c r="I181" i="84"/>
  <c r="G182" i="84"/>
  <c r="H182" i="84"/>
  <c r="I182" i="84"/>
  <c r="G183" i="84"/>
  <c r="H183" i="84"/>
  <c r="I183" i="84"/>
  <c r="G184" i="84"/>
  <c r="H184" i="84"/>
  <c r="I184" i="84"/>
  <c r="G185" i="84"/>
  <c r="H185" i="84"/>
  <c r="I185" i="84"/>
  <c r="G186" i="84"/>
  <c r="H186" i="84"/>
  <c r="I186" i="84"/>
  <c r="G187" i="84"/>
  <c r="H187" i="84"/>
  <c r="I187" i="84"/>
  <c r="G188" i="84"/>
  <c r="H188" i="84"/>
  <c r="I188" i="84"/>
  <c r="G189" i="84"/>
  <c r="H189" i="84"/>
  <c r="I189" i="84"/>
  <c r="G190" i="84"/>
  <c r="H190" i="84"/>
  <c r="I190" i="84"/>
  <c r="G191" i="84"/>
  <c r="H191" i="84"/>
  <c r="I191" i="84"/>
  <c r="G192" i="84"/>
  <c r="H192" i="84"/>
  <c r="I192" i="84"/>
  <c r="G193" i="84"/>
  <c r="H193" i="84"/>
  <c r="I193" i="84"/>
  <c r="G194" i="84"/>
  <c r="H194" i="84"/>
  <c r="I194" i="84"/>
  <c r="G195" i="84"/>
  <c r="H195" i="84"/>
  <c r="I195" i="84"/>
  <c r="G196" i="84"/>
  <c r="H196" i="84"/>
  <c r="I196" i="84"/>
  <c r="G197" i="84"/>
  <c r="H197" i="84"/>
  <c r="I197" i="84"/>
  <c r="G198" i="84"/>
  <c r="H198" i="84"/>
  <c r="I198" i="84"/>
  <c r="G199" i="84"/>
  <c r="H199" i="84"/>
  <c r="I199" i="84"/>
  <c r="G200" i="84"/>
  <c r="H200" i="84"/>
  <c r="I200" i="84"/>
  <c r="G201" i="84"/>
  <c r="H201" i="84"/>
  <c r="I201" i="84"/>
  <c r="G202" i="84"/>
  <c r="H202" i="84"/>
  <c r="I202" i="84"/>
  <c r="G203" i="84"/>
  <c r="H203" i="84"/>
  <c r="I203" i="84"/>
  <c r="G204" i="84"/>
  <c r="H204" i="84"/>
  <c r="I204" i="84"/>
  <c r="G205" i="84"/>
  <c r="H205" i="84"/>
  <c r="I205" i="84"/>
  <c r="G206" i="84"/>
  <c r="H206" i="84"/>
  <c r="I206" i="84"/>
  <c r="G207" i="84"/>
  <c r="H207" i="84"/>
  <c r="I207" i="84"/>
  <c r="G208" i="84"/>
  <c r="H208" i="84"/>
  <c r="I208" i="84"/>
  <c r="G209" i="84"/>
  <c r="H209" i="84"/>
  <c r="I209" i="84"/>
  <c r="G210" i="84"/>
  <c r="H210" i="84"/>
  <c r="I210" i="84"/>
  <c r="G211" i="84"/>
  <c r="H211" i="84"/>
  <c r="I211" i="84"/>
  <c r="G212" i="84"/>
  <c r="H212" i="84"/>
  <c r="I212" i="84"/>
  <c r="G213" i="84"/>
  <c r="H213" i="84"/>
  <c r="I213" i="84"/>
  <c r="G214" i="84"/>
  <c r="H214" i="84"/>
  <c r="I214" i="84"/>
  <c r="G215" i="84"/>
  <c r="H215" i="84"/>
  <c r="I215" i="84"/>
  <c r="G216" i="84"/>
  <c r="H216" i="84"/>
  <c r="I216" i="84"/>
  <c r="G217" i="84"/>
  <c r="H217" i="84"/>
  <c r="I217" i="84"/>
  <c r="G218" i="84"/>
  <c r="H218" i="84"/>
  <c r="I218" i="84"/>
  <c r="G219" i="84"/>
  <c r="H219" i="84"/>
  <c r="I219" i="84"/>
  <c r="G220" i="84"/>
  <c r="H220" i="84"/>
  <c r="I220" i="84"/>
  <c r="G221" i="84"/>
  <c r="H221" i="84"/>
  <c r="I221" i="84"/>
  <c r="G222" i="84"/>
  <c r="H222" i="84"/>
  <c r="I222" i="84"/>
  <c r="G223" i="84"/>
  <c r="H223" i="84"/>
  <c r="I223" i="84"/>
  <c r="G224" i="84"/>
  <c r="H224" i="84"/>
  <c r="I224" i="84"/>
  <c r="G225" i="84"/>
  <c r="H225" i="84"/>
  <c r="I225" i="84"/>
  <c r="G226" i="84"/>
  <c r="H226" i="84"/>
  <c r="I226" i="84"/>
  <c r="G227" i="84"/>
  <c r="H227" i="84"/>
  <c r="I227" i="84"/>
  <c r="G228" i="84"/>
  <c r="H228" i="84"/>
  <c r="I228" i="84"/>
  <c r="G229" i="84"/>
  <c r="H229" i="84"/>
  <c r="I229" i="84"/>
  <c r="G230" i="84"/>
  <c r="H230" i="84"/>
  <c r="I230" i="84"/>
  <c r="G231" i="84"/>
  <c r="H231" i="84"/>
  <c r="I231" i="84"/>
  <c r="G232" i="84"/>
  <c r="H232" i="84"/>
  <c r="I232" i="84"/>
  <c r="G233" i="84"/>
  <c r="H233" i="84"/>
  <c r="I233" i="84"/>
  <c r="G234" i="84"/>
  <c r="H234" i="84"/>
  <c r="I234" i="84"/>
  <c r="G235" i="84"/>
  <c r="H235" i="84"/>
  <c r="I235" i="84"/>
  <c r="G236" i="84"/>
  <c r="H236" i="84"/>
  <c r="I236" i="84"/>
  <c r="G237" i="84"/>
  <c r="H237" i="84"/>
  <c r="I237" i="84"/>
  <c r="G238" i="84"/>
  <c r="H238" i="84"/>
  <c r="I238" i="84"/>
  <c r="G239" i="84"/>
  <c r="H239" i="84"/>
  <c r="I239" i="84"/>
  <c r="G240" i="84"/>
  <c r="H240" i="84"/>
  <c r="I240" i="84"/>
  <c r="G241" i="84"/>
  <c r="H241" i="84"/>
  <c r="I241" i="84"/>
  <c r="G242" i="84"/>
  <c r="H242" i="84"/>
  <c r="I242" i="84"/>
  <c r="G243" i="84"/>
  <c r="H243" i="84"/>
  <c r="I243" i="84"/>
  <c r="G244" i="84"/>
  <c r="H244" i="84"/>
  <c r="I244" i="84"/>
  <c r="G245" i="84"/>
  <c r="H245" i="84"/>
  <c r="I245" i="84"/>
  <c r="G246" i="84"/>
  <c r="H246" i="84"/>
  <c r="I246" i="84"/>
  <c r="G247" i="84"/>
  <c r="H247" i="84"/>
  <c r="I247" i="84"/>
  <c r="G248" i="84"/>
  <c r="H248" i="84"/>
  <c r="I248" i="84"/>
  <c r="G249" i="84"/>
  <c r="H249" i="84"/>
  <c r="I249" i="84"/>
  <c r="G250" i="84"/>
  <c r="H250" i="84"/>
  <c r="I250" i="84"/>
  <c r="G251" i="84"/>
  <c r="H251" i="84"/>
  <c r="I251" i="84"/>
  <c r="G252" i="84"/>
  <c r="H252" i="84"/>
  <c r="I252" i="84"/>
  <c r="G253" i="84"/>
  <c r="H253" i="84"/>
  <c r="I253" i="84"/>
  <c r="G254" i="84"/>
  <c r="H254" i="84"/>
  <c r="I254" i="84"/>
  <c r="G255" i="84"/>
  <c r="H255" i="84"/>
  <c r="I255" i="84"/>
  <c r="G256" i="84"/>
  <c r="H256" i="84"/>
  <c r="I256" i="84"/>
  <c r="G257" i="84"/>
  <c r="H257" i="84"/>
  <c r="I257" i="84"/>
  <c r="G258" i="84"/>
  <c r="H258" i="84"/>
  <c r="I258" i="84"/>
  <c r="G259" i="84"/>
  <c r="H259" i="84"/>
  <c r="I259" i="84"/>
  <c r="G260" i="84"/>
  <c r="H260" i="84"/>
  <c r="I260" i="84"/>
  <c r="G261" i="84"/>
  <c r="H261" i="84"/>
  <c r="I261" i="84"/>
  <c r="G262" i="84"/>
  <c r="H262" i="84"/>
  <c r="I262" i="84"/>
  <c r="G263" i="84"/>
  <c r="H263" i="84"/>
  <c r="I263" i="84"/>
  <c r="G264" i="84"/>
  <c r="H264" i="84"/>
  <c r="I264" i="84"/>
  <c r="G265" i="84"/>
  <c r="H265" i="84"/>
  <c r="I265" i="84"/>
  <c r="G266" i="84"/>
  <c r="H266" i="84"/>
  <c r="I266" i="84"/>
  <c r="G267" i="84"/>
  <c r="H267" i="84"/>
  <c r="I267" i="84"/>
  <c r="G268" i="84"/>
  <c r="H268" i="84"/>
  <c r="I268" i="84"/>
  <c r="G269" i="84"/>
  <c r="H269" i="84"/>
  <c r="I269" i="84"/>
  <c r="G270" i="84"/>
  <c r="H270" i="84"/>
  <c r="I270" i="84"/>
  <c r="G271" i="84"/>
  <c r="H271" i="84"/>
  <c r="I271" i="84"/>
  <c r="G272" i="84"/>
  <c r="H272" i="84"/>
  <c r="I272" i="84"/>
  <c r="G273" i="84"/>
  <c r="H273" i="84"/>
  <c r="I273" i="84"/>
  <c r="G274" i="84"/>
  <c r="H274" i="84"/>
  <c r="I274" i="84"/>
  <c r="G275" i="84"/>
  <c r="H275" i="84"/>
  <c r="I275" i="84"/>
  <c r="G276" i="84"/>
  <c r="H276" i="84"/>
  <c r="I276" i="84"/>
  <c r="G277" i="84"/>
  <c r="H277" i="84"/>
  <c r="I277" i="84"/>
  <c r="G278" i="84"/>
  <c r="H278" i="84"/>
  <c r="I278" i="84"/>
  <c r="G279" i="84"/>
  <c r="H279" i="84"/>
  <c r="I279" i="84"/>
  <c r="G280" i="84"/>
  <c r="H280" i="84"/>
  <c r="I280" i="84"/>
  <c r="G281" i="84"/>
  <c r="H281" i="84"/>
  <c r="I281" i="84"/>
  <c r="G282" i="84"/>
  <c r="H282" i="84"/>
  <c r="I282" i="84"/>
  <c r="G283" i="84"/>
  <c r="H283" i="84"/>
  <c r="I283" i="84"/>
  <c r="G284" i="84"/>
  <c r="H284" i="84"/>
  <c r="I284" i="84"/>
  <c r="G285" i="84"/>
  <c r="H285" i="84"/>
  <c r="I285" i="84"/>
  <c r="G286" i="84"/>
  <c r="H286" i="84"/>
  <c r="I286" i="84"/>
  <c r="G287" i="84"/>
  <c r="H287" i="84"/>
  <c r="I287" i="84"/>
  <c r="G288" i="84"/>
  <c r="H288" i="84"/>
  <c r="I288" i="84"/>
  <c r="G289" i="84"/>
  <c r="H289" i="84"/>
  <c r="I289" i="84"/>
  <c r="G290" i="84"/>
  <c r="H290" i="84"/>
  <c r="I290" i="84"/>
  <c r="G291" i="84"/>
  <c r="H291" i="84"/>
  <c r="I291" i="84"/>
  <c r="G292" i="84"/>
  <c r="H292" i="84"/>
  <c r="I292" i="84"/>
  <c r="G293" i="84"/>
  <c r="H293" i="84"/>
  <c r="I293" i="84"/>
  <c r="G294" i="84"/>
  <c r="H294" i="84"/>
  <c r="I294" i="84"/>
  <c r="G295" i="84"/>
  <c r="H295" i="84"/>
  <c r="I295" i="84"/>
  <c r="G296" i="84"/>
  <c r="H296" i="84"/>
  <c r="I296" i="84"/>
  <c r="G297" i="84"/>
  <c r="H297" i="84"/>
  <c r="I297" i="84"/>
  <c r="G298" i="84"/>
  <c r="H298" i="84"/>
  <c r="I298" i="84"/>
  <c r="G299" i="84"/>
  <c r="H299" i="84"/>
  <c r="I299" i="84"/>
  <c r="G300" i="84"/>
  <c r="H300" i="84"/>
  <c r="I300" i="84"/>
  <c r="G301" i="84"/>
  <c r="H301" i="84"/>
  <c r="I301" i="84"/>
  <c r="G302" i="84"/>
  <c r="H302" i="84"/>
  <c r="I302" i="84"/>
  <c r="G303" i="84"/>
  <c r="H303" i="84"/>
  <c r="I303" i="84"/>
  <c r="G304" i="84"/>
  <c r="H304" i="84"/>
  <c r="I304" i="84"/>
  <c r="G305" i="84"/>
  <c r="H305" i="84"/>
  <c r="I305" i="84"/>
  <c r="G306" i="84"/>
  <c r="H306" i="84"/>
  <c r="I306" i="84"/>
  <c r="G307" i="84"/>
  <c r="H307" i="84"/>
  <c r="I307" i="84"/>
  <c r="G308" i="84"/>
  <c r="H308" i="84"/>
  <c r="I308" i="84"/>
  <c r="G309" i="84"/>
  <c r="H309" i="84"/>
  <c r="I309" i="84"/>
  <c r="G310" i="84"/>
  <c r="H310" i="84"/>
  <c r="I310" i="84"/>
  <c r="G311" i="84"/>
  <c r="H311" i="84"/>
  <c r="I311" i="84"/>
  <c r="G312" i="84"/>
  <c r="H312" i="84"/>
  <c r="I312" i="84"/>
  <c r="G313" i="84"/>
  <c r="H313" i="84"/>
  <c r="I313" i="84"/>
  <c r="G314" i="84"/>
  <c r="H314" i="84"/>
  <c r="I314" i="84"/>
  <c r="G315" i="84"/>
  <c r="H315" i="84"/>
  <c r="I315" i="84"/>
  <c r="G316" i="84"/>
  <c r="H316" i="84"/>
  <c r="I316" i="84"/>
  <c r="G317" i="84"/>
  <c r="H317" i="84"/>
  <c r="I317" i="84"/>
  <c r="G318" i="84"/>
  <c r="H318" i="84"/>
  <c r="I318" i="84"/>
  <c r="G319" i="84"/>
  <c r="H319" i="84"/>
  <c r="I319" i="84"/>
  <c r="G320" i="84"/>
  <c r="H320" i="84"/>
  <c r="I320" i="84"/>
  <c r="G321" i="84"/>
  <c r="H321" i="84"/>
  <c r="I321" i="84"/>
  <c r="G322" i="84"/>
  <c r="H322" i="84"/>
  <c r="I322" i="84"/>
  <c r="G323" i="84"/>
  <c r="H323" i="84"/>
  <c r="I323" i="84"/>
  <c r="G324" i="84"/>
  <c r="H324" i="84"/>
  <c r="I324" i="84"/>
  <c r="G325" i="84"/>
  <c r="H325" i="84"/>
  <c r="I325" i="84"/>
  <c r="G326" i="84"/>
  <c r="H326" i="84"/>
  <c r="I326" i="84"/>
  <c r="G327" i="84"/>
  <c r="H327" i="84"/>
  <c r="I327" i="84"/>
  <c r="G328" i="84"/>
  <c r="H328" i="84"/>
  <c r="I328" i="84"/>
  <c r="G329" i="84"/>
  <c r="H329" i="84"/>
  <c r="I329" i="84"/>
  <c r="G330" i="84"/>
  <c r="H330" i="84"/>
  <c r="I330" i="84"/>
  <c r="G331" i="84"/>
  <c r="H331" i="84"/>
  <c r="I331" i="84"/>
  <c r="G332" i="84"/>
  <c r="H332" i="84"/>
  <c r="I332" i="84"/>
  <c r="G333" i="84"/>
  <c r="H333" i="84"/>
  <c r="I333" i="84"/>
  <c r="G334" i="84"/>
  <c r="H334" i="84"/>
  <c r="I334" i="84"/>
  <c r="G335" i="84"/>
  <c r="H335" i="84"/>
  <c r="I335" i="84"/>
  <c r="G336" i="84"/>
  <c r="H336" i="84"/>
  <c r="I336" i="84"/>
  <c r="G337" i="84"/>
  <c r="H337" i="84"/>
  <c r="I337" i="84"/>
  <c r="G338" i="84"/>
  <c r="H338" i="84"/>
  <c r="I338" i="84"/>
  <c r="G339" i="84"/>
  <c r="H339" i="84"/>
  <c r="I339" i="84"/>
  <c r="G340" i="84"/>
  <c r="H340" i="84"/>
  <c r="I340" i="84"/>
  <c r="G341" i="84"/>
  <c r="H341" i="84"/>
  <c r="I341" i="84"/>
  <c r="G342" i="84"/>
  <c r="H342" i="84"/>
  <c r="I342" i="84"/>
  <c r="G343" i="84"/>
  <c r="H343" i="84"/>
  <c r="I343" i="84"/>
  <c r="G344" i="84"/>
  <c r="H344" i="84"/>
  <c r="I344" i="84"/>
  <c r="G345" i="84"/>
  <c r="H345" i="84"/>
  <c r="I345" i="84"/>
  <c r="G346" i="84"/>
  <c r="H346" i="84"/>
  <c r="I346" i="84"/>
  <c r="G347" i="84"/>
  <c r="H347" i="84"/>
  <c r="I347" i="84"/>
  <c r="G348" i="84"/>
  <c r="H348" i="84"/>
  <c r="I348" i="84"/>
  <c r="G349" i="84"/>
  <c r="H349" i="84"/>
  <c r="I349" i="84"/>
  <c r="G350" i="84"/>
  <c r="H350" i="84"/>
  <c r="I350" i="84"/>
  <c r="G351" i="84"/>
  <c r="H351" i="84"/>
  <c r="I351" i="84"/>
  <c r="G352" i="84"/>
  <c r="H352" i="84"/>
  <c r="I352" i="84"/>
  <c r="G353" i="84"/>
  <c r="H353" i="84"/>
  <c r="I353" i="84"/>
  <c r="G354" i="84"/>
  <c r="H354" i="84"/>
  <c r="I354" i="84"/>
  <c r="G355" i="84"/>
  <c r="H355" i="84"/>
  <c r="I355" i="84"/>
  <c r="G356" i="84"/>
  <c r="H356" i="84"/>
  <c r="I356" i="84"/>
  <c r="G357" i="84"/>
  <c r="H357" i="84"/>
  <c r="I357" i="84"/>
  <c r="G358" i="84"/>
  <c r="H358" i="84"/>
  <c r="I358" i="84"/>
  <c r="G359" i="84"/>
  <c r="H359" i="84"/>
  <c r="I359" i="84"/>
  <c r="G360" i="84"/>
  <c r="H360" i="84"/>
  <c r="I360" i="84"/>
  <c r="G361" i="84"/>
  <c r="H361" i="84"/>
  <c r="I361" i="84"/>
  <c r="G362" i="84"/>
  <c r="H362" i="84"/>
  <c r="I362" i="84"/>
  <c r="G363" i="84"/>
  <c r="H363" i="84"/>
  <c r="I363" i="84"/>
  <c r="G364" i="84"/>
  <c r="H364" i="84"/>
  <c r="I364" i="84"/>
  <c r="G365" i="84"/>
  <c r="H365" i="84"/>
  <c r="I365" i="84"/>
  <c r="G366" i="84"/>
  <c r="H366" i="84"/>
  <c r="I366" i="84"/>
  <c r="G367" i="84"/>
  <c r="H367" i="84"/>
  <c r="I367" i="84"/>
  <c r="G368" i="84"/>
  <c r="H368" i="84"/>
  <c r="I368" i="84"/>
  <c r="G369" i="84"/>
  <c r="H369" i="84"/>
  <c r="I369" i="84"/>
  <c r="G370" i="84"/>
  <c r="H370" i="84"/>
  <c r="I370" i="84"/>
  <c r="G371" i="84"/>
  <c r="H371" i="84"/>
  <c r="I371" i="84"/>
  <c r="G372" i="84"/>
  <c r="H372" i="84"/>
  <c r="I372" i="84"/>
  <c r="G373" i="84"/>
  <c r="H373" i="84"/>
  <c r="I373" i="84"/>
  <c r="G374" i="84"/>
  <c r="H374" i="84"/>
  <c r="I374" i="84"/>
  <c r="G375" i="84"/>
  <c r="H375" i="84"/>
  <c r="I375" i="84"/>
  <c r="G376" i="84"/>
  <c r="H376" i="84"/>
  <c r="I376" i="84"/>
  <c r="G377" i="84"/>
  <c r="H377" i="84"/>
  <c r="I377" i="84"/>
  <c r="G378" i="84"/>
  <c r="H378" i="84"/>
  <c r="I378" i="84"/>
  <c r="G379" i="84"/>
  <c r="H379" i="84"/>
  <c r="I379" i="84"/>
  <c r="G380" i="84"/>
  <c r="H380" i="84"/>
  <c r="I380" i="84"/>
  <c r="G381" i="84"/>
  <c r="H381" i="84"/>
  <c r="I381" i="84"/>
  <c r="G382" i="84"/>
  <c r="H382" i="84"/>
  <c r="I382" i="84"/>
  <c r="G383" i="84"/>
  <c r="H383" i="84"/>
  <c r="I383" i="84"/>
  <c r="G384" i="84"/>
  <c r="H384" i="84"/>
  <c r="I384" i="84"/>
  <c r="G385" i="84"/>
  <c r="H385" i="84"/>
  <c r="I385" i="84"/>
  <c r="G386" i="84"/>
  <c r="H386" i="84"/>
  <c r="I386" i="84"/>
  <c r="G387" i="84"/>
  <c r="H387" i="84"/>
  <c r="I387" i="84"/>
  <c r="G388" i="84"/>
  <c r="H388" i="84"/>
  <c r="I388" i="84"/>
  <c r="G389" i="84"/>
  <c r="H389" i="84"/>
  <c r="I389" i="84"/>
  <c r="G390" i="84"/>
  <c r="H390" i="84"/>
  <c r="I390" i="84"/>
  <c r="G391" i="84"/>
  <c r="H391" i="84"/>
  <c r="I391" i="84"/>
  <c r="G392" i="84"/>
  <c r="H392" i="84"/>
  <c r="I392" i="84"/>
  <c r="G393" i="84"/>
  <c r="H393" i="84"/>
  <c r="I393" i="84"/>
  <c r="G394" i="84"/>
  <c r="H394" i="84"/>
  <c r="I394" i="84"/>
  <c r="G395" i="84"/>
  <c r="H395" i="84"/>
  <c r="I395" i="84"/>
  <c r="G396" i="84"/>
  <c r="H396" i="84"/>
  <c r="I396" i="84"/>
  <c r="G397" i="84"/>
  <c r="H397" i="84"/>
  <c r="I397" i="84"/>
  <c r="G398" i="84"/>
  <c r="H398" i="84"/>
  <c r="I398" i="84"/>
  <c r="G399" i="84"/>
  <c r="H399" i="84"/>
  <c r="I399" i="84"/>
  <c r="G400" i="84"/>
  <c r="H400" i="84"/>
  <c r="I400" i="84"/>
  <c r="G401" i="84"/>
  <c r="H401" i="84"/>
  <c r="I401" i="84"/>
  <c r="G402" i="84"/>
  <c r="H402" i="84"/>
  <c r="I402" i="84"/>
  <c r="G403" i="84"/>
  <c r="H403" i="84"/>
  <c r="I403" i="84"/>
  <c r="G404" i="84"/>
  <c r="H404" i="84"/>
  <c r="I404" i="84"/>
  <c r="G405" i="84"/>
  <c r="H405" i="84"/>
  <c r="I405" i="84"/>
  <c r="G406" i="84"/>
  <c r="H406" i="84"/>
  <c r="I406" i="84"/>
  <c r="G407" i="84"/>
  <c r="H407" i="84"/>
  <c r="I407" i="84"/>
  <c r="G408" i="84"/>
  <c r="H408" i="84"/>
  <c r="I408" i="84"/>
  <c r="G409" i="84"/>
  <c r="H409" i="84"/>
  <c r="I409" i="84"/>
  <c r="G410" i="84"/>
  <c r="H410" i="84"/>
  <c r="I410" i="84"/>
  <c r="G411" i="84"/>
  <c r="H411" i="84"/>
  <c r="I411" i="84"/>
  <c r="G412" i="84"/>
  <c r="H412" i="84"/>
  <c r="I412" i="84"/>
  <c r="G413" i="84"/>
  <c r="H413" i="84"/>
  <c r="I413" i="84"/>
  <c r="G414" i="84"/>
  <c r="H414" i="84"/>
  <c r="I414" i="84"/>
  <c r="G415" i="84"/>
  <c r="H415" i="84"/>
  <c r="I415" i="84"/>
  <c r="G416" i="84"/>
  <c r="H416" i="84"/>
  <c r="I416" i="84"/>
  <c r="G417" i="84"/>
  <c r="H417" i="84"/>
  <c r="I417" i="84"/>
  <c r="G418" i="84"/>
  <c r="H418" i="84"/>
  <c r="I418" i="84"/>
  <c r="G419" i="84"/>
  <c r="H419" i="84"/>
  <c r="I419" i="84"/>
  <c r="G420" i="84"/>
  <c r="H420" i="84"/>
  <c r="I420" i="84"/>
  <c r="G421" i="84"/>
  <c r="H421" i="84"/>
  <c r="I421" i="84"/>
  <c r="G422" i="84"/>
  <c r="H422" i="84"/>
  <c r="I422" i="84"/>
  <c r="G423" i="84"/>
  <c r="H423" i="84"/>
  <c r="I423" i="84"/>
  <c r="G424" i="84"/>
  <c r="H424" i="84"/>
  <c r="I424" i="84"/>
  <c r="G425" i="84"/>
  <c r="H425" i="84"/>
  <c r="I425" i="84"/>
  <c r="G426" i="84"/>
  <c r="H426" i="84"/>
  <c r="I426" i="84"/>
  <c r="G427" i="84"/>
  <c r="H427" i="84"/>
  <c r="I427" i="84"/>
  <c r="G428" i="84"/>
  <c r="H428" i="84"/>
  <c r="I428" i="84"/>
  <c r="G429" i="84"/>
  <c r="H429" i="84"/>
  <c r="I429" i="84"/>
  <c r="G430" i="84"/>
  <c r="H430" i="84"/>
  <c r="I430" i="84"/>
  <c r="G431" i="84"/>
  <c r="H431" i="84"/>
  <c r="I431" i="84"/>
  <c r="G432" i="84"/>
  <c r="H432" i="84"/>
  <c r="I432" i="84"/>
  <c r="G433" i="84"/>
  <c r="H433" i="84"/>
  <c r="I433" i="84"/>
  <c r="G434" i="84"/>
  <c r="H434" i="84"/>
  <c r="I434" i="84"/>
  <c r="G435" i="84"/>
  <c r="H435" i="84"/>
  <c r="I435" i="84"/>
  <c r="G436" i="84"/>
  <c r="H436" i="84"/>
  <c r="I436" i="84"/>
  <c r="G437" i="84"/>
  <c r="H437" i="84"/>
  <c r="I437" i="84"/>
  <c r="G438" i="84"/>
  <c r="H438" i="84"/>
  <c r="I438" i="84"/>
  <c r="G439" i="84"/>
  <c r="H439" i="84"/>
  <c r="I439" i="84"/>
  <c r="G440" i="84"/>
  <c r="H440" i="84"/>
  <c r="I440" i="84"/>
  <c r="G441" i="84"/>
  <c r="H441" i="84"/>
  <c r="I441" i="84"/>
  <c r="G442" i="84"/>
  <c r="H442" i="84"/>
  <c r="I442" i="84"/>
  <c r="G443" i="84"/>
  <c r="H443" i="84"/>
  <c r="I443" i="84"/>
  <c r="G444" i="84"/>
  <c r="H444" i="84"/>
  <c r="I444" i="84"/>
  <c r="G445" i="84"/>
  <c r="H445" i="84"/>
  <c r="I445" i="84"/>
  <c r="G446" i="84"/>
  <c r="H446" i="84"/>
  <c r="I446" i="84"/>
  <c r="G447" i="84"/>
  <c r="H447" i="84"/>
  <c r="I447" i="84"/>
  <c r="G448" i="84"/>
  <c r="H448" i="84"/>
  <c r="I448" i="84"/>
  <c r="G449" i="84"/>
  <c r="H449" i="84"/>
  <c r="I449" i="84"/>
  <c r="G450" i="84"/>
  <c r="H450" i="84"/>
  <c r="I450" i="84"/>
  <c r="G451" i="84"/>
  <c r="H451" i="84"/>
  <c r="I451" i="84"/>
  <c r="G452" i="84"/>
  <c r="H452" i="84"/>
  <c r="I452" i="84"/>
  <c r="G453" i="84"/>
  <c r="H453" i="84"/>
  <c r="I453" i="84"/>
  <c r="G454" i="84"/>
  <c r="H454" i="84"/>
  <c r="I454" i="84"/>
  <c r="G455" i="84"/>
  <c r="H455" i="84"/>
  <c r="I455" i="84"/>
  <c r="G456" i="84"/>
  <c r="H456" i="84"/>
  <c r="I456" i="84"/>
  <c r="G457" i="84"/>
  <c r="H457" i="84"/>
  <c r="I457" i="84"/>
  <c r="G458" i="84"/>
  <c r="H458" i="84"/>
  <c r="I458" i="84"/>
  <c r="G459" i="84"/>
  <c r="H459" i="84"/>
  <c r="I459" i="84"/>
  <c r="G460" i="84"/>
  <c r="H460" i="84"/>
  <c r="I460" i="84"/>
  <c r="G461" i="84"/>
  <c r="H461" i="84"/>
  <c r="I461" i="84"/>
  <c r="G462" i="84"/>
  <c r="H462" i="84"/>
  <c r="I462" i="84"/>
  <c r="G463" i="84"/>
  <c r="H463" i="84"/>
  <c r="I463" i="84"/>
  <c r="G464" i="84"/>
  <c r="H464" i="84"/>
  <c r="I464" i="84"/>
  <c r="G465" i="84"/>
  <c r="H465" i="84"/>
  <c r="I465" i="84"/>
  <c r="G466" i="84"/>
  <c r="H466" i="84"/>
  <c r="I466" i="84"/>
  <c r="G467" i="84"/>
  <c r="H467" i="84"/>
  <c r="I467" i="84"/>
  <c r="G468" i="84"/>
  <c r="H468" i="84"/>
  <c r="I468" i="84"/>
  <c r="G469" i="84"/>
  <c r="H469" i="84"/>
  <c r="I469" i="84"/>
  <c r="G470" i="84"/>
  <c r="H470" i="84"/>
  <c r="I470" i="84"/>
  <c r="G471" i="84"/>
  <c r="H471" i="84"/>
  <c r="I471" i="84"/>
  <c r="G472" i="84"/>
  <c r="H472" i="84"/>
  <c r="I472" i="84"/>
  <c r="G473" i="84"/>
  <c r="H473" i="84"/>
  <c r="I473" i="84"/>
  <c r="G474" i="84"/>
  <c r="H474" i="84"/>
  <c r="I474" i="84"/>
  <c r="G475" i="84"/>
  <c r="H475" i="84"/>
  <c r="I475" i="84"/>
  <c r="G476" i="84"/>
  <c r="H476" i="84"/>
  <c r="I476" i="84"/>
  <c r="G477" i="84"/>
  <c r="H477" i="84"/>
  <c r="I477" i="84"/>
  <c r="G478" i="84"/>
  <c r="H478" i="84"/>
  <c r="I478" i="84"/>
  <c r="G479" i="84"/>
  <c r="H479" i="84"/>
  <c r="I479" i="84"/>
  <c r="G480" i="84"/>
  <c r="H480" i="84"/>
  <c r="I480" i="84"/>
  <c r="G481" i="84"/>
  <c r="H481" i="84"/>
  <c r="I481" i="84"/>
  <c r="G482" i="84"/>
  <c r="H482" i="84"/>
  <c r="I482" i="84"/>
  <c r="G483" i="84"/>
  <c r="H483" i="84"/>
  <c r="I483" i="84"/>
  <c r="G484" i="84"/>
  <c r="H484" i="84"/>
  <c r="I484" i="84"/>
  <c r="G485" i="84"/>
  <c r="H485" i="84"/>
  <c r="I485" i="84"/>
  <c r="G486" i="84"/>
  <c r="H486" i="84"/>
  <c r="I486" i="84"/>
  <c r="G487" i="84"/>
  <c r="H487" i="84"/>
  <c r="I487" i="84"/>
  <c r="G488" i="84"/>
  <c r="H488" i="84"/>
  <c r="I488" i="84"/>
  <c r="G489" i="84"/>
  <c r="H489" i="84"/>
  <c r="I489" i="84"/>
  <c r="G490" i="84"/>
  <c r="H490" i="84"/>
  <c r="I490" i="84"/>
  <c r="G491" i="84"/>
  <c r="H491" i="84"/>
  <c r="I491" i="84"/>
  <c r="G492" i="84"/>
  <c r="H492" i="84"/>
  <c r="I492" i="84"/>
  <c r="G493" i="84"/>
  <c r="H493" i="84"/>
  <c r="I493" i="84"/>
  <c r="G494" i="84"/>
  <c r="H494" i="84"/>
  <c r="I494" i="84"/>
  <c r="G495" i="84"/>
  <c r="H495" i="84"/>
  <c r="I495" i="84"/>
  <c r="G496" i="84"/>
  <c r="H496" i="84"/>
  <c r="I496" i="84"/>
  <c r="G497" i="84"/>
  <c r="H497" i="84"/>
  <c r="I497" i="84"/>
  <c r="G498" i="84"/>
  <c r="H498" i="84"/>
  <c r="I498" i="84"/>
  <c r="G499" i="84"/>
  <c r="H499" i="84"/>
  <c r="I499" i="84"/>
  <c r="G500" i="84"/>
  <c r="H500" i="84"/>
  <c r="I500" i="84"/>
  <c r="G501" i="84"/>
  <c r="H501" i="84"/>
  <c r="I501" i="84"/>
  <c r="G502" i="84"/>
  <c r="H502" i="84"/>
  <c r="I502" i="84"/>
  <c r="G503" i="84"/>
  <c r="H503" i="84"/>
  <c r="I503" i="84"/>
  <c r="G504" i="84"/>
  <c r="H504" i="84"/>
  <c r="I504" i="84"/>
  <c r="G505" i="84"/>
  <c r="H505" i="84"/>
  <c r="I505" i="84"/>
  <c r="G506" i="84"/>
  <c r="H506" i="84"/>
  <c r="I506" i="84"/>
  <c r="G507" i="84"/>
  <c r="H507" i="84"/>
  <c r="I507" i="84"/>
  <c r="G508" i="84"/>
  <c r="H508" i="84"/>
  <c r="I508" i="84"/>
  <c r="G509" i="84"/>
  <c r="H509" i="84"/>
  <c r="I509" i="84"/>
  <c r="G510" i="84"/>
  <c r="H510" i="84"/>
  <c r="I510" i="84"/>
  <c r="G511" i="84"/>
  <c r="H511" i="84"/>
  <c r="I511" i="84"/>
  <c r="G512" i="84"/>
  <c r="H512" i="84"/>
  <c r="I512" i="84"/>
  <c r="G513" i="84"/>
  <c r="H513" i="84"/>
  <c r="I513" i="84"/>
  <c r="G514" i="84"/>
  <c r="H514" i="84"/>
  <c r="I514" i="84"/>
  <c r="G515" i="84"/>
  <c r="H515" i="84"/>
  <c r="I515" i="84"/>
  <c r="G516" i="84"/>
  <c r="H516" i="84"/>
  <c r="I516" i="84"/>
  <c r="G517" i="84"/>
  <c r="H517" i="84"/>
  <c r="I517" i="84"/>
  <c r="G518" i="84"/>
  <c r="H518" i="84"/>
  <c r="I518" i="84"/>
  <c r="G519" i="84"/>
  <c r="H519" i="84"/>
  <c r="I519" i="84"/>
  <c r="G520" i="84"/>
  <c r="H520" i="84"/>
  <c r="I520" i="84"/>
  <c r="G521" i="84"/>
  <c r="H521" i="84"/>
  <c r="I521" i="84"/>
  <c r="G522" i="84"/>
  <c r="H522" i="84"/>
  <c r="I522" i="84"/>
  <c r="G523" i="84"/>
  <c r="H523" i="84"/>
  <c r="I523" i="84"/>
  <c r="G524" i="84"/>
  <c r="H524" i="84"/>
  <c r="I524" i="84"/>
  <c r="G525" i="84"/>
  <c r="H525" i="84"/>
  <c r="I525" i="84"/>
  <c r="G526" i="84"/>
  <c r="H526" i="84"/>
  <c r="I526" i="84"/>
  <c r="G527" i="84"/>
  <c r="H527" i="84"/>
  <c r="I527" i="84"/>
  <c r="G528" i="84"/>
  <c r="H528" i="84"/>
  <c r="I528" i="84"/>
  <c r="G529" i="84"/>
  <c r="H529" i="84"/>
  <c r="I529" i="84"/>
  <c r="G530" i="84"/>
  <c r="H530" i="84"/>
  <c r="I530" i="84"/>
  <c r="G531" i="84"/>
  <c r="H531" i="84"/>
  <c r="I531" i="84"/>
  <c r="G532" i="84"/>
  <c r="H532" i="84"/>
  <c r="I532" i="84"/>
  <c r="G533" i="84"/>
  <c r="H533" i="84"/>
  <c r="I533" i="84"/>
  <c r="G534" i="84"/>
  <c r="H534" i="84"/>
  <c r="I534" i="84"/>
  <c r="G535" i="84"/>
  <c r="H535" i="84"/>
  <c r="I535" i="84"/>
  <c r="G536" i="84"/>
  <c r="H536" i="84"/>
  <c r="I536" i="84"/>
  <c r="G537" i="84"/>
  <c r="H537" i="84"/>
  <c r="I537" i="84"/>
  <c r="G538" i="84"/>
  <c r="H538" i="84"/>
  <c r="I538" i="84"/>
  <c r="G539" i="84"/>
  <c r="H539" i="84"/>
  <c r="I539" i="84"/>
  <c r="G540" i="84"/>
  <c r="H540" i="84"/>
  <c r="I540" i="84"/>
  <c r="G541" i="84"/>
  <c r="H541" i="84"/>
  <c r="I541" i="84"/>
  <c r="G542" i="84"/>
  <c r="H542" i="84"/>
  <c r="I542" i="84"/>
  <c r="G543" i="84"/>
  <c r="H543" i="84"/>
  <c r="I543" i="84"/>
  <c r="G544" i="84"/>
  <c r="H544" i="84"/>
  <c r="I544" i="84"/>
  <c r="G545" i="84"/>
  <c r="H545" i="84"/>
  <c r="I545" i="84"/>
  <c r="G546" i="84"/>
  <c r="H546" i="84"/>
  <c r="I546" i="84"/>
  <c r="G547" i="84"/>
  <c r="H547" i="84"/>
  <c r="I547" i="84"/>
  <c r="G548" i="84"/>
  <c r="H548" i="84"/>
  <c r="I548" i="84"/>
  <c r="G549" i="84"/>
  <c r="H549" i="84"/>
  <c r="I549" i="84"/>
  <c r="G550" i="84"/>
  <c r="H550" i="84"/>
  <c r="I550" i="84"/>
  <c r="G551" i="84"/>
  <c r="H551" i="84"/>
  <c r="I551" i="84"/>
  <c r="G552" i="84"/>
  <c r="H552" i="84"/>
  <c r="I552" i="84"/>
  <c r="G553" i="84"/>
  <c r="H553" i="84"/>
  <c r="I553" i="84"/>
  <c r="G554" i="84"/>
  <c r="H554" i="84"/>
  <c r="I554" i="84"/>
  <c r="G555" i="84"/>
  <c r="H555" i="84"/>
  <c r="I555" i="84"/>
  <c r="G556" i="84"/>
  <c r="H556" i="84"/>
  <c r="I556" i="84"/>
  <c r="G557" i="84"/>
  <c r="H557" i="84"/>
  <c r="I557" i="84"/>
  <c r="G558" i="84"/>
  <c r="H558" i="84"/>
  <c r="I558" i="84"/>
  <c r="G559" i="84"/>
  <c r="H559" i="84"/>
  <c r="I559" i="84"/>
  <c r="G560" i="84"/>
  <c r="H560" i="84"/>
  <c r="I560" i="84"/>
  <c r="G561" i="84"/>
  <c r="H561" i="84"/>
  <c r="I561" i="84"/>
  <c r="G562" i="84"/>
  <c r="H562" i="84"/>
  <c r="I562" i="84"/>
  <c r="G563" i="84"/>
  <c r="H563" i="84"/>
  <c r="I563" i="84"/>
  <c r="G564" i="84"/>
  <c r="H564" i="84"/>
  <c r="I564" i="84"/>
  <c r="G565" i="84"/>
  <c r="H565" i="84"/>
  <c r="I565" i="84"/>
  <c r="G566" i="84"/>
  <c r="H566" i="84"/>
  <c r="I566" i="84"/>
  <c r="G567" i="84"/>
  <c r="H567" i="84"/>
  <c r="I567" i="84"/>
  <c r="G568" i="84"/>
  <c r="H568" i="84"/>
  <c r="I568" i="84"/>
  <c r="G569" i="84"/>
  <c r="H569" i="84"/>
  <c r="I569" i="84"/>
  <c r="G570" i="84"/>
  <c r="H570" i="84"/>
  <c r="I570" i="84"/>
  <c r="G571" i="84"/>
  <c r="H571" i="84"/>
  <c r="I571" i="84"/>
  <c r="G572" i="84"/>
  <c r="H572" i="84"/>
  <c r="I572" i="84"/>
  <c r="G573" i="84"/>
  <c r="H573" i="84"/>
  <c r="I573" i="84"/>
  <c r="G574" i="84"/>
  <c r="H574" i="84"/>
  <c r="I574" i="84"/>
  <c r="G575" i="84"/>
  <c r="H575" i="84"/>
  <c r="I575" i="84"/>
  <c r="G576" i="84"/>
  <c r="H576" i="84"/>
  <c r="I576" i="84"/>
  <c r="G577" i="84"/>
  <c r="H577" i="84"/>
  <c r="I577" i="84"/>
  <c r="G578" i="84"/>
  <c r="H578" i="84"/>
  <c r="I578" i="84"/>
  <c r="G579" i="84"/>
  <c r="H579" i="84"/>
  <c r="I579" i="84"/>
  <c r="G580" i="84"/>
  <c r="H580" i="84"/>
  <c r="I580" i="84"/>
  <c r="G581" i="84"/>
  <c r="H581" i="84"/>
  <c r="I581" i="84"/>
  <c r="G582" i="84"/>
  <c r="H582" i="84"/>
  <c r="I582" i="84"/>
  <c r="G583" i="84"/>
  <c r="H583" i="84"/>
  <c r="I583" i="84"/>
  <c r="G584" i="84"/>
  <c r="H584" i="84"/>
  <c r="I584" i="84"/>
  <c r="G585" i="84"/>
  <c r="H585" i="84"/>
  <c r="I585" i="84"/>
  <c r="G586" i="84"/>
  <c r="H586" i="84"/>
  <c r="I586" i="84"/>
  <c r="G587" i="84"/>
  <c r="H587" i="84"/>
  <c r="I587" i="84"/>
  <c r="G588" i="84"/>
  <c r="H588" i="84"/>
  <c r="I588" i="84"/>
  <c r="G589" i="84"/>
  <c r="H589" i="84"/>
  <c r="I589" i="84"/>
  <c r="G590" i="84"/>
  <c r="H590" i="84"/>
  <c r="I590" i="84"/>
  <c r="G591" i="84"/>
  <c r="H591" i="84"/>
  <c r="I591" i="84"/>
  <c r="G592" i="84"/>
  <c r="H592" i="84"/>
  <c r="I592" i="84"/>
  <c r="G593" i="84"/>
  <c r="H593" i="84"/>
  <c r="I593" i="84"/>
  <c r="G594" i="84"/>
  <c r="H594" i="84"/>
  <c r="I594" i="84"/>
  <c r="G595" i="84"/>
  <c r="H595" i="84"/>
  <c r="I595" i="84"/>
  <c r="G596" i="84"/>
  <c r="H596" i="84"/>
  <c r="I596" i="84"/>
  <c r="G597" i="84"/>
  <c r="H597" i="84"/>
  <c r="I597" i="84"/>
  <c r="G598" i="84"/>
  <c r="H598" i="84"/>
  <c r="I598" i="84"/>
  <c r="G599" i="84"/>
  <c r="H599" i="84"/>
  <c r="I599" i="84"/>
  <c r="G600" i="84"/>
  <c r="H600" i="84"/>
  <c r="I600" i="84"/>
  <c r="G601" i="84"/>
  <c r="H601" i="84"/>
  <c r="I601" i="84"/>
  <c r="G602" i="84"/>
  <c r="H602" i="84"/>
  <c r="I602" i="84"/>
  <c r="G603" i="84"/>
  <c r="H603" i="84"/>
  <c r="I603" i="84"/>
  <c r="G604" i="84"/>
  <c r="H604" i="84"/>
  <c r="I604" i="84"/>
  <c r="G605" i="84"/>
  <c r="H605" i="84"/>
  <c r="I605" i="84"/>
  <c r="G606" i="84"/>
  <c r="H606" i="84"/>
  <c r="I606" i="84"/>
  <c r="G607" i="84"/>
  <c r="H607" i="84"/>
  <c r="I607" i="84"/>
  <c r="G608" i="84"/>
  <c r="H608" i="84"/>
  <c r="I608" i="84"/>
  <c r="G609" i="84"/>
  <c r="H609" i="84"/>
  <c r="I609" i="84"/>
  <c r="G610" i="84"/>
  <c r="H610" i="84"/>
  <c r="I610" i="84"/>
  <c r="G611" i="84"/>
  <c r="H611" i="84"/>
  <c r="I611" i="84"/>
  <c r="G612" i="84"/>
  <c r="H612" i="84"/>
  <c r="I612" i="84"/>
  <c r="G613" i="84"/>
  <c r="H613" i="84"/>
  <c r="I613" i="84"/>
  <c r="G614" i="84"/>
  <c r="H614" i="84"/>
  <c r="I614" i="84"/>
  <c r="G615" i="84"/>
  <c r="H615" i="84"/>
  <c r="I615" i="84"/>
  <c r="G616" i="84"/>
  <c r="H616" i="84"/>
  <c r="I616" i="84"/>
  <c r="G617" i="84"/>
  <c r="H617" i="84"/>
  <c r="I617" i="84"/>
  <c r="G618" i="84"/>
  <c r="H618" i="84"/>
  <c r="I618" i="84"/>
  <c r="G619" i="84"/>
  <c r="H619" i="84"/>
  <c r="I619" i="84"/>
  <c r="G620" i="84"/>
  <c r="H620" i="84"/>
  <c r="I620" i="84"/>
  <c r="G621" i="84"/>
  <c r="H621" i="84"/>
  <c r="I621" i="84"/>
  <c r="G622" i="84"/>
  <c r="H622" i="84"/>
  <c r="I622" i="84"/>
  <c r="G623" i="84"/>
  <c r="H623" i="84"/>
  <c r="I623" i="84"/>
  <c r="G624" i="84"/>
  <c r="H624" i="84"/>
  <c r="I624" i="84"/>
  <c r="G625" i="84"/>
  <c r="H625" i="84"/>
  <c r="I625" i="84"/>
  <c r="G626" i="84"/>
  <c r="H626" i="84"/>
  <c r="I626" i="84"/>
  <c r="G627" i="84"/>
  <c r="H627" i="84"/>
  <c r="I627" i="84"/>
  <c r="G628" i="84"/>
  <c r="H628" i="84"/>
  <c r="I628" i="84"/>
  <c r="G629" i="84"/>
  <c r="H629" i="84"/>
  <c r="I629" i="84"/>
  <c r="G630" i="84"/>
  <c r="H630" i="84"/>
  <c r="I630" i="84"/>
  <c r="G631" i="84"/>
  <c r="H631" i="84"/>
  <c r="I631" i="84"/>
  <c r="G632" i="84"/>
  <c r="H632" i="84"/>
  <c r="I632" i="84"/>
  <c r="G633" i="84"/>
  <c r="H633" i="84"/>
  <c r="I633" i="84"/>
  <c r="G634" i="84"/>
  <c r="H634" i="84"/>
  <c r="I634" i="84"/>
  <c r="G635" i="84"/>
  <c r="H635" i="84"/>
  <c r="I635" i="84"/>
  <c r="G636" i="84"/>
  <c r="H636" i="84"/>
  <c r="I636" i="84"/>
  <c r="G637" i="84"/>
  <c r="H637" i="84"/>
  <c r="I637" i="84"/>
  <c r="G638" i="84"/>
  <c r="H638" i="84"/>
  <c r="I638" i="84"/>
  <c r="G639" i="84"/>
  <c r="H639" i="84"/>
  <c r="I639" i="84"/>
  <c r="G640" i="84"/>
  <c r="H640" i="84"/>
  <c r="I640" i="84"/>
  <c r="G641" i="84"/>
  <c r="H641" i="84"/>
  <c r="I641" i="84"/>
  <c r="G642" i="84"/>
  <c r="H642" i="84"/>
  <c r="I642" i="84"/>
  <c r="G643" i="84"/>
  <c r="H643" i="84"/>
  <c r="I643" i="84"/>
  <c r="G644" i="84"/>
  <c r="H644" i="84"/>
  <c r="I644" i="84"/>
  <c r="G645" i="84"/>
  <c r="H645" i="84"/>
  <c r="I645" i="84"/>
  <c r="G646" i="84"/>
  <c r="H646" i="84"/>
  <c r="I646" i="84"/>
  <c r="G647" i="84"/>
  <c r="H647" i="84"/>
  <c r="I647" i="84"/>
  <c r="G648" i="84"/>
  <c r="H648" i="84"/>
  <c r="I648" i="84"/>
  <c r="G649" i="84"/>
  <c r="H649" i="84"/>
  <c r="I649" i="84"/>
  <c r="G650" i="84"/>
  <c r="H650" i="84"/>
  <c r="I650" i="84"/>
  <c r="G651" i="84"/>
  <c r="H651" i="84"/>
  <c r="I651" i="84"/>
  <c r="G652" i="84"/>
  <c r="H652" i="84"/>
  <c r="I652" i="84"/>
  <c r="G653" i="84"/>
  <c r="H653" i="84"/>
  <c r="I653" i="84"/>
  <c r="G654" i="84"/>
  <c r="H654" i="84"/>
  <c r="I654" i="84"/>
  <c r="G655" i="84"/>
  <c r="H655" i="84"/>
  <c r="I655" i="84"/>
  <c r="G656" i="84"/>
  <c r="H656" i="84"/>
  <c r="I656" i="84"/>
  <c r="G657" i="84"/>
  <c r="H657" i="84"/>
  <c r="I657" i="84"/>
  <c r="G658" i="84"/>
  <c r="H658" i="84"/>
  <c r="I658" i="84"/>
  <c r="G659" i="84"/>
  <c r="H659" i="84"/>
  <c r="I659" i="84"/>
  <c r="G660" i="84"/>
  <c r="H660" i="84"/>
  <c r="I660" i="84"/>
  <c r="G661" i="84"/>
  <c r="H661" i="84"/>
  <c r="I661" i="84"/>
  <c r="G662" i="84"/>
  <c r="H662" i="84"/>
  <c r="I662" i="84"/>
  <c r="G663" i="84"/>
  <c r="H663" i="84"/>
  <c r="I663" i="84"/>
  <c r="G664" i="84"/>
  <c r="H664" i="84"/>
  <c r="I664" i="84"/>
  <c r="G665" i="84"/>
  <c r="H665" i="84"/>
  <c r="I665" i="84"/>
  <c r="G666" i="84"/>
  <c r="H666" i="84"/>
  <c r="I666" i="84"/>
  <c r="G667" i="84"/>
  <c r="H667" i="84"/>
  <c r="I667" i="84"/>
  <c r="G668" i="84"/>
  <c r="H668" i="84"/>
  <c r="I668" i="84"/>
  <c r="G669" i="84"/>
  <c r="H669" i="84"/>
  <c r="I669" i="84"/>
  <c r="G670" i="84"/>
  <c r="H670" i="84"/>
  <c r="I670" i="84"/>
  <c r="G671" i="84"/>
  <c r="H671" i="84"/>
  <c r="I671" i="84"/>
  <c r="G672" i="84"/>
  <c r="H672" i="84"/>
  <c r="I672" i="84"/>
  <c r="G673" i="84"/>
  <c r="H673" i="84"/>
  <c r="I673" i="84"/>
  <c r="G674" i="84"/>
  <c r="H674" i="84"/>
  <c r="I674" i="84"/>
  <c r="G675" i="84"/>
  <c r="H675" i="84"/>
  <c r="I675" i="84"/>
  <c r="G676" i="84"/>
  <c r="H676" i="84"/>
  <c r="I676" i="84"/>
  <c r="G677" i="84"/>
  <c r="H677" i="84"/>
  <c r="I677" i="84"/>
  <c r="G678" i="84"/>
  <c r="H678" i="84"/>
  <c r="I678" i="84"/>
  <c r="G679" i="84"/>
  <c r="H679" i="84"/>
  <c r="I679" i="84"/>
  <c r="G680" i="84"/>
  <c r="H680" i="84"/>
  <c r="I680" i="84"/>
  <c r="G681" i="84"/>
  <c r="H681" i="84"/>
  <c r="I681" i="84"/>
  <c r="G682" i="84"/>
  <c r="H682" i="84"/>
  <c r="I682" i="84"/>
  <c r="G683" i="84"/>
  <c r="H683" i="84"/>
  <c r="I683" i="84"/>
  <c r="G684" i="84"/>
  <c r="H684" i="84"/>
  <c r="I684" i="84"/>
  <c r="G685" i="84"/>
  <c r="H685" i="84"/>
  <c r="I685" i="84"/>
  <c r="G686" i="84"/>
  <c r="H686" i="84"/>
  <c r="I686" i="84"/>
  <c r="G687" i="84"/>
  <c r="H687" i="84"/>
  <c r="I687" i="84"/>
  <c r="G688" i="84"/>
  <c r="H688" i="84"/>
  <c r="I688" i="84"/>
  <c r="G689" i="84"/>
  <c r="H689" i="84"/>
  <c r="I689" i="84"/>
  <c r="G690" i="84"/>
  <c r="H690" i="84"/>
  <c r="I690" i="84"/>
  <c r="G691" i="84"/>
  <c r="H691" i="84"/>
  <c r="I691" i="84"/>
  <c r="G692" i="84"/>
  <c r="H692" i="84"/>
  <c r="I692" i="84"/>
  <c r="G693" i="84"/>
  <c r="H693" i="84"/>
  <c r="I693" i="84"/>
  <c r="G694" i="84"/>
  <c r="H694" i="84"/>
  <c r="I694" i="84"/>
  <c r="G695" i="84"/>
  <c r="H695" i="84"/>
  <c r="I695" i="84"/>
  <c r="G696" i="84"/>
  <c r="H696" i="84"/>
  <c r="I696" i="84"/>
  <c r="G697" i="84"/>
  <c r="H697" i="84"/>
  <c r="I697" i="84"/>
  <c r="G698" i="84"/>
  <c r="H698" i="84"/>
  <c r="I698" i="84"/>
  <c r="G699" i="84"/>
  <c r="H699" i="84"/>
  <c r="I699" i="84"/>
  <c r="G700" i="84"/>
  <c r="H700" i="84"/>
  <c r="I700" i="84"/>
  <c r="G701" i="84"/>
  <c r="H701" i="84"/>
  <c r="I701" i="84"/>
  <c r="G702" i="84"/>
  <c r="H702" i="84"/>
  <c r="I702" i="84"/>
  <c r="G703" i="84"/>
  <c r="H703" i="84"/>
  <c r="I703" i="84"/>
  <c r="G704" i="84"/>
  <c r="H704" i="84"/>
  <c r="I704" i="84"/>
  <c r="G705" i="84"/>
  <c r="H705" i="84"/>
  <c r="I705" i="84"/>
  <c r="G706" i="84"/>
  <c r="H706" i="84"/>
  <c r="I706" i="84"/>
  <c r="G707" i="84"/>
  <c r="H707" i="84"/>
  <c r="I707" i="84"/>
  <c r="G708" i="84"/>
  <c r="H708" i="84"/>
  <c r="I708" i="84"/>
  <c r="G709" i="84"/>
  <c r="H709" i="84"/>
  <c r="I709" i="84"/>
  <c r="G710" i="84"/>
  <c r="H710" i="84"/>
  <c r="I710" i="84"/>
  <c r="G711" i="84"/>
  <c r="H711" i="84"/>
  <c r="I711" i="84"/>
  <c r="G712" i="84"/>
  <c r="H712" i="84"/>
  <c r="I712" i="84"/>
  <c r="G713" i="84"/>
  <c r="H713" i="84"/>
  <c r="I713" i="84"/>
  <c r="G714" i="84"/>
  <c r="H714" i="84"/>
  <c r="I714" i="84"/>
  <c r="G715" i="84"/>
  <c r="H715" i="84"/>
  <c r="I715" i="84"/>
  <c r="G716" i="84"/>
  <c r="H716" i="84"/>
  <c r="I716" i="84"/>
  <c r="G717" i="84"/>
  <c r="H717" i="84"/>
  <c r="I717" i="84"/>
  <c r="G718" i="84"/>
  <c r="H718" i="84"/>
  <c r="I718" i="84"/>
  <c r="G719" i="84"/>
  <c r="H719" i="84"/>
  <c r="I719" i="84"/>
  <c r="G720" i="84"/>
  <c r="H720" i="84"/>
  <c r="I720" i="84"/>
  <c r="G721" i="84"/>
  <c r="H721" i="84"/>
  <c r="I721" i="84"/>
  <c r="G722" i="84"/>
  <c r="H722" i="84"/>
  <c r="I722" i="84"/>
  <c r="G723" i="84"/>
  <c r="H723" i="84"/>
  <c r="I723" i="84"/>
  <c r="G724" i="84"/>
  <c r="H724" i="84"/>
  <c r="I724" i="84"/>
  <c r="G725" i="84"/>
  <c r="H725" i="84"/>
  <c r="I725" i="84"/>
  <c r="G726" i="84"/>
  <c r="H726" i="84"/>
  <c r="I726" i="84"/>
  <c r="G727" i="84"/>
  <c r="H727" i="84"/>
  <c r="I727" i="84"/>
  <c r="G728" i="84"/>
  <c r="H728" i="84"/>
  <c r="I728" i="84"/>
  <c r="G729" i="84"/>
  <c r="H729" i="84"/>
  <c r="I729" i="84"/>
  <c r="G730" i="84"/>
  <c r="H730" i="84"/>
  <c r="I730" i="84"/>
  <c r="G731" i="84"/>
  <c r="H731" i="84"/>
  <c r="I731" i="84"/>
  <c r="G732" i="84"/>
  <c r="H732" i="84"/>
  <c r="I732" i="84"/>
  <c r="G733" i="84"/>
  <c r="H733" i="84"/>
  <c r="I733" i="84"/>
  <c r="G734" i="84"/>
  <c r="H734" i="84"/>
  <c r="I734" i="84"/>
  <c r="G735" i="84"/>
  <c r="H735" i="84"/>
  <c r="I735" i="84"/>
  <c r="G736" i="84"/>
  <c r="H736" i="84"/>
  <c r="I736" i="84"/>
  <c r="G737" i="84"/>
  <c r="H737" i="84"/>
  <c r="I737" i="84"/>
  <c r="G738" i="84"/>
  <c r="H738" i="84"/>
  <c r="I738" i="84"/>
  <c r="G739" i="84"/>
  <c r="H739" i="84"/>
  <c r="I739" i="84"/>
  <c r="G740" i="84"/>
  <c r="H740" i="84"/>
  <c r="I740" i="84"/>
  <c r="G741" i="84"/>
  <c r="H741" i="84"/>
  <c r="I741" i="84"/>
  <c r="G742" i="84"/>
  <c r="H742" i="84"/>
  <c r="I742" i="84"/>
  <c r="G743" i="84"/>
  <c r="H743" i="84"/>
  <c r="I743" i="84"/>
  <c r="G744" i="84"/>
  <c r="H744" i="84"/>
  <c r="I744" i="84"/>
  <c r="G745" i="84"/>
  <c r="H745" i="84"/>
  <c r="I745" i="84"/>
  <c r="G746" i="84"/>
  <c r="H746" i="84"/>
  <c r="I746" i="84"/>
  <c r="G747" i="84"/>
  <c r="H747" i="84"/>
  <c r="I747" i="84"/>
  <c r="G748" i="84"/>
  <c r="H748" i="84"/>
  <c r="I748" i="84"/>
  <c r="G749" i="84"/>
  <c r="H749" i="84"/>
  <c r="I749" i="84"/>
  <c r="G750" i="84"/>
  <c r="H750" i="84"/>
  <c r="I750" i="84"/>
  <c r="G751" i="84"/>
  <c r="H751" i="84"/>
  <c r="I751" i="84"/>
  <c r="G752" i="84"/>
  <c r="H752" i="84"/>
  <c r="I752" i="84"/>
  <c r="G753" i="84"/>
  <c r="H753" i="84"/>
  <c r="I753" i="84"/>
  <c r="G754" i="84"/>
  <c r="H754" i="84"/>
  <c r="I754" i="84"/>
  <c r="G755" i="84"/>
  <c r="H755" i="84"/>
  <c r="I755" i="84"/>
  <c r="G756" i="84"/>
  <c r="H756" i="84"/>
  <c r="I756" i="84"/>
  <c r="G757" i="84"/>
  <c r="H757" i="84"/>
  <c r="I757" i="84"/>
  <c r="G758" i="84"/>
  <c r="H758" i="84"/>
  <c r="I758" i="84"/>
  <c r="G759" i="84"/>
  <c r="H759" i="84"/>
  <c r="I759" i="84"/>
  <c r="G760" i="84"/>
  <c r="H760" i="84"/>
  <c r="I760" i="84"/>
  <c r="G761" i="84"/>
  <c r="H761" i="84"/>
  <c r="I761" i="84"/>
  <c r="G762" i="84"/>
  <c r="H762" i="84"/>
  <c r="I762" i="84"/>
  <c r="G763" i="84"/>
  <c r="H763" i="84"/>
  <c r="I763" i="84"/>
  <c r="G764" i="84"/>
  <c r="H764" i="84"/>
  <c r="I764" i="84"/>
  <c r="G765" i="84"/>
  <c r="H765" i="84"/>
  <c r="I765" i="84"/>
  <c r="G766" i="84"/>
  <c r="H766" i="84"/>
  <c r="I766" i="84"/>
  <c r="G767" i="84"/>
  <c r="H767" i="84"/>
  <c r="I767" i="84"/>
  <c r="G768" i="84"/>
  <c r="H768" i="84"/>
  <c r="I768" i="84"/>
  <c r="G769" i="84"/>
  <c r="H769" i="84"/>
  <c r="I769" i="84"/>
  <c r="G770" i="84"/>
  <c r="H770" i="84"/>
  <c r="I770" i="84"/>
  <c r="G771" i="84"/>
  <c r="H771" i="84"/>
  <c r="I771" i="84"/>
  <c r="G772" i="84"/>
  <c r="H772" i="84"/>
  <c r="I772" i="84"/>
  <c r="G773" i="84"/>
  <c r="H773" i="84"/>
  <c r="I773" i="84"/>
  <c r="G774" i="84"/>
  <c r="H774" i="84"/>
  <c r="I774" i="84"/>
  <c r="G775" i="84"/>
  <c r="H775" i="84"/>
  <c r="I775" i="84"/>
  <c r="G776" i="84"/>
  <c r="H776" i="84"/>
  <c r="I776" i="84"/>
  <c r="G777" i="84"/>
  <c r="H777" i="84"/>
  <c r="I777" i="84"/>
  <c r="G778" i="84"/>
  <c r="H778" i="84"/>
  <c r="I778" i="84"/>
  <c r="G779" i="84"/>
  <c r="H779" i="84"/>
  <c r="I779" i="84"/>
  <c r="G780" i="84"/>
  <c r="H780" i="84"/>
  <c r="I780" i="84"/>
  <c r="G781" i="84"/>
  <c r="H781" i="84"/>
  <c r="I781" i="84"/>
  <c r="G782" i="84"/>
  <c r="H782" i="84"/>
  <c r="I782" i="84"/>
  <c r="G783" i="84"/>
  <c r="H783" i="84"/>
  <c r="I783" i="84"/>
  <c r="G784" i="84"/>
  <c r="H784" i="84"/>
  <c r="I784" i="84"/>
  <c r="G785" i="84"/>
  <c r="H785" i="84"/>
  <c r="I785" i="84"/>
  <c r="G786" i="84"/>
  <c r="H786" i="84"/>
  <c r="I786" i="84"/>
  <c r="G787" i="84"/>
  <c r="H787" i="84"/>
  <c r="I787" i="84"/>
  <c r="G788" i="84"/>
  <c r="H788" i="84"/>
  <c r="I788" i="84"/>
  <c r="G789" i="84"/>
  <c r="H789" i="84"/>
  <c r="I789" i="84"/>
  <c r="G790" i="84"/>
  <c r="H790" i="84"/>
  <c r="I790" i="84"/>
  <c r="G791" i="84"/>
  <c r="H791" i="84"/>
  <c r="I791" i="84"/>
  <c r="G792" i="84"/>
  <c r="H792" i="84"/>
  <c r="I792" i="84"/>
  <c r="G793" i="84"/>
  <c r="H793" i="84"/>
  <c r="I793" i="84"/>
  <c r="G794" i="84"/>
  <c r="H794" i="84"/>
  <c r="I794" i="84"/>
  <c r="G795" i="84"/>
  <c r="H795" i="84"/>
  <c r="I795" i="84"/>
  <c r="G796" i="84"/>
  <c r="H796" i="84"/>
  <c r="I796" i="84"/>
  <c r="G797" i="84"/>
  <c r="H797" i="84"/>
  <c r="I797" i="84"/>
  <c r="G798" i="84"/>
  <c r="H798" i="84"/>
  <c r="I798" i="84"/>
  <c r="G799" i="84"/>
  <c r="H799" i="84"/>
  <c r="I799" i="84"/>
  <c r="G800" i="84"/>
  <c r="H800" i="84"/>
  <c r="I800" i="84"/>
  <c r="G801" i="84"/>
  <c r="H801" i="84"/>
  <c r="I801" i="84"/>
  <c r="G802" i="84"/>
  <c r="H802" i="84"/>
  <c r="I802" i="84"/>
  <c r="G803" i="84"/>
  <c r="H803" i="84"/>
  <c r="I803" i="84"/>
  <c r="G804" i="84"/>
  <c r="H804" i="84"/>
  <c r="I804" i="84"/>
  <c r="G805" i="84"/>
  <c r="H805" i="84"/>
  <c r="I805" i="84"/>
  <c r="G806" i="84"/>
  <c r="H806" i="84"/>
  <c r="I806" i="84"/>
  <c r="G807" i="84"/>
  <c r="H807" i="84"/>
  <c r="I807" i="84"/>
  <c r="G808" i="84"/>
  <c r="H808" i="84"/>
  <c r="I808" i="84"/>
  <c r="G809" i="84"/>
  <c r="H809" i="84"/>
  <c r="I809" i="84"/>
  <c r="G810" i="84"/>
  <c r="H810" i="84"/>
  <c r="I810" i="84"/>
  <c r="G811" i="84"/>
  <c r="H811" i="84"/>
  <c r="I811" i="84"/>
  <c r="G812" i="84"/>
  <c r="H812" i="84"/>
  <c r="I812" i="84"/>
  <c r="G813" i="84"/>
  <c r="H813" i="84"/>
  <c r="I813" i="84"/>
  <c r="G814" i="84"/>
  <c r="H814" i="84"/>
  <c r="I814" i="84"/>
  <c r="G815" i="84"/>
  <c r="H815" i="84"/>
  <c r="I815" i="84"/>
  <c r="G816" i="84"/>
  <c r="H816" i="84"/>
  <c r="I816" i="84"/>
  <c r="G817" i="84"/>
  <c r="H817" i="84"/>
  <c r="I817" i="84"/>
  <c r="G818" i="84"/>
  <c r="H818" i="84"/>
  <c r="I818" i="84"/>
  <c r="G819" i="84"/>
  <c r="H819" i="84"/>
  <c r="I819" i="84"/>
  <c r="G820" i="84"/>
  <c r="H820" i="84"/>
  <c r="I820" i="84"/>
  <c r="G821" i="84"/>
  <c r="H821" i="84"/>
  <c r="I821" i="84"/>
  <c r="G822" i="84"/>
  <c r="H822" i="84"/>
  <c r="I822" i="84"/>
  <c r="G823" i="84"/>
  <c r="H823" i="84"/>
  <c r="I823" i="84"/>
  <c r="G824" i="84"/>
  <c r="H824" i="84"/>
  <c r="I824" i="84"/>
  <c r="G825" i="84"/>
  <c r="H825" i="84"/>
  <c r="I825" i="84"/>
  <c r="G826" i="84"/>
  <c r="H826" i="84"/>
  <c r="I826" i="84"/>
  <c r="G827" i="84"/>
  <c r="H827" i="84"/>
  <c r="I827" i="84"/>
  <c r="G828" i="84"/>
  <c r="H828" i="84"/>
  <c r="I828" i="84"/>
  <c r="G829" i="84"/>
  <c r="H829" i="84"/>
  <c r="I829" i="84"/>
  <c r="G830" i="84"/>
  <c r="H830" i="84"/>
  <c r="I830" i="84"/>
  <c r="G831" i="84"/>
  <c r="H831" i="84"/>
  <c r="I831" i="84"/>
  <c r="G832" i="84"/>
  <c r="H832" i="84"/>
  <c r="I832" i="84"/>
  <c r="G833" i="84"/>
  <c r="H833" i="84"/>
  <c r="I833" i="84"/>
  <c r="G834" i="84"/>
  <c r="H834" i="84"/>
  <c r="I834" i="84"/>
  <c r="G835" i="84"/>
  <c r="H835" i="84"/>
  <c r="I835" i="84"/>
  <c r="G836" i="84"/>
  <c r="H836" i="84"/>
  <c r="I836" i="84"/>
  <c r="G837" i="84"/>
  <c r="H837" i="84"/>
  <c r="I837" i="84"/>
  <c r="G838" i="84"/>
  <c r="H838" i="84"/>
  <c r="I838" i="84"/>
  <c r="G839" i="84"/>
  <c r="H839" i="84"/>
  <c r="I839" i="84"/>
  <c r="G840" i="84"/>
  <c r="H840" i="84"/>
  <c r="I840" i="84"/>
  <c r="G841" i="84"/>
  <c r="H841" i="84"/>
  <c r="I841" i="84"/>
  <c r="G842" i="84"/>
  <c r="H842" i="84"/>
  <c r="I842" i="84"/>
  <c r="G843" i="84"/>
  <c r="H843" i="84"/>
  <c r="I843" i="84"/>
  <c r="G844" i="84"/>
  <c r="H844" i="84"/>
  <c r="I844" i="84"/>
  <c r="G845" i="84"/>
  <c r="H845" i="84"/>
  <c r="I845" i="84"/>
  <c r="G846" i="84"/>
  <c r="H846" i="84"/>
  <c r="I846" i="84"/>
  <c r="G847" i="84"/>
  <c r="H847" i="84"/>
  <c r="I847" i="84"/>
  <c r="G848" i="84"/>
  <c r="H848" i="84"/>
  <c r="I848" i="84"/>
  <c r="G849" i="84"/>
  <c r="H849" i="84"/>
  <c r="I849" i="84"/>
  <c r="G850" i="84"/>
  <c r="H850" i="84"/>
  <c r="I850" i="84"/>
  <c r="G851" i="84"/>
  <c r="H851" i="84"/>
  <c r="I851" i="84"/>
  <c r="G852" i="84"/>
  <c r="H852" i="84"/>
  <c r="I852" i="84"/>
  <c r="G853" i="84"/>
  <c r="H853" i="84"/>
  <c r="I853" i="84"/>
  <c r="G854" i="84"/>
  <c r="H854" i="84"/>
  <c r="I854" i="84"/>
  <c r="G855" i="84"/>
  <c r="H855" i="84"/>
  <c r="I855" i="84"/>
  <c r="G856" i="84"/>
  <c r="H856" i="84"/>
  <c r="I856" i="84"/>
  <c r="G857" i="84"/>
  <c r="H857" i="84"/>
  <c r="I857" i="84"/>
  <c r="G858" i="84"/>
  <c r="H858" i="84"/>
  <c r="I858" i="84"/>
  <c r="G859" i="84"/>
  <c r="H859" i="84"/>
  <c r="I859" i="84"/>
  <c r="G860" i="84"/>
  <c r="H860" i="84"/>
  <c r="I860" i="84"/>
  <c r="G861" i="84"/>
  <c r="H861" i="84"/>
  <c r="I861" i="84"/>
  <c r="G862" i="84"/>
  <c r="H862" i="84"/>
  <c r="I862" i="84"/>
  <c r="G863" i="84"/>
  <c r="H863" i="84"/>
  <c r="I863" i="84"/>
  <c r="G864" i="84"/>
  <c r="H864" i="84"/>
  <c r="I864" i="84"/>
  <c r="G865" i="84"/>
  <c r="H865" i="84"/>
  <c r="I865" i="84"/>
  <c r="G866" i="84"/>
  <c r="H866" i="84"/>
  <c r="I866" i="84"/>
  <c r="G867" i="84"/>
  <c r="H867" i="84"/>
  <c r="I867" i="84"/>
  <c r="G868" i="84"/>
  <c r="H868" i="84"/>
  <c r="I868" i="84"/>
  <c r="G869" i="84"/>
  <c r="H869" i="84"/>
  <c r="I869" i="84"/>
  <c r="G870" i="84"/>
  <c r="H870" i="84"/>
  <c r="I870" i="84"/>
  <c r="G871" i="84"/>
  <c r="H871" i="84"/>
  <c r="I871" i="84"/>
  <c r="G872" i="84"/>
  <c r="H872" i="84"/>
  <c r="I872" i="84"/>
  <c r="G873" i="84"/>
  <c r="H873" i="84"/>
  <c r="I873" i="84"/>
  <c r="G874" i="84"/>
  <c r="H874" i="84"/>
  <c r="I874" i="84"/>
  <c r="G875" i="84"/>
  <c r="H875" i="84"/>
  <c r="I875" i="84"/>
  <c r="G876" i="84"/>
  <c r="H876" i="84"/>
  <c r="I876" i="84"/>
  <c r="G877" i="84"/>
  <c r="H877" i="84"/>
  <c r="I877" i="84"/>
  <c r="G878" i="84"/>
  <c r="H878" i="84"/>
  <c r="I878" i="84"/>
  <c r="G879" i="84"/>
  <c r="H879" i="84"/>
  <c r="I879" i="84"/>
  <c r="G880" i="84"/>
  <c r="H880" i="84"/>
  <c r="I880" i="84"/>
  <c r="G881" i="84"/>
  <c r="H881" i="84"/>
  <c r="I881" i="84"/>
  <c r="G882" i="84"/>
  <c r="H882" i="84"/>
  <c r="I882" i="84"/>
  <c r="G883" i="84"/>
  <c r="H883" i="84"/>
  <c r="I883" i="84"/>
  <c r="G884" i="84"/>
  <c r="H884" i="84"/>
  <c r="I884" i="84"/>
  <c r="G885" i="84"/>
  <c r="H885" i="84"/>
  <c r="I885" i="84"/>
  <c r="G886" i="84"/>
  <c r="H886" i="84"/>
  <c r="I886" i="84"/>
  <c r="G887" i="84"/>
  <c r="H887" i="84"/>
  <c r="I887" i="84"/>
  <c r="G888" i="84"/>
  <c r="H888" i="84"/>
  <c r="I888" i="84"/>
  <c r="G889" i="84"/>
  <c r="H889" i="84"/>
  <c r="I889" i="84"/>
  <c r="G890" i="84"/>
  <c r="H890" i="84"/>
  <c r="I890" i="84"/>
  <c r="G891" i="84"/>
  <c r="H891" i="84"/>
  <c r="I891" i="84"/>
  <c r="G892" i="84"/>
  <c r="H892" i="84"/>
  <c r="I892" i="84"/>
  <c r="G893" i="84"/>
  <c r="H893" i="84"/>
  <c r="I893" i="84"/>
  <c r="G894" i="84"/>
  <c r="H894" i="84"/>
  <c r="I894" i="84"/>
  <c r="G895" i="84"/>
  <c r="H895" i="84"/>
  <c r="I895" i="84"/>
  <c r="G896" i="84"/>
  <c r="H896" i="84"/>
  <c r="I896" i="84"/>
  <c r="G897" i="84"/>
  <c r="H897" i="84"/>
  <c r="I897" i="84"/>
  <c r="G898" i="84"/>
  <c r="H898" i="84"/>
  <c r="I898" i="84"/>
  <c r="G899" i="84"/>
  <c r="H899" i="84"/>
  <c r="I899" i="84"/>
  <c r="G900" i="84"/>
  <c r="H900" i="84"/>
  <c r="I900" i="84"/>
  <c r="G901" i="84"/>
  <c r="H901" i="84"/>
  <c r="I901" i="84"/>
  <c r="G902" i="84"/>
  <c r="H902" i="84"/>
  <c r="I902" i="84"/>
  <c r="G903" i="84"/>
  <c r="H903" i="84"/>
  <c r="I903" i="84"/>
  <c r="G904" i="84"/>
  <c r="H904" i="84"/>
  <c r="I904" i="84"/>
  <c r="G905" i="84"/>
  <c r="H905" i="84"/>
  <c r="I905" i="84"/>
  <c r="G906" i="84"/>
  <c r="H906" i="84"/>
  <c r="I906" i="84"/>
  <c r="G907" i="84"/>
  <c r="H907" i="84"/>
  <c r="I907" i="84"/>
  <c r="G908" i="84"/>
  <c r="H908" i="84"/>
  <c r="I908" i="84"/>
  <c r="G909" i="84"/>
  <c r="H909" i="84"/>
  <c r="I909" i="84"/>
  <c r="G910" i="84"/>
  <c r="H910" i="84"/>
  <c r="I910" i="84"/>
  <c r="G911" i="84"/>
  <c r="H911" i="84"/>
  <c r="I911" i="84"/>
  <c r="G912" i="84"/>
  <c r="H912" i="84"/>
  <c r="I912" i="84"/>
  <c r="G913" i="84"/>
  <c r="H913" i="84"/>
  <c r="I913" i="84"/>
  <c r="G914" i="84"/>
  <c r="H914" i="84"/>
  <c r="I914" i="84"/>
  <c r="G915" i="84"/>
  <c r="H915" i="84"/>
  <c r="I915" i="84"/>
  <c r="G916" i="84"/>
  <c r="H916" i="84"/>
  <c r="I916" i="84"/>
  <c r="G917" i="84"/>
  <c r="H917" i="84"/>
  <c r="I917" i="84"/>
  <c r="G918" i="84"/>
  <c r="H918" i="84"/>
  <c r="I918" i="84"/>
  <c r="G919" i="84"/>
  <c r="H919" i="84"/>
  <c r="I919" i="84"/>
  <c r="G920" i="84"/>
  <c r="H920" i="84"/>
  <c r="I920" i="84"/>
  <c r="G921" i="84"/>
  <c r="H921" i="84"/>
  <c r="I921" i="84"/>
  <c r="G922" i="84"/>
  <c r="H922" i="84"/>
  <c r="I922" i="84"/>
  <c r="G923" i="84"/>
  <c r="H923" i="84"/>
  <c r="I923" i="84"/>
  <c r="G924" i="84"/>
  <c r="H924" i="84"/>
  <c r="I924" i="84"/>
  <c r="G925" i="84"/>
  <c r="H925" i="84"/>
  <c r="I925" i="84"/>
  <c r="G926" i="84"/>
  <c r="H926" i="84"/>
  <c r="I926" i="84"/>
  <c r="G927" i="84"/>
  <c r="H927" i="84"/>
  <c r="I927" i="84"/>
  <c r="G928" i="84"/>
  <c r="H928" i="84"/>
  <c r="I928" i="84"/>
  <c r="G929" i="84"/>
  <c r="H929" i="84"/>
  <c r="I929" i="84"/>
  <c r="G930" i="84"/>
  <c r="H930" i="84"/>
  <c r="I930" i="84"/>
  <c r="G931" i="84"/>
  <c r="H931" i="84"/>
  <c r="I931" i="84"/>
  <c r="G932" i="84"/>
  <c r="H932" i="84"/>
  <c r="I932" i="84"/>
  <c r="G933" i="84"/>
  <c r="H933" i="84"/>
  <c r="I933" i="84"/>
  <c r="G934" i="84"/>
  <c r="H934" i="84"/>
  <c r="I934" i="84"/>
  <c r="G935" i="84"/>
  <c r="H935" i="84"/>
  <c r="I935" i="84"/>
  <c r="G936" i="84"/>
  <c r="H936" i="84"/>
  <c r="I936" i="84"/>
  <c r="G937" i="84"/>
  <c r="H937" i="84"/>
  <c r="I937" i="84"/>
  <c r="G938" i="84"/>
  <c r="H938" i="84"/>
  <c r="I938" i="84"/>
  <c r="G939" i="84"/>
  <c r="H939" i="84"/>
  <c r="I939" i="84"/>
  <c r="G940" i="84"/>
  <c r="H940" i="84"/>
  <c r="I940" i="84"/>
  <c r="G941" i="84"/>
  <c r="H941" i="84"/>
  <c r="I941" i="84"/>
  <c r="G942" i="84"/>
  <c r="H942" i="84"/>
  <c r="I942" i="84"/>
  <c r="G943" i="84"/>
  <c r="H943" i="84"/>
  <c r="I943" i="84"/>
  <c r="G944" i="84"/>
  <c r="H944" i="84"/>
  <c r="I944" i="84"/>
  <c r="G945" i="84"/>
  <c r="H945" i="84"/>
  <c r="I945" i="84"/>
  <c r="G946" i="84"/>
  <c r="H946" i="84"/>
  <c r="I946" i="84"/>
  <c r="G947" i="84"/>
  <c r="H947" i="84"/>
  <c r="I947" i="84"/>
  <c r="G948" i="84"/>
  <c r="H948" i="84"/>
  <c r="I948" i="84"/>
  <c r="G949" i="84"/>
  <c r="H949" i="84"/>
  <c r="I949" i="84"/>
  <c r="G950" i="84"/>
  <c r="H950" i="84"/>
  <c r="I950" i="84"/>
  <c r="G951" i="84"/>
  <c r="H951" i="84"/>
  <c r="I951" i="84"/>
  <c r="G952" i="84"/>
  <c r="H952" i="84"/>
  <c r="I952" i="84"/>
  <c r="G953" i="84"/>
  <c r="H953" i="84"/>
  <c r="I953" i="84"/>
  <c r="G954" i="84"/>
  <c r="H954" i="84"/>
  <c r="I954" i="84"/>
  <c r="G955" i="84"/>
  <c r="H955" i="84"/>
  <c r="I955" i="84"/>
  <c r="G956" i="84"/>
  <c r="H956" i="84"/>
  <c r="I956" i="84"/>
  <c r="G957" i="84"/>
  <c r="H957" i="84"/>
  <c r="I957" i="84"/>
  <c r="G958" i="84"/>
  <c r="H958" i="84"/>
  <c r="I958" i="84"/>
  <c r="G959" i="84"/>
  <c r="H959" i="84"/>
  <c r="I959" i="84"/>
  <c r="G960" i="84"/>
  <c r="H960" i="84"/>
  <c r="I960" i="84"/>
  <c r="G961" i="84"/>
  <c r="H961" i="84"/>
  <c r="I961" i="84"/>
  <c r="G962" i="84"/>
  <c r="H962" i="84"/>
  <c r="I962" i="84"/>
  <c r="G963" i="84"/>
  <c r="H963" i="84"/>
  <c r="I963" i="84"/>
  <c r="G964" i="84"/>
  <c r="H964" i="84"/>
  <c r="I964" i="84"/>
  <c r="G965" i="84"/>
  <c r="H965" i="84"/>
  <c r="I965" i="84"/>
  <c r="G966" i="84"/>
  <c r="H966" i="84"/>
  <c r="I966" i="84"/>
  <c r="G967" i="84"/>
  <c r="H967" i="84"/>
  <c r="I967" i="84"/>
  <c r="G968" i="84"/>
  <c r="H968" i="84"/>
  <c r="I968" i="84"/>
  <c r="G969" i="84"/>
  <c r="H969" i="84"/>
  <c r="I969" i="84"/>
  <c r="G970" i="84"/>
  <c r="H970" i="84"/>
  <c r="I970" i="84"/>
  <c r="G971" i="84"/>
  <c r="H971" i="84"/>
  <c r="I971" i="84"/>
  <c r="G972" i="84"/>
  <c r="H972" i="84"/>
  <c r="I972" i="84"/>
  <c r="G973" i="84"/>
  <c r="H973" i="84"/>
  <c r="I973" i="84"/>
  <c r="G974" i="84"/>
  <c r="H974" i="84"/>
  <c r="I974" i="84"/>
  <c r="G975" i="84"/>
  <c r="H975" i="84"/>
  <c r="I975" i="84"/>
  <c r="G976" i="84"/>
  <c r="H976" i="84"/>
  <c r="I976" i="84"/>
  <c r="G977" i="84"/>
  <c r="H977" i="84"/>
  <c r="I977" i="84"/>
  <c r="G978" i="84"/>
  <c r="H978" i="84"/>
  <c r="I978" i="84"/>
  <c r="G979" i="84"/>
  <c r="H979" i="84"/>
  <c r="I979" i="84"/>
  <c r="G980" i="84"/>
  <c r="H980" i="84"/>
  <c r="I980" i="84"/>
  <c r="G981" i="84"/>
  <c r="H981" i="84"/>
  <c r="I981" i="84"/>
  <c r="G982" i="84"/>
  <c r="H982" i="84"/>
  <c r="I982" i="84"/>
  <c r="G983" i="84"/>
  <c r="H983" i="84"/>
  <c r="I983" i="84"/>
  <c r="G984" i="84"/>
  <c r="H984" i="84"/>
  <c r="I984" i="84"/>
  <c r="G985" i="84"/>
  <c r="H985" i="84"/>
  <c r="I985" i="84"/>
  <c r="G986" i="84"/>
  <c r="H986" i="84"/>
  <c r="I986" i="84"/>
  <c r="G987" i="84"/>
  <c r="H987" i="84"/>
  <c r="I987" i="84"/>
  <c r="G988" i="84"/>
  <c r="H988" i="84"/>
  <c r="I988" i="84"/>
  <c r="G989" i="84"/>
  <c r="H989" i="84"/>
  <c r="I989" i="84"/>
  <c r="G990" i="84"/>
  <c r="H990" i="84"/>
  <c r="I990" i="84"/>
  <c r="G991" i="84"/>
  <c r="H991" i="84"/>
  <c r="I991" i="84"/>
  <c r="G992" i="84"/>
  <c r="H992" i="84"/>
  <c r="I992" i="84"/>
  <c r="G993" i="84"/>
  <c r="H993" i="84"/>
  <c r="I993" i="84"/>
  <c r="G994" i="84"/>
  <c r="H994" i="84"/>
  <c r="I994" i="84"/>
  <c r="G995" i="84"/>
  <c r="H995" i="84"/>
  <c r="I995" i="84"/>
  <c r="G996" i="84"/>
  <c r="H996" i="84"/>
  <c r="I996" i="84"/>
  <c r="G997" i="84"/>
  <c r="H997" i="84"/>
  <c r="I997" i="84"/>
  <c r="G998" i="84"/>
  <c r="H998" i="84"/>
  <c r="I998" i="84"/>
  <c r="G999" i="84"/>
  <c r="H999" i="84"/>
  <c r="I999" i="84"/>
  <c r="G1000" i="84"/>
  <c r="H1000" i="84"/>
  <c r="I1000" i="84"/>
  <c r="G1001" i="84"/>
  <c r="H1001" i="84"/>
  <c r="I1001" i="84"/>
  <c r="G1002" i="84"/>
  <c r="H1002" i="84"/>
  <c r="I1002" i="84"/>
  <c r="G1003" i="84"/>
  <c r="H1003" i="84"/>
  <c r="I1003" i="84"/>
  <c r="G1004" i="84"/>
  <c r="H1004" i="84"/>
  <c r="I1004" i="84"/>
  <c r="G1005" i="84"/>
  <c r="H1005" i="84"/>
  <c r="I1005" i="84"/>
  <c r="G1006" i="84"/>
  <c r="H1006" i="84"/>
  <c r="I1006" i="84"/>
  <c r="G1007" i="84"/>
  <c r="H1007" i="84"/>
  <c r="I1007" i="84"/>
  <c r="G1008" i="84"/>
  <c r="H1008" i="84"/>
  <c r="I1008" i="84"/>
  <c r="G1009" i="84"/>
  <c r="H1009" i="84"/>
  <c r="I1009" i="84"/>
  <c r="G1010" i="84"/>
  <c r="H1010" i="84"/>
  <c r="I1010" i="84"/>
  <c r="G1011" i="84"/>
  <c r="H1011" i="84"/>
  <c r="I1011" i="84"/>
  <c r="G1012" i="84"/>
  <c r="H1012" i="84"/>
  <c r="I1012" i="84"/>
  <c r="G1013" i="84"/>
  <c r="H1013" i="84"/>
  <c r="I1013" i="84"/>
  <c r="G1014" i="84"/>
  <c r="H1014" i="84"/>
  <c r="I1014" i="84"/>
  <c r="G1015" i="84"/>
  <c r="H1015" i="84"/>
  <c r="I1015" i="84"/>
  <c r="G1016" i="84"/>
  <c r="H1016" i="84"/>
  <c r="I1016" i="84"/>
  <c r="G1017" i="84"/>
  <c r="H1017" i="84"/>
  <c r="I1017" i="84"/>
  <c r="G1018" i="84"/>
  <c r="H1018" i="84"/>
  <c r="I1018" i="84"/>
  <c r="G1019" i="84"/>
  <c r="H1019" i="84"/>
  <c r="I1019" i="84"/>
  <c r="G1020" i="84"/>
  <c r="H1020" i="84"/>
  <c r="I1020" i="84"/>
  <c r="G1021" i="84"/>
  <c r="H1021" i="84"/>
  <c r="I1021" i="84"/>
  <c r="G1022" i="84"/>
  <c r="H1022" i="84"/>
  <c r="I1022" i="84"/>
  <c r="G1023" i="84"/>
  <c r="H1023" i="84"/>
  <c r="I1023" i="84"/>
  <c r="G1024" i="84"/>
  <c r="H1024" i="84"/>
  <c r="I1024" i="84"/>
  <c r="G1025" i="84"/>
  <c r="H1025" i="84"/>
  <c r="I1025" i="84"/>
  <c r="G1026" i="84"/>
  <c r="H1026" i="84"/>
  <c r="I1026" i="84"/>
  <c r="G1027" i="84"/>
  <c r="H1027" i="84"/>
  <c r="I1027" i="84"/>
  <c r="G1028" i="84"/>
  <c r="H1028" i="84"/>
  <c r="I1028" i="84"/>
  <c r="G1029" i="84"/>
  <c r="H1029" i="84"/>
  <c r="I1029" i="84"/>
  <c r="G1030" i="84"/>
  <c r="H1030" i="84"/>
  <c r="I1030" i="84"/>
  <c r="G1031" i="84"/>
  <c r="H1031" i="84"/>
  <c r="I1031" i="84"/>
  <c r="G1032" i="84"/>
  <c r="H1032" i="84"/>
  <c r="I1032" i="84"/>
  <c r="G1033" i="84"/>
  <c r="H1033" i="84"/>
  <c r="I1033" i="84"/>
  <c r="G1034" i="84"/>
  <c r="H1034" i="84"/>
  <c r="I1034" i="84"/>
  <c r="G1035" i="84"/>
  <c r="H1035" i="84"/>
  <c r="I1035" i="84"/>
  <c r="G1036" i="84"/>
  <c r="H1036" i="84"/>
  <c r="I1036" i="84"/>
  <c r="G1037" i="84"/>
  <c r="H1037" i="84"/>
  <c r="I1037" i="84"/>
  <c r="G1038" i="84"/>
  <c r="H1038" i="84"/>
  <c r="I1038" i="84"/>
  <c r="G1039" i="84"/>
  <c r="H1039" i="84"/>
  <c r="I1039" i="84"/>
  <c r="G1040" i="84"/>
  <c r="H1040" i="84"/>
  <c r="I1040" i="84"/>
  <c r="G1041" i="84"/>
  <c r="H1041" i="84"/>
  <c r="I1041" i="84"/>
  <c r="G1042" i="84"/>
  <c r="H1042" i="84"/>
  <c r="I1042" i="84"/>
  <c r="G1043" i="84"/>
  <c r="H1043" i="84"/>
  <c r="I1043" i="84"/>
  <c r="G1044" i="84"/>
  <c r="H1044" i="84"/>
  <c r="I1044" i="84"/>
  <c r="G1045" i="84"/>
  <c r="H1045" i="84"/>
  <c r="I1045" i="84"/>
  <c r="G1046" i="84"/>
  <c r="H1046" i="84"/>
  <c r="I1046" i="84"/>
  <c r="G1047" i="84"/>
  <c r="H1047" i="84"/>
  <c r="I1047" i="84"/>
  <c r="G1048" i="84"/>
  <c r="H1048" i="84"/>
  <c r="I1048" i="84"/>
  <c r="G1049" i="84"/>
  <c r="H1049" i="84"/>
  <c r="I1049" i="84"/>
  <c r="G1050" i="84"/>
  <c r="H1050" i="84"/>
  <c r="I1050" i="84"/>
  <c r="G1051" i="84"/>
  <c r="H1051" i="84"/>
  <c r="I1051" i="84"/>
  <c r="G1052" i="84"/>
  <c r="H1052" i="84"/>
  <c r="I1052" i="84"/>
  <c r="G1053" i="84"/>
  <c r="H1053" i="84"/>
  <c r="I1053" i="84"/>
  <c r="G1054" i="84"/>
  <c r="H1054" i="84"/>
  <c r="I1054" i="84"/>
  <c r="G1055" i="84"/>
  <c r="H1055" i="84"/>
  <c r="I1055" i="84"/>
  <c r="G1056" i="84"/>
  <c r="H1056" i="84"/>
  <c r="I1056" i="84"/>
  <c r="G1057" i="84"/>
  <c r="H1057" i="84"/>
  <c r="I1057" i="84"/>
  <c r="G1058" i="84"/>
  <c r="H1058" i="84"/>
  <c r="I1058" i="84"/>
  <c r="G1059" i="84"/>
  <c r="H1059" i="84"/>
  <c r="I1059" i="84"/>
  <c r="G1060" i="84"/>
  <c r="H1060" i="84"/>
  <c r="I1060" i="84"/>
  <c r="G1061" i="84"/>
  <c r="H1061" i="84"/>
  <c r="I1061" i="84"/>
  <c r="G1062" i="84"/>
  <c r="H1062" i="84"/>
  <c r="I1062" i="84"/>
  <c r="G1063" i="84"/>
  <c r="H1063" i="84"/>
  <c r="I1063" i="84"/>
  <c r="G1064" i="84"/>
  <c r="H1064" i="84"/>
  <c r="I1064" i="84"/>
  <c r="G1065" i="84"/>
  <c r="H1065" i="84"/>
  <c r="I1065" i="84"/>
  <c r="G1066" i="84"/>
  <c r="H1066" i="84"/>
  <c r="I1066" i="84"/>
  <c r="G1067" i="84"/>
  <c r="H1067" i="84"/>
  <c r="I1067" i="84"/>
  <c r="G1068" i="84"/>
  <c r="H1068" i="84"/>
  <c r="I1068" i="84"/>
  <c r="G1069" i="84"/>
  <c r="H1069" i="84"/>
  <c r="I1069" i="84"/>
  <c r="G1070" i="84"/>
  <c r="H1070" i="84"/>
  <c r="I1070" i="84"/>
  <c r="G1071" i="84"/>
  <c r="H1071" i="84"/>
  <c r="I1071" i="84"/>
  <c r="G1072" i="84"/>
  <c r="H1072" i="84"/>
  <c r="I1072" i="84"/>
  <c r="G1073" i="84"/>
  <c r="H1073" i="84"/>
  <c r="I1073" i="84"/>
  <c r="G1074" i="84"/>
  <c r="H1074" i="84"/>
  <c r="I1074" i="84"/>
  <c r="G1075" i="84"/>
  <c r="H1075" i="84"/>
  <c r="I1075" i="84"/>
  <c r="G1076" i="84"/>
  <c r="H1076" i="84"/>
  <c r="I1076" i="84"/>
  <c r="G1077" i="84"/>
  <c r="H1077" i="84"/>
  <c r="I1077" i="84"/>
  <c r="G1078" i="84"/>
  <c r="H1078" i="84"/>
  <c r="I1078" i="84"/>
  <c r="G1079" i="84"/>
  <c r="H1079" i="84"/>
  <c r="I1079" i="84"/>
  <c r="G1080" i="84"/>
  <c r="H1080" i="84"/>
  <c r="I1080" i="84"/>
  <c r="G1081" i="84"/>
  <c r="H1081" i="84"/>
  <c r="I1081" i="84"/>
  <c r="G1082" i="84"/>
  <c r="H1082" i="84"/>
  <c r="I1082" i="84"/>
  <c r="G1083" i="84"/>
  <c r="H1083" i="84"/>
  <c r="I1083" i="84"/>
  <c r="G1084" i="84"/>
  <c r="H1084" i="84"/>
  <c r="I1084" i="84"/>
  <c r="G1085" i="84"/>
  <c r="H1085" i="84"/>
  <c r="I1085" i="84"/>
  <c r="G1086" i="84"/>
  <c r="H1086" i="84"/>
  <c r="I1086" i="84"/>
  <c r="G1087" i="84"/>
  <c r="H1087" i="84"/>
  <c r="I1087" i="84"/>
  <c r="G1088" i="84"/>
  <c r="H1088" i="84"/>
  <c r="I1088" i="84"/>
  <c r="G1089" i="84"/>
  <c r="H1089" i="84"/>
  <c r="I1089" i="84"/>
  <c r="G1090" i="84"/>
  <c r="H1090" i="84"/>
  <c r="I1090" i="84"/>
  <c r="G1091" i="84"/>
  <c r="H1091" i="84"/>
  <c r="I1091" i="84"/>
  <c r="G1092" i="84"/>
  <c r="H1092" i="84"/>
  <c r="I1092" i="84"/>
  <c r="G1093" i="84"/>
  <c r="H1093" i="84"/>
  <c r="I1093" i="84"/>
  <c r="G1094" i="84"/>
  <c r="H1094" i="84"/>
  <c r="I1094" i="84"/>
  <c r="G1095" i="84"/>
  <c r="H1095" i="84"/>
  <c r="I1095" i="84"/>
  <c r="G1096" i="84"/>
  <c r="H1096" i="84"/>
  <c r="I1096" i="84"/>
  <c r="G1097" i="84"/>
  <c r="H1097" i="84"/>
  <c r="I1097" i="84"/>
  <c r="G1098" i="84"/>
  <c r="H1098" i="84"/>
  <c r="I1098" i="84"/>
  <c r="G1099" i="84"/>
  <c r="H1099" i="84"/>
  <c r="I1099" i="84"/>
  <c r="G1100" i="84"/>
  <c r="H1100" i="84"/>
  <c r="I1100" i="84"/>
  <c r="G1101" i="84"/>
  <c r="H1101" i="84"/>
  <c r="I1101" i="84"/>
  <c r="G1102" i="84"/>
  <c r="H1102" i="84"/>
  <c r="I1102" i="84"/>
  <c r="G1103" i="84"/>
  <c r="H1103" i="84"/>
  <c r="I1103" i="84"/>
  <c r="G1104" i="84"/>
  <c r="H1104" i="84"/>
  <c r="I1104" i="84"/>
  <c r="G1105" i="84"/>
  <c r="H1105" i="84"/>
  <c r="I1105" i="84"/>
  <c r="G1106" i="84"/>
  <c r="H1106" i="84"/>
  <c r="I1106" i="84"/>
  <c r="G1107" i="84"/>
  <c r="H1107" i="84"/>
  <c r="I1107" i="84"/>
  <c r="G1108" i="84"/>
  <c r="H1108" i="84"/>
  <c r="I1108" i="84"/>
  <c r="G1109" i="84"/>
  <c r="H1109" i="84"/>
  <c r="I1109" i="84"/>
  <c r="G1110" i="84"/>
  <c r="H1110" i="84"/>
  <c r="I1110" i="84"/>
  <c r="G1111" i="84"/>
  <c r="H1111" i="84"/>
  <c r="I1111" i="84"/>
  <c r="G1112" i="84"/>
  <c r="H1112" i="84"/>
  <c r="I1112" i="84"/>
  <c r="G1113" i="84"/>
  <c r="H1113" i="84"/>
  <c r="I1113" i="84"/>
  <c r="G1114" i="84"/>
  <c r="H1114" i="84"/>
  <c r="I1114" i="84"/>
  <c r="G1115" i="84"/>
  <c r="H1115" i="84"/>
  <c r="I1115" i="84"/>
  <c r="G1116" i="84"/>
  <c r="H1116" i="84"/>
  <c r="I1116" i="84"/>
  <c r="G1117" i="84"/>
  <c r="H1117" i="84"/>
  <c r="I1117" i="84"/>
  <c r="G1118" i="84"/>
  <c r="H1118" i="84"/>
  <c r="I1118" i="84"/>
  <c r="G1119" i="84"/>
  <c r="H1119" i="84"/>
  <c r="I1119" i="84"/>
  <c r="G1120" i="84"/>
  <c r="H1120" i="84"/>
  <c r="I1120" i="84"/>
  <c r="G1121" i="84"/>
  <c r="H1121" i="84"/>
  <c r="I1121" i="84"/>
  <c r="G1122" i="84"/>
  <c r="H1122" i="84"/>
  <c r="I1122" i="84"/>
  <c r="G1123" i="84"/>
  <c r="H1123" i="84"/>
  <c r="I1123" i="84"/>
  <c r="G1124" i="84"/>
  <c r="H1124" i="84"/>
  <c r="I1124" i="84"/>
  <c r="G1125" i="84"/>
  <c r="H1125" i="84"/>
  <c r="I1125" i="84"/>
  <c r="G1126" i="84"/>
  <c r="H1126" i="84"/>
  <c r="I1126" i="84"/>
  <c r="G1127" i="84"/>
  <c r="H1127" i="84"/>
  <c r="I1127" i="84"/>
  <c r="G1128" i="84"/>
  <c r="H1128" i="84"/>
  <c r="I1128" i="84"/>
  <c r="G1129" i="84"/>
  <c r="H1129" i="84"/>
  <c r="I1129" i="84"/>
  <c r="G1130" i="84"/>
  <c r="H1130" i="84"/>
  <c r="I1130" i="84"/>
  <c r="G1131" i="84"/>
  <c r="H1131" i="84"/>
  <c r="I1131" i="84"/>
  <c r="G1132" i="84"/>
  <c r="H1132" i="84"/>
  <c r="I1132" i="84"/>
  <c r="G1133" i="84"/>
  <c r="H1133" i="84"/>
  <c r="I1133" i="84"/>
  <c r="G1134" i="84"/>
  <c r="H1134" i="84"/>
  <c r="I1134" i="84"/>
  <c r="G1135" i="84"/>
  <c r="H1135" i="84"/>
  <c r="I1135" i="84"/>
  <c r="G1136" i="84"/>
  <c r="H1136" i="84"/>
  <c r="I1136" i="84"/>
  <c r="G1137" i="84"/>
  <c r="H1137" i="84"/>
  <c r="I1137" i="84"/>
  <c r="G1138" i="84"/>
  <c r="H1138" i="84"/>
  <c r="I1138" i="84"/>
  <c r="G1139" i="84"/>
  <c r="H1139" i="84"/>
  <c r="I1139" i="84"/>
  <c r="G1140" i="84"/>
  <c r="H1140" i="84"/>
  <c r="I1140" i="84"/>
  <c r="G1141" i="84"/>
  <c r="H1141" i="84"/>
  <c r="I1141" i="84"/>
  <c r="G1142" i="84"/>
  <c r="H1142" i="84"/>
  <c r="I1142" i="84"/>
  <c r="G1143" i="84"/>
  <c r="H1143" i="84"/>
  <c r="I1143" i="84"/>
  <c r="G1144" i="84"/>
  <c r="H1144" i="84"/>
  <c r="I1144" i="84"/>
  <c r="G1145" i="84"/>
  <c r="H1145" i="84"/>
  <c r="I1145" i="84"/>
  <c r="G1146" i="84"/>
  <c r="H1146" i="84"/>
  <c r="I1146" i="84"/>
  <c r="G1147" i="84"/>
  <c r="H1147" i="84"/>
  <c r="I1147" i="84"/>
  <c r="G1148" i="84"/>
  <c r="H1148" i="84"/>
  <c r="I1148" i="84"/>
  <c r="G1149" i="84"/>
  <c r="H1149" i="84"/>
  <c r="I1149" i="84"/>
  <c r="G1150" i="84"/>
  <c r="H1150" i="84"/>
  <c r="I1150" i="84"/>
  <c r="G1151" i="84"/>
  <c r="H1151" i="84"/>
  <c r="I1151" i="84"/>
  <c r="G1152" i="84"/>
  <c r="H1152" i="84"/>
  <c r="I1152" i="84"/>
  <c r="G1153" i="84"/>
  <c r="H1153" i="84"/>
  <c r="I1153" i="84"/>
  <c r="G1154" i="84"/>
  <c r="H1154" i="84"/>
  <c r="I1154" i="84"/>
  <c r="G1155" i="84"/>
  <c r="H1155" i="84"/>
  <c r="I1155" i="84"/>
  <c r="G1156" i="84"/>
  <c r="H1156" i="84"/>
  <c r="I1156" i="84"/>
  <c r="G1157" i="84"/>
  <c r="H1157" i="84"/>
  <c r="I1157" i="84"/>
  <c r="G1158" i="84"/>
  <c r="H1158" i="84"/>
  <c r="I1158" i="84"/>
  <c r="G1159" i="84"/>
  <c r="H1159" i="84"/>
  <c r="I1159" i="84"/>
  <c r="G1160" i="84"/>
  <c r="H1160" i="84"/>
  <c r="I1160" i="84"/>
  <c r="G1161" i="84"/>
  <c r="H1161" i="84"/>
  <c r="I1161" i="84"/>
  <c r="G1162" i="84"/>
  <c r="H1162" i="84"/>
  <c r="I1162" i="84"/>
  <c r="G1163" i="84"/>
  <c r="H1163" i="84"/>
  <c r="I1163" i="84"/>
  <c r="G1164" i="84"/>
  <c r="H1164" i="84"/>
  <c r="I1164" i="84"/>
  <c r="G1165" i="84"/>
  <c r="H1165" i="84"/>
  <c r="I1165" i="84"/>
  <c r="G1166" i="84"/>
  <c r="H1166" i="84"/>
  <c r="I1166" i="84"/>
  <c r="G1167" i="84"/>
  <c r="H1167" i="84"/>
  <c r="I1167" i="84"/>
  <c r="G1168" i="84"/>
  <c r="H1168" i="84"/>
  <c r="I1168" i="84"/>
  <c r="G1169" i="84"/>
  <c r="H1169" i="84"/>
  <c r="I1169" i="84"/>
  <c r="G1170" i="84"/>
  <c r="H1170" i="84"/>
  <c r="I1170" i="84"/>
  <c r="G1171" i="84"/>
  <c r="H1171" i="84"/>
  <c r="I1171" i="84"/>
  <c r="G1172" i="84"/>
  <c r="H1172" i="84"/>
  <c r="I1172" i="84"/>
  <c r="G1173" i="84"/>
  <c r="H1173" i="84"/>
  <c r="I1173" i="84"/>
  <c r="G1174" i="84"/>
  <c r="H1174" i="84"/>
  <c r="I1174" i="84"/>
  <c r="G1175" i="84"/>
  <c r="H1175" i="84"/>
  <c r="I1175" i="84"/>
  <c r="G1176" i="84"/>
  <c r="H1176" i="84"/>
  <c r="I1176" i="84"/>
  <c r="G1177" i="84"/>
  <c r="H1177" i="84"/>
  <c r="I1177" i="84"/>
  <c r="G1178" i="84"/>
  <c r="H1178" i="84"/>
  <c r="I1178" i="84"/>
  <c r="G1179" i="84"/>
  <c r="H1179" i="84"/>
  <c r="I1179" i="84"/>
  <c r="G1180" i="84"/>
  <c r="H1180" i="84"/>
  <c r="I1180" i="84"/>
  <c r="G1181" i="84"/>
  <c r="H1181" i="84"/>
  <c r="I1181" i="84"/>
  <c r="G1182" i="84"/>
  <c r="H1182" i="84"/>
  <c r="I1182" i="84"/>
  <c r="G1183" i="84"/>
  <c r="H1183" i="84"/>
  <c r="I1183" i="84"/>
  <c r="G1184" i="84"/>
  <c r="H1184" i="84"/>
  <c r="I1184" i="84"/>
  <c r="G1185" i="84"/>
  <c r="H1185" i="84"/>
  <c r="I1185" i="84"/>
  <c r="G1186" i="84"/>
  <c r="H1186" i="84"/>
  <c r="I1186" i="84"/>
  <c r="G1187" i="84"/>
  <c r="H1187" i="84"/>
  <c r="I1187" i="84"/>
  <c r="G1188" i="84"/>
  <c r="H1188" i="84"/>
  <c r="I1188" i="84"/>
  <c r="G1189" i="84"/>
  <c r="H1189" i="84"/>
  <c r="I1189" i="84"/>
  <c r="G1190" i="84"/>
  <c r="H1190" i="84"/>
  <c r="I1190" i="84"/>
  <c r="G1191" i="84"/>
  <c r="H1191" i="84"/>
  <c r="I1191" i="84"/>
  <c r="G1192" i="84"/>
  <c r="H1192" i="84"/>
  <c r="I1192" i="84"/>
  <c r="G1193" i="84"/>
  <c r="H1193" i="84"/>
  <c r="I1193" i="84"/>
  <c r="G1194" i="84"/>
  <c r="H1194" i="84"/>
  <c r="I1194" i="84"/>
  <c r="G1195" i="84"/>
  <c r="H1195" i="84"/>
  <c r="I1195" i="84"/>
  <c r="G1196" i="84"/>
  <c r="H1196" i="84"/>
  <c r="I1196" i="84"/>
  <c r="G1197" i="84"/>
  <c r="H1197" i="84"/>
  <c r="I1197" i="84"/>
  <c r="G1198" i="84"/>
  <c r="H1198" i="84"/>
  <c r="I1198" i="84"/>
  <c r="G1199" i="84"/>
  <c r="H1199" i="84"/>
  <c r="I1199" i="84"/>
  <c r="G1200" i="84"/>
  <c r="H1200" i="84"/>
  <c r="I1200" i="84"/>
  <c r="G1201" i="84"/>
  <c r="H1201" i="84"/>
  <c r="I1201" i="84"/>
  <c r="G1202" i="84"/>
  <c r="H1202" i="84"/>
  <c r="I1202" i="84"/>
  <c r="G1203" i="84"/>
  <c r="H1203" i="84"/>
  <c r="I1203" i="84"/>
  <c r="G1204" i="84"/>
  <c r="H1204" i="84"/>
  <c r="I1204" i="84"/>
  <c r="G1205" i="84"/>
  <c r="H1205" i="84"/>
  <c r="I1205" i="84"/>
  <c r="G1206" i="84"/>
  <c r="H1206" i="84"/>
  <c r="I1206" i="84"/>
  <c r="G1207" i="84"/>
  <c r="H1207" i="84"/>
  <c r="I1207" i="84"/>
  <c r="G1208" i="84"/>
  <c r="H1208" i="84"/>
  <c r="I1208" i="84"/>
  <c r="G1209" i="84"/>
  <c r="H1209" i="84"/>
  <c r="I1209" i="84"/>
  <c r="G1210" i="84"/>
  <c r="H1210" i="84"/>
  <c r="I1210" i="84"/>
  <c r="G1211" i="84"/>
  <c r="H1211" i="84"/>
  <c r="I1211" i="84"/>
  <c r="G1212" i="84"/>
  <c r="H1212" i="84"/>
  <c r="I1212" i="84"/>
  <c r="G1213" i="84"/>
  <c r="H1213" i="84"/>
  <c r="I1213" i="84"/>
  <c r="G1214" i="84"/>
  <c r="H1214" i="84"/>
  <c r="I1214" i="84"/>
  <c r="G1215" i="84"/>
  <c r="H1215" i="84"/>
  <c r="I1215" i="84"/>
  <c r="G1216" i="84"/>
  <c r="H1216" i="84"/>
  <c r="I1216" i="84"/>
  <c r="G1217" i="84"/>
  <c r="H1217" i="84"/>
  <c r="I1217" i="84"/>
  <c r="G1218" i="84"/>
  <c r="H1218" i="84"/>
  <c r="I1218" i="84"/>
  <c r="G1219" i="84"/>
  <c r="H1219" i="84"/>
  <c r="I1219" i="84"/>
  <c r="G1220" i="84"/>
  <c r="H1220" i="84"/>
  <c r="I1220" i="84"/>
  <c r="G1221" i="84"/>
  <c r="H1221" i="84"/>
  <c r="I1221" i="84"/>
  <c r="G1222" i="84"/>
  <c r="H1222" i="84"/>
  <c r="I1222" i="84"/>
  <c r="G1223" i="84"/>
  <c r="H1223" i="84"/>
  <c r="I1223" i="84"/>
  <c r="G1224" i="84"/>
  <c r="H1224" i="84"/>
  <c r="I1224" i="84"/>
  <c r="G1225" i="84"/>
  <c r="H1225" i="84"/>
  <c r="I1225" i="84"/>
  <c r="G1226" i="84"/>
  <c r="H1226" i="84"/>
  <c r="I1226" i="84"/>
  <c r="G1227" i="84"/>
  <c r="H1227" i="84"/>
  <c r="I1227" i="84"/>
  <c r="G1228" i="84"/>
  <c r="H1228" i="84"/>
  <c r="I1228" i="84"/>
  <c r="G1229" i="84"/>
  <c r="H1229" i="84"/>
  <c r="I1229" i="84"/>
  <c r="G1230" i="84"/>
  <c r="H1230" i="84"/>
  <c r="I1230" i="84"/>
  <c r="G1231" i="84"/>
  <c r="H1231" i="84"/>
  <c r="I1231" i="84"/>
  <c r="G1232" i="84"/>
  <c r="H1232" i="84"/>
  <c r="I1232" i="84"/>
  <c r="G1233" i="84"/>
  <c r="H1233" i="84"/>
  <c r="I1233" i="84"/>
  <c r="G1234" i="84"/>
  <c r="H1234" i="84"/>
  <c r="I1234" i="84"/>
  <c r="G1235" i="84"/>
  <c r="H1235" i="84"/>
  <c r="I1235" i="84"/>
  <c r="G1236" i="84"/>
  <c r="H1236" i="84"/>
  <c r="I1236" i="84"/>
  <c r="G1237" i="84"/>
  <c r="H1237" i="84"/>
  <c r="I1237" i="84"/>
  <c r="G1238" i="84"/>
  <c r="H1238" i="84"/>
  <c r="I1238" i="84"/>
  <c r="G1239" i="84"/>
  <c r="H1239" i="84"/>
  <c r="I1239" i="84"/>
  <c r="G1240" i="84"/>
  <c r="H1240" i="84"/>
  <c r="I1240" i="84"/>
  <c r="G1241" i="84"/>
  <c r="H1241" i="84"/>
  <c r="I1241" i="84"/>
  <c r="G1242" i="84"/>
  <c r="H1242" i="84"/>
  <c r="I1242" i="84"/>
  <c r="G1243" i="84"/>
  <c r="H1243" i="84"/>
  <c r="I1243" i="84"/>
  <c r="G1244" i="84"/>
  <c r="H1244" i="84"/>
  <c r="I1244" i="84"/>
  <c r="G1245" i="84"/>
  <c r="H1245" i="84"/>
  <c r="I1245" i="84"/>
  <c r="G1246" i="84"/>
  <c r="H1246" i="84"/>
  <c r="I1246" i="84"/>
  <c r="G1247" i="84"/>
  <c r="H1247" i="84"/>
  <c r="I1247" i="84"/>
  <c r="G1248" i="84"/>
  <c r="H1248" i="84"/>
  <c r="I1248" i="84"/>
  <c r="G1249" i="84"/>
  <c r="H1249" i="84"/>
  <c r="I1249" i="84"/>
  <c r="G1250" i="84"/>
  <c r="H1250" i="84"/>
  <c r="I1250" i="84"/>
  <c r="G1251" i="84"/>
  <c r="H1251" i="84"/>
  <c r="I1251" i="84"/>
  <c r="G1252" i="84"/>
  <c r="H1252" i="84"/>
  <c r="I1252" i="84"/>
  <c r="G1253" i="84"/>
  <c r="H1253" i="84"/>
  <c r="I1253" i="84"/>
  <c r="G1254" i="84"/>
  <c r="H1254" i="84"/>
  <c r="I1254" i="84"/>
  <c r="G1255" i="84"/>
  <c r="H1255" i="84"/>
  <c r="I1255" i="84"/>
  <c r="G1256" i="84"/>
  <c r="H1256" i="84"/>
  <c r="I1256" i="84"/>
  <c r="G1257" i="84"/>
  <c r="H1257" i="84"/>
  <c r="I1257" i="84"/>
  <c r="G1258" i="84"/>
  <c r="H1258" i="84"/>
  <c r="I1258" i="84"/>
  <c r="G1259" i="84"/>
  <c r="H1259" i="84"/>
  <c r="I1259" i="84"/>
  <c r="G1260" i="84"/>
  <c r="H1260" i="84"/>
  <c r="I1260" i="84"/>
  <c r="G1261" i="84"/>
  <c r="H1261" i="84"/>
  <c r="I1261" i="84"/>
  <c r="G1262" i="84"/>
  <c r="H1262" i="84"/>
  <c r="I1262" i="84"/>
  <c r="G1263" i="84"/>
  <c r="H1263" i="84"/>
  <c r="I1263" i="84"/>
  <c r="G1264" i="84"/>
  <c r="H1264" i="84"/>
  <c r="I1264" i="84"/>
  <c r="G1265" i="84"/>
  <c r="H1265" i="84"/>
  <c r="I1265" i="84"/>
  <c r="G1266" i="84"/>
  <c r="H1266" i="84"/>
  <c r="I1266" i="84"/>
  <c r="G1267" i="84"/>
  <c r="H1267" i="84"/>
  <c r="I1267" i="84"/>
  <c r="G1268" i="84"/>
  <c r="H1268" i="84"/>
  <c r="I1268" i="84"/>
  <c r="G1269" i="84"/>
  <c r="H1269" i="84"/>
  <c r="I1269" i="84"/>
  <c r="G1270" i="84"/>
  <c r="H1270" i="84"/>
  <c r="I1270" i="84"/>
  <c r="G1271" i="84"/>
  <c r="H1271" i="84"/>
  <c r="I1271" i="84"/>
  <c r="G1272" i="84"/>
  <c r="H1272" i="84"/>
  <c r="I1272" i="84"/>
  <c r="G1273" i="84"/>
  <c r="H1273" i="84"/>
  <c r="I1273" i="84"/>
  <c r="G1274" i="84"/>
  <c r="H1274" i="84"/>
  <c r="I1274" i="84"/>
  <c r="G1275" i="84"/>
  <c r="H1275" i="84"/>
  <c r="I1275" i="84"/>
  <c r="G1276" i="84"/>
  <c r="H1276" i="84"/>
  <c r="I1276" i="84"/>
  <c r="G1277" i="84"/>
  <c r="H1277" i="84"/>
  <c r="I1277" i="84"/>
  <c r="G1278" i="84"/>
  <c r="H1278" i="84"/>
  <c r="I1278" i="84"/>
  <c r="G1279" i="84"/>
  <c r="H1279" i="84"/>
  <c r="I1279" i="84"/>
  <c r="G1280" i="84"/>
  <c r="H1280" i="84"/>
  <c r="I1280" i="84"/>
  <c r="G1281" i="84"/>
  <c r="H1281" i="84"/>
  <c r="I1281" i="84"/>
  <c r="G1282" i="84"/>
  <c r="H1282" i="84"/>
  <c r="I1282" i="84"/>
  <c r="G1283" i="84"/>
  <c r="H1283" i="84"/>
  <c r="I1283" i="84"/>
  <c r="G1284" i="84"/>
  <c r="H1284" i="84"/>
  <c r="I1284" i="84"/>
  <c r="G1285" i="84"/>
  <c r="H1285" i="84"/>
  <c r="I1285" i="84"/>
  <c r="G1286" i="84"/>
  <c r="H1286" i="84"/>
  <c r="I1286" i="84"/>
  <c r="G1287" i="84"/>
  <c r="H1287" i="84"/>
  <c r="I1287" i="84"/>
  <c r="G1288" i="84"/>
  <c r="H1288" i="84"/>
  <c r="I1288" i="84"/>
  <c r="G1289" i="84"/>
  <c r="H1289" i="84"/>
  <c r="I1289" i="84"/>
  <c r="G1290" i="84"/>
  <c r="H1290" i="84"/>
  <c r="I1290" i="84"/>
  <c r="G1291" i="84"/>
  <c r="H1291" i="84"/>
  <c r="I1291" i="84"/>
  <c r="G1292" i="84"/>
  <c r="H1292" i="84"/>
  <c r="I1292" i="84"/>
  <c r="G1293" i="84"/>
  <c r="H1293" i="84"/>
  <c r="I1293" i="84"/>
  <c r="G1294" i="84"/>
  <c r="H1294" i="84"/>
  <c r="I1294" i="84"/>
  <c r="G1295" i="84"/>
  <c r="H1295" i="84"/>
  <c r="I1295" i="84"/>
  <c r="G1296" i="84"/>
  <c r="H1296" i="84"/>
  <c r="I1296" i="84"/>
  <c r="G1297" i="84"/>
  <c r="H1297" i="84"/>
  <c r="I1297" i="84"/>
  <c r="G1298" i="84"/>
  <c r="H1298" i="84"/>
  <c r="I1298" i="84"/>
  <c r="G1299" i="84"/>
  <c r="H1299" i="84"/>
  <c r="I1299" i="84"/>
  <c r="G1300" i="84"/>
  <c r="H1300" i="84"/>
  <c r="I1300" i="84"/>
  <c r="G1301" i="84"/>
  <c r="H1301" i="84"/>
  <c r="I1301" i="84"/>
  <c r="G1302" i="84"/>
  <c r="H1302" i="84"/>
  <c r="I1302" i="84"/>
  <c r="G1303" i="84"/>
  <c r="H1303" i="84"/>
  <c r="I1303" i="84"/>
  <c r="G1304" i="84"/>
  <c r="H1304" i="84"/>
  <c r="I1304" i="84"/>
  <c r="G1305" i="84"/>
  <c r="H1305" i="84"/>
  <c r="I1305" i="84"/>
  <c r="G1306" i="84"/>
  <c r="H1306" i="84"/>
  <c r="I1306" i="84"/>
  <c r="G1307" i="84"/>
  <c r="H1307" i="84"/>
  <c r="I1307" i="84"/>
  <c r="G1308" i="84"/>
  <c r="H1308" i="84"/>
  <c r="I1308" i="84"/>
  <c r="G1309" i="84"/>
  <c r="H1309" i="84"/>
  <c r="I1309" i="84"/>
  <c r="G1310" i="84"/>
  <c r="H1310" i="84"/>
  <c r="I1310" i="84"/>
  <c r="G1311" i="84"/>
  <c r="H1311" i="84"/>
  <c r="I1311" i="84"/>
  <c r="G1312" i="84"/>
  <c r="H1312" i="84"/>
  <c r="I1312" i="84"/>
  <c r="G1313" i="84"/>
  <c r="H1313" i="84"/>
  <c r="I1313" i="84"/>
  <c r="G1314" i="84"/>
  <c r="H1314" i="84"/>
  <c r="I1314" i="84"/>
  <c r="G1315" i="84"/>
  <c r="H1315" i="84"/>
  <c r="I1315" i="84"/>
  <c r="G1316" i="84"/>
  <c r="H1316" i="84"/>
  <c r="I1316" i="84"/>
  <c r="G1317" i="84"/>
  <c r="H1317" i="84"/>
  <c r="I1317" i="84"/>
  <c r="G1318" i="84"/>
  <c r="H1318" i="84"/>
  <c r="I1318" i="84"/>
  <c r="G1319" i="84"/>
  <c r="H1319" i="84"/>
  <c r="I1319" i="84"/>
  <c r="G1320" i="84"/>
  <c r="H1320" i="84"/>
  <c r="I1320" i="84"/>
  <c r="G1321" i="84"/>
  <c r="H1321" i="84"/>
  <c r="I1321" i="84"/>
  <c r="G1322" i="84"/>
  <c r="H1322" i="84"/>
  <c r="I1322" i="84"/>
  <c r="G1323" i="84"/>
  <c r="H1323" i="84"/>
  <c r="I1323" i="84"/>
  <c r="G1324" i="84"/>
  <c r="H1324" i="84"/>
  <c r="I1324" i="84"/>
  <c r="G1325" i="84"/>
  <c r="H1325" i="84"/>
  <c r="I1325" i="84"/>
  <c r="G1326" i="84"/>
  <c r="H1326" i="84"/>
  <c r="I1326" i="84"/>
  <c r="G1327" i="84"/>
  <c r="H1327" i="84"/>
  <c r="I1327" i="84"/>
  <c r="G1328" i="84"/>
  <c r="H1328" i="84"/>
  <c r="I1328" i="84"/>
  <c r="G1329" i="84"/>
  <c r="H1329" i="84"/>
  <c r="I1329" i="84"/>
  <c r="G1330" i="84"/>
  <c r="H1330" i="84"/>
  <c r="I1330" i="84"/>
  <c r="G1331" i="84"/>
  <c r="H1331" i="84"/>
  <c r="I1331" i="84"/>
  <c r="G1332" i="84"/>
  <c r="H1332" i="84"/>
  <c r="I1332" i="84"/>
  <c r="G1333" i="84"/>
  <c r="H1333" i="84"/>
  <c r="I1333" i="84"/>
  <c r="G1334" i="84"/>
  <c r="H1334" i="84"/>
  <c r="I1334" i="84"/>
  <c r="G1335" i="84"/>
  <c r="H1335" i="84"/>
  <c r="I1335" i="84"/>
  <c r="G1336" i="84"/>
  <c r="H1336" i="84"/>
  <c r="I1336" i="84"/>
  <c r="G1337" i="84"/>
  <c r="H1337" i="84"/>
  <c r="I1337" i="84"/>
  <c r="G1338" i="84"/>
  <c r="H1338" i="84"/>
  <c r="I1338" i="84"/>
  <c r="G1339" i="84"/>
  <c r="H1339" i="84"/>
  <c r="I1339" i="84"/>
  <c r="G1340" i="84"/>
  <c r="H1340" i="84"/>
  <c r="I1340" i="84"/>
  <c r="G1341" i="84"/>
  <c r="H1341" i="84"/>
  <c r="I1341" i="84"/>
  <c r="G1342" i="84"/>
  <c r="H1342" i="84"/>
  <c r="I1342" i="84"/>
  <c r="G1343" i="84"/>
  <c r="H1343" i="84"/>
  <c r="I1343" i="84"/>
  <c r="G1344" i="84"/>
  <c r="H1344" i="84"/>
  <c r="I1344" i="84"/>
  <c r="G1345" i="84"/>
  <c r="H1345" i="84"/>
  <c r="I1345" i="84"/>
  <c r="G1346" i="84"/>
  <c r="H1346" i="84"/>
  <c r="I1346" i="84"/>
  <c r="G1347" i="84"/>
  <c r="H1347" i="84"/>
  <c r="I1347" i="84"/>
  <c r="G1348" i="84"/>
  <c r="H1348" i="84"/>
  <c r="I1348" i="84"/>
  <c r="G1349" i="84"/>
  <c r="H1349" i="84"/>
  <c r="I1349" i="84"/>
  <c r="G1350" i="84"/>
  <c r="H1350" i="84"/>
  <c r="I1350" i="84"/>
  <c r="G1351" i="84"/>
  <c r="H1351" i="84"/>
  <c r="I1351" i="84"/>
  <c r="G1352" i="84"/>
  <c r="H1352" i="84"/>
  <c r="I1352" i="84"/>
  <c r="G1353" i="84"/>
  <c r="H1353" i="84"/>
  <c r="I1353" i="84"/>
  <c r="G1354" i="84"/>
  <c r="H1354" i="84"/>
  <c r="I1354" i="84"/>
  <c r="G1355" i="84"/>
  <c r="H1355" i="84"/>
  <c r="I1355" i="84"/>
  <c r="G1356" i="84"/>
  <c r="H1356" i="84"/>
  <c r="I1356" i="84"/>
  <c r="G1357" i="84"/>
  <c r="H1357" i="84"/>
  <c r="I1357" i="84"/>
  <c r="G1358" i="84"/>
  <c r="H1358" i="84"/>
  <c r="I1358" i="84"/>
  <c r="G1359" i="84"/>
  <c r="H1359" i="84"/>
  <c r="I1359" i="84"/>
  <c r="G1360" i="84"/>
  <c r="H1360" i="84"/>
  <c r="I1360" i="84"/>
  <c r="G1361" i="84"/>
  <c r="H1361" i="84"/>
  <c r="I1361" i="84"/>
  <c r="G1362" i="84"/>
  <c r="H1362" i="84"/>
  <c r="I1362" i="84"/>
  <c r="G1363" i="84"/>
  <c r="H1363" i="84"/>
  <c r="I1363" i="84"/>
  <c r="G1364" i="84"/>
  <c r="H1364" i="84"/>
  <c r="I1364" i="84"/>
  <c r="G1365" i="84"/>
  <c r="H1365" i="84"/>
  <c r="I1365" i="84"/>
  <c r="G1366" i="84"/>
  <c r="H1366" i="84"/>
  <c r="I1366" i="84"/>
  <c r="G1367" i="84"/>
  <c r="H1367" i="84"/>
  <c r="I1367" i="84"/>
  <c r="G1368" i="84"/>
  <c r="H1368" i="84"/>
  <c r="I1368" i="84"/>
  <c r="G1369" i="84"/>
  <c r="H1369" i="84"/>
  <c r="I1369" i="84"/>
  <c r="G1370" i="84"/>
  <c r="H1370" i="84"/>
  <c r="I1370" i="84"/>
  <c r="G1371" i="84"/>
  <c r="H1371" i="84"/>
  <c r="I1371" i="84"/>
  <c r="G1372" i="84"/>
  <c r="H1372" i="84"/>
  <c r="I1372" i="84"/>
  <c r="G1373" i="84"/>
  <c r="H1373" i="84"/>
  <c r="I1373" i="84"/>
  <c r="G1374" i="84"/>
  <c r="H1374" i="84"/>
  <c r="I1374" i="84"/>
  <c r="G1375" i="84"/>
  <c r="H1375" i="84"/>
  <c r="I1375" i="84"/>
  <c r="G1376" i="84"/>
  <c r="H1376" i="84"/>
  <c r="I1376" i="84"/>
  <c r="G1377" i="84"/>
  <c r="H1377" i="84"/>
  <c r="I1377" i="84"/>
  <c r="G1378" i="84"/>
  <c r="H1378" i="84"/>
  <c r="I1378" i="84"/>
  <c r="G1379" i="84"/>
  <c r="H1379" i="84"/>
  <c r="I1379" i="84"/>
  <c r="G1380" i="84"/>
  <c r="H1380" i="84"/>
  <c r="I1380" i="84"/>
  <c r="G1381" i="84"/>
  <c r="H1381" i="84"/>
  <c r="I1381" i="84"/>
  <c r="G1382" i="84"/>
  <c r="H1382" i="84"/>
  <c r="I1382" i="84"/>
  <c r="G1383" i="84"/>
  <c r="H1383" i="84"/>
  <c r="I1383" i="84"/>
  <c r="G1384" i="84"/>
  <c r="H1384" i="84"/>
  <c r="I1384" i="84"/>
  <c r="G1385" i="84"/>
  <c r="H1385" i="84"/>
  <c r="I1385" i="84"/>
  <c r="G1386" i="84"/>
  <c r="H1386" i="84"/>
  <c r="I1386" i="84"/>
  <c r="G1387" i="84"/>
  <c r="H1387" i="84"/>
  <c r="I1387" i="84"/>
  <c r="G1388" i="84"/>
  <c r="H1388" i="84"/>
  <c r="I1388" i="84"/>
  <c r="G1389" i="84"/>
  <c r="H1389" i="84"/>
  <c r="I1389" i="84"/>
  <c r="G1390" i="84"/>
  <c r="H1390" i="84"/>
  <c r="I1390" i="84"/>
  <c r="G1391" i="84"/>
  <c r="H1391" i="84"/>
  <c r="I1391" i="84"/>
  <c r="G1392" i="84"/>
  <c r="H1392" i="84"/>
  <c r="I1392" i="84"/>
  <c r="G1393" i="84"/>
  <c r="H1393" i="84"/>
  <c r="I1393" i="84"/>
  <c r="G1394" i="84"/>
  <c r="H1394" i="84"/>
  <c r="I1394" i="84"/>
  <c r="G1395" i="84"/>
  <c r="H1395" i="84"/>
  <c r="I1395" i="84"/>
  <c r="G1396" i="84"/>
  <c r="H1396" i="84"/>
  <c r="I1396" i="84"/>
  <c r="G1397" i="84"/>
  <c r="H1397" i="84"/>
  <c r="I1397" i="84"/>
  <c r="G1398" i="84"/>
  <c r="H1398" i="84"/>
  <c r="I1398" i="84"/>
  <c r="G1399" i="84"/>
  <c r="H1399" i="84"/>
  <c r="I1399" i="84"/>
  <c r="G1400" i="84"/>
  <c r="H1400" i="84"/>
  <c r="I1400" i="84"/>
  <c r="G1401" i="84"/>
  <c r="H1401" i="84"/>
  <c r="I1401" i="84"/>
  <c r="G1402" i="84"/>
  <c r="H1402" i="84"/>
  <c r="I1402" i="84"/>
  <c r="G1403" i="84"/>
  <c r="H1403" i="84"/>
  <c r="I1403" i="84"/>
  <c r="G1404" i="84"/>
  <c r="H1404" i="84"/>
  <c r="I1404" i="84"/>
  <c r="G1405" i="84"/>
  <c r="H1405" i="84"/>
  <c r="I1405" i="84"/>
  <c r="G1406" i="84"/>
  <c r="H1406" i="84"/>
  <c r="I1406" i="84"/>
  <c r="G1407" i="84"/>
  <c r="H1407" i="84"/>
  <c r="I1407" i="84"/>
  <c r="G1408" i="84"/>
  <c r="H1408" i="84"/>
  <c r="I1408" i="84"/>
  <c r="G1409" i="84"/>
  <c r="H1409" i="84"/>
  <c r="I1409" i="84"/>
  <c r="G1410" i="84"/>
  <c r="H1410" i="84"/>
  <c r="I1410" i="84"/>
  <c r="G1411" i="84"/>
  <c r="H1411" i="84"/>
  <c r="I1411" i="84"/>
  <c r="G1412" i="84"/>
  <c r="H1412" i="84"/>
  <c r="I1412" i="84"/>
  <c r="G1413" i="84"/>
  <c r="H1413" i="84"/>
  <c r="I1413" i="84"/>
  <c r="G1414" i="84"/>
  <c r="H1414" i="84"/>
  <c r="I1414" i="84"/>
  <c r="G1415" i="84"/>
  <c r="H1415" i="84"/>
  <c r="I1415" i="84"/>
  <c r="G1416" i="84"/>
  <c r="H1416" i="84"/>
  <c r="I1416" i="84"/>
  <c r="G1417" i="84"/>
  <c r="H1417" i="84"/>
  <c r="I1417" i="84"/>
  <c r="G1418" i="84"/>
  <c r="H1418" i="84"/>
  <c r="I1418" i="84"/>
  <c r="G1419" i="84"/>
  <c r="H1419" i="84"/>
  <c r="I1419" i="84"/>
  <c r="G1420" i="84"/>
  <c r="H1420" i="84"/>
  <c r="I1420" i="84"/>
  <c r="G1421" i="84"/>
  <c r="H1421" i="84"/>
  <c r="I1421" i="84"/>
  <c r="G1422" i="84"/>
  <c r="H1422" i="84"/>
  <c r="I1422" i="84"/>
  <c r="G1423" i="84"/>
  <c r="H1423" i="84"/>
  <c r="I1423" i="84"/>
  <c r="G1424" i="84"/>
  <c r="H1424" i="84"/>
  <c r="I1424" i="84"/>
  <c r="G1425" i="84"/>
  <c r="H1425" i="84"/>
  <c r="I1425" i="84"/>
  <c r="G1426" i="84"/>
  <c r="H1426" i="84"/>
  <c r="I1426" i="84"/>
  <c r="G1427" i="84"/>
  <c r="H1427" i="84"/>
  <c r="I1427" i="84"/>
  <c r="G1428" i="84"/>
  <c r="H1428" i="84"/>
  <c r="I1428" i="84"/>
  <c r="G1429" i="84"/>
  <c r="H1429" i="84"/>
  <c r="I1429" i="84"/>
  <c r="G1430" i="84"/>
  <c r="H1430" i="84"/>
  <c r="I1430" i="84"/>
  <c r="G1431" i="84"/>
  <c r="H1431" i="84"/>
  <c r="I1431" i="84"/>
  <c r="G1432" i="84"/>
  <c r="H1432" i="84"/>
  <c r="I1432" i="84"/>
  <c r="G1433" i="84"/>
  <c r="H1433" i="84"/>
  <c r="I1433" i="84"/>
  <c r="G1434" i="84"/>
  <c r="H1434" i="84"/>
  <c r="I1434" i="84"/>
  <c r="G1435" i="84"/>
  <c r="H1435" i="84"/>
  <c r="I1435" i="84"/>
  <c r="G1436" i="84"/>
  <c r="H1436" i="84"/>
  <c r="I1436" i="84"/>
  <c r="G1437" i="84"/>
  <c r="H1437" i="84"/>
  <c r="I1437" i="84"/>
  <c r="G1438" i="84"/>
  <c r="H1438" i="84"/>
  <c r="I1438" i="84"/>
  <c r="G1439" i="84"/>
  <c r="H1439" i="84"/>
  <c r="I1439" i="84"/>
  <c r="G1440" i="84"/>
  <c r="H1440" i="84"/>
  <c r="I1440" i="84"/>
  <c r="G1441" i="84"/>
  <c r="H1441" i="84"/>
  <c r="I1441" i="84"/>
  <c r="G1442" i="84"/>
  <c r="H1442" i="84"/>
  <c r="I1442" i="84"/>
  <c r="G1443" i="84"/>
  <c r="H1443" i="84"/>
  <c r="I1443" i="84"/>
  <c r="G1444" i="84"/>
  <c r="H1444" i="84"/>
  <c r="I1444" i="84"/>
  <c r="G1445" i="84"/>
  <c r="H1445" i="84"/>
  <c r="I1445" i="84"/>
  <c r="G1446" i="84"/>
  <c r="H1446" i="84"/>
  <c r="I1446" i="84"/>
  <c r="G1447" i="84"/>
  <c r="H1447" i="84"/>
  <c r="I1447" i="84"/>
  <c r="G1448" i="84"/>
  <c r="H1448" i="84"/>
  <c r="I1448" i="84"/>
  <c r="G1449" i="84"/>
  <c r="H1449" i="84"/>
  <c r="I1449" i="84"/>
  <c r="G1450" i="84"/>
  <c r="H1450" i="84"/>
  <c r="I1450" i="84"/>
  <c r="G1451" i="84"/>
  <c r="H1451" i="84"/>
  <c r="I1451" i="84"/>
  <c r="G1452" i="84"/>
  <c r="H1452" i="84"/>
  <c r="I1452" i="84"/>
  <c r="G1453" i="84"/>
  <c r="H1453" i="84"/>
  <c r="I1453" i="84"/>
  <c r="G1454" i="84"/>
  <c r="H1454" i="84"/>
  <c r="I1454" i="84"/>
  <c r="G1455" i="84"/>
  <c r="H1455" i="84"/>
  <c r="I1455" i="84"/>
  <c r="G1456" i="84"/>
  <c r="H1456" i="84"/>
  <c r="I1456" i="84"/>
  <c r="G1457" i="84"/>
  <c r="H1457" i="84"/>
  <c r="I1457" i="84"/>
  <c r="G1458" i="84"/>
  <c r="H1458" i="84"/>
  <c r="I1458" i="84"/>
  <c r="G1459" i="84"/>
  <c r="H1459" i="84"/>
  <c r="I1459" i="84"/>
  <c r="G1460" i="84"/>
  <c r="H1460" i="84"/>
  <c r="I1460" i="84"/>
  <c r="G1461" i="84"/>
  <c r="H1461" i="84"/>
  <c r="I1461" i="84"/>
  <c r="G1462" i="84"/>
  <c r="H1462" i="84"/>
  <c r="I1462" i="84"/>
  <c r="G1463" i="84"/>
  <c r="H1463" i="84"/>
  <c r="I1463" i="84"/>
  <c r="G1464" i="84"/>
  <c r="H1464" i="84"/>
  <c r="I1464" i="84"/>
  <c r="G1465" i="84"/>
  <c r="H1465" i="84"/>
  <c r="I1465" i="84"/>
  <c r="G1466" i="84"/>
  <c r="H1466" i="84"/>
  <c r="I1466" i="84"/>
  <c r="G1467" i="84"/>
  <c r="H1467" i="84"/>
  <c r="I1467" i="84"/>
  <c r="G1468" i="84"/>
  <c r="H1468" i="84"/>
  <c r="I1468" i="84"/>
  <c r="G1469" i="84"/>
  <c r="H1469" i="84"/>
  <c r="I1469" i="84"/>
  <c r="G1470" i="84"/>
  <c r="H1470" i="84"/>
  <c r="I1470" i="84"/>
  <c r="G1471" i="84"/>
  <c r="H1471" i="84"/>
  <c r="I1471" i="84"/>
  <c r="G1472" i="84"/>
  <c r="H1472" i="84"/>
  <c r="I1472" i="84"/>
  <c r="G1473" i="84"/>
  <c r="H1473" i="84"/>
  <c r="I1473" i="84"/>
  <c r="G1474" i="84"/>
  <c r="H1474" i="84"/>
  <c r="I1474" i="84"/>
  <c r="G1475" i="84"/>
  <c r="H1475" i="84"/>
  <c r="I1475" i="84"/>
  <c r="G1476" i="84"/>
  <c r="H1476" i="84"/>
  <c r="I1476" i="84"/>
  <c r="G1477" i="84"/>
  <c r="H1477" i="84"/>
  <c r="I1477" i="84"/>
  <c r="G1478" i="84"/>
  <c r="H1478" i="84"/>
  <c r="I1478" i="84"/>
  <c r="G1479" i="84"/>
  <c r="H1479" i="84"/>
  <c r="I1479" i="84"/>
  <c r="G1480" i="84"/>
  <c r="H1480" i="84"/>
  <c r="I1480" i="84"/>
  <c r="G1481" i="84"/>
  <c r="H1481" i="84"/>
  <c r="I1481" i="84"/>
  <c r="G1482" i="84"/>
  <c r="H1482" i="84"/>
  <c r="I1482" i="84"/>
  <c r="G1483" i="84"/>
  <c r="H1483" i="84"/>
  <c r="I1483" i="84"/>
  <c r="G1484" i="84"/>
  <c r="H1484" i="84"/>
  <c r="I1484" i="84"/>
  <c r="G1485" i="84"/>
  <c r="H1485" i="84"/>
  <c r="I1485" i="84"/>
  <c r="G1486" i="84"/>
  <c r="H1486" i="84"/>
  <c r="I1486" i="84"/>
  <c r="G1487" i="84"/>
  <c r="H1487" i="84"/>
  <c r="I1487" i="84"/>
  <c r="G1488" i="84"/>
  <c r="H1488" i="84"/>
  <c r="I1488" i="84"/>
  <c r="G1489" i="84"/>
  <c r="H1489" i="84"/>
  <c r="I1489" i="84"/>
  <c r="G1490" i="84"/>
  <c r="H1490" i="84"/>
  <c r="I1490" i="84"/>
  <c r="G1491" i="84"/>
  <c r="H1491" i="84"/>
  <c r="I1491" i="84"/>
  <c r="G1492" i="84"/>
  <c r="H1492" i="84"/>
  <c r="I1492" i="84"/>
  <c r="G1493" i="84"/>
  <c r="H1493" i="84"/>
  <c r="I1493" i="84"/>
  <c r="G1494" i="84"/>
  <c r="H1494" i="84"/>
  <c r="I1494" i="84"/>
  <c r="G1495" i="84"/>
  <c r="H1495" i="84"/>
  <c r="I1495" i="84"/>
  <c r="G1496" i="84"/>
  <c r="H1496" i="84"/>
  <c r="I1496" i="84"/>
  <c r="G1497" i="84"/>
  <c r="H1497" i="84"/>
  <c r="I1497" i="84"/>
  <c r="G1498" i="84"/>
  <c r="H1498" i="84"/>
  <c r="I1498" i="84"/>
  <c r="G1499" i="84"/>
  <c r="H1499" i="84"/>
  <c r="I1499" i="84"/>
  <c r="G1500" i="84"/>
  <c r="H1500" i="84"/>
  <c r="I1500" i="84"/>
  <c r="G1501" i="84"/>
  <c r="H1501" i="84"/>
  <c r="I1501" i="84"/>
  <c r="G1502" i="84"/>
  <c r="H1502" i="84"/>
  <c r="I1502" i="84"/>
  <c r="G1503" i="84"/>
  <c r="H1503" i="84"/>
  <c r="I1503" i="84"/>
  <c r="G1504" i="84"/>
  <c r="H1504" i="84"/>
  <c r="I1504" i="84"/>
  <c r="G1505" i="84"/>
  <c r="H1505" i="84"/>
  <c r="I1505" i="84"/>
  <c r="G1506" i="84"/>
  <c r="H1506" i="84"/>
  <c r="I1506" i="84"/>
  <c r="G1507" i="84"/>
  <c r="H1507" i="84"/>
  <c r="I1507" i="84"/>
  <c r="G1508" i="84"/>
  <c r="H1508" i="84"/>
  <c r="I1508" i="84"/>
  <c r="G1509" i="84"/>
  <c r="H1509" i="84"/>
  <c r="I1509" i="84"/>
  <c r="G1510" i="84"/>
  <c r="H1510" i="84"/>
  <c r="I1510" i="84"/>
  <c r="G1511" i="84"/>
  <c r="H1511" i="84"/>
  <c r="I1511" i="84"/>
  <c r="G1512" i="84"/>
  <c r="H1512" i="84"/>
  <c r="I1512" i="84"/>
  <c r="G1513" i="84"/>
  <c r="H1513" i="84"/>
  <c r="I1513" i="84"/>
  <c r="G1514" i="84"/>
  <c r="H1514" i="84"/>
  <c r="I1514" i="84"/>
  <c r="G1515" i="84"/>
  <c r="H1515" i="84"/>
  <c r="I1515" i="84"/>
  <c r="G1516" i="84"/>
  <c r="H1516" i="84"/>
  <c r="I1516" i="84"/>
  <c r="G1517" i="84"/>
  <c r="H1517" i="84"/>
  <c r="I1517" i="84"/>
  <c r="G1518" i="84"/>
  <c r="H1518" i="84"/>
  <c r="I1518" i="84"/>
  <c r="G1519" i="84"/>
  <c r="H1519" i="84"/>
  <c r="I1519" i="84"/>
  <c r="G1520" i="84"/>
  <c r="H1520" i="84"/>
  <c r="I1520" i="84"/>
  <c r="G1521" i="84"/>
  <c r="H1521" i="84"/>
  <c r="I1521" i="84"/>
  <c r="G1522" i="84"/>
  <c r="H1522" i="84"/>
  <c r="I1522" i="84"/>
  <c r="G1523" i="84"/>
  <c r="H1523" i="84"/>
  <c r="I1523" i="84"/>
  <c r="G1524" i="84"/>
  <c r="H1524" i="84"/>
  <c r="I1524" i="84"/>
  <c r="G1525" i="84"/>
  <c r="H1525" i="84"/>
  <c r="I1525" i="84"/>
  <c r="G1526" i="84"/>
  <c r="H1526" i="84"/>
  <c r="I1526" i="84"/>
  <c r="G1527" i="84"/>
  <c r="H1527" i="84"/>
  <c r="I1527" i="84"/>
  <c r="G1528" i="84"/>
  <c r="H1528" i="84"/>
  <c r="I1528" i="84"/>
  <c r="G1529" i="84"/>
  <c r="H1529" i="84"/>
  <c r="I1529" i="84"/>
  <c r="G1530" i="84"/>
  <c r="H1530" i="84"/>
  <c r="I1530" i="84"/>
  <c r="G1531" i="84"/>
  <c r="H1531" i="84"/>
  <c r="I1531" i="84"/>
  <c r="G1532" i="84"/>
  <c r="H1532" i="84"/>
  <c r="I1532" i="84"/>
  <c r="G1533" i="84"/>
  <c r="H1533" i="84"/>
  <c r="I1533" i="84"/>
  <c r="G1534" i="84"/>
  <c r="H1534" i="84"/>
  <c r="I1534" i="84"/>
  <c r="G1535" i="84"/>
  <c r="H1535" i="84"/>
  <c r="I1535" i="84"/>
  <c r="G1536" i="84"/>
  <c r="H1536" i="84"/>
  <c r="I1536" i="84"/>
  <c r="G1537" i="84"/>
  <c r="H1537" i="84"/>
  <c r="I1537" i="84"/>
  <c r="G1538" i="84"/>
  <c r="H1538" i="84"/>
  <c r="I1538" i="84"/>
  <c r="G1539" i="84"/>
  <c r="H1539" i="84"/>
  <c r="I1539" i="84"/>
  <c r="G1540" i="84"/>
  <c r="H1540" i="84"/>
  <c r="I1540" i="84"/>
  <c r="G1541" i="84"/>
  <c r="H1541" i="84"/>
  <c r="I1541" i="84"/>
  <c r="G1542" i="84"/>
  <c r="H1542" i="84"/>
  <c r="I1542" i="84"/>
  <c r="G1543" i="84"/>
  <c r="H1543" i="84"/>
  <c r="I1543" i="84"/>
  <c r="G1544" i="84"/>
  <c r="H1544" i="84"/>
  <c r="I1544" i="84"/>
  <c r="G1545" i="84"/>
  <c r="H1545" i="84"/>
  <c r="I1545" i="84"/>
  <c r="G1546" i="84"/>
  <c r="H1546" i="84"/>
  <c r="I1546" i="84"/>
  <c r="G1547" i="84"/>
  <c r="H1547" i="84"/>
  <c r="I1547" i="84"/>
  <c r="G1548" i="84"/>
  <c r="H1548" i="84"/>
  <c r="I1548" i="84"/>
  <c r="G1549" i="84"/>
  <c r="H1549" i="84"/>
  <c r="I1549" i="84"/>
  <c r="G1550" i="84"/>
  <c r="H1550" i="84"/>
  <c r="I1550" i="84"/>
  <c r="G1551" i="84"/>
  <c r="H1551" i="84"/>
  <c r="I1551" i="84"/>
  <c r="G1552" i="84"/>
  <c r="H1552" i="84"/>
  <c r="I1552" i="84"/>
  <c r="G1553" i="84"/>
  <c r="H1553" i="84"/>
  <c r="I1553" i="84"/>
  <c r="G1554" i="84"/>
  <c r="H1554" i="84"/>
  <c r="I1554" i="84"/>
  <c r="G1555" i="84"/>
  <c r="H1555" i="84"/>
  <c r="I1555" i="84"/>
  <c r="G1556" i="84"/>
  <c r="H1556" i="84"/>
  <c r="I1556" i="84"/>
  <c r="G1557" i="84"/>
  <c r="H1557" i="84"/>
  <c r="I1557" i="84"/>
  <c r="G1558" i="84"/>
  <c r="H1558" i="84"/>
  <c r="I1558" i="84"/>
  <c r="G1559" i="84"/>
  <c r="H1559" i="84"/>
  <c r="I1559" i="84"/>
  <c r="G1560" i="84"/>
  <c r="H1560" i="84"/>
  <c r="I1560" i="84"/>
  <c r="G1561" i="84"/>
  <c r="H1561" i="84"/>
  <c r="I1561" i="84"/>
  <c r="G1562" i="84"/>
  <c r="H1562" i="84"/>
  <c r="I1562" i="84"/>
  <c r="G1563" i="84"/>
  <c r="H1563" i="84"/>
  <c r="I1563" i="84"/>
  <c r="G1564" i="84"/>
  <c r="H1564" i="84"/>
  <c r="I1564" i="84"/>
  <c r="G1565" i="84"/>
  <c r="H1565" i="84"/>
  <c r="I1565" i="84"/>
  <c r="G1566" i="84"/>
  <c r="H1566" i="84"/>
  <c r="I1566" i="84"/>
  <c r="G1567" i="84"/>
  <c r="H1567" i="84"/>
  <c r="I1567" i="84"/>
  <c r="G1568" i="84"/>
  <c r="H1568" i="84"/>
  <c r="I1568" i="84"/>
  <c r="G1569" i="84"/>
  <c r="H1569" i="84"/>
  <c r="I1569" i="84"/>
  <c r="G1570" i="84"/>
  <c r="H1570" i="84"/>
  <c r="I1570" i="84"/>
  <c r="G1571" i="84"/>
  <c r="H1571" i="84"/>
  <c r="I1571" i="84"/>
  <c r="G1572" i="84"/>
  <c r="H1572" i="84"/>
  <c r="I1572" i="84"/>
  <c r="G1573" i="84"/>
  <c r="H1573" i="84"/>
  <c r="I1573" i="84"/>
  <c r="G1574" i="84"/>
  <c r="H1574" i="84"/>
  <c r="I1574" i="84"/>
  <c r="G1575" i="84"/>
  <c r="H1575" i="84"/>
  <c r="I1575" i="84"/>
  <c r="G1576" i="84"/>
  <c r="H1576" i="84"/>
  <c r="I1576" i="84"/>
  <c r="G1577" i="84"/>
  <c r="H1577" i="84"/>
  <c r="I1577" i="84"/>
  <c r="G1578" i="84"/>
  <c r="H1578" i="84"/>
  <c r="I1578" i="84"/>
  <c r="G1579" i="84"/>
  <c r="H1579" i="84"/>
  <c r="I1579" i="84"/>
  <c r="G1580" i="84"/>
  <c r="H1580" i="84"/>
  <c r="I1580" i="84"/>
  <c r="G1581" i="84"/>
  <c r="H1581" i="84"/>
  <c r="I1581" i="84"/>
  <c r="G1582" i="84"/>
  <c r="H1582" i="84"/>
  <c r="I1582" i="84"/>
  <c r="G1583" i="84"/>
  <c r="H1583" i="84"/>
  <c r="I1583" i="84"/>
  <c r="G1584" i="84"/>
  <c r="H1584" i="84"/>
  <c r="I1584" i="84"/>
  <c r="G1585" i="84"/>
  <c r="H1585" i="84"/>
  <c r="I1585" i="84"/>
  <c r="G1586" i="84"/>
  <c r="H1586" i="84"/>
  <c r="I1586" i="84"/>
  <c r="G1587" i="84"/>
  <c r="H1587" i="84"/>
  <c r="I1587" i="84"/>
  <c r="G1588" i="84"/>
  <c r="H1588" i="84"/>
  <c r="I1588" i="84"/>
  <c r="G1589" i="84"/>
  <c r="H1589" i="84"/>
  <c r="I1589" i="84"/>
  <c r="G1590" i="84"/>
  <c r="H1590" i="84"/>
  <c r="I1590" i="84"/>
  <c r="G1591" i="84"/>
  <c r="H1591" i="84"/>
  <c r="I1591" i="84"/>
  <c r="G1592" i="84"/>
  <c r="H1592" i="84"/>
  <c r="I1592" i="84"/>
  <c r="G1593" i="84"/>
  <c r="H1593" i="84"/>
  <c r="I1593" i="84"/>
  <c r="G1594" i="84"/>
  <c r="H1594" i="84"/>
  <c r="I1594" i="84"/>
  <c r="G1595" i="84"/>
  <c r="H1595" i="84"/>
  <c r="I1595" i="84"/>
  <c r="G1596" i="84"/>
  <c r="H1596" i="84"/>
  <c r="I1596" i="84"/>
  <c r="G1597" i="84"/>
  <c r="H1597" i="84"/>
  <c r="I1597" i="84"/>
  <c r="G1598" i="84"/>
  <c r="H1598" i="84"/>
  <c r="I1598" i="84"/>
  <c r="G1599" i="84"/>
  <c r="H1599" i="84"/>
  <c r="I1599" i="84"/>
  <c r="G1600" i="84"/>
  <c r="H1600" i="84"/>
  <c r="I1600" i="84"/>
  <c r="G1601" i="84"/>
  <c r="H1601" i="84"/>
  <c r="I1601" i="84"/>
  <c r="G1602" i="84"/>
  <c r="H1602" i="84"/>
  <c r="I1602" i="84"/>
  <c r="G1603" i="84"/>
  <c r="H1603" i="84"/>
  <c r="I1603" i="84"/>
  <c r="G1604" i="84"/>
  <c r="H1604" i="84"/>
  <c r="I1604" i="84"/>
  <c r="G1605" i="84"/>
  <c r="H1605" i="84"/>
  <c r="I1605" i="84"/>
  <c r="G1606" i="84"/>
  <c r="H1606" i="84"/>
  <c r="I1606" i="84"/>
  <c r="G1607" i="84"/>
  <c r="H1607" i="84"/>
  <c r="I1607" i="84"/>
  <c r="G1608" i="84"/>
  <c r="H1608" i="84"/>
  <c r="I1608" i="84"/>
  <c r="G1609" i="84"/>
  <c r="H1609" i="84"/>
  <c r="I1609" i="84"/>
  <c r="G1610" i="84"/>
  <c r="H1610" i="84"/>
  <c r="I1610" i="84"/>
  <c r="G1611" i="84"/>
  <c r="H1611" i="84"/>
  <c r="I1611" i="84"/>
  <c r="G1612" i="84"/>
  <c r="H1612" i="84"/>
  <c r="I1612" i="84"/>
  <c r="G1613" i="84"/>
  <c r="H1613" i="84"/>
  <c r="I1613" i="84"/>
  <c r="G1614" i="84"/>
  <c r="H1614" i="84"/>
  <c r="I1614" i="84"/>
  <c r="G1615" i="84"/>
  <c r="H1615" i="84"/>
  <c r="I1615" i="84"/>
  <c r="G1616" i="84"/>
  <c r="H1616" i="84"/>
  <c r="I1616" i="84"/>
  <c r="G1617" i="84"/>
  <c r="H1617" i="84"/>
  <c r="I1617" i="84"/>
  <c r="G1618" i="84"/>
  <c r="H1618" i="84"/>
  <c r="I1618" i="84"/>
  <c r="G1619" i="84"/>
  <c r="H1619" i="84"/>
  <c r="I1619" i="84"/>
  <c r="G1620" i="84"/>
  <c r="H1620" i="84"/>
  <c r="I1620" i="84"/>
  <c r="G1621" i="84"/>
  <c r="H1621" i="84"/>
  <c r="I1621" i="84"/>
  <c r="G1622" i="84"/>
  <c r="H1622" i="84"/>
  <c r="I1622" i="84"/>
  <c r="G1623" i="84"/>
  <c r="H1623" i="84"/>
  <c r="I1623" i="84"/>
  <c r="G1624" i="84"/>
  <c r="H1624" i="84"/>
  <c r="I1624" i="84"/>
  <c r="G1625" i="84"/>
  <c r="H1625" i="84"/>
  <c r="I1625" i="84"/>
  <c r="G1626" i="84"/>
  <c r="H1626" i="84"/>
  <c r="I1626" i="84"/>
  <c r="G1627" i="84"/>
  <c r="H1627" i="84"/>
  <c r="I1627" i="84"/>
  <c r="G1628" i="84"/>
  <c r="H1628" i="84"/>
  <c r="I1628" i="84"/>
  <c r="G1629" i="84"/>
  <c r="H1629" i="84"/>
  <c r="I1629" i="84"/>
  <c r="G1630" i="84"/>
  <c r="H1630" i="84"/>
  <c r="I1630" i="84"/>
  <c r="G1631" i="84"/>
  <c r="H1631" i="84"/>
  <c r="I1631" i="84"/>
  <c r="G1632" i="84"/>
  <c r="H1632" i="84"/>
  <c r="I1632" i="84"/>
  <c r="G1633" i="84"/>
  <c r="H1633" i="84"/>
  <c r="I1633" i="84"/>
  <c r="G1634" i="84"/>
  <c r="H1634" i="84"/>
  <c r="I1634" i="84"/>
  <c r="G1635" i="84"/>
  <c r="H1635" i="84"/>
  <c r="I1635" i="84"/>
  <c r="G1636" i="84"/>
  <c r="H1636" i="84"/>
  <c r="I1636" i="84"/>
  <c r="G1637" i="84"/>
  <c r="H1637" i="84"/>
  <c r="I1637" i="84"/>
  <c r="G1638" i="84"/>
  <c r="H1638" i="84"/>
  <c r="I1638" i="84"/>
  <c r="G1639" i="84"/>
  <c r="H1639" i="84"/>
  <c r="I1639" i="84"/>
  <c r="G1640" i="84"/>
  <c r="H1640" i="84"/>
  <c r="I1640" i="84"/>
  <c r="G1641" i="84"/>
  <c r="H1641" i="84"/>
  <c r="I1641" i="84"/>
  <c r="G1642" i="84"/>
  <c r="H1642" i="84"/>
  <c r="I1642" i="84"/>
  <c r="G1643" i="84"/>
  <c r="H1643" i="84"/>
  <c r="I1643" i="84"/>
  <c r="I2" i="84"/>
  <c r="H2" i="84"/>
  <c r="G2" i="84"/>
  <c r="C2" i="84"/>
  <c r="F2" i="84" s="1"/>
  <c r="F3" i="84" s="1"/>
  <c r="F4" i="84" s="1"/>
  <c r="F5" i="84" s="1"/>
  <c r="F6" i="84" s="1"/>
  <c r="F7" i="84" s="1"/>
  <c r="F8" i="84" s="1"/>
  <c r="F9" i="84" s="1"/>
  <c r="F10" i="84" s="1"/>
  <c r="F11" i="84" s="1"/>
  <c r="F12" i="84" s="1"/>
  <c r="F13" i="84" s="1"/>
  <c r="F14" i="84" s="1"/>
  <c r="F15" i="84" s="1"/>
  <c r="F16" i="84" s="1"/>
  <c r="F17" i="84" s="1"/>
  <c r="F18" i="84" s="1"/>
  <c r="F19" i="84" s="1"/>
  <c r="F20" i="84" s="1"/>
  <c r="F21" i="84" s="1"/>
  <c r="F22" i="84" s="1"/>
  <c r="F23" i="84" s="1"/>
  <c r="F24" i="84" s="1"/>
  <c r="F25" i="84" s="1"/>
  <c r="F26" i="84" s="1"/>
  <c r="F27" i="84" s="1"/>
  <c r="F28" i="84" s="1"/>
  <c r="F29" i="84" s="1"/>
  <c r="F30" i="84" s="1"/>
  <c r="F31" i="84" s="1"/>
  <c r="F32" i="84" s="1"/>
  <c r="F33" i="84" s="1"/>
  <c r="F34" i="84" s="1"/>
  <c r="F35" i="84" s="1"/>
  <c r="F36" i="84" s="1"/>
  <c r="F37" i="84" s="1"/>
  <c r="F38" i="84" s="1"/>
  <c r="F39" i="84" s="1"/>
  <c r="F40" i="84" s="1"/>
  <c r="F41" i="84" s="1"/>
  <c r="F42" i="84" s="1"/>
  <c r="F43" i="84" s="1"/>
  <c r="F44" i="84" s="1"/>
  <c r="F45" i="84" s="1"/>
  <c r="F46" i="84" s="1"/>
  <c r="F47" i="84" s="1"/>
  <c r="F48" i="84" s="1"/>
  <c r="F49" i="84" s="1"/>
  <c r="F50" i="84" s="1"/>
  <c r="F51" i="84" s="1"/>
  <c r="F52" i="84" s="1"/>
  <c r="F53" i="84" s="1"/>
  <c r="F54" i="84" s="1"/>
  <c r="F55" i="84" s="1"/>
  <c r="F56" i="84" s="1"/>
  <c r="F57" i="84" s="1"/>
  <c r="F58" i="84" s="1"/>
  <c r="F59" i="84" s="1"/>
  <c r="F60" i="84" s="1"/>
  <c r="F61" i="84" s="1"/>
  <c r="F62" i="84" s="1"/>
  <c r="F63" i="84" s="1"/>
  <c r="F64" i="84" s="1"/>
  <c r="F65" i="84" s="1"/>
  <c r="F66" i="84" s="1"/>
  <c r="F67" i="84" s="1"/>
  <c r="F68" i="84" s="1"/>
  <c r="F69" i="84" s="1"/>
  <c r="F70" i="84" s="1"/>
  <c r="F71" i="84" s="1"/>
  <c r="F72" i="84" s="1"/>
  <c r="F73" i="84" s="1"/>
  <c r="F74" i="84" s="1"/>
  <c r="F75" i="84" s="1"/>
  <c r="F76" i="84" s="1"/>
  <c r="F77" i="84" s="1"/>
  <c r="F78" i="84" s="1"/>
  <c r="F79" i="84" s="1"/>
  <c r="F80" i="84" s="1"/>
  <c r="F81" i="84" s="1"/>
  <c r="F82" i="84" s="1"/>
  <c r="F83" i="84" s="1"/>
  <c r="F84" i="84" s="1"/>
  <c r="F85" i="84" s="1"/>
  <c r="F86" i="84" s="1"/>
  <c r="F87" i="84" s="1"/>
  <c r="F88" i="84" s="1"/>
  <c r="F89" i="84" s="1"/>
  <c r="F90" i="84" s="1"/>
  <c r="F91" i="84" s="1"/>
  <c r="F92" i="84" s="1"/>
  <c r="F93" i="84" s="1"/>
  <c r="F94" i="84" s="1"/>
  <c r="F95" i="84" s="1"/>
  <c r="F96" i="84" s="1"/>
  <c r="F97" i="84" s="1"/>
  <c r="F98" i="84" s="1"/>
  <c r="F99" i="84" s="1"/>
  <c r="F100" i="84" s="1"/>
  <c r="F101" i="84" s="1"/>
  <c r="F102" i="84" s="1"/>
  <c r="F103" i="84" s="1"/>
  <c r="F104" i="84" s="1"/>
  <c r="F105" i="84" s="1"/>
  <c r="F106" i="84" s="1"/>
  <c r="F107" i="84" s="1"/>
  <c r="F108" i="84" s="1"/>
  <c r="F109" i="84" s="1"/>
  <c r="F110" i="84" s="1"/>
  <c r="F111" i="84" s="1"/>
  <c r="F112" i="84" s="1"/>
  <c r="F113" i="84" s="1"/>
  <c r="F114" i="84" s="1"/>
  <c r="F115" i="84" s="1"/>
  <c r="F116" i="84" s="1"/>
  <c r="F117" i="84" s="1"/>
  <c r="F118" i="84" s="1"/>
  <c r="F119" i="84" s="1"/>
  <c r="F120" i="84" s="1"/>
  <c r="F121" i="84" s="1"/>
  <c r="F122" i="84" s="1"/>
  <c r="F123" i="84" s="1"/>
  <c r="F124" i="84" s="1"/>
  <c r="F125" i="84" s="1"/>
  <c r="F126" i="84" s="1"/>
  <c r="F127" i="84" s="1"/>
  <c r="F128" i="84" s="1"/>
  <c r="F129" i="84" s="1"/>
  <c r="F130" i="84" s="1"/>
  <c r="F131" i="84" s="1"/>
  <c r="F132" i="84" s="1"/>
  <c r="F133" i="84" s="1"/>
  <c r="F134" i="84" s="1"/>
  <c r="F135" i="84" s="1"/>
  <c r="F136" i="84" s="1"/>
  <c r="F137" i="84" s="1"/>
  <c r="F138" i="84" s="1"/>
  <c r="F139" i="84" s="1"/>
  <c r="F140" i="84" s="1"/>
  <c r="F141" i="84" s="1"/>
  <c r="F142" i="84" s="1"/>
  <c r="F143" i="84" s="1"/>
  <c r="F144" i="84" s="1"/>
  <c r="F145" i="84" s="1"/>
  <c r="F146" i="84" s="1"/>
  <c r="F147" i="84" s="1"/>
  <c r="F148" i="84" s="1"/>
  <c r="F149" i="84" s="1"/>
  <c r="F150" i="84" s="1"/>
  <c r="F151" i="84" s="1"/>
  <c r="F152" i="84" s="1"/>
  <c r="F153" i="84" s="1"/>
  <c r="F154" i="84" s="1"/>
  <c r="F155" i="84" s="1"/>
  <c r="F156" i="84" s="1"/>
  <c r="F157" i="84" s="1"/>
  <c r="F158" i="84" s="1"/>
  <c r="F159" i="84" s="1"/>
  <c r="F160" i="84" s="1"/>
  <c r="F161" i="84" s="1"/>
  <c r="F162" i="84" s="1"/>
  <c r="F163" i="84" s="1"/>
  <c r="F164" i="84" s="1"/>
  <c r="F165" i="84" s="1"/>
  <c r="F166" i="84" s="1"/>
  <c r="F167" i="84" s="1"/>
  <c r="F168" i="84" s="1"/>
  <c r="F169" i="84" s="1"/>
  <c r="F170" i="84" s="1"/>
  <c r="F171" i="84" s="1"/>
  <c r="F172" i="84" s="1"/>
  <c r="F173" i="84" s="1"/>
  <c r="F174" i="84" s="1"/>
  <c r="F175" i="84" s="1"/>
  <c r="F176" i="84" s="1"/>
  <c r="F177" i="84" s="1"/>
  <c r="F178" i="84" s="1"/>
  <c r="F179" i="84" s="1"/>
  <c r="F180" i="84" s="1"/>
  <c r="F181" i="84" s="1"/>
  <c r="F182" i="84" s="1"/>
  <c r="F183" i="84" s="1"/>
  <c r="F184" i="84" s="1"/>
  <c r="F185" i="84" s="1"/>
  <c r="F186" i="84" s="1"/>
  <c r="F187" i="84" s="1"/>
  <c r="F188" i="84" s="1"/>
  <c r="F189" i="84" s="1"/>
  <c r="F190" i="84" s="1"/>
  <c r="F191" i="84" s="1"/>
  <c r="F192" i="84" s="1"/>
  <c r="F193" i="84" s="1"/>
  <c r="F194" i="84" s="1"/>
  <c r="F195" i="84" s="1"/>
  <c r="F196" i="84" s="1"/>
  <c r="F197" i="84" s="1"/>
  <c r="F198" i="84" s="1"/>
  <c r="F199" i="84" s="1"/>
  <c r="F200" i="84" s="1"/>
  <c r="F201" i="84" s="1"/>
  <c r="F202" i="84" s="1"/>
  <c r="F203" i="84" s="1"/>
  <c r="F204" i="84" s="1"/>
  <c r="F205" i="84" s="1"/>
  <c r="F206" i="84" s="1"/>
  <c r="F207" i="84" s="1"/>
  <c r="F208" i="84" s="1"/>
  <c r="F209" i="84" s="1"/>
  <c r="F210" i="84" s="1"/>
  <c r="F211" i="84" s="1"/>
  <c r="F212" i="84" s="1"/>
  <c r="F213" i="84" s="1"/>
  <c r="F214" i="84" s="1"/>
  <c r="F215" i="84" s="1"/>
  <c r="F216" i="84" s="1"/>
  <c r="F217" i="84" s="1"/>
  <c r="F218" i="84" s="1"/>
  <c r="F219" i="84" s="1"/>
  <c r="F220" i="84" s="1"/>
  <c r="F221" i="84" s="1"/>
  <c r="F222" i="84" s="1"/>
  <c r="F223" i="84" s="1"/>
  <c r="F224" i="84" s="1"/>
  <c r="F225" i="84" s="1"/>
  <c r="F226" i="84" s="1"/>
  <c r="F227" i="84" s="1"/>
  <c r="F228" i="84" s="1"/>
  <c r="F229" i="84" s="1"/>
  <c r="F230" i="84" s="1"/>
  <c r="F231" i="84" s="1"/>
  <c r="F232" i="84" s="1"/>
  <c r="F233" i="84" s="1"/>
  <c r="F234" i="84" s="1"/>
  <c r="F235" i="84" s="1"/>
  <c r="F236" i="84" s="1"/>
  <c r="F237" i="84" s="1"/>
  <c r="F238" i="84" s="1"/>
  <c r="F239" i="84" s="1"/>
  <c r="F240" i="84" s="1"/>
  <c r="F241" i="84" s="1"/>
  <c r="F242" i="84" s="1"/>
  <c r="F243" i="84" s="1"/>
  <c r="F244" i="84" s="1"/>
  <c r="F245" i="84" s="1"/>
  <c r="F246" i="84" s="1"/>
  <c r="F247" i="84" s="1"/>
  <c r="F248" i="84" s="1"/>
  <c r="F249" i="84" s="1"/>
  <c r="F250" i="84" s="1"/>
  <c r="F251" i="84" s="1"/>
  <c r="F252" i="84" s="1"/>
  <c r="F253" i="84" s="1"/>
  <c r="F254" i="84" s="1"/>
  <c r="F255" i="84" s="1"/>
  <c r="F256" i="84" s="1"/>
  <c r="F257" i="84" s="1"/>
  <c r="F258" i="84" s="1"/>
  <c r="F259" i="84" s="1"/>
  <c r="F260" i="84" s="1"/>
  <c r="F261" i="84" s="1"/>
  <c r="F262" i="84" s="1"/>
  <c r="F263" i="84" s="1"/>
  <c r="F264" i="84" s="1"/>
  <c r="F265" i="84" s="1"/>
  <c r="F266" i="84" s="1"/>
  <c r="F267" i="84" s="1"/>
  <c r="F268" i="84" s="1"/>
  <c r="F269" i="84" s="1"/>
  <c r="F270" i="84" s="1"/>
  <c r="F271" i="84" s="1"/>
  <c r="F272" i="84" s="1"/>
  <c r="F273" i="84" s="1"/>
  <c r="F274" i="84" s="1"/>
  <c r="F275" i="84" s="1"/>
  <c r="F276" i="84" s="1"/>
  <c r="F277" i="84" s="1"/>
  <c r="F278" i="84" s="1"/>
  <c r="F279" i="84" s="1"/>
  <c r="F280" i="84" s="1"/>
  <c r="F281" i="84" s="1"/>
  <c r="F282" i="84" s="1"/>
  <c r="F283" i="84" s="1"/>
  <c r="F284" i="84" s="1"/>
  <c r="F285" i="84" s="1"/>
  <c r="F286" i="84" s="1"/>
  <c r="F287" i="84" s="1"/>
  <c r="F288" i="84" s="1"/>
  <c r="F289" i="84" s="1"/>
  <c r="F290" i="84" s="1"/>
  <c r="F291" i="84" s="1"/>
  <c r="F292" i="84" s="1"/>
  <c r="F293" i="84" s="1"/>
  <c r="F294" i="84" s="1"/>
  <c r="F295" i="84" s="1"/>
  <c r="F296" i="84" s="1"/>
  <c r="F297" i="84" s="1"/>
  <c r="F298" i="84" s="1"/>
  <c r="F299" i="84" s="1"/>
  <c r="F300" i="84" s="1"/>
  <c r="F301" i="84" s="1"/>
  <c r="F302" i="84" s="1"/>
  <c r="F303" i="84" s="1"/>
  <c r="F304" i="84" s="1"/>
  <c r="F305" i="84" s="1"/>
  <c r="F306" i="84" s="1"/>
  <c r="F307" i="84" s="1"/>
  <c r="F308" i="84" s="1"/>
  <c r="F309" i="84" s="1"/>
  <c r="F310" i="84" s="1"/>
  <c r="F311" i="84" s="1"/>
  <c r="F312" i="84" s="1"/>
  <c r="F313" i="84" s="1"/>
  <c r="F314" i="84" s="1"/>
  <c r="F315" i="84" s="1"/>
  <c r="F316" i="84" s="1"/>
  <c r="F317" i="84" s="1"/>
  <c r="F318" i="84" s="1"/>
  <c r="F319" i="84" s="1"/>
  <c r="F320" i="84" s="1"/>
  <c r="F321" i="84" s="1"/>
  <c r="F322" i="84" s="1"/>
  <c r="F323" i="84" s="1"/>
  <c r="F324" i="84" s="1"/>
  <c r="F325" i="84" s="1"/>
  <c r="F326" i="84" s="1"/>
  <c r="F327" i="84" s="1"/>
  <c r="F328" i="84" s="1"/>
  <c r="F329" i="84" s="1"/>
  <c r="F330" i="84" s="1"/>
  <c r="F331" i="84" s="1"/>
  <c r="F332" i="84" s="1"/>
  <c r="F333" i="84" s="1"/>
  <c r="F334" i="84" s="1"/>
  <c r="F335" i="84" s="1"/>
  <c r="F336" i="84" s="1"/>
  <c r="F337" i="84" s="1"/>
  <c r="F338" i="84" s="1"/>
  <c r="F339" i="84" s="1"/>
  <c r="F340" i="84" s="1"/>
  <c r="F341" i="84" s="1"/>
  <c r="F342" i="84" s="1"/>
  <c r="F343" i="84" s="1"/>
  <c r="F344" i="84" s="1"/>
  <c r="F345" i="84" s="1"/>
  <c r="F346" i="84" s="1"/>
  <c r="F347" i="84" s="1"/>
  <c r="F348" i="84" s="1"/>
  <c r="F349" i="84" s="1"/>
  <c r="F350" i="84" s="1"/>
  <c r="F351" i="84" s="1"/>
  <c r="F352" i="84" s="1"/>
  <c r="F353" i="84" s="1"/>
  <c r="F354" i="84" s="1"/>
  <c r="F355" i="84" s="1"/>
  <c r="F356" i="84" s="1"/>
  <c r="F357" i="84" s="1"/>
  <c r="F358" i="84" s="1"/>
  <c r="F359" i="84" s="1"/>
  <c r="F360" i="84" s="1"/>
  <c r="F361" i="84" s="1"/>
  <c r="F362" i="84" s="1"/>
  <c r="F363" i="84" s="1"/>
  <c r="F364" i="84" s="1"/>
  <c r="F365" i="84" s="1"/>
  <c r="F366" i="84" s="1"/>
  <c r="F367" i="84" s="1"/>
  <c r="F368" i="84" s="1"/>
  <c r="F369" i="84" s="1"/>
  <c r="F370" i="84" s="1"/>
  <c r="F371" i="84" s="1"/>
  <c r="F372" i="84" s="1"/>
  <c r="F373" i="84" s="1"/>
  <c r="F374" i="84" s="1"/>
  <c r="F375" i="84" s="1"/>
  <c r="F376" i="84" s="1"/>
  <c r="F377" i="84" s="1"/>
  <c r="F378" i="84" s="1"/>
  <c r="F379" i="84" s="1"/>
  <c r="F380" i="84" s="1"/>
  <c r="F381" i="84" s="1"/>
  <c r="F382" i="84" s="1"/>
  <c r="F383" i="84" s="1"/>
  <c r="F384" i="84" s="1"/>
  <c r="F385" i="84" s="1"/>
  <c r="F386" i="84" s="1"/>
  <c r="F387" i="84" s="1"/>
  <c r="F388" i="84" s="1"/>
  <c r="F389" i="84" s="1"/>
  <c r="F390" i="84" s="1"/>
  <c r="F391" i="84" s="1"/>
  <c r="F392" i="84" s="1"/>
  <c r="F393" i="84" s="1"/>
  <c r="F394" i="84" s="1"/>
  <c r="F395" i="84" s="1"/>
  <c r="F396" i="84" s="1"/>
  <c r="F397" i="84" s="1"/>
  <c r="F398" i="84" s="1"/>
  <c r="F399" i="84" s="1"/>
  <c r="F400" i="84" s="1"/>
  <c r="F401" i="84" s="1"/>
  <c r="F402" i="84" s="1"/>
  <c r="F403" i="84" s="1"/>
  <c r="F404" i="84" s="1"/>
  <c r="F405" i="84" s="1"/>
  <c r="F406" i="84" s="1"/>
  <c r="F407" i="84" s="1"/>
  <c r="F408" i="84" s="1"/>
  <c r="F409" i="84" s="1"/>
  <c r="F410" i="84" s="1"/>
  <c r="F411" i="84" s="1"/>
  <c r="F412" i="84" s="1"/>
  <c r="F413" i="84" s="1"/>
  <c r="F414" i="84" s="1"/>
  <c r="F415" i="84" s="1"/>
  <c r="F416" i="84" s="1"/>
  <c r="F417" i="84" s="1"/>
  <c r="F418" i="84" s="1"/>
  <c r="F419" i="84" s="1"/>
  <c r="F420" i="84" s="1"/>
  <c r="F421" i="84" s="1"/>
  <c r="F422" i="84" s="1"/>
  <c r="F423" i="84" s="1"/>
  <c r="F424" i="84" s="1"/>
  <c r="F425" i="84" s="1"/>
  <c r="F426" i="84" s="1"/>
  <c r="F427" i="84" s="1"/>
  <c r="F428" i="84" s="1"/>
  <c r="F429" i="84" s="1"/>
  <c r="F430" i="84" s="1"/>
  <c r="F431" i="84" s="1"/>
  <c r="F432" i="84" s="1"/>
  <c r="F433" i="84" s="1"/>
  <c r="F434" i="84" s="1"/>
  <c r="F435" i="84" s="1"/>
  <c r="F436" i="84" s="1"/>
  <c r="F437" i="84" s="1"/>
  <c r="F438" i="84" s="1"/>
  <c r="F439" i="84" s="1"/>
  <c r="F440" i="84" s="1"/>
  <c r="F441" i="84" s="1"/>
  <c r="F442" i="84" s="1"/>
  <c r="F443" i="84" s="1"/>
  <c r="F444" i="84" s="1"/>
  <c r="F445" i="84" s="1"/>
  <c r="F446" i="84" s="1"/>
  <c r="F447" i="84" s="1"/>
  <c r="F448" i="84" s="1"/>
  <c r="F449" i="84" s="1"/>
  <c r="F450" i="84" s="1"/>
  <c r="F451" i="84" s="1"/>
  <c r="F452" i="84" s="1"/>
  <c r="F453" i="84" s="1"/>
  <c r="F454" i="84" s="1"/>
  <c r="F455" i="84" s="1"/>
  <c r="F456" i="84" s="1"/>
  <c r="F457" i="84" s="1"/>
  <c r="F458" i="84" s="1"/>
  <c r="F459" i="84" s="1"/>
  <c r="F460" i="84" s="1"/>
  <c r="F461" i="84" s="1"/>
  <c r="F462" i="84" s="1"/>
  <c r="F463" i="84" s="1"/>
  <c r="F464" i="84" s="1"/>
  <c r="F465" i="84" s="1"/>
  <c r="F466" i="84" s="1"/>
  <c r="F467" i="84" s="1"/>
  <c r="F468" i="84" s="1"/>
  <c r="F469" i="84" s="1"/>
  <c r="F470" i="84" s="1"/>
  <c r="F471" i="84" s="1"/>
  <c r="F472" i="84" s="1"/>
  <c r="F473" i="84" s="1"/>
  <c r="F474" i="84" s="1"/>
  <c r="F475" i="84" s="1"/>
  <c r="F476" i="84" s="1"/>
  <c r="F477" i="84" s="1"/>
  <c r="F478" i="84" s="1"/>
  <c r="F479" i="84" s="1"/>
  <c r="F480" i="84" s="1"/>
  <c r="F481" i="84" s="1"/>
  <c r="F482" i="84" s="1"/>
  <c r="F483" i="84" s="1"/>
  <c r="F484" i="84" s="1"/>
  <c r="F485" i="84" s="1"/>
  <c r="F486" i="84" s="1"/>
  <c r="F487" i="84" s="1"/>
  <c r="F488" i="84" s="1"/>
  <c r="F489" i="84" s="1"/>
  <c r="F490" i="84" s="1"/>
  <c r="F491" i="84" s="1"/>
  <c r="F492" i="84" s="1"/>
  <c r="F493" i="84" s="1"/>
  <c r="F494" i="84" s="1"/>
  <c r="F495" i="84" s="1"/>
  <c r="F496" i="84" s="1"/>
  <c r="F497" i="84" s="1"/>
  <c r="F498" i="84" s="1"/>
  <c r="F499" i="84" s="1"/>
  <c r="F500" i="84" s="1"/>
  <c r="F501" i="84" s="1"/>
  <c r="F502" i="84" s="1"/>
  <c r="F503" i="84" s="1"/>
  <c r="F504" i="84" s="1"/>
  <c r="F505" i="84" s="1"/>
  <c r="F506" i="84" s="1"/>
  <c r="F507" i="84" s="1"/>
  <c r="F508" i="84" s="1"/>
  <c r="F509" i="84" s="1"/>
  <c r="F510" i="84" s="1"/>
  <c r="F511" i="84" s="1"/>
  <c r="F512" i="84" s="1"/>
  <c r="F513" i="84" s="1"/>
  <c r="F514" i="84" s="1"/>
  <c r="F515" i="84" s="1"/>
  <c r="F516" i="84" s="1"/>
  <c r="F517" i="84" s="1"/>
  <c r="F518" i="84" s="1"/>
  <c r="F519" i="84" s="1"/>
  <c r="F520" i="84" s="1"/>
  <c r="F521" i="84" s="1"/>
  <c r="F522" i="84" s="1"/>
  <c r="F523" i="84" s="1"/>
  <c r="F524" i="84" s="1"/>
  <c r="F525" i="84" s="1"/>
  <c r="F526" i="84" s="1"/>
  <c r="F527" i="84" s="1"/>
  <c r="F528" i="84" s="1"/>
  <c r="F529" i="84" s="1"/>
  <c r="F530" i="84" s="1"/>
  <c r="F531" i="84" s="1"/>
  <c r="F532" i="84" s="1"/>
  <c r="F533" i="84" s="1"/>
  <c r="F534" i="84" s="1"/>
  <c r="F535" i="84" s="1"/>
  <c r="F536" i="84" s="1"/>
  <c r="F537" i="84" s="1"/>
  <c r="F538" i="84" s="1"/>
  <c r="F539" i="84" s="1"/>
  <c r="F540" i="84" s="1"/>
  <c r="F541" i="84" s="1"/>
  <c r="F542" i="84" s="1"/>
  <c r="F543" i="84" s="1"/>
  <c r="F544" i="84" s="1"/>
  <c r="F545" i="84" s="1"/>
  <c r="F546" i="84" s="1"/>
  <c r="F547" i="84" s="1"/>
  <c r="F548" i="84" s="1"/>
  <c r="F549" i="84" s="1"/>
  <c r="F550" i="84" s="1"/>
  <c r="F551" i="84" s="1"/>
  <c r="F552" i="84" s="1"/>
  <c r="F553" i="84" s="1"/>
  <c r="F554" i="84" s="1"/>
  <c r="F555" i="84" s="1"/>
  <c r="F556" i="84" s="1"/>
  <c r="F557" i="84" s="1"/>
  <c r="F558" i="84" s="1"/>
  <c r="F559" i="84" s="1"/>
  <c r="F560" i="84" s="1"/>
  <c r="F561" i="84" s="1"/>
  <c r="F562" i="84" s="1"/>
  <c r="F563" i="84" s="1"/>
  <c r="F564" i="84" s="1"/>
  <c r="F565" i="84" s="1"/>
  <c r="F566" i="84" s="1"/>
  <c r="F567" i="84" s="1"/>
  <c r="F568" i="84" s="1"/>
  <c r="F569" i="84" s="1"/>
  <c r="F570" i="84" s="1"/>
  <c r="F571" i="84" s="1"/>
  <c r="F572" i="84" s="1"/>
  <c r="F573" i="84" s="1"/>
  <c r="F574" i="84" s="1"/>
  <c r="F575" i="84" s="1"/>
  <c r="F576" i="84" s="1"/>
  <c r="F577" i="84" s="1"/>
  <c r="F578" i="84" s="1"/>
  <c r="F579" i="84" s="1"/>
  <c r="F580" i="84" s="1"/>
  <c r="F581" i="84" s="1"/>
  <c r="F582" i="84" s="1"/>
  <c r="F583" i="84" s="1"/>
  <c r="F584" i="84" s="1"/>
  <c r="F585" i="84" s="1"/>
  <c r="F586" i="84" s="1"/>
  <c r="F587" i="84" s="1"/>
  <c r="F588" i="84" s="1"/>
  <c r="F589" i="84" s="1"/>
  <c r="F590" i="84" s="1"/>
  <c r="F591" i="84" s="1"/>
  <c r="F592" i="84" s="1"/>
  <c r="F593" i="84" s="1"/>
  <c r="F594" i="84" s="1"/>
  <c r="F595" i="84" s="1"/>
  <c r="F596" i="84" s="1"/>
  <c r="F597" i="84" s="1"/>
  <c r="F598" i="84" s="1"/>
  <c r="F599" i="84" s="1"/>
  <c r="F600" i="84" s="1"/>
  <c r="F601" i="84" s="1"/>
  <c r="F602" i="84" s="1"/>
  <c r="F603" i="84" s="1"/>
  <c r="F604" i="84" s="1"/>
  <c r="F605" i="84" s="1"/>
  <c r="F606" i="84" s="1"/>
  <c r="F607" i="84" s="1"/>
  <c r="F608" i="84" s="1"/>
  <c r="F609" i="84" s="1"/>
  <c r="F610" i="84" s="1"/>
  <c r="F611" i="84" s="1"/>
  <c r="F612" i="84" s="1"/>
  <c r="F613" i="84" s="1"/>
  <c r="F614" i="84" s="1"/>
  <c r="F615" i="84" s="1"/>
  <c r="F616" i="84" s="1"/>
  <c r="F617" i="84" s="1"/>
  <c r="F618" i="84" s="1"/>
  <c r="F619" i="84" s="1"/>
  <c r="F620" i="84" s="1"/>
  <c r="F621" i="84" s="1"/>
  <c r="F622" i="84" s="1"/>
  <c r="F623" i="84" s="1"/>
  <c r="F624" i="84" s="1"/>
  <c r="F625" i="84" s="1"/>
  <c r="F626" i="84" s="1"/>
  <c r="F627" i="84" s="1"/>
  <c r="F628" i="84" s="1"/>
  <c r="F629" i="84" s="1"/>
  <c r="F630" i="84" s="1"/>
  <c r="F631" i="84" s="1"/>
  <c r="F632" i="84" s="1"/>
  <c r="F633" i="84" s="1"/>
  <c r="F634" i="84" s="1"/>
  <c r="F635" i="84" s="1"/>
  <c r="F636" i="84" s="1"/>
  <c r="F637" i="84" s="1"/>
  <c r="F638" i="84" s="1"/>
  <c r="F639" i="84" s="1"/>
  <c r="F640" i="84" s="1"/>
  <c r="F641" i="84" s="1"/>
  <c r="F642" i="84" s="1"/>
  <c r="F643" i="84" s="1"/>
  <c r="F644" i="84" s="1"/>
  <c r="F645" i="84" s="1"/>
  <c r="F646" i="84" s="1"/>
  <c r="F647" i="84" s="1"/>
  <c r="F648" i="84" s="1"/>
  <c r="F649" i="84" s="1"/>
  <c r="F650" i="84" s="1"/>
  <c r="F651" i="84" s="1"/>
  <c r="F652" i="84" s="1"/>
  <c r="F653" i="84" s="1"/>
  <c r="F654" i="84" s="1"/>
  <c r="F655" i="84" s="1"/>
  <c r="F656" i="84" s="1"/>
  <c r="F657" i="84" s="1"/>
  <c r="F658" i="84" s="1"/>
  <c r="F659" i="84" s="1"/>
  <c r="F660" i="84" s="1"/>
  <c r="F661" i="84" s="1"/>
  <c r="F662" i="84" s="1"/>
  <c r="F663" i="84" s="1"/>
  <c r="F664" i="84" s="1"/>
  <c r="F665" i="84" s="1"/>
  <c r="F666" i="84" s="1"/>
  <c r="F667" i="84" s="1"/>
  <c r="F668" i="84" s="1"/>
  <c r="F669" i="84" s="1"/>
  <c r="F670" i="84" s="1"/>
  <c r="F671" i="84" s="1"/>
  <c r="F672" i="84" s="1"/>
  <c r="F673" i="84" s="1"/>
  <c r="F674" i="84" s="1"/>
  <c r="F675" i="84" s="1"/>
  <c r="F676" i="84" s="1"/>
  <c r="F677" i="84" s="1"/>
  <c r="F678" i="84" s="1"/>
  <c r="F679" i="84" s="1"/>
  <c r="F680" i="84" s="1"/>
  <c r="F681" i="84" s="1"/>
  <c r="F682" i="84" s="1"/>
  <c r="F683" i="84" s="1"/>
  <c r="F684" i="84" s="1"/>
  <c r="F685" i="84" s="1"/>
  <c r="F686" i="84" s="1"/>
  <c r="F687" i="84" s="1"/>
  <c r="F688" i="84" s="1"/>
  <c r="F689" i="84" s="1"/>
  <c r="F690" i="84" s="1"/>
  <c r="F691" i="84" s="1"/>
  <c r="F692" i="84" s="1"/>
  <c r="F693" i="84" s="1"/>
  <c r="F694" i="84" s="1"/>
  <c r="F695" i="84" s="1"/>
  <c r="F696" i="84" s="1"/>
  <c r="F697" i="84" s="1"/>
  <c r="F698" i="84" s="1"/>
  <c r="F699" i="84" s="1"/>
  <c r="F700" i="84" s="1"/>
  <c r="F701" i="84" s="1"/>
  <c r="F702" i="84" s="1"/>
  <c r="F703" i="84" s="1"/>
  <c r="F704" i="84" s="1"/>
  <c r="F705" i="84" s="1"/>
  <c r="F706" i="84" s="1"/>
  <c r="F707" i="84" s="1"/>
  <c r="F708" i="84" s="1"/>
  <c r="F709" i="84" s="1"/>
  <c r="F710" i="84" s="1"/>
  <c r="F711" i="84" s="1"/>
  <c r="F712" i="84" s="1"/>
  <c r="F713" i="84" s="1"/>
  <c r="F714" i="84" s="1"/>
  <c r="F715" i="84" s="1"/>
  <c r="F716" i="84" s="1"/>
  <c r="F717" i="84" s="1"/>
  <c r="F718" i="84" s="1"/>
  <c r="F719" i="84" s="1"/>
  <c r="F720" i="84" s="1"/>
  <c r="F721" i="84" s="1"/>
  <c r="F722" i="84" s="1"/>
  <c r="F723" i="84" s="1"/>
  <c r="F724" i="84" s="1"/>
  <c r="F725" i="84" s="1"/>
  <c r="F726" i="84" s="1"/>
  <c r="F727" i="84" s="1"/>
  <c r="F728" i="84" s="1"/>
  <c r="F729" i="84" s="1"/>
  <c r="F730" i="84" s="1"/>
  <c r="F731" i="84" s="1"/>
  <c r="F732" i="84" s="1"/>
  <c r="F733" i="84" s="1"/>
  <c r="F734" i="84" s="1"/>
  <c r="F735" i="84" s="1"/>
  <c r="F736" i="84" s="1"/>
  <c r="F737" i="84" s="1"/>
  <c r="F738" i="84" s="1"/>
  <c r="F739" i="84" s="1"/>
  <c r="F740" i="84" s="1"/>
  <c r="F741" i="84" s="1"/>
  <c r="F742" i="84" s="1"/>
  <c r="F743" i="84" s="1"/>
  <c r="F744" i="84" s="1"/>
  <c r="F745" i="84" s="1"/>
  <c r="F746" i="84" s="1"/>
  <c r="F747" i="84" s="1"/>
  <c r="F748" i="84" s="1"/>
  <c r="F749" i="84" s="1"/>
  <c r="F750" i="84" s="1"/>
  <c r="F751" i="84" s="1"/>
  <c r="F752" i="84" s="1"/>
  <c r="F753" i="84" s="1"/>
  <c r="F754" i="84" s="1"/>
  <c r="F755" i="84" s="1"/>
  <c r="F756" i="84" s="1"/>
  <c r="F757" i="84" s="1"/>
  <c r="F758" i="84" s="1"/>
  <c r="F759" i="84" s="1"/>
  <c r="F760" i="84" s="1"/>
  <c r="F761" i="84" s="1"/>
  <c r="F762" i="84" s="1"/>
  <c r="F763" i="84" s="1"/>
  <c r="F764" i="84" s="1"/>
  <c r="F765" i="84" s="1"/>
  <c r="F766" i="84" s="1"/>
  <c r="F767" i="84" s="1"/>
  <c r="F768" i="84" s="1"/>
  <c r="F769" i="84" s="1"/>
  <c r="F770" i="84" s="1"/>
  <c r="F771" i="84" s="1"/>
  <c r="F772" i="84" s="1"/>
  <c r="F773" i="84" s="1"/>
  <c r="F774" i="84" s="1"/>
  <c r="F775" i="84" s="1"/>
  <c r="F776" i="84" s="1"/>
  <c r="F777" i="84" s="1"/>
  <c r="F778" i="84" s="1"/>
  <c r="F779" i="84" s="1"/>
  <c r="F780" i="84" s="1"/>
  <c r="F781" i="84" s="1"/>
  <c r="F782" i="84" s="1"/>
  <c r="F783" i="84" s="1"/>
  <c r="F784" i="84" s="1"/>
  <c r="F785" i="84" s="1"/>
  <c r="F786" i="84" s="1"/>
  <c r="F787" i="84" s="1"/>
  <c r="F788" i="84" s="1"/>
  <c r="F789" i="84" s="1"/>
  <c r="F790" i="84" s="1"/>
  <c r="F791" i="84" s="1"/>
  <c r="F792" i="84" s="1"/>
  <c r="F793" i="84" s="1"/>
  <c r="F794" i="84" s="1"/>
  <c r="F795" i="84" s="1"/>
  <c r="F796" i="84" s="1"/>
  <c r="F797" i="84" s="1"/>
  <c r="F798" i="84" s="1"/>
  <c r="F799" i="84" s="1"/>
  <c r="F800" i="84" s="1"/>
  <c r="F801" i="84" s="1"/>
  <c r="F802" i="84" s="1"/>
  <c r="F803" i="84" s="1"/>
  <c r="F804" i="84" s="1"/>
  <c r="F805" i="84" s="1"/>
  <c r="F806" i="84" s="1"/>
  <c r="F807" i="84" s="1"/>
  <c r="F808" i="84" s="1"/>
  <c r="F809" i="84" s="1"/>
  <c r="F810" i="84" s="1"/>
  <c r="F811" i="84" s="1"/>
  <c r="F812" i="84" s="1"/>
  <c r="F813" i="84" s="1"/>
  <c r="F814" i="84" s="1"/>
  <c r="F815" i="84" s="1"/>
  <c r="F816" i="84" s="1"/>
  <c r="F817" i="84" s="1"/>
  <c r="F818" i="84" s="1"/>
  <c r="F819" i="84" s="1"/>
  <c r="F820" i="84" s="1"/>
  <c r="F821" i="84" s="1"/>
  <c r="F822" i="84" s="1"/>
  <c r="F823" i="84" s="1"/>
  <c r="F824" i="84" s="1"/>
  <c r="F825" i="84" s="1"/>
  <c r="F826" i="84" s="1"/>
  <c r="F827" i="84" s="1"/>
  <c r="F828" i="84" s="1"/>
  <c r="F829" i="84" s="1"/>
  <c r="F830" i="84" s="1"/>
  <c r="F831" i="84" s="1"/>
  <c r="F832" i="84" s="1"/>
  <c r="F833" i="84" s="1"/>
  <c r="F834" i="84" s="1"/>
  <c r="F835" i="84" s="1"/>
  <c r="F836" i="84" s="1"/>
  <c r="F837" i="84" s="1"/>
  <c r="F838" i="84" s="1"/>
  <c r="F839" i="84" s="1"/>
  <c r="F840" i="84" s="1"/>
  <c r="F841" i="84" s="1"/>
  <c r="F842" i="84" s="1"/>
  <c r="F843" i="84" s="1"/>
  <c r="F844" i="84" s="1"/>
  <c r="F845" i="84" s="1"/>
  <c r="F846" i="84" s="1"/>
  <c r="F847" i="84" s="1"/>
  <c r="F848" i="84" s="1"/>
  <c r="F849" i="84" s="1"/>
  <c r="F850" i="84" s="1"/>
  <c r="F851" i="84" s="1"/>
  <c r="F852" i="84" s="1"/>
  <c r="F853" i="84" s="1"/>
  <c r="F854" i="84" s="1"/>
  <c r="F855" i="84" s="1"/>
  <c r="F856" i="84" s="1"/>
  <c r="F857" i="84" s="1"/>
  <c r="F858" i="84" s="1"/>
  <c r="F859" i="84" s="1"/>
  <c r="F860" i="84" s="1"/>
  <c r="F861" i="84" s="1"/>
  <c r="F862" i="84" s="1"/>
  <c r="F863" i="84" s="1"/>
  <c r="F864" i="84" s="1"/>
  <c r="F865" i="84" s="1"/>
  <c r="F866" i="84" s="1"/>
  <c r="F867" i="84" s="1"/>
  <c r="F868" i="84" s="1"/>
  <c r="F869" i="84" s="1"/>
  <c r="F870" i="84" s="1"/>
  <c r="F871" i="84" s="1"/>
  <c r="F872" i="84" s="1"/>
  <c r="F873" i="84" s="1"/>
  <c r="F874" i="84" s="1"/>
  <c r="F875" i="84" s="1"/>
  <c r="F876" i="84" s="1"/>
  <c r="F877" i="84" s="1"/>
  <c r="F878" i="84" s="1"/>
  <c r="F879" i="84" s="1"/>
  <c r="F880" i="84" s="1"/>
  <c r="F881" i="84" s="1"/>
  <c r="F882" i="84" s="1"/>
  <c r="F883" i="84" s="1"/>
  <c r="F884" i="84" s="1"/>
  <c r="F885" i="84" s="1"/>
  <c r="F886" i="84" s="1"/>
  <c r="F887" i="84" s="1"/>
  <c r="F888" i="84" s="1"/>
  <c r="F889" i="84" s="1"/>
  <c r="F890" i="84" s="1"/>
  <c r="F891" i="84" s="1"/>
  <c r="F892" i="84" s="1"/>
  <c r="F893" i="84" s="1"/>
  <c r="F894" i="84" s="1"/>
  <c r="F895" i="84" s="1"/>
  <c r="F896" i="84" s="1"/>
  <c r="F897" i="84" s="1"/>
  <c r="F898" i="84" s="1"/>
  <c r="F899" i="84" s="1"/>
  <c r="F900" i="84" s="1"/>
  <c r="F901" i="84" s="1"/>
  <c r="F902" i="84" s="1"/>
  <c r="F903" i="84" s="1"/>
  <c r="F904" i="84" s="1"/>
  <c r="F905" i="84" s="1"/>
  <c r="F906" i="84" s="1"/>
  <c r="F907" i="84" s="1"/>
  <c r="F908" i="84" s="1"/>
  <c r="F909" i="84" s="1"/>
  <c r="F910" i="84" s="1"/>
  <c r="F911" i="84" s="1"/>
  <c r="F912" i="84" s="1"/>
  <c r="F913" i="84" s="1"/>
  <c r="F914" i="84" s="1"/>
  <c r="F915" i="84" s="1"/>
  <c r="F916" i="84" s="1"/>
  <c r="F917" i="84" s="1"/>
  <c r="F918" i="84" s="1"/>
  <c r="F919" i="84" s="1"/>
  <c r="F920" i="84" s="1"/>
  <c r="F921" i="84" s="1"/>
  <c r="F922" i="84" s="1"/>
  <c r="F923" i="84" s="1"/>
  <c r="F924" i="84" s="1"/>
  <c r="F925" i="84" s="1"/>
  <c r="F926" i="84" s="1"/>
  <c r="F927" i="84" s="1"/>
  <c r="F928" i="84" s="1"/>
  <c r="F929" i="84" s="1"/>
  <c r="F930" i="84" s="1"/>
  <c r="F931" i="84" s="1"/>
  <c r="F932" i="84" s="1"/>
  <c r="F933" i="84" s="1"/>
  <c r="F934" i="84" s="1"/>
  <c r="F935" i="84" s="1"/>
  <c r="F936" i="84" s="1"/>
  <c r="F937" i="84" s="1"/>
  <c r="F938" i="84" s="1"/>
  <c r="F939" i="84" s="1"/>
  <c r="F940" i="84" s="1"/>
  <c r="F941" i="84" s="1"/>
  <c r="F942" i="84" s="1"/>
  <c r="F943" i="84" s="1"/>
  <c r="F944" i="84" s="1"/>
  <c r="F945" i="84" s="1"/>
  <c r="F946" i="84" s="1"/>
  <c r="F947" i="84" s="1"/>
  <c r="F948" i="84" s="1"/>
  <c r="F949" i="84" s="1"/>
  <c r="F950" i="84" s="1"/>
  <c r="F951" i="84" s="1"/>
  <c r="F952" i="84" s="1"/>
  <c r="F953" i="84" s="1"/>
  <c r="F954" i="84" s="1"/>
  <c r="F955" i="84" s="1"/>
  <c r="F956" i="84" s="1"/>
  <c r="F957" i="84" s="1"/>
  <c r="F958" i="84" s="1"/>
  <c r="F959" i="84" s="1"/>
  <c r="F960" i="84" s="1"/>
  <c r="F961" i="84" s="1"/>
  <c r="F962" i="84" s="1"/>
  <c r="F963" i="84" s="1"/>
  <c r="F964" i="84" s="1"/>
  <c r="F965" i="84" s="1"/>
  <c r="F966" i="84" s="1"/>
  <c r="F967" i="84" s="1"/>
  <c r="F968" i="84" s="1"/>
  <c r="F969" i="84" s="1"/>
  <c r="F970" i="84" s="1"/>
  <c r="F971" i="84" s="1"/>
  <c r="F972" i="84" s="1"/>
  <c r="F973" i="84" s="1"/>
  <c r="F974" i="84" s="1"/>
  <c r="F975" i="84" s="1"/>
  <c r="F976" i="84" s="1"/>
  <c r="F977" i="84" s="1"/>
  <c r="F978" i="84" s="1"/>
  <c r="F979" i="84" s="1"/>
  <c r="F980" i="84" s="1"/>
  <c r="F981" i="84" s="1"/>
  <c r="F982" i="84" s="1"/>
  <c r="F983" i="84" s="1"/>
  <c r="F984" i="84" s="1"/>
  <c r="F985" i="84" s="1"/>
  <c r="F986" i="84" s="1"/>
  <c r="F987" i="84" s="1"/>
  <c r="F988" i="84" s="1"/>
  <c r="F989" i="84" s="1"/>
  <c r="F990" i="84" s="1"/>
  <c r="F991" i="84" s="1"/>
  <c r="F992" i="84" s="1"/>
  <c r="F993" i="84" s="1"/>
  <c r="F994" i="84" s="1"/>
  <c r="F995" i="84" s="1"/>
  <c r="F996" i="84" s="1"/>
  <c r="F997" i="84" s="1"/>
  <c r="F998" i="84" s="1"/>
  <c r="F999" i="84" s="1"/>
  <c r="F1000" i="84" s="1"/>
  <c r="F1001" i="84" s="1"/>
  <c r="F1002" i="84" s="1"/>
  <c r="F1003" i="84" s="1"/>
  <c r="F1004" i="84" s="1"/>
  <c r="F1005" i="84" s="1"/>
  <c r="F1006" i="84" s="1"/>
  <c r="F1007" i="84" s="1"/>
  <c r="F1008" i="84" s="1"/>
  <c r="F1009" i="84" s="1"/>
  <c r="F1010" i="84" s="1"/>
  <c r="F1011" i="84" s="1"/>
  <c r="F1012" i="84" s="1"/>
  <c r="F1013" i="84" s="1"/>
  <c r="F1014" i="84" s="1"/>
  <c r="F1015" i="84" s="1"/>
  <c r="F1016" i="84" s="1"/>
  <c r="F1017" i="84" s="1"/>
  <c r="F1018" i="84" s="1"/>
  <c r="F1019" i="84" s="1"/>
  <c r="F1020" i="84" s="1"/>
  <c r="F1021" i="84" s="1"/>
  <c r="F1022" i="84" s="1"/>
  <c r="F1023" i="84" s="1"/>
  <c r="F1024" i="84" s="1"/>
  <c r="F1025" i="84" s="1"/>
  <c r="F1026" i="84" s="1"/>
  <c r="F1027" i="84" s="1"/>
  <c r="F1028" i="84" s="1"/>
  <c r="F1029" i="84" s="1"/>
  <c r="F1030" i="84" s="1"/>
  <c r="F1031" i="84" s="1"/>
  <c r="F1032" i="84" s="1"/>
  <c r="F1033" i="84" s="1"/>
  <c r="F1034" i="84" s="1"/>
  <c r="F1035" i="84" s="1"/>
  <c r="F1036" i="84" s="1"/>
  <c r="F1037" i="84" s="1"/>
  <c r="F1038" i="84" s="1"/>
  <c r="F1039" i="84" s="1"/>
  <c r="F1040" i="84" s="1"/>
  <c r="F1041" i="84" s="1"/>
  <c r="F1042" i="84" s="1"/>
  <c r="F1043" i="84" s="1"/>
  <c r="F1044" i="84" s="1"/>
  <c r="F1045" i="84" s="1"/>
  <c r="F1046" i="84" s="1"/>
  <c r="F1047" i="84" s="1"/>
  <c r="F1048" i="84" s="1"/>
  <c r="F1049" i="84" s="1"/>
  <c r="F1050" i="84" s="1"/>
  <c r="F1051" i="84" s="1"/>
  <c r="F1052" i="84" s="1"/>
  <c r="F1053" i="84" s="1"/>
  <c r="F1054" i="84" s="1"/>
  <c r="F1055" i="84" s="1"/>
  <c r="F1056" i="84" s="1"/>
  <c r="F1057" i="84" s="1"/>
  <c r="F1058" i="84" s="1"/>
  <c r="F1059" i="84" s="1"/>
  <c r="F1060" i="84" s="1"/>
  <c r="F1061" i="84" s="1"/>
  <c r="F1062" i="84" s="1"/>
  <c r="F1063" i="84" s="1"/>
  <c r="F1064" i="84" s="1"/>
  <c r="F1065" i="84" s="1"/>
  <c r="F1066" i="84" s="1"/>
  <c r="F1067" i="84" s="1"/>
  <c r="F1068" i="84" s="1"/>
  <c r="F1069" i="84" s="1"/>
  <c r="F1070" i="84" s="1"/>
  <c r="F1071" i="84" s="1"/>
  <c r="F1072" i="84" s="1"/>
  <c r="F1073" i="84" s="1"/>
  <c r="F1074" i="84" s="1"/>
  <c r="F1075" i="84" s="1"/>
  <c r="F1076" i="84" s="1"/>
  <c r="F1077" i="84" s="1"/>
  <c r="F1078" i="84" s="1"/>
  <c r="F1079" i="84" s="1"/>
  <c r="F1080" i="84" s="1"/>
  <c r="F1081" i="84" s="1"/>
  <c r="F1082" i="84" s="1"/>
  <c r="F1083" i="84" s="1"/>
  <c r="F1084" i="84" s="1"/>
  <c r="F1085" i="84" s="1"/>
  <c r="F1086" i="84" s="1"/>
  <c r="F1087" i="84" s="1"/>
  <c r="F1088" i="84" s="1"/>
  <c r="F1089" i="84" s="1"/>
  <c r="F1090" i="84" s="1"/>
  <c r="F1091" i="84" s="1"/>
  <c r="F1092" i="84" s="1"/>
  <c r="F1093" i="84" s="1"/>
  <c r="F1094" i="84" s="1"/>
  <c r="F1095" i="84" s="1"/>
  <c r="F1096" i="84" s="1"/>
  <c r="F1097" i="84" s="1"/>
  <c r="F1098" i="84" s="1"/>
  <c r="F1099" i="84" s="1"/>
  <c r="F1100" i="84" s="1"/>
  <c r="F1101" i="84" s="1"/>
  <c r="F1102" i="84" s="1"/>
  <c r="F1103" i="84" s="1"/>
  <c r="F1104" i="84" s="1"/>
  <c r="F1105" i="84" s="1"/>
  <c r="F1106" i="84" s="1"/>
  <c r="F1107" i="84" s="1"/>
  <c r="F1108" i="84" s="1"/>
  <c r="F1109" i="84" s="1"/>
  <c r="F1110" i="84" s="1"/>
  <c r="F1111" i="84" s="1"/>
  <c r="F1112" i="84" s="1"/>
  <c r="F1113" i="84" s="1"/>
  <c r="F1114" i="84" s="1"/>
  <c r="F1115" i="84" s="1"/>
  <c r="F1116" i="84" s="1"/>
  <c r="F1117" i="84" s="1"/>
  <c r="F1118" i="84" s="1"/>
  <c r="F1119" i="84" s="1"/>
  <c r="F1120" i="84" s="1"/>
  <c r="F1121" i="84" s="1"/>
  <c r="F1122" i="84" s="1"/>
  <c r="F1123" i="84" s="1"/>
  <c r="F1124" i="84" s="1"/>
  <c r="F1125" i="84" s="1"/>
  <c r="F1126" i="84" s="1"/>
  <c r="F1127" i="84" s="1"/>
  <c r="F1128" i="84" s="1"/>
  <c r="F1129" i="84" s="1"/>
  <c r="F1130" i="84" s="1"/>
  <c r="F1131" i="84" s="1"/>
  <c r="F1132" i="84" s="1"/>
  <c r="F1133" i="84" s="1"/>
  <c r="F1134" i="84" s="1"/>
  <c r="F1135" i="84" s="1"/>
  <c r="F1136" i="84" s="1"/>
  <c r="F1137" i="84" s="1"/>
  <c r="F1138" i="84" s="1"/>
  <c r="F1139" i="84" s="1"/>
  <c r="F1140" i="84" s="1"/>
  <c r="F1141" i="84" s="1"/>
  <c r="F1142" i="84" s="1"/>
  <c r="F1143" i="84" s="1"/>
  <c r="F1144" i="84" s="1"/>
  <c r="F1145" i="84" s="1"/>
  <c r="F1146" i="84" s="1"/>
  <c r="F1147" i="84" s="1"/>
  <c r="F1148" i="84" s="1"/>
  <c r="F1149" i="84" s="1"/>
  <c r="F1150" i="84" s="1"/>
  <c r="F1151" i="84" s="1"/>
  <c r="F1152" i="84" s="1"/>
  <c r="F1153" i="84" s="1"/>
  <c r="F1154" i="84" s="1"/>
  <c r="F1155" i="84" s="1"/>
  <c r="F1156" i="84" s="1"/>
  <c r="F1157" i="84" s="1"/>
  <c r="F1158" i="84" s="1"/>
  <c r="F1159" i="84" s="1"/>
  <c r="F1160" i="84" s="1"/>
  <c r="F1161" i="84" s="1"/>
  <c r="F1162" i="84" s="1"/>
  <c r="F1163" i="84" s="1"/>
  <c r="F1164" i="84" s="1"/>
  <c r="F1165" i="84" s="1"/>
  <c r="F1166" i="84" s="1"/>
  <c r="F1167" i="84" s="1"/>
  <c r="F1168" i="84" s="1"/>
  <c r="F1169" i="84" s="1"/>
  <c r="F1170" i="84" s="1"/>
  <c r="F1171" i="84" s="1"/>
  <c r="F1172" i="84" s="1"/>
  <c r="F1173" i="84" s="1"/>
  <c r="F1174" i="84" s="1"/>
  <c r="F1175" i="84" s="1"/>
  <c r="F1176" i="84" s="1"/>
  <c r="F1177" i="84" s="1"/>
  <c r="F1178" i="84" s="1"/>
  <c r="F1179" i="84" s="1"/>
  <c r="F1180" i="84" s="1"/>
  <c r="F1181" i="84" s="1"/>
  <c r="F1182" i="84" s="1"/>
  <c r="F1183" i="84" s="1"/>
  <c r="F1184" i="84" s="1"/>
  <c r="F1185" i="84" s="1"/>
  <c r="F1186" i="84" s="1"/>
  <c r="F1187" i="84" s="1"/>
  <c r="F1188" i="84" s="1"/>
  <c r="F1189" i="84" s="1"/>
  <c r="F1190" i="84" s="1"/>
  <c r="F1191" i="84" s="1"/>
  <c r="F1192" i="84" s="1"/>
  <c r="F1193" i="84" s="1"/>
  <c r="F1194" i="84" s="1"/>
  <c r="F1195" i="84" s="1"/>
  <c r="F1196" i="84" s="1"/>
  <c r="F1197" i="84" s="1"/>
  <c r="F1198" i="84" s="1"/>
  <c r="F1199" i="84" s="1"/>
  <c r="F1200" i="84" s="1"/>
  <c r="F1201" i="84" s="1"/>
  <c r="F1202" i="84" s="1"/>
  <c r="F1203" i="84" s="1"/>
  <c r="F1204" i="84" s="1"/>
  <c r="F1205" i="84" s="1"/>
  <c r="F1206" i="84" s="1"/>
  <c r="F1207" i="84" s="1"/>
  <c r="F1208" i="84" s="1"/>
  <c r="F1209" i="84" s="1"/>
  <c r="F1210" i="84" s="1"/>
  <c r="F1211" i="84" s="1"/>
  <c r="F1212" i="84" s="1"/>
  <c r="F1213" i="84" s="1"/>
  <c r="F1214" i="84" s="1"/>
  <c r="F1215" i="84" s="1"/>
  <c r="F1216" i="84" s="1"/>
  <c r="F1217" i="84" s="1"/>
  <c r="F1218" i="84" s="1"/>
  <c r="F1219" i="84" s="1"/>
  <c r="F1220" i="84" s="1"/>
  <c r="F1221" i="84" s="1"/>
  <c r="F1222" i="84" s="1"/>
  <c r="F1223" i="84" s="1"/>
  <c r="F1224" i="84" s="1"/>
  <c r="F1225" i="84" s="1"/>
  <c r="F1226" i="84" s="1"/>
  <c r="F1227" i="84" s="1"/>
  <c r="F1228" i="84" s="1"/>
  <c r="F1229" i="84" s="1"/>
  <c r="F1230" i="84" s="1"/>
  <c r="F1231" i="84" s="1"/>
  <c r="F1232" i="84" s="1"/>
  <c r="F1233" i="84" s="1"/>
  <c r="F1234" i="84" s="1"/>
  <c r="F1235" i="84" s="1"/>
  <c r="F1236" i="84" s="1"/>
  <c r="F1237" i="84" s="1"/>
  <c r="F1238" i="84" s="1"/>
  <c r="F1239" i="84" s="1"/>
  <c r="F1240" i="84" s="1"/>
  <c r="F1241" i="84" s="1"/>
  <c r="F1242" i="84" s="1"/>
  <c r="F1243" i="84" s="1"/>
  <c r="F1244" i="84" s="1"/>
  <c r="F1245" i="84" s="1"/>
  <c r="F1246" i="84" s="1"/>
  <c r="F1247" i="84" s="1"/>
  <c r="F1248" i="84" s="1"/>
  <c r="F1249" i="84" s="1"/>
  <c r="F1250" i="84" s="1"/>
  <c r="F1251" i="84" s="1"/>
  <c r="F1252" i="84" s="1"/>
  <c r="F1253" i="84" s="1"/>
  <c r="F1254" i="84" s="1"/>
  <c r="F1255" i="84" s="1"/>
  <c r="F1256" i="84" s="1"/>
  <c r="F1257" i="84" s="1"/>
  <c r="F1258" i="84" s="1"/>
  <c r="F1259" i="84" s="1"/>
  <c r="F1260" i="84" s="1"/>
  <c r="F1261" i="84" s="1"/>
  <c r="F1262" i="84" s="1"/>
  <c r="F1263" i="84" s="1"/>
  <c r="F1264" i="84" s="1"/>
  <c r="F1265" i="84" s="1"/>
  <c r="F1266" i="84" s="1"/>
  <c r="F1267" i="84" s="1"/>
  <c r="F1268" i="84" s="1"/>
  <c r="F1269" i="84" s="1"/>
  <c r="F1270" i="84" s="1"/>
  <c r="F1271" i="84" s="1"/>
  <c r="F1272" i="84" s="1"/>
  <c r="F1273" i="84" s="1"/>
  <c r="F1274" i="84" s="1"/>
  <c r="F1275" i="84" s="1"/>
  <c r="F1276" i="84" s="1"/>
  <c r="F1277" i="84" s="1"/>
  <c r="F1278" i="84" s="1"/>
  <c r="F1279" i="84" s="1"/>
  <c r="F1280" i="84" s="1"/>
  <c r="F1281" i="84" s="1"/>
  <c r="F1282" i="84" s="1"/>
  <c r="F1283" i="84" s="1"/>
  <c r="F1284" i="84" s="1"/>
  <c r="F1285" i="84" s="1"/>
  <c r="F1286" i="84" s="1"/>
  <c r="F1287" i="84" s="1"/>
  <c r="F1288" i="84" s="1"/>
  <c r="F1289" i="84" s="1"/>
  <c r="F1290" i="84" s="1"/>
  <c r="F1291" i="84" s="1"/>
  <c r="F1292" i="84" s="1"/>
  <c r="F1293" i="84" s="1"/>
  <c r="F1294" i="84" s="1"/>
  <c r="F1295" i="84" s="1"/>
  <c r="F1296" i="84" s="1"/>
  <c r="F1297" i="84" s="1"/>
  <c r="F1298" i="84" s="1"/>
  <c r="F1299" i="84" s="1"/>
  <c r="F1300" i="84" s="1"/>
  <c r="F1301" i="84" s="1"/>
  <c r="F1302" i="84" s="1"/>
  <c r="F1303" i="84" s="1"/>
  <c r="F1304" i="84" s="1"/>
  <c r="F1305" i="84" s="1"/>
  <c r="F1306" i="84" s="1"/>
  <c r="F1307" i="84" s="1"/>
  <c r="F1308" i="84" s="1"/>
  <c r="F1309" i="84" s="1"/>
  <c r="F1310" i="84" s="1"/>
  <c r="F1311" i="84" s="1"/>
  <c r="F1312" i="84" s="1"/>
  <c r="F1313" i="84" s="1"/>
  <c r="F1314" i="84" s="1"/>
  <c r="F1315" i="84" s="1"/>
  <c r="F1316" i="84" s="1"/>
  <c r="F1317" i="84" s="1"/>
  <c r="F1318" i="84" s="1"/>
  <c r="F1319" i="84" s="1"/>
  <c r="F1320" i="84" s="1"/>
  <c r="F1321" i="84" s="1"/>
  <c r="F1322" i="84" s="1"/>
  <c r="F1323" i="84" s="1"/>
  <c r="F1324" i="84" s="1"/>
  <c r="F1325" i="84" s="1"/>
  <c r="F1326" i="84" s="1"/>
  <c r="F1327" i="84" s="1"/>
  <c r="F1328" i="84" s="1"/>
  <c r="F1329" i="84" s="1"/>
  <c r="F1330" i="84" s="1"/>
  <c r="F1331" i="84" s="1"/>
  <c r="F1332" i="84" s="1"/>
  <c r="F1333" i="84" s="1"/>
  <c r="F1334" i="84" s="1"/>
  <c r="F1335" i="84" s="1"/>
  <c r="F1336" i="84" s="1"/>
  <c r="F1337" i="84" s="1"/>
  <c r="F1338" i="84" s="1"/>
  <c r="F1339" i="84" s="1"/>
  <c r="F1340" i="84" s="1"/>
  <c r="F1341" i="84" s="1"/>
  <c r="F1342" i="84" s="1"/>
  <c r="F1343" i="84" s="1"/>
  <c r="F1344" i="84" s="1"/>
  <c r="F1345" i="84" s="1"/>
  <c r="F1346" i="84" s="1"/>
  <c r="F1347" i="84" s="1"/>
  <c r="F1348" i="84" s="1"/>
  <c r="F1349" i="84" s="1"/>
  <c r="F1350" i="84" s="1"/>
  <c r="F1351" i="84" s="1"/>
  <c r="F1352" i="84" s="1"/>
  <c r="F1353" i="84" s="1"/>
  <c r="F1354" i="84" s="1"/>
  <c r="F1355" i="84" s="1"/>
  <c r="F1356" i="84" s="1"/>
  <c r="F1357" i="84" s="1"/>
  <c r="F1358" i="84" s="1"/>
  <c r="F1359" i="84" s="1"/>
  <c r="F1360" i="84" s="1"/>
  <c r="F1361" i="84" s="1"/>
  <c r="F1362" i="84" s="1"/>
  <c r="F1363" i="84" s="1"/>
  <c r="F1364" i="84" s="1"/>
  <c r="F1365" i="84" s="1"/>
  <c r="F1366" i="84" s="1"/>
  <c r="F1367" i="84" s="1"/>
  <c r="F1368" i="84" s="1"/>
  <c r="F1369" i="84" s="1"/>
  <c r="F1370" i="84" s="1"/>
  <c r="F1371" i="84" s="1"/>
  <c r="F1372" i="84" s="1"/>
  <c r="F1373" i="84" s="1"/>
  <c r="F1374" i="84" s="1"/>
  <c r="F1375" i="84" s="1"/>
  <c r="F1376" i="84" s="1"/>
  <c r="F1377" i="84" s="1"/>
  <c r="F1378" i="84" s="1"/>
  <c r="F1379" i="84" s="1"/>
  <c r="F1380" i="84" s="1"/>
  <c r="F1381" i="84" s="1"/>
  <c r="F1382" i="84" s="1"/>
  <c r="F1383" i="84" s="1"/>
  <c r="F1384" i="84" s="1"/>
  <c r="F1385" i="84" s="1"/>
  <c r="F1386" i="84" s="1"/>
  <c r="F1387" i="84" s="1"/>
  <c r="F1388" i="84" s="1"/>
  <c r="F1389" i="84" s="1"/>
  <c r="F1390" i="84" s="1"/>
  <c r="F1391" i="84" s="1"/>
  <c r="F1392" i="84" s="1"/>
  <c r="F1393" i="84" s="1"/>
  <c r="F1394" i="84" s="1"/>
  <c r="F1395" i="84" s="1"/>
  <c r="F1396" i="84" s="1"/>
  <c r="F1397" i="84" s="1"/>
  <c r="F1398" i="84" s="1"/>
  <c r="F1399" i="84" s="1"/>
  <c r="F1400" i="84" s="1"/>
  <c r="F1401" i="84" s="1"/>
  <c r="F1402" i="84" s="1"/>
  <c r="F1403" i="84" s="1"/>
  <c r="F1404" i="84" s="1"/>
  <c r="F1405" i="84" s="1"/>
  <c r="F1406" i="84" s="1"/>
  <c r="F1407" i="84" s="1"/>
  <c r="F1408" i="84" s="1"/>
  <c r="F1409" i="84" s="1"/>
  <c r="F1410" i="84" s="1"/>
  <c r="F1411" i="84" s="1"/>
  <c r="F1412" i="84" s="1"/>
  <c r="F1413" i="84" s="1"/>
  <c r="F1414" i="84" s="1"/>
  <c r="F1415" i="84" s="1"/>
  <c r="F1416" i="84" s="1"/>
  <c r="F1417" i="84" s="1"/>
  <c r="F1418" i="84" s="1"/>
  <c r="F1419" i="84" s="1"/>
  <c r="F1420" i="84" s="1"/>
  <c r="F1421" i="84" s="1"/>
  <c r="F1422" i="84" s="1"/>
  <c r="F1423" i="84" s="1"/>
  <c r="F1424" i="84" s="1"/>
  <c r="F1425" i="84" s="1"/>
  <c r="F1426" i="84" s="1"/>
  <c r="F1427" i="84" s="1"/>
  <c r="F1428" i="84" s="1"/>
  <c r="F1429" i="84" s="1"/>
  <c r="F1430" i="84" s="1"/>
  <c r="F1431" i="84" s="1"/>
  <c r="F1432" i="84" s="1"/>
  <c r="F1433" i="84" s="1"/>
  <c r="F1434" i="84" s="1"/>
  <c r="F1435" i="84" s="1"/>
  <c r="F1436" i="84" s="1"/>
  <c r="F1437" i="84" s="1"/>
  <c r="F1438" i="84" s="1"/>
  <c r="F1439" i="84" s="1"/>
  <c r="F1440" i="84" s="1"/>
  <c r="F1441" i="84" s="1"/>
  <c r="F1442" i="84" s="1"/>
  <c r="F1443" i="84" s="1"/>
  <c r="F1444" i="84" s="1"/>
  <c r="F1445" i="84" s="1"/>
  <c r="F1446" i="84" s="1"/>
  <c r="F1447" i="84" s="1"/>
  <c r="F1448" i="84" s="1"/>
  <c r="F1449" i="84" s="1"/>
  <c r="F1450" i="84" s="1"/>
  <c r="F1451" i="84" s="1"/>
  <c r="F1452" i="84" s="1"/>
  <c r="F1453" i="84" s="1"/>
  <c r="F1454" i="84" s="1"/>
  <c r="F1455" i="84" s="1"/>
  <c r="F1456" i="84" s="1"/>
  <c r="F1457" i="84" s="1"/>
  <c r="F1458" i="84" s="1"/>
  <c r="F1459" i="84" s="1"/>
  <c r="F1460" i="84" s="1"/>
  <c r="F1461" i="84" s="1"/>
  <c r="F1462" i="84" s="1"/>
  <c r="F1463" i="84" s="1"/>
  <c r="F1464" i="84" s="1"/>
  <c r="F1465" i="84" s="1"/>
  <c r="F1466" i="84" s="1"/>
  <c r="F1467" i="84" s="1"/>
  <c r="F1468" i="84" s="1"/>
  <c r="F1469" i="84" s="1"/>
  <c r="F1470" i="84" s="1"/>
  <c r="F1471" i="84" s="1"/>
  <c r="F1472" i="84" s="1"/>
  <c r="F1473" i="84" s="1"/>
  <c r="F1474" i="84" s="1"/>
  <c r="F1475" i="84" s="1"/>
  <c r="F1476" i="84" s="1"/>
  <c r="F1477" i="84" s="1"/>
  <c r="F1478" i="84" s="1"/>
  <c r="F1479" i="84" s="1"/>
  <c r="F1480" i="84" s="1"/>
  <c r="F1481" i="84" s="1"/>
  <c r="F1482" i="84" s="1"/>
  <c r="F1483" i="84" s="1"/>
  <c r="F1484" i="84" s="1"/>
  <c r="F1485" i="84" s="1"/>
  <c r="F1486" i="84" s="1"/>
  <c r="F1487" i="84" s="1"/>
  <c r="F1488" i="84" s="1"/>
  <c r="F1489" i="84" s="1"/>
  <c r="F1490" i="84" s="1"/>
  <c r="F1491" i="84" s="1"/>
  <c r="F1492" i="84" s="1"/>
  <c r="F1493" i="84" s="1"/>
  <c r="F1494" i="84" s="1"/>
  <c r="F1495" i="84" s="1"/>
  <c r="F1496" i="84" s="1"/>
  <c r="F1497" i="84" s="1"/>
  <c r="F1498" i="84" s="1"/>
  <c r="F1499" i="84" s="1"/>
  <c r="F1500" i="84" s="1"/>
  <c r="F1501" i="84" s="1"/>
  <c r="F1502" i="84" s="1"/>
  <c r="F1503" i="84" s="1"/>
  <c r="F1504" i="84" s="1"/>
  <c r="F1505" i="84" s="1"/>
  <c r="F1506" i="84" s="1"/>
  <c r="F1507" i="84" s="1"/>
  <c r="F1508" i="84" s="1"/>
  <c r="F1509" i="84" s="1"/>
  <c r="F1510" i="84" s="1"/>
  <c r="F1511" i="84" s="1"/>
  <c r="F1512" i="84" s="1"/>
  <c r="F1513" i="84" s="1"/>
  <c r="F1514" i="84" s="1"/>
  <c r="F1515" i="84" s="1"/>
  <c r="F1516" i="84" s="1"/>
  <c r="F1517" i="84" s="1"/>
  <c r="F1518" i="84" s="1"/>
  <c r="F1519" i="84" s="1"/>
  <c r="F1520" i="84" s="1"/>
  <c r="F1521" i="84" s="1"/>
  <c r="F1522" i="84" s="1"/>
  <c r="F1523" i="84" s="1"/>
  <c r="F1524" i="84" s="1"/>
  <c r="F1525" i="84" s="1"/>
  <c r="F1526" i="84" s="1"/>
  <c r="F1527" i="84" s="1"/>
  <c r="F1528" i="84" s="1"/>
  <c r="F1529" i="84" s="1"/>
  <c r="F1530" i="84" s="1"/>
  <c r="F1531" i="84" s="1"/>
  <c r="F1532" i="84" s="1"/>
  <c r="F1533" i="84" s="1"/>
  <c r="F1534" i="84" s="1"/>
  <c r="F1535" i="84" s="1"/>
  <c r="F1536" i="84" s="1"/>
  <c r="F1537" i="84" s="1"/>
  <c r="F1538" i="84" s="1"/>
  <c r="F1539" i="84" s="1"/>
  <c r="F1540" i="84" s="1"/>
  <c r="F1541" i="84" s="1"/>
  <c r="F1542" i="84" s="1"/>
  <c r="F1543" i="84" s="1"/>
  <c r="F1544" i="84" s="1"/>
  <c r="F1545" i="84" s="1"/>
  <c r="F1546" i="84" s="1"/>
  <c r="F1547" i="84" s="1"/>
  <c r="F1548" i="84" s="1"/>
  <c r="F1549" i="84" s="1"/>
  <c r="F1550" i="84" s="1"/>
  <c r="F1551" i="84" s="1"/>
  <c r="F1552" i="84" s="1"/>
  <c r="F1553" i="84" s="1"/>
  <c r="F1554" i="84" s="1"/>
  <c r="F1555" i="84" s="1"/>
  <c r="F1556" i="84" s="1"/>
  <c r="F1557" i="84" s="1"/>
  <c r="F1558" i="84" s="1"/>
  <c r="F1559" i="84" s="1"/>
  <c r="F1560" i="84" s="1"/>
  <c r="F1561" i="84" s="1"/>
  <c r="F1562" i="84" s="1"/>
  <c r="F1563" i="84" s="1"/>
  <c r="F1564" i="84" s="1"/>
  <c r="F1565" i="84" s="1"/>
  <c r="F1566" i="84" s="1"/>
  <c r="F1567" i="84" s="1"/>
  <c r="F1568" i="84" s="1"/>
  <c r="F1569" i="84" s="1"/>
  <c r="F1570" i="84" s="1"/>
  <c r="F1571" i="84" s="1"/>
  <c r="F1572" i="84" s="1"/>
  <c r="F1573" i="84" s="1"/>
  <c r="F1574" i="84" s="1"/>
  <c r="F1575" i="84" s="1"/>
  <c r="F1576" i="84" s="1"/>
  <c r="F1577" i="84" s="1"/>
  <c r="F1578" i="84" s="1"/>
  <c r="F1579" i="84" s="1"/>
  <c r="F1580" i="84" s="1"/>
  <c r="F1581" i="84" s="1"/>
  <c r="F1582" i="84" s="1"/>
  <c r="F1583" i="84" s="1"/>
  <c r="F1584" i="84" s="1"/>
  <c r="F1585" i="84" s="1"/>
  <c r="F1586" i="84" s="1"/>
  <c r="F1587" i="84" s="1"/>
  <c r="F1588" i="84" s="1"/>
  <c r="F1589" i="84" s="1"/>
  <c r="F1590" i="84" s="1"/>
  <c r="F1591" i="84" s="1"/>
  <c r="F1592" i="84" s="1"/>
  <c r="F1593" i="84" s="1"/>
  <c r="F1594" i="84" s="1"/>
  <c r="F1595" i="84" s="1"/>
  <c r="F1596" i="84" s="1"/>
  <c r="F1597" i="84" s="1"/>
  <c r="F1598" i="84" s="1"/>
  <c r="F1599" i="84" s="1"/>
  <c r="F1600" i="84" s="1"/>
  <c r="F1601" i="84" s="1"/>
  <c r="F1602" i="84" s="1"/>
  <c r="F1603" i="84" s="1"/>
  <c r="F1604" i="84" s="1"/>
  <c r="F1605" i="84" s="1"/>
  <c r="F1606" i="84" s="1"/>
  <c r="F1607" i="84" s="1"/>
  <c r="F1608" i="84" s="1"/>
  <c r="F1609" i="84" s="1"/>
  <c r="F1610" i="84" s="1"/>
  <c r="F1611" i="84" s="1"/>
  <c r="F1612" i="84" s="1"/>
  <c r="F1613" i="84" s="1"/>
  <c r="F1614" i="84" s="1"/>
  <c r="F1615" i="84" s="1"/>
  <c r="F1616" i="84" s="1"/>
  <c r="F1617" i="84" s="1"/>
  <c r="F1618" i="84" s="1"/>
  <c r="F1619" i="84" s="1"/>
  <c r="F1620" i="84" s="1"/>
  <c r="F1621" i="84" s="1"/>
  <c r="F1622" i="84" s="1"/>
  <c r="F1623" i="84" s="1"/>
  <c r="F1624" i="84" s="1"/>
  <c r="F1625" i="84" s="1"/>
  <c r="F1626" i="84" s="1"/>
  <c r="F1627" i="84" s="1"/>
  <c r="F1628" i="84" s="1"/>
  <c r="F1629" i="84" s="1"/>
  <c r="F1630" i="84" s="1"/>
  <c r="F1631" i="84" s="1"/>
  <c r="F1632" i="84" s="1"/>
  <c r="F1633" i="84" s="1"/>
  <c r="F1634" i="84" s="1"/>
  <c r="F1635" i="84" s="1"/>
  <c r="F1636" i="84" s="1"/>
  <c r="F1637" i="84" s="1"/>
  <c r="F1638" i="84" s="1"/>
  <c r="F1639" i="84" s="1"/>
  <c r="F1640" i="84" s="1"/>
  <c r="F1641" i="84" s="1"/>
  <c r="F1642" i="84" s="1"/>
  <c r="F1643" i="84" s="1"/>
  <c r="K1640" i="84" l="1"/>
  <c r="L1640" i="84"/>
  <c r="M1640" i="84"/>
  <c r="N1640" i="84"/>
  <c r="O1640" i="84"/>
  <c r="K1641" i="84"/>
  <c r="L1641" i="84"/>
  <c r="M1641" i="84"/>
  <c r="N1641" i="84"/>
  <c r="O1641" i="84"/>
  <c r="K1642" i="84"/>
  <c r="L1642" i="84"/>
  <c r="M1642" i="84"/>
  <c r="N1642" i="84"/>
  <c r="O1642" i="84"/>
  <c r="K1643" i="84"/>
  <c r="L1643" i="84"/>
  <c r="M1643" i="84"/>
  <c r="N1643" i="84"/>
  <c r="O1643" i="84"/>
  <c r="L2" i="25" l="1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2" i="29"/>
  <c r="L3" i="29"/>
  <c r="L4" i="29"/>
  <c r="L5" i="29"/>
  <c r="L6" i="29"/>
  <c r="L10" i="19"/>
  <c r="L2" i="19"/>
  <c r="L3" i="19"/>
  <c r="L4" i="19"/>
  <c r="L5" i="19"/>
  <c r="L6" i="19"/>
  <c r="L7" i="19"/>
  <c r="L8" i="19"/>
  <c r="L9" i="19"/>
  <c r="L2" i="27"/>
  <c r="L3" i="27"/>
  <c r="L4" i="27"/>
  <c r="L5" i="27"/>
  <c r="L6" i="27"/>
  <c r="L7" i="27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" i="21"/>
  <c r="L3" i="21"/>
  <c r="L4" i="21"/>
  <c r="L5" i="21"/>
  <c r="L6" i="21"/>
  <c r="L7" i="21"/>
  <c r="L8" i="21"/>
  <c r="L9" i="21"/>
  <c r="L10" i="21"/>
  <c r="L11" i="21"/>
  <c r="L12" i="21"/>
  <c r="L40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39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2" i="26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" i="30"/>
  <c r="L3" i="30"/>
  <c r="L4" i="30"/>
  <c r="L5" i="30"/>
  <c r="L6" i="30"/>
  <c r="L2" i="20"/>
  <c r="L3" i="20"/>
  <c r="L4" i="20"/>
  <c r="L5" i="20"/>
  <c r="L6" i="20"/>
  <c r="L7" i="20"/>
  <c r="L8" i="20"/>
  <c r="L9" i="20"/>
  <c r="L10" i="20"/>
  <c r="L11" i="20"/>
  <c r="L12" i="20"/>
  <c r="L13" i="20"/>
  <c r="L2" i="28"/>
  <c r="L3" i="28"/>
  <c r="L4" i="28"/>
  <c r="L5" i="28"/>
  <c r="L6" i="28"/>
  <c r="L7" i="28"/>
  <c r="L2" i="24"/>
  <c r="L3" i="24"/>
  <c r="L4" i="24"/>
  <c r="L5" i="24"/>
  <c r="L6" i="24"/>
  <c r="L7" i="24"/>
  <c r="L8" i="24"/>
  <c r="L9" i="24"/>
  <c r="L10" i="24"/>
  <c r="L11" i="24"/>
  <c r="L12" i="24"/>
  <c r="L13" i="24"/>
  <c r="L18" i="24"/>
  <c r="L14" i="24"/>
  <c r="L15" i="24"/>
  <c r="L16" i="24"/>
  <c r="L17" i="24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26" i="17"/>
  <c r="L19" i="17"/>
  <c r="L20" i="17"/>
  <c r="L21" i="17"/>
  <c r="L22" i="17"/>
  <c r="L23" i="17"/>
  <c r="L24" i="17"/>
  <c r="L25" i="17"/>
  <c r="L2" i="22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3" i="73"/>
  <c r="L4" i="73"/>
  <c r="L2" i="73"/>
  <c r="L2" i="72"/>
  <c r="L3" i="72"/>
  <c r="L4" i="72"/>
  <c r="L5" i="72"/>
  <c r="L6" i="72"/>
  <c r="L7" i="72"/>
  <c r="L8" i="72"/>
  <c r="L9" i="72"/>
  <c r="L10" i="72"/>
  <c r="L11" i="72"/>
  <c r="L2" i="67"/>
  <c r="L2" i="32"/>
  <c r="L3" i="32"/>
  <c r="L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2" i="13"/>
  <c r="L3" i="13"/>
  <c r="L4" i="13"/>
  <c r="L5" i="13"/>
  <c r="L6" i="13"/>
  <c r="L7" i="13"/>
  <c r="L8" i="13"/>
  <c r="L9" i="13"/>
  <c r="L10" i="13"/>
  <c r="L11" i="13"/>
  <c r="L12" i="13"/>
  <c r="L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69" i="4"/>
  <c r="L51" i="4"/>
  <c r="L52" i="4"/>
  <c r="L70" i="4"/>
  <c r="L53" i="4"/>
  <c r="L54" i="4"/>
  <c r="L55" i="4"/>
  <c r="L56" i="4"/>
  <c r="L57" i="4"/>
  <c r="L58" i="4"/>
  <c r="L59" i="4"/>
  <c r="L60" i="4"/>
  <c r="L61" i="4"/>
  <c r="L62" i="4"/>
  <c r="L63" i="4"/>
  <c r="L64" i="4"/>
  <c r="L71" i="4"/>
  <c r="L65" i="4"/>
  <c r="L66" i="4"/>
  <c r="L67" i="4"/>
  <c r="L68" i="4"/>
  <c r="L72" i="4"/>
  <c r="L73" i="4"/>
  <c r="L2" i="70"/>
  <c r="L3" i="70"/>
  <c r="L4" i="70"/>
  <c r="L2" i="71"/>
  <c r="L3" i="71"/>
  <c r="L4" i="71"/>
  <c r="L5" i="71"/>
  <c r="L6" i="71"/>
  <c r="L7" i="71"/>
  <c r="L8" i="71"/>
  <c r="L9" i="71"/>
  <c r="L10" i="71"/>
  <c r="L11" i="71"/>
  <c r="L12" i="71"/>
  <c r="L13" i="71"/>
  <c r="L14" i="71"/>
  <c r="L2" i="66"/>
  <c r="L2" i="31"/>
  <c r="L3" i="31"/>
  <c r="L4" i="31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2" i="12"/>
  <c r="L3" i="12"/>
  <c r="L4" i="12"/>
  <c r="L11" i="12"/>
  <c r="L5" i="12"/>
  <c r="L6" i="12"/>
  <c r="L7" i="12"/>
  <c r="L8" i="12"/>
  <c r="L9" i="12"/>
  <c r="L10" i="12"/>
  <c r="L2" i="9"/>
  <c r="L29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30" i="9"/>
  <c r="L19" i="9"/>
  <c r="L20" i="9"/>
  <c r="L21" i="9"/>
  <c r="L22" i="9"/>
  <c r="L23" i="9"/>
  <c r="L24" i="9"/>
  <c r="L25" i="9"/>
  <c r="L26" i="9"/>
  <c r="L27" i="9"/>
  <c r="L28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56" i="1"/>
  <c r="L19" i="1"/>
  <c r="L57" i="1"/>
  <c r="L20" i="1"/>
  <c r="L21" i="1"/>
  <c r="L22" i="1"/>
  <c r="L23" i="1"/>
  <c r="L24" i="1"/>
  <c r="L25" i="1"/>
  <c r="L26" i="1"/>
  <c r="L27" i="1"/>
  <c r="L28" i="1"/>
  <c r="L29" i="1"/>
  <c r="L30" i="1"/>
  <c r="L58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59" i="1"/>
  <c r="L48" i="1"/>
  <c r="L60" i="1"/>
  <c r="L49" i="1"/>
  <c r="L50" i="1"/>
  <c r="L51" i="1"/>
  <c r="L52" i="1"/>
  <c r="L53" i="1"/>
  <c r="L54" i="1"/>
  <c r="L55" i="1"/>
  <c r="L2" i="6" l="1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75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O2" i="68" l="1"/>
  <c r="O3" i="68"/>
  <c r="O4" i="68"/>
  <c r="O5" i="68"/>
  <c r="O6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39" i="68"/>
  <c r="O40" i="68"/>
  <c r="O41" i="68"/>
  <c r="O42" i="68"/>
  <c r="O43" i="68"/>
  <c r="O44" i="68"/>
  <c r="O45" i="68"/>
  <c r="O46" i="68"/>
  <c r="O47" i="68"/>
  <c r="O48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71" i="68"/>
  <c r="O72" i="68"/>
  <c r="O73" i="68"/>
  <c r="O74" i="68"/>
  <c r="O75" i="68"/>
  <c r="O76" i="68"/>
  <c r="O77" i="68"/>
  <c r="O78" i="68"/>
  <c r="O79" i="68"/>
  <c r="O80" i="68"/>
  <c r="O81" i="68"/>
  <c r="O82" i="68"/>
  <c r="O83" i="68"/>
  <c r="O84" i="68"/>
  <c r="O85" i="68"/>
  <c r="O86" i="68"/>
  <c r="O87" i="68"/>
  <c r="O88" i="68"/>
  <c r="O89" i="68"/>
  <c r="O90" i="68"/>
  <c r="O91" i="68"/>
  <c r="O92" i="68"/>
  <c r="O93" i="68"/>
  <c r="O94" i="68"/>
  <c r="O95" i="68"/>
  <c r="O96" i="68"/>
  <c r="O97" i="68"/>
  <c r="O98" i="68"/>
  <c r="O99" i="68"/>
  <c r="O100" i="68"/>
  <c r="O101" i="68"/>
  <c r="O102" i="68"/>
  <c r="O103" i="68"/>
  <c r="O104" i="68"/>
  <c r="O105" i="68"/>
  <c r="O106" i="68"/>
  <c r="O107" i="68"/>
  <c r="O108" i="68"/>
  <c r="O109" i="68"/>
  <c r="O110" i="68"/>
  <c r="O111" i="68"/>
  <c r="O112" i="68"/>
  <c r="O113" i="68"/>
  <c r="O114" i="68"/>
  <c r="O115" i="68"/>
  <c r="O116" i="68"/>
  <c r="O117" i="68"/>
  <c r="O118" i="68"/>
  <c r="O119" i="68"/>
  <c r="O120" i="68"/>
  <c r="O121" i="68"/>
  <c r="O122" i="68"/>
  <c r="O123" i="68"/>
  <c r="O124" i="68"/>
  <c r="O125" i="68"/>
  <c r="O126" i="68"/>
  <c r="O127" i="68"/>
  <c r="O128" i="68"/>
  <c r="O129" i="68"/>
  <c r="O130" i="68"/>
  <c r="O131" i="68"/>
  <c r="O132" i="68"/>
  <c r="O133" i="68"/>
  <c r="O134" i="68"/>
  <c r="O135" i="68"/>
  <c r="O136" i="68"/>
  <c r="O137" i="68"/>
  <c r="O138" i="68"/>
  <c r="O139" i="68"/>
  <c r="O140" i="68"/>
  <c r="O141" i="68"/>
  <c r="O142" i="68"/>
  <c r="O143" i="68"/>
  <c r="O144" i="68"/>
  <c r="O145" i="68"/>
  <c r="O146" i="68"/>
  <c r="O147" i="68"/>
  <c r="O148" i="68"/>
  <c r="O149" i="68"/>
  <c r="O150" i="68"/>
  <c r="O151" i="68"/>
  <c r="O152" i="68"/>
  <c r="O153" i="68"/>
  <c r="O154" i="68"/>
  <c r="O155" i="68"/>
  <c r="O156" i="68"/>
  <c r="O157" i="68"/>
  <c r="O158" i="68"/>
  <c r="O159" i="68"/>
  <c r="O160" i="68"/>
  <c r="O161" i="68"/>
  <c r="O162" i="68"/>
  <c r="O163" i="68"/>
  <c r="O164" i="68"/>
  <c r="O165" i="68"/>
  <c r="O166" i="68"/>
  <c r="O167" i="68"/>
  <c r="O168" i="68"/>
  <c r="O169" i="68"/>
  <c r="O170" i="68"/>
  <c r="O171" i="68"/>
  <c r="O172" i="68"/>
  <c r="O173" i="68"/>
  <c r="O174" i="68"/>
  <c r="O175" i="68"/>
  <c r="O176" i="68"/>
  <c r="O177" i="68"/>
  <c r="O178" i="68"/>
  <c r="O179" i="68"/>
  <c r="O180" i="68"/>
  <c r="O181" i="68"/>
  <c r="O182" i="68"/>
  <c r="O183" i="68"/>
  <c r="O184" i="68"/>
  <c r="O185" i="68"/>
  <c r="O186" i="68"/>
  <c r="O187" i="68"/>
  <c r="O188" i="68"/>
  <c r="O189" i="68"/>
  <c r="O190" i="68"/>
  <c r="O191" i="68"/>
  <c r="O192" i="68"/>
  <c r="O193" i="68"/>
  <c r="O194" i="68"/>
  <c r="O195" i="68"/>
  <c r="O196" i="68"/>
  <c r="O197" i="68"/>
  <c r="O198" i="68"/>
  <c r="O199" i="68"/>
  <c r="O200" i="68"/>
  <c r="O201" i="68"/>
  <c r="O202" i="68"/>
  <c r="O203" i="68"/>
  <c r="O204" i="68"/>
  <c r="O205" i="68"/>
  <c r="O206" i="68"/>
  <c r="O207" i="68"/>
  <c r="O208" i="68"/>
  <c r="O209" i="68"/>
  <c r="O210" i="68"/>
  <c r="O211" i="68"/>
  <c r="O212" i="68"/>
  <c r="O213" i="68"/>
  <c r="O214" i="68"/>
  <c r="O215" i="68"/>
  <c r="O216" i="68"/>
  <c r="O217" i="68"/>
  <c r="O218" i="68"/>
  <c r="O219" i="68"/>
  <c r="O220" i="68"/>
  <c r="O221" i="68"/>
  <c r="O222" i="68"/>
  <c r="O223" i="68"/>
  <c r="O224" i="68"/>
  <c r="O225" i="68"/>
  <c r="O226" i="68"/>
  <c r="O227" i="68"/>
  <c r="O228" i="68"/>
  <c r="O229" i="68"/>
  <c r="O230" i="68"/>
  <c r="O231" i="68"/>
  <c r="O232" i="68"/>
  <c r="O233" i="68"/>
  <c r="O234" i="68"/>
  <c r="O235" i="68"/>
  <c r="O236" i="68"/>
  <c r="O237" i="68"/>
  <c r="O238" i="68"/>
  <c r="O239" i="68"/>
  <c r="O240" i="68"/>
  <c r="O241" i="68"/>
  <c r="O242" i="68"/>
  <c r="O243" i="68"/>
  <c r="O244" i="68"/>
  <c r="O245" i="68"/>
  <c r="O246" i="68"/>
  <c r="O247" i="68"/>
  <c r="O248" i="68"/>
  <c r="O249" i="68"/>
  <c r="O250" i="68"/>
  <c r="O251" i="68"/>
  <c r="O252" i="68"/>
  <c r="O253" i="68"/>
  <c r="O254" i="68"/>
  <c r="O255" i="68"/>
  <c r="O256" i="68"/>
  <c r="O257" i="68"/>
  <c r="O258" i="68"/>
  <c r="O259" i="68"/>
  <c r="O260" i="68"/>
  <c r="O261" i="68"/>
  <c r="O262" i="68"/>
  <c r="O263" i="68"/>
  <c r="O264" i="68"/>
  <c r="O265" i="68"/>
  <c r="O266" i="68"/>
  <c r="O267" i="68"/>
  <c r="O268" i="68"/>
  <c r="O269" i="68"/>
  <c r="O270" i="68"/>
  <c r="O271" i="68"/>
  <c r="O272" i="68"/>
  <c r="O273" i="68"/>
  <c r="O274" i="68"/>
  <c r="O275" i="68"/>
  <c r="O276" i="68"/>
  <c r="O277" i="68"/>
  <c r="O278" i="68"/>
  <c r="O279" i="68"/>
  <c r="O280" i="68"/>
  <c r="O281" i="68"/>
  <c r="O282" i="68"/>
  <c r="O283" i="68"/>
  <c r="O284" i="68"/>
  <c r="O285" i="68"/>
  <c r="O286" i="68"/>
  <c r="O287" i="68"/>
  <c r="O288" i="68"/>
  <c r="O289" i="68"/>
  <c r="O290" i="68"/>
  <c r="O291" i="68"/>
  <c r="O292" i="68"/>
  <c r="O293" i="68"/>
  <c r="O294" i="68"/>
  <c r="O295" i="68"/>
  <c r="O296" i="68"/>
  <c r="O297" i="68"/>
  <c r="O298" i="68"/>
  <c r="O299" i="68"/>
  <c r="O300" i="68"/>
  <c r="O301" i="68"/>
  <c r="O302" i="68"/>
  <c r="O303" i="68"/>
  <c r="O304" i="68"/>
  <c r="O305" i="68"/>
  <c r="O306" i="68"/>
  <c r="O307" i="68"/>
  <c r="O308" i="68"/>
  <c r="O309" i="68"/>
  <c r="O310" i="68"/>
  <c r="O311" i="68"/>
  <c r="O312" i="68"/>
  <c r="O313" i="68"/>
  <c r="O314" i="68"/>
  <c r="O315" i="68"/>
  <c r="O316" i="68"/>
  <c r="O317" i="68"/>
  <c r="O318" i="68"/>
  <c r="O319" i="68"/>
  <c r="O320" i="68"/>
  <c r="O321" i="68"/>
  <c r="O322" i="68"/>
  <c r="O323" i="68"/>
  <c r="O324" i="68"/>
  <c r="O325" i="68"/>
  <c r="O326" i="68"/>
  <c r="O327" i="68"/>
  <c r="O328" i="68"/>
  <c r="O329" i="68"/>
  <c r="O330" i="68"/>
  <c r="O331" i="68"/>
  <c r="O332" i="68"/>
  <c r="O333" i="68"/>
  <c r="O334" i="68"/>
  <c r="O335" i="68"/>
  <c r="O336" i="68"/>
  <c r="O337" i="68"/>
  <c r="O338" i="68"/>
  <c r="O339" i="68"/>
  <c r="O340" i="68"/>
  <c r="O341" i="68"/>
  <c r="O342" i="68"/>
  <c r="O343" i="68"/>
  <c r="O344" i="68"/>
  <c r="O345" i="68"/>
  <c r="O346" i="68"/>
  <c r="O347" i="68"/>
  <c r="O348" i="68"/>
  <c r="O349" i="68"/>
  <c r="O350" i="68"/>
  <c r="O351" i="68"/>
  <c r="O352" i="68"/>
  <c r="O353" i="68"/>
  <c r="O354" i="68"/>
  <c r="O355" i="68"/>
  <c r="O356" i="68"/>
  <c r="O357" i="68"/>
  <c r="O358" i="68"/>
  <c r="O359" i="68"/>
  <c r="O360" i="68"/>
  <c r="O361" i="68"/>
  <c r="O362" i="68"/>
  <c r="O363" i="68"/>
  <c r="O364" i="68"/>
  <c r="O365" i="68"/>
  <c r="O366" i="68"/>
  <c r="O367" i="68"/>
  <c r="O368" i="68"/>
  <c r="O369" i="68"/>
  <c r="O370" i="68"/>
  <c r="O371" i="68"/>
  <c r="O372" i="68"/>
  <c r="O373" i="68"/>
  <c r="O374" i="68"/>
  <c r="O375" i="68"/>
  <c r="O376" i="68"/>
  <c r="O377" i="68"/>
  <c r="O378" i="68"/>
  <c r="O379" i="68"/>
  <c r="O380" i="68"/>
  <c r="O381" i="68"/>
  <c r="O382" i="68"/>
  <c r="O383" i="68"/>
  <c r="O384" i="68"/>
  <c r="O385" i="68"/>
  <c r="O386" i="68"/>
  <c r="O387" i="68"/>
  <c r="O388" i="68"/>
  <c r="O389" i="68"/>
  <c r="O390" i="68"/>
  <c r="O391" i="68"/>
  <c r="O392" i="68"/>
  <c r="O393" i="68"/>
  <c r="O394" i="68"/>
  <c r="O395" i="68"/>
  <c r="O396" i="68"/>
  <c r="O397" i="68"/>
  <c r="O398" i="68"/>
  <c r="O399" i="68"/>
  <c r="O400" i="68"/>
  <c r="O401" i="68"/>
  <c r="O402" i="68"/>
  <c r="O403" i="68"/>
  <c r="O404" i="68"/>
  <c r="O405" i="68"/>
  <c r="O406" i="68"/>
  <c r="O407" i="68"/>
  <c r="O408" i="68"/>
  <c r="O409" i="68"/>
  <c r="O410" i="68"/>
  <c r="O411" i="68"/>
  <c r="O412" i="68"/>
  <c r="O413" i="68"/>
  <c r="O414" i="68"/>
  <c r="O415" i="68"/>
  <c r="O416" i="68"/>
  <c r="O417" i="68"/>
  <c r="O418" i="68"/>
  <c r="O419" i="68"/>
  <c r="O420" i="68"/>
  <c r="O421" i="68"/>
  <c r="O422" i="68"/>
  <c r="O423" i="68"/>
  <c r="O424" i="68"/>
  <c r="O425" i="68"/>
  <c r="O426" i="68"/>
  <c r="O427" i="68"/>
  <c r="O428" i="68"/>
  <c r="O429" i="68"/>
  <c r="O430" i="68"/>
  <c r="O431" i="68"/>
  <c r="O432" i="68"/>
  <c r="O433" i="68"/>
  <c r="O434" i="68"/>
  <c r="O435" i="68"/>
  <c r="O436" i="68"/>
  <c r="O437" i="68"/>
  <c r="O438" i="68"/>
  <c r="O439" i="68"/>
  <c r="O440" i="68"/>
  <c r="O441" i="68"/>
  <c r="O442" i="68"/>
  <c r="O443" i="68"/>
  <c r="O444" i="68"/>
  <c r="O445" i="68"/>
  <c r="O446" i="68"/>
  <c r="O447" i="68"/>
  <c r="O448" i="68"/>
  <c r="O449" i="68"/>
  <c r="O450" i="68"/>
  <c r="O451" i="68"/>
  <c r="O452" i="68"/>
  <c r="O453" i="68"/>
  <c r="O454" i="68"/>
  <c r="O455" i="68"/>
  <c r="O456" i="68"/>
  <c r="O457" i="68"/>
  <c r="O458" i="68"/>
  <c r="O459" i="68"/>
  <c r="O460" i="68"/>
  <c r="O461" i="68"/>
  <c r="O462" i="68"/>
  <c r="O463" i="68"/>
  <c r="O464" i="68"/>
  <c r="O465" i="68"/>
  <c r="O466" i="68"/>
  <c r="O467" i="68"/>
  <c r="O468" i="68"/>
  <c r="O469" i="68"/>
  <c r="O470" i="68"/>
  <c r="O471" i="68"/>
  <c r="O472" i="68"/>
  <c r="O473" i="68"/>
  <c r="O474" i="68"/>
  <c r="O475" i="68"/>
  <c r="O476" i="68"/>
  <c r="O477" i="68"/>
  <c r="O478" i="68"/>
  <c r="O479" i="68"/>
  <c r="O480" i="68"/>
  <c r="O481" i="68"/>
  <c r="O482" i="68"/>
  <c r="O483" i="68"/>
  <c r="O484" i="68"/>
  <c r="O485" i="68"/>
  <c r="O486" i="68"/>
  <c r="O487" i="68"/>
  <c r="O488" i="68"/>
  <c r="O489" i="68"/>
  <c r="O490" i="68"/>
  <c r="O491" i="68"/>
  <c r="O492" i="68"/>
  <c r="O493" i="68"/>
  <c r="O494" i="68"/>
  <c r="O495" i="68"/>
  <c r="O496" i="68"/>
  <c r="O497" i="68"/>
  <c r="O498" i="68"/>
  <c r="O499" i="68"/>
  <c r="O500" i="68"/>
  <c r="O501" i="68"/>
  <c r="O502" i="68"/>
  <c r="O503" i="68"/>
  <c r="O504" i="68"/>
  <c r="O505" i="68"/>
  <c r="O506" i="68"/>
  <c r="O507" i="68"/>
  <c r="O508" i="68"/>
  <c r="O509" i="68"/>
  <c r="O510" i="68"/>
  <c r="O511" i="68"/>
  <c r="O512" i="68"/>
  <c r="O513" i="68"/>
  <c r="O514" i="68"/>
  <c r="O515" i="68"/>
  <c r="O516" i="68"/>
  <c r="O517" i="68"/>
  <c r="O518" i="68"/>
  <c r="O519" i="68"/>
  <c r="O520" i="68"/>
  <c r="O521" i="68"/>
  <c r="O522" i="68"/>
  <c r="O523" i="68"/>
  <c r="O524" i="68"/>
  <c r="O525" i="68"/>
  <c r="O526" i="68"/>
  <c r="O527" i="68"/>
  <c r="O528" i="68"/>
  <c r="O529" i="68"/>
  <c r="O530" i="68"/>
  <c r="O531" i="68"/>
  <c r="O532" i="68"/>
  <c r="O533" i="68"/>
  <c r="O534" i="68"/>
  <c r="O535" i="68"/>
  <c r="O536" i="68"/>
  <c r="O537" i="68"/>
  <c r="O538" i="68"/>
  <c r="O539" i="68"/>
  <c r="O540" i="68"/>
  <c r="O541" i="68"/>
  <c r="O542" i="68"/>
  <c r="O543" i="68"/>
  <c r="O544" i="68"/>
  <c r="O545" i="68"/>
  <c r="O546" i="68"/>
  <c r="O547" i="68"/>
  <c r="O548" i="68"/>
  <c r="O549" i="68"/>
  <c r="O550" i="68"/>
  <c r="O551" i="68"/>
  <c r="O552" i="68"/>
  <c r="O553" i="68"/>
  <c r="O554" i="68"/>
  <c r="O555" i="68"/>
  <c r="O556" i="68"/>
  <c r="O557" i="68"/>
  <c r="O558" i="68"/>
  <c r="O559" i="68"/>
  <c r="O560" i="68"/>
  <c r="O561" i="68"/>
  <c r="O562" i="68"/>
  <c r="O563" i="68"/>
  <c r="O564" i="68"/>
  <c r="O565" i="68"/>
  <c r="O566" i="68"/>
  <c r="O567" i="68"/>
  <c r="O568" i="68"/>
  <c r="O569" i="68"/>
  <c r="O570" i="68"/>
  <c r="O571" i="68"/>
  <c r="O572" i="68"/>
  <c r="O573" i="68"/>
  <c r="O574" i="68"/>
  <c r="O575" i="68"/>
  <c r="O576" i="68"/>
  <c r="O577" i="68"/>
  <c r="O578" i="68"/>
  <c r="O579" i="68"/>
  <c r="O580" i="68"/>
  <c r="O581" i="68"/>
  <c r="O582" i="68"/>
  <c r="O583" i="68"/>
  <c r="O584" i="68"/>
  <c r="O585" i="68"/>
  <c r="O586" i="68"/>
  <c r="O587" i="68"/>
  <c r="O588" i="68"/>
  <c r="O589" i="68"/>
  <c r="O590" i="68"/>
  <c r="O591" i="68"/>
  <c r="O592" i="68"/>
  <c r="O593" i="68"/>
  <c r="O594" i="68"/>
  <c r="O595" i="68"/>
  <c r="O596" i="68"/>
  <c r="O597" i="68"/>
  <c r="O598" i="68"/>
  <c r="O599" i="68"/>
  <c r="O600" i="68"/>
  <c r="O601" i="68"/>
  <c r="O602" i="68"/>
  <c r="O603" i="68"/>
  <c r="O604" i="68"/>
  <c r="O605" i="68"/>
  <c r="O606" i="68"/>
  <c r="O607" i="68"/>
  <c r="O608" i="68"/>
  <c r="O609" i="68"/>
  <c r="O610" i="68"/>
  <c r="O611" i="68"/>
  <c r="O612" i="68"/>
  <c r="O613" i="68"/>
  <c r="O614" i="68"/>
  <c r="O615" i="68"/>
  <c r="O616" i="68"/>
  <c r="O617" i="68"/>
  <c r="O618" i="68"/>
  <c r="O619" i="68"/>
  <c r="O620" i="68"/>
  <c r="O621" i="68"/>
  <c r="O622" i="68"/>
  <c r="O623" i="68"/>
  <c r="O624" i="68"/>
  <c r="O625" i="68"/>
  <c r="O626" i="68"/>
  <c r="O627" i="68"/>
  <c r="O628" i="68"/>
  <c r="O629" i="68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8" i="57"/>
  <c r="G7" i="57"/>
  <c r="G6" i="57"/>
  <c r="G5" i="57"/>
  <c r="G4" i="57"/>
  <c r="G3" i="57"/>
  <c r="G2" i="57"/>
  <c r="J3" i="57"/>
  <c r="J4" i="57"/>
  <c r="J5" i="57"/>
  <c r="J6" i="57"/>
  <c r="J7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" i="5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77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630" i="87"/>
  <c r="O633" i="68" s="1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31" i="87"/>
  <c r="O632" i="68" s="1"/>
  <c r="E632" i="87"/>
  <c r="O631" i="68" s="1"/>
  <c r="E616" i="87"/>
  <c r="E633" i="87"/>
  <c r="O630" i="68" s="1"/>
  <c r="E617" i="87"/>
  <c r="E618" i="87"/>
  <c r="E619" i="87"/>
  <c r="E620" i="87"/>
  <c r="E621" i="87"/>
  <c r="E622" i="87"/>
  <c r="E623" i="87"/>
  <c r="E624" i="87"/>
  <c r="E625" i="87"/>
  <c r="E626" i="87"/>
  <c r="E627" i="87"/>
  <c r="E628" i="87"/>
  <c r="E629" i="87"/>
  <c r="E78" i="87"/>
  <c r="E79" i="87"/>
  <c r="E80" i="87"/>
  <c r="E81" i="87"/>
  <c r="E2" i="87"/>
  <c r="E3" i="87"/>
  <c r="E4" i="87"/>
  <c r="E5" i="87"/>
  <c r="E6" i="87"/>
  <c r="E7" i="87"/>
  <c r="E8" i="87"/>
  <c r="E9" i="87"/>
  <c r="E10" i="87"/>
  <c r="E11" i="87"/>
  <c r="E82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83" i="87"/>
  <c r="E35" i="87"/>
  <c r="E36" i="87"/>
  <c r="E37" i="87"/>
  <c r="E38" i="87"/>
  <c r="E39" i="87"/>
  <c r="E40" i="87"/>
  <c r="E84" i="87"/>
  <c r="E41" i="87"/>
  <c r="E85" i="87"/>
  <c r="E86" i="87"/>
  <c r="E87" i="87"/>
  <c r="E42" i="87"/>
  <c r="E43" i="87"/>
  <c r="E44" i="87"/>
  <c r="E45" i="87"/>
  <c r="E88" i="87"/>
  <c r="E89" i="87"/>
  <c r="E46" i="87"/>
  <c r="E90" i="87"/>
  <c r="E47" i="87"/>
  <c r="E48" i="87"/>
  <c r="E91" i="87"/>
  <c r="E92" i="87"/>
  <c r="E49" i="87"/>
  <c r="E93" i="87"/>
  <c r="E50" i="87"/>
  <c r="E51" i="87"/>
  <c r="E52" i="87"/>
  <c r="E53" i="87"/>
  <c r="E94" i="87"/>
  <c r="E95" i="87"/>
  <c r="E54" i="87"/>
  <c r="E96" i="87"/>
  <c r="E55" i="87"/>
  <c r="E56" i="87"/>
  <c r="E97" i="87"/>
  <c r="E57" i="87"/>
  <c r="E58" i="87"/>
  <c r="E98" i="87"/>
  <c r="E99" i="87"/>
  <c r="E59" i="87"/>
  <c r="E60" i="87"/>
  <c r="E61" i="87"/>
  <c r="E62" i="87"/>
  <c r="E63" i="87"/>
  <c r="E100" i="87"/>
  <c r="E101" i="87"/>
  <c r="E102" i="87"/>
  <c r="E103" i="87"/>
  <c r="E104" i="87"/>
  <c r="E105" i="87"/>
  <c r="E64" i="87"/>
  <c r="E106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1" i="89"/>
  <c r="E652" i="87" s="1"/>
  <c r="O638" i="68" s="1"/>
  <c r="P20" i="89"/>
  <c r="E651" i="87" s="1"/>
  <c r="O648" i="68" s="1"/>
  <c r="P19" i="89"/>
  <c r="E650" i="87" s="1"/>
  <c r="O644" i="68" s="1"/>
  <c r="P18" i="89"/>
  <c r="E649" i="87" s="1"/>
  <c r="O645" i="68" s="1"/>
  <c r="P17" i="89"/>
  <c r="E648" i="87" s="1"/>
  <c r="O643" i="68" s="1"/>
  <c r="P16" i="89"/>
  <c r="E647" i="87" s="1"/>
  <c r="O639" i="68" s="1"/>
  <c r="P15" i="89"/>
  <c r="E646" i="87" s="1"/>
  <c r="O646" i="68" s="1"/>
  <c r="P14" i="89"/>
  <c r="E645" i="87" s="1"/>
  <c r="O647" i="68" s="1"/>
  <c r="P13" i="89"/>
  <c r="E644" i="87" s="1"/>
  <c r="O641" i="68" s="1"/>
  <c r="P12" i="89"/>
  <c r="E643" i="87" s="1"/>
  <c r="O642" i="68" s="1"/>
  <c r="P11" i="89"/>
  <c r="E642" i="87" s="1"/>
  <c r="O634" i="68" s="1"/>
  <c r="P10" i="89"/>
  <c r="E641" i="87" s="1"/>
  <c r="O649" i="68" s="1"/>
  <c r="P9" i="89"/>
  <c r="E640" i="87" s="1"/>
  <c r="O636" i="68" s="1"/>
  <c r="P8" i="89"/>
  <c r="E639" i="87" s="1"/>
  <c r="O635" i="68" s="1"/>
  <c r="P7" i="89"/>
  <c r="E638" i="87" s="1"/>
  <c r="O637" i="68" s="1"/>
  <c r="P6" i="89"/>
  <c r="E637" i="87" s="1"/>
  <c r="O651" i="68" s="1"/>
  <c r="P5" i="89"/>
  <c r="E636" i="87" s="1"/>
  <c r="O650" i="68" s="1"/>
  <c r="P4" i="89"/>
  <c r="E635" i="87" s="1"/>
  <c r="O652" i="68" s="1"/>
  <c r="P3" i="89"/>
  <c r="P2" i="89"/>
  <c r="E634" i="87" s="1"/>
  <c r="O640" i="68" s="1"/>
  <c r="J8" i="57" l="1"/>
  <c r="J25" i="57"/>
  <c r="K1631" i="84"/>
  <c r="L1631" i="84"/>
  <c r="M1631" i="84"/>
  <c r="N1631" i="84"/>
  <c r="O1631" i="84"/>
  <c r="K1632" i="84"/>
  <c r="L1632" i="84"/>
  <c r="M1632" i="84"/>
  <c r="N1632" i="84"/>
  <c r="O1632" i="84"/>
  <c r="K1633" i="84"/>
  <c r="L1633" i="84"/>
  <c r="M1633" i="84"/>
  <c r="N1633" i="84"/>
  <c r="O1633" i="84"/>
  <c r="K1634" i="84"/>
  <c r="L1634" i="84"/>
  <c r="M1634" i="84"/>
  <c r="N1634" i="84"/>
  <c r="O1634" i="84"/>
  <c r="K1635" i="84"/>
  <c r="L1635" i="84"/>
  <c r="M1635" i="84"/>
  <c r="N1635" i="84"/>
  <c r="O1635" i="84"/>
  <c r="K1636" i="84"/>
  <c r="L1636" i="84"/>
  <c r="M1636" i="84"/>
  <c r="N1636" i="84"/>
  <c r="O1636" i="84"/>
  <c r="K1637" i="84"/>
  <c r="L1637" i="84"/>
  <c r="M1637" i="84"/>
  <c r="N1637" i="84"/>
  <c r="O1637" i="84"/>
  <c r="K1638" i="84"/>
  <c r="L1638" i="84"/>
  <c r="M1638" i="84"/>
  <c r="N1638" i="84"/>
  <c r="O1638" i="84"/>
  <c r="K1639" i="84"/>
  <c r="L1639" i="84"/>
  <c r="M1639" i="84"/>
  <c r="N1639" i="84"/>
  <c r="O1639" i="84"/>
  <c r="K3" i="84" l="1"/>
  <c r="L3" i="84"/>
  <c r="M3" i="84"/>
  <c r="N3" i="84"/>
  <c r="O3" i="84"/>
  <c r="K4" i="84"/>
  <c r="L4" i="84"/>
  <c r="M4" i="84"/>
  <c r="N4" i="84"/>
  <c r="O4" i="84"/>
  <c r="K5" i="84"/>
  <c r="L5" i="84"/>
  <c r="M5" i="84"/>
  <c r="N5" i="84"/>
  <c r="O5" i="84"/>
  <c r="K6" i="84"/>
  <c r="L6" i="84"/>
  <c r="M6" i="84"/>
  <c r="N6" i="84"/>
  <c r="O6" i="84"/>
  <c r="K7" i="84"/>
  <c r="L7" i="84"/>
  <c r="M7" i="84"/>
  <c r="N7" i="84"/>
  <c r="O7" i="84"/>
  <c r="K8" i="84"/>
  <c r="L8" i="84"/>
  <c r="M8" i="84"/>
  <c r="N8" i="84"/>
  <c r="O8" i="84"/>
  <c r="K9" i="84"/>
  <c r="L9" i="84"/>
  <c r="M9" i="84"/>
  <c r="N9" i="84"/>
  <c r="O9" i="84"/>
  <c r="K10" i="84"/>
  <c r="L10" i="84"/>
  <c r="M10" i="84"/>
  <c r="N10" i="84"/>
  <c r="O10" i="84"/>
  <c r="K11" i="84"/>
  <c r="L11" i="84"/>
  <c r="M11" i="84"/>
  <c r="N11" i="84"/>
  <c r="O11" i="84"/>
  <c r="K12" i="84"/>
  <c r="L12" i="84"/>
  <c r="M12" i="84"/>
  <c r="N12" i="84"/>
  <c r="O12" i="84"/>
  <c r="K13" i="84"/>
  <c r="L13" i="84"/>
  <c r="M13" i="84"/>
  <c r="N13" i="84"/>
  <c r="O13" i="84"/>
  <c r="K14" i="84"/>
  <c r="L14" i="84"/>
  <c r="M14" i="84"/>
  <c r="N14" i="84"/>
  <c r="O14" i="84"/>
  <c r="K15" i="84"/>
  <c r="L15" i="84"/>
  <c r="M15" i="84"/>
  <c r="N15" i="84"/>
  <c r="O15" i="84"/>
  <c r="K16" i="84"/>
  <c r="L16" i="84"/>
  <c r="M16" i="84"/>
  <c r="N16" i="84"/>
  <c r="O16" i="84"/>
  <c r="K17" i="84"/>
  <c r="L17" i="84"/>
  <c r="M17" i="84"/>
  <c r="N17" i="84"/>
  <c r="O17" i="84"/>
  <c r="K18" i="84"/>
  <c r="L18" i="84"/>
  <c r="M18" i="84"/>
  <c r="N18" i="84"/>
  <c r="O18" i="84"/>
  <c r="K19" i="84"/>
  <c r="L19" i="84"/>
  <c r="M19" i="84"/>
  <c r="N19" i="84"/>
  <c r="O19" i="84"/>
  <c r="K20" i="84"/>
  <c r="L20" i="84"/>
  <c r="M20" i="84"/>
  <c r="N20" i="84"/>
  <c r="O20" i="84"/>
  <c r="K21" i="84"/>
  <c r="L21" i="84"/>
  <c r="M21" i="84"/>
  <c r="N21" i="84"/>
  <c r="O21" i="84"/>
  <c r="K22" i="84"/>
  <c r="L22" i="84"/>
  <c r="M22" i="84"/>
  <c r="N22" i="84"/>
  <c r="O22" i="84"/>
  <c r="K23" i="84"/>
  <c r="L23" i="84"/>
  <c r="M23" i="84"/>
  <c r="N23" i="84"/>
  <c r="O23" i="84"/>
  <c r="K24" i="84"/>
  <c r="L24" i="84"/>
  <c r="M24" i="84"/>
  <c r="N24" i="84"/>
  <c r="O24" i="84"/>
  <c r="K25" i="84"/>
  <c r="L25" i="84"/>
  <c r="M25" i="84"/>
  <c r="N25" i="84"/>
  <c r="O25" i="84"/>
  <c r="K26" i="84"/>
  <c r="L26" i="84"/>
  <c r="M26" i="84"/>
  <c r="N26" i="84"/>
  <c r="O26" i="84"/>
  <c r="K27" i="84"/>
  <c r="L27" i="84"/>
  <c r="M27" i="84"/>
  <c r="N27" i="84"/>
  <c r="O27" i="84"/>
  <c r="K28" i="84"/>
  <c r="L28" i="84"/>
  <c r="M28" i="84"/>
  <c r="N28" i="84"/>
  <c r="O28" i="84"/>
  <c r="K29" i="84"/>
  <c r="L29" i="84"/>
  <c r="M29" i="84"/>
  <c r="N29" i="84"/>
  <c r="O29" i="84"/>
  <c r="K30" i="84"/>
  <c r="L30" i="84"/>
  <c r="M30" i="84"/>
  <c r="N30" i="84"/>
  <c r="O30" i="84"/>
  <c r="K31" i="84"/>
  <c r="L31" i="84"/>
  <c r="M31" i="84"/>
  <c r="N31" i="84"/>
  <c r="O31" i="84"/>
  <c r="K32" i="84"/>
  <c r="L32" i="84"/>
  <c r="M32" i="84"/>
  <c r="N32" i="84"/>
  <c r="O32" i="84"/>
  <c r="K33" i="84"/>
  <c r="L33" i="84"/>
  <c r="M33" i="84"/>
  <c r="N33" i="84"/>
  <c r="O33" i="84"/>
  <c r="K34" i="84"/>
  <c r="L34" i="84"/>
  <c r="M34" i="84"/>
  <c r="N34" i="84"/>
  <c r="O34" i="84"/>
  <c r="K35" i="84"/>
  <c r="L35" i="84"/>
  <c r="M35" i="84"/>
  <c r="N35" i="84"/>
  <c r="O35" i="84"/>
  <c r="K36" i="84"/>
  <c r="L36" i="84"/>
  <c r="M36" i="84"/>
  <c r="N36" i="84"/>
  <c r="O36" i="84"/>
  <c r="K37" i="84"/>
  <c r="L37" i="84"/>
  <c r="M37" i="84"/>
  <c r="N37" i="84"/>
  <c r="O37" i="84"/>
  <c r="K38" i="84"/>
  <c r="L38" i="84"/>
  <c r="M38" i="84"/>
  <c r="N38" i="84"/>
  <c r="O38" i="84"/>
  <c r="K39" i="84"/>
  <c r="L39" i="84"/>
  <c r="M39" i="84"/>
  <c r="N39" i="84"/>
  <c r="O39" i="84"/>
  <c r="K40" i="84"/>
  <c r="L40" i="84"/>
  <c r="M40" i="84"/>
  <c r="N40" i="84"/>
  <c r="O40" i="84"/>
  <c r="K41" i="84"/>
  <c r="L41" i="84"/>
  <c r="M41" i="84"/>
  <c r="N41" i="84"/>
  <c r="O41" i="84"/>
  <c r="K42" i="84"/>
  <c r="L42" i="84"/>
  <c r="M42" i="84"/>
  <c r="N42" i="84"/>
  <c r="O42" i="84"/>
  <c r="K43" i="84"/>
  <c r="L43" i="84"/>
  <c r="M43" i="84"/>
  <c r="N43" i="84"/>
  <c r="O43" i="84"/>
  <c r="K44" i="84"/>
  <c r="L44" i="84"/>
  <c r="M44" i="84"/>
  <c r="N44" i="84"/>
  <c r="O44" i="84"/>
  <c r="K45" i="84"/>
  <c r="L45" i="84"/>
  <c r="M45" i="84"/>
  <c r="N45" i="84"/>
  <c r="O45" i="84"/>
  <c r="K46" i="84"/>
  <c r="L46" i="84"/>
  <c r="M46" i="84"/>
  <c r="N46" i="84"/>
  <c r="O46" i="84"/>
  <c r="K47" i="84"/>
  <c r="L47" i="84"/>
  <c r="M47" i="84"/>
  <c r="N47" i="84"/>
  <c r="O47" i="84"/>
  <c r="K48" i="84"/>
  <c r="L48" i="84"/>
  <c r="M48" i="84"/>
  <c r="N48" i="84"/>
  <c r="O48" i="84"/>
  <c r="K49" i="84"/>
  <c r="L49" i="84"/>
  <c r="M49" i="84"/>
  <c r="N49" i="84"/>
  <c r="O49" i="84"/>
  <c r="K50" i="84"/>
  <c r="L50" i="84"/>
  <c r="M50" i="84"/>
  <c r="N50" i="84"/>
  <c r="O50" i="84"/>
  <c r="K51" i="84"/>
  <c r="L51" i="84"/>
  <c r="M51" i="84"/>
  <c r="N51" i="84"/>
  <c r="O51" i="84"/>
  <c r="K52" i="84"/>
  <c r="L52" i="84"/>
  <c r="M52" i="84"/>
  <c r="N52" i="84"/>
  <c r="O52" i="84"/>
  <c r="K53" i="84"/>
  <c r="L53" i="84"/>
  <c r="M53" i="84"/>
  <c r="N53" i="84"/>
  <c r="O53" i="84"/>
  <c r="K54" i="84"/>
  <c r="L54" i="84"/>
  <c r="M54" i="84"/>
  <c r="N54" i="84"/>
  <c r="O54" i="84"/>
  <c r="K55" i="84"/>
  <c r="L55" i="84"/>
  <c r="M55" i="84"/>
  <c r="N55" i="84"/>
  <c r="O55" i="84"/>
  <c r="K56" i="84"/>
  <c r="L56" i="84"/>
  <c r="M56" i="84"/>
  <c r="N56" i="84"/>
  <c r="O56" i="84"/>
  <c r="K57" i="84"/>
  <c r="L57" i="84"/>
  <c r="M57" i="84"/>
  <c r="N57" i="84"/>
  <c r="O57" i="84"/>
  <c r="K58" i="84"/>
  <c r="L58" i="84"/>
  <c r="M58" i="84"/>
  <c r="N58" i="84"/>
  <c r="O58" i="84"/>
  <c r="K59" i="84"/>
  <c r="L59" i="84"/>
  <c r="M59" i="84"/>
  <c r="N59" i="84"/>
  <c r="O59" i="84"/>
  <c r="K60" i="84"/>
  <c r="L60" i="84"/>
  <c r="M60" i="84"/>
  <c r="N60" i="84"/>
  <c r="O60" i="84"/>
  <c r="K61" i="84"/>
  <c r="L61" i="84"/>
  <c r="M61" i="84"/>
  <c r="N61" i="84"/>
  <c r="O61" i="84"/>
  <c r="K62" i="84"/>
  <c r="L62" i="84"/>
  <c r="M62" i="84"/>
  <c r="N62" i="84"/>
  <c r="O62" i="84"/>
  <c r="K63" i="84"/>
  <c r="L63" i="84"/>
  <c r="M63" i="84"/>
  <c r="N63" i="84"/>
  <c r="O63" i="84"/>
  <c r="K64" i="84"/>
  <c r="L64" i="84"/>
  <c r="M64" i="84"/>
  <c r="N64" i="84"/>
  <c r="O64" i="84"/>
  <c r="K65" i="84"/>
  <c r="L65" i="84"/>
  <c r="M65" i="84"/>
  <c r="N65" i="84"/>
  <c r="O65" i="84"/>
  <c r="K66" i="84"/>
  <c r="L66" i="84"/>
  <c r="M66" i="84"/>
  <c r="N66" i="84"/>
  <c r="O66" i="84"/>
  <c r="K67" i="84"/>
  <c r="L67" i="84"/>
  <c r="M67" i="84"/>
  <c r="N67" i="84"/>
  <c r="O67" i="84"/>
  <c r="K68" i="84"/>
  <c r="L68" i="84"/>
  <c r="M68" i="84"/>
  <c r="N68" i="84"/>
  <c r="O68" i="84"/>
  <c r="K69" i="84"/>
  <c r="L69" i="84"/>
  <c r="M69" i="84"/>
  <c r="N69" i="84"/>
  <c r="O69" i="84"/>
  <c r="K70" i="84"/>
  <c r="L70" i="84"/>
  <c r="M70" i="84"/>
  <c r="N70" i="84"/>
  <c r="O70" i="84"/>
  <c r="K71" i="84"/>
  <c r="L71" i="84"/>
  <c r="M71" i="84"/>
  <c r="N71" i="84"/>
  <c r="O71" i="84"/>
  <c r="K72" i="84"/>
  <c r="L72" i="84"/>
  <c r="M72" i="84"/>
  <c r="N72" i="84"/>
  <c r="O72" i="84"/>
  <c r="K73" i="84"/>
  <c r="L73" i="84"/>
  <c r="M73" i="84"/>
  <c r="N73" i="84"/>
  <c r="O73" i="84"/>
  <c r="K74" i="84"/>
  <c r="L74" i="84"/>
  <c r="M74" i="84"/>
  <c r="N74" i="84"/>
  <c r="O74" i="84"/>
  <c r="K75" i="84"/>
  <c r="L75" i="84"/>
  <c r="M75" i="84"/>
  <c r="N75" i="84"/>
  <c r="O75" i="84"/>
  <c r="K76" i="84"/>
  <c r="L76" i="84"/>
  <c r="M76" i="84"/>
  <c r="N76" i="84"/>
  <c r="O76" i="84"/>
  <c r="K77" i="84"/>
  <c r="L77" i="84"/>
  <c r="M77" i="84"/>
  <c r="N77" i="84"/>
  <c r="O77" i="84"/>
  <c r="K78" i="84"/>
  <c r="L78" i="84"/>
  <c r="M78" i="84"/>
  <c r="N78" i="84"/>
  <c r="O78" i="84"/>
  <c r="K79" i="84"/>
  <c r="L79" i="84"/>
  <c r="M79" i="84"/>
  <c r="N79" i="84"/>
  <c r="O79" i="84"/>
  <c r="K80" i="84"/>
  <c r="L80" i="84"/>
  <c r="M80" i="84"/>
  <c r="N80" i="84"/>
  <c r="O80" i="84"/>
  <c r="K81" i="84"/>
  <c r="L81" i="84"/>
  <c r="M81" i="84"/>
  <c r="N81" i="84"/>
  <c r="O81" i="84"/>
  <c r="K82" i="84"/>
  <c r="L82" i="84"/>
  <c r="M82" i="84"/>
  <c r="N82" i="84"/>
  <c r="O82" i="84"/>
  <c r="K83" i="84"/>
  <c r="L83" i="84"/>
  <c r="M83" i="84"/>
  <c r="N83" i="84"/>
  <c r="O83" i="84"/>
  <c r="K84" i="84"/>
  <c r="L84" i="84"/>
  <c r="M84" i="84"/>
  <c r="N84" i="84"/>
  <c r="O84" i="84"/>
  <c r="K85" i="84"/>
  <c r="L85" i="84"/>
  <c r="M85" i="84"/>
  <c r="N85" i="84"/>
  <c r="O85" i="84"/>
  <c r="K86" i="84"/>
  <c r="L86" i="84"/>
  <c r="M86" i="84"/>
  <c r="N86" i="84"/>
  <c r="O86" i="84"/>
  <c r="K87" i="84"/>
  <c r="L87" i="84"/>
  <c r="M87" i="84"/>
  <c r="N87" i="84"/>
  <c r="O87" i="84"/>
  <c r="K88" i="84"/>
  <c r="L88" i="84"/>
  <c r="M88" i="84"/>
  <c r="N88" i="84"/>
  <c r="O88" i="84"/>
  <c r="K89" i="84"/>
  <c r="L89" i="84"/>
  <c r="M89" i="84"/>
  <c r="N89" i="84"/>
  <c r="O89" i="84"/>
  <c r="K90" i="84"/>
  <c r="L90" i="84"/>
  <c r="M90" i="84"/>
  <c r="N90" i="84"/>
  <c r="O90" i="84"/>
  <c r="K91" i="84"/>
  <c r="L91" i="84"/>
  <c r="M91" i="84"/>
  <c r="N91" i="84"/>
  <c r="O91" i="84"/>
  <c r="K92" i="84"/>
  <c r="L92" i="84"/>
  <c r="M92" i="84"/>
  <c r="N92" i="84"/>
  <c r="O92" i="84"/>
  <c r="K93" i="84"/>
  <c r="L93" i="84"/>
  <c r="M93" i="84"/>
  <c r="N93" i="84"/>
  <c r="O93" i="84"/>
  <c r="K94" i="84"/>
  <c r="L94" i="84"/>
  <c r="M94" i="84"/>
  <c r="N94" i="84"/>
  <c r="O94" i="84"/>
  <c r="K95" i="84"/>
  <c r="L95" i="84"/>
  <c r="M95" i="84"/>
  <c r="N95" i="84"/>
  <c r="O95" i="84"/>
  <c r="K96" i="84"/>
  <c r="L96" i="84"/>
  <c r="M96" i="84"/>
  <c r="N96" i="84"/>
  <c r="O96" i="84"/>
  <c r="K97" i="84"/>
  <c r="L97" i="84"/>
  <c r="M97" i="84"/>
  <c r="N97" i="84"/>
  <c r="O97" i="84"/>
  <c r="K98" i="84"/>
  <c r="L98" i="84"/>
  <c r="M98" i="84"/>
  <c r="N98" i="84"/>
  <c r="O98" i="84"/>
  <c r="K99" i="84"/>
  <c r="L99" i="84"/>
  <c r="M99" i="84"/>
  <c r="N99" i="84"/>
  <c r="O99" i="84"/>
  <c r="K100" i="84"/>
  <c r="L100" i="84"/>
  <c r="M100" i="84"/>
  <c r="N100" i="84"/>
  <c r="O100" i="84"/>
  <c r="K101" i="84"/>
  <c r="L101" i="84"/>
  <c r="M101" i="84"/>
  <c r="N101" i="84"/>
  <c r="O101" i="84"/>
  <c r="K102" i="84"/>
  <c r="L102" i="84"/>
  <c r="M102" i="84"/>
  <c r="N102" i="84"/>
  <c r="O102" i="84"/>
  <c r="K103" i="84"/>
  <c r="L103" i="84"/>
  <c r="M103" i="84"/>
  <c r="N103" i="84"/>
  <c r="O103" i="84"/>
  <c r="K104" i="84"/>
  <c r="L104" i="84"/>
  <c r="M104" i="84"/>
  <c r="N104" i="84"/>
  <c r="O104" i="84"/>
  <c r="K105" i="84"/>
  <c r="L105" i="84"/>
  <c r="M105" i="84"/>
  <c r="N105" i="84"/>
  <c r="O105" i="84"/>
  <c r="K106" i="84"/>
  <c r="L106" i="84"/>
  <c r="M106" i="84"/>
  <c r="N106" i="84"/>
  <c r="O106" i="84"/>
  <c r="K107" i="84"/>
  <c r="L107" i="84"/>
  <c r="M107" i="84"/>
  <c r="N107" i="84"/>
  <c r="O107" i="84"/>
  <c r="K108" i="84"/>
  <c r="L108" i="84"/>
  <c r="M108" i="84"/>
  <c r="N108" i="84"/>
  <c r="O108" i="84"/>
  <c r="K109" i="84"/>
  <c r="L109" i="84"/>
  <c r="M109" i="84"/>
  <c r="N109" i="84"/>
  <c r="O109" i="84"/>
  <c r="K110" i="84"/>
  <c r="L110" i="84"/>
  <c r="M110" i="84"/>
  <c r="N110" i="84"/>
  <c r="O110" i="84"/>
  <c r="K111" i="84"/>
  <c r="L111" i="84"/>
  <c r="M111" i="84"/>
  <c r="N111" i="84"/>
  <c r="O111" i="84"/>
  <c r="K112" i="84"/>
  <c r="L112" i="84"/>
  <c r="M112" i="84"/>
  <c r="N112" i="84"/>
  <c r="O112" i="84"/>
  <c r="K113" i="84"/>
  <c r="L113" i="84"/>
  <c r="M113" i="84"/>
  <c r="N113" i="84"/>
  <c r="O113" i="84"/>
  <c r="K114" i="84"/>
  <c r="L114" i="84"/>
  <c r="M114" i="84"/>
  <c r="N114" i="84"/>
  <c r="O114" i="84"/>
  <c r="K115" i="84"/>
  <c r="L115" i="84"/>
  <c r="M115" i="84"/>
  <c r="N115" i="84"/>
  <c r="O115" i="84"/>
  <c r="K116" i="84"/>
  <c r="L116" i="84"/>
  <c r="M116" i="84"/>
  <c r="N116" i="84"/>
  <c r="O116" i="84"/>
  <c r="K117" i="84"/>
  <c r="L117" i="84"/>
  <c r="M117" i="84"/>
  <c r="N117" i="84"/>
  <c r="O117" i="84"/>
  <c r="K118" i="84"/>
  <c r="L118" i="84"/>
  <c r="M118" i="84"/>
  <c r="N118" i="84"/>
  <c r="O118" i="84"/>
  <c r="K119" i="84"/>
  <c r="L119" i="84"/>
  <c r="M119" i="84"/>
  <c r="N119" i="84"/>
  <c r="O119" i="84"/>
  <c r="K120" i="84"/>
  <c r="L120" i="84"/>
  <c r="M120" i="84"/>
  <c r="N120" i="84"/>
  <c r="O120" i="84"/>
  <c r="K121" i="84"/>
  <c r="L121" i="84"/>
  <c r="M121" i="84"/>
  <c r="N121" i="84"/>
  <c r="O121" i="84"/>
  <c r="K122" i="84"/>
  <c r="L122" i="84"/>
  <c r="M122" i="84"/>
  <c r="N122" i="84"/>
  <c r="O122" i="84"/>
  <c r="K123" i="84"/>
  <c r="L123" i="84"/>
  <c r="M123" i="84"/>
  <c r="N123" i="84"/>
  <c r="O123" i="84"/>
  <c r="K124" i="84"/>
  <c r="L124" i="84"/>
  <c r="M124" i="84"/>
  <c r="N124" i="84"/>
  <c r="O124" i="84"/>
  <c r="K125" i="84"/>
  <c r="L125" i="84"/>
  <c r="M125" i="84"/>
  <c r="N125" i="84"/>
  <c r="O125" i="84"/>
  <c r="K126" i="84"/>
  <c r="L126" i="84"/>
  <c r="M126" i="84"/>
  <c r="N126" i="84"/>
  <c r="O126" i="84"/>
  <c r="K127" i="84"/>
  <c r="L127" i="84"/>
  <c r="M127" i="84"/>
  <c r="N127" i="84"/>
  <c r="O127" i="84"/>
  <c r="K128" i="84"/>
  <c r="L128" i="84"/>
  <c r="M128" i="84"/>
  <c r="N128" i="84"/>
  <c r="O128" i="84"/>
  <c r="K129" i="84"/>
  <c r="L129" i="84"/>
  <c r="M129" i="84"/>
  <c r="N129" i="84"/>
  <c r="O129" i="84"/>
  <c r="K130" i="84"/>
  <c r="L130" i="84"/>
  <c r="M130" i="84"/>
  <c r="N130" i="84"/>
  <c r="O130" i="84"/>
  <c r="K131" i="84"/>
  <c r="L131" i="84"/>
  <c r="M131" i="84"/>
  <c r="N131" i="84"/>
  <c r="O131" i="84"/>
  <c r="K132" i="84"/>
  <c r="L132" i="84"/>
  <c r="M132" i="84"/>
  <c r="N132" i="84"/>
  <c r="O132" i="84"/>
  <c r="K133" i="84"/>
  <c r="L133" i="84"/>
  <c r="M133" i="84"/>
  <c r="N133" i="84"/>
  <c r="O133" i="84"/>
  <c r="K134" i="84"/>
  <c r="L134" i="84"/>
  <c r="M134" i="84"/>
  <c r="N134" i="84"/>
  <c r="O134" i="84"/>
  <c r="K135" i="84"/>
  <c r="L135" i="84"/>
  <c r="M135" i="84"/>
  <c r="N135" i="84"/>
  <c r="O135" i="84"/>
  <c r="K136" i="84"/>
  <c r="L136" i="84"/>
  <c r="M136" i="84"/>
  <c r="N136" i="84"/>
  <c r="O136" i="84"/>
  <c r="K137" i="84"/>
  <c r="L137" i="84"/>
  <c r="M137" i="84"/>
  <c r="N137" i="84"/>
  <c r="O137" i="84"/>
  <c r="K138" i="84"/>
  <c r="L138" i="84"/>
  <c r="M138" i="84"/>
  <c r="N138" i="84"/>
  <c r="O138" i="84"/>
  <c r="K139" i="84"/>
  <c r="L139" i="84"/>
  <c r="M139" i="84"/>
  <c r="N139" i="84"/>
  <c r="O139" i="84"/>
  <c r="K140" i="84"/>
  <c r="L140" i="84"/>
  <c r="M140" i="84"/>
  <c r="N140" i="84"/>
  <c r="O140" i="84"/>
  <c r="K141" i="84"/>
  <c r="L141" i="84"/>
  <c r="M141" i="84"/>
  <c r="N141" i="84"/>
  <c r="O141" i="84"/>
  <c r="K142" i="84"/>
  <c r="L142" i="84"/>
  <c r="M142" i="84"/>
  <c r="N142" i="84"/>
  <c r="O142" i="84"/>
  <c r="K143" i="84"/>
  <c r="L143" i="84"/>
  <c r="M143" i="84"/>
  <c r="N143" i="84"/>
  <c r="O143" i="84"/>
  <c r="K144" i="84"/>
  <c r="L144" i="84"/>
  <c r="M144" i="84"/>
  <c r="N144" i="84"/>
  <c r="O144" i="84"/>
  <c r="K145" i="84"/>
  <c r="L145" i="84"/>
  <c r="M145" i="84"/>
  <c r="N145" i="84"/>
  <c r="O145" i="84"/>
  <c r="K146" i="84"/>
  <c r="L146" i="84"/>
  <c r="M146" i="84"/>
  <c r="N146" i="84"/>
  <c r="O146" i="84"/>
  <c r="K147" i="84"/>
  <c r="L147" i="84"/>
  <c r="M147" i="84"/>
  <c r="N147" i="84"/>
  <c r="O147" i="84"/>
  <c r="K148" i="84"/>
  <c r="L148" i="84"/>
  <c r="M148" i="84"/>
  <c r="N148" i="84"/>
  <c r="O148" i="84"/>
  <c r="K149" i="84"/>
  <c r="L149" i="84"/>
  <c r="M149" i="84"/>
  <c r="N149" i="84"/>
  <c r="O149" i="84"/>
  <c r="K150" i="84"/>
  <c r="L150" i="84"/>
  <c r="M150" i="84"/>
  <c r="N150" i="84"/>
  <c r="O150" i="84"/>
  <c r="K151" i="84"/>
  <c r="L151" i="84"/>
  <c r="M151" i="84"/>
  <c r="N151" i="84"/>
  <c r="O151" i="84"/>
  <c r="K152" i="84"/>
  <c r="L152" i="84"/>
  <c r="M152" i="84"/>
  <c r="N152" i="84"/>
  <c r="O152" i="84"/>
  <c r="K153" i="84"/>
  <c r="L153" i="84"/>
  <c r="M153" i="84"/>
  <c r="N153" i="84"/>
  <c r="O153" i="84"/>
  <c r="K154" i="84"/>
  <c r="L154" i="84"/>
  <c r="M154" i="84"/>
  <c r="N154" i="84"/>
  <c r="O154" i="84"/>
  <c r="K155" i="84"/>
  <c r="L155" i="84"/>
  <c r="M155" i="84"/>
  <c r="N155" i="84"/>
  <c r="O155" i="84"/>
  <c r="K156" i="84"/>
  <c r="L156" i="84"/>
  <c r="M156" i="84"/>
  <c r="N156" i="84"/>
  <c r="O156" i="84"/>
  <c r="K157" i="84"/>
  <c r="L157" i="84"/>
  <c r="M157" i="84"/>
  <c r="N157" i="84"/>
  <c r="O157" i="84"/>
  <c r="K158" i="84"/>
  <c r="L158" i="84"/>
  <c r="M158" i="84"/>
  <c r="N158" i="84"/>
  <c r="O158" i="84"/>
  <c r="K159" i="84"/>
  <c r="L159" i="84"/>
  <c r="M159" i="84"/>
  <c r="N159" i="84"/>
  <c r="O159" i="84"/>
  <c r="K160" i="84"/>
  <c r="L160" i="84"/>
  <c r="M160" i="84"/>
  <c r="N160" i="84"/>
  <c r="O160" i="84"/>
  <c r="K161" i="84"/>
  <c r="L161" i="84"/>
  <c r="M161" i="84"/>
  <c r="N161" i="84"/>
  <c r="O161" i="84"/>
  <c r="K162" i="84"/>
  <c r="L162" i="84"/>
  <c r="M162" i="84"/>
  <c r="N162" i="84"/>
  <c r="O162" i="84"/>
  <c r="K163" i="84"/>
  <c r="L163" i="84"/>
  <c r="M163" i="84"/>
  <c r="N163" i="84"/>
  <c r="O163" i="84"/>
  <c r="K164" i="84"/>
  <c r="L164" i="84"/>
  <c r="M164" i="84"/>
  <c r="N164" i="84"/>
  <c r="O164" i="84"/>
  <c r="K165" i="84"/>
  <c r="L165" i="84"/>
  <c r="M165" i="84"/>
  <c r="N165" i="84"/>
  <c r="O165" i="84"/>
  <c r="K166" i="84"/>
  <c r="L166" i="84"/>
  <c r="M166" i="84"/>
  <c r="N166" i="84"/>
  <c r="O166" i="84"/>
  <c r="K167" i="84"/>
  <c r="L167" i="84"/>
  <c r="M167" i="84"/>
  <c r="N167" i="84"/>
  <c r="O167" i="84"/>
  <c r="K168" i="84"/>
  <c r="L168" i="84"/>
  <c r="M168" i="84"/>
  <c r="N168" i="84"/>
  <c r="O168" i="84"/>
  <c r="K169" i="84"/>
  <c r="L169" i="84"/>
  <c r="M169" i="84"/>
  <c r="N169" i="84"/>
  <c r="O169" i="84"/>
  <c r="K170" i="84"/>
  <c r="L170" i="84"/>
  <c r="M170" i="84"/>
  <c r="N170" i="84"/>
  <c r="O170" i="84"/>
  <c r="K171" i="84"/>
  <c r="L171" i="84"/>
  <c r="M171" i="84"/>
  <c r="N171" i="84"/>
  <c r="O171" i="84"/>
  <c r="K172" i="84"/>
  <c r="L172" i="84"/>
  <c r="M172" i="84"/>
  <c r="N172" i="84"/>
  <c r="O172" i="84"/>
  <c r="K173" i="84"/>
  <c r="L173" i="84"/>
  <c r="M173" i="84"/>
  <c r="N173" i="84"/>
  <c r="O173" i="84"/>
  <c r="K174" i="84"/>
  <c r="L174" i="84"/>
  <c r="M174" i="84"/>
  <c r="N174" i="84"/>
  <c r="O174" i="84"/>
  <c r="K175" i="84"/>
  <c r="L175" i="84"/>
  <c r="M175" i="84"/>
  <c r="N175" i="84"/>
  <c r="O175" i="84"/>
  <c r="K176" i="84"/>
  <c r="L176" i="84"/>
  <c r="M176" i="84"/>
  <c r="N176" i="84"/>
  <c r="O176" i="84"/>
  <c r="K177" i="84"/>
  <c r="L177" i="84"/>
  <c r="M177" i="84"/>
  <c r="N177" i="84"/>
  <c r="O177" i="84"/>
  <c r="K178" i="84"/>
  <c r="L178" i="84"/>
  <c r="M178" i="84"/>
  <c r="N178" i="84"/>
  <c r="O178" i="84"/>
  <c r="K179" i="84"/>
  <c r="L179" i="84"/>
  <c r="M179" i="84"/>
  <c r="N179" i="84"/>
  <c r="O179" i="84"/>
  <c r="K180" i="84"/>
  <c r="L180" i="84"/>
  <c r="M180" i="84"/>
  <c r="N180" i="84"/>
  <c r="O180" i="84"/>
  <c r="K181" i="84"/>
  <c r="L181" i="84"/>
  <c r="M181" i="84"/>
  <c r="N181" i="84"/>
  <c r="O181" i="84"/>
  <c r="K182" i="84"/>
  <c r="L182" i="84"/>
  <c r="M182" i="84"/>
  <c r="N182" i="84"/>
  <c r="O182" i="84"/>
  <c r="K183" i="84"/>
  <c r="L183" i="84"/>
  <c r="M183" i="84"/>
  <c r="N183" i="84"/>
  <c r="O183" i="84"/>
  <c r="K184" i="84"/>
  <c r="L184" i="84"/>
  <c r="M184" i="84"/>
  <c r="N184" i="84"/>
  <c r="O184" i="84"/>
  <c r="K185" i="84"/>
  <c r="L185" i="84"/>
  <c r="M185" i="84"/>
  <c r="N185" i="84"/>
  <c r="O185" i="84"/>
  <c r="K186" i="84"/>
  <c r="L186" i="84"/>
  <c r="M186" i="84"/>
  <c r="N186" i="84"/>
  <c r="O186" i="84"/>
  <c r="K187" i="84"/>
  <c r="L187" i="84"/>
  <c r="M187" i="84"/>
  <c r="N187" i="84"/>
  <c r="O187" i="84"/>
  <c r="K188" i="84"/>
  <c r="L188" i="84"/>
  <c r="M188" i="84"/>
  <c r="N188" i="84"/>
  <c r="O188" i="84"/>
  <c r="K189" i="84"/>
  <c r="L189" i="84"/>
  <c r="M189" i="84"/>
  <c r="N189" i="84"/>
  <c r="O189" i="84"/>
  <c r="K190" i="84"/>
  <c r="L190" i="84"/>
  <c r="M190" i="84"/>
  <c r="N190" i="84"/>
  <c r="O190" i="84"/>
  <c r="K191" i="84"/>
  <c r="L191" i="84"/>
  <c r="M191" i="84"/>
  <c r="N191" i="84"/>
  <c r="O191" i="84"/>
  <c r="K192" i="84"/>
  <c r="L192" i="84"/>
  <c r="M192" i="84"/>
  <c r="N192" i="84"/>
  <c r="O192" i="84"/>
  <c r="K193" i="84"/>
  <c r="L193" i="84"/>
  <c r="M193" i="84"/>
  <c r="N193" i="84"/>
  <c r="O193" i="84"/>
  <c r="K194" i="84"/>
  <c r="L194" i="84"/>
  <c r="M194" i="84"/>
  <c r="N194" i="84"/>
  <c r="O194" i="84"/>
  <c r="K195" i="84"/>
  <c r="L195" i="84"/>
  <c r="M195" i="84"/>
  <c r="N195" i="84"/>
  <c r="O195" i="84"/>
  <c r="K196" i="84"/>
  <c r="L196" i="84"/>
  <c r="M196" i="84"/>
  <c r="N196" i="84"/>
  <c r="O196" i="84"/>
  <c r="K197" i="84"/>
  <c r="L197" i="84"/>
  <c r="M197" i="84"/>
  <c r="N197" i="84"/>
  <c r="O197" i="84"/>
  <c r="K198" i="84"/>
  <c r="L198" i="84"/>
  <c r="M198" i="84"/>
  <c r="N198" i="84"/>
  <c r="O198" i="84"/>
  <c r="K199" i="84"/>
  <c r="L199" i="84"/>
  <c r="M199" i="84"/>
  <c r="N199" i="84"/>
  <c r="O199" i="84"/>
  <c r="K200" i="84"/>
  <c r="L200" i="84"/>
  <c r="M200" i="84"/>
  <c r="N200" i="84"/>
  <c r="O200" i="84"/>
  <c r="K201" i="84"/>
  <c r="L201" i="84"/>
  <c r="M201" i="84"/>
  <c r="N201" i="84"/>
  <c r="O201" i="84"/>
  <c r="K202" i="84"/>
  <c r="L202" i="84"/>
  <c r="M202" i="84"/>
  <c r="N202" i="84"/>
  <c r="O202" i="84"/>
  <c r="K203" i="84"/>
  <c r="L203" i="84"/>
  <c r="M203" i="84"/>
  <c r="N203" i="84"/>
  <c r="O203" i="84"/>
  <c r="K204" i="84"/>
  <c r="L204" i="84"/>
  <c r="M204" i="84"/>
  <c r="N204" i="84"/>
  <c r="O204" i="84"/>
  <c r="K205" i="84"/>
  <c r="L205" i="84"/>
  <c r="M205" i="84"/>
  <c r="N205" i="84"/>
  <c r="O205" i="84"/>
  <c r="K206" i="84"/>
  <c r="L206" i="84"/>
  <c r="M206" i="84"/>
  <c r="N206" i="84"/>
  <c r="O206" i="84"/>
  <c r="K207" i="84"/>
  <c r="L207" i="84"/>
  <c r="M207" i="84"/>
  <c r="N207" i="84"/>
  <c r="O207" i="84"/>
  <c r="K208" i="84"/>
  <c r="L208" i="84"/>
  <c r="M208" i="84"/>
  <c r="N208" i="84"/>
  <c r="O208" i="84"/>
  <c r="K209" i="84"/>
  <c r="L209" i="84"/>
  <c r="M209" i="84"/>
  <c r="N209" i="84"/>
  <c r="O209" i="84"/>
  <c r="K210" i="84"/>
  <c r="L210" i="84"/>
  <c r="M210" i="84"/>
  <c r="N210" i="84"/>
  <c r="O210" i="84"/>
  <c r="K211" i="84"/>
  <c r="L211" i="84"/>
  <c r="M211" i="84"/>
  <c r="N211" i="84"/>
  <c r="O211" i="84"/>
  <c r="K212" i="84"/>
  <c r="L212" i="84"/>
  <c r="M212" i="84"/>
  <c r="N212" i="84"/>
  <c r="O212" i="84"/>
  <c r="K213" i="84"/>
  <c r="L213" i="84"/>
  <c r="M213" i="84"/>
  <c r="N213" i="84"/>
  <c r="O213" i="84"/>
  <c r="K214" i="84"/>
  <c r="L214" i="84"/>
  <c r="M214" i="84"/>
  <c r="N214" i="84"/>
  <c r="O214" i="84"/>
  <c r="K215" i="84"/>
  <c r="L215" i="84"/>
  <c r="M215" i="84"/>
  <c r="N215" i="84"/>
  <c r="O215" i="84"/>
  <c r="K216" i="84"/>
  <c r="L216" i="84"/>
  <c r="M216" i="84"/>
  <c r="N216" i="84"/>
  <c r="O216" i="84"/>
  <c r="K217" i="84"/>
  <c r="L217" i="84"/>
  <c r="M217" i="84"/>
  <c r="N217" i="84"/>
  <c r="O217" i="84"/>
  <c r="K218" i="84"/>
  <c r="L218" i="84"/>
  <c r="M218" i="84"/>
  <c r="N218" i="84"/>
  <c r="O218" i="84"/>
  <c r="K219" i="84"/>
  <c r="L219" i="84"/>
  <c r="M219" i="84"/>
  <c r="N219" i="84"/>
  <c r="O219" i="84"/>
  <c r="K220" i="84"/>
  <c r="L220" i="84"/>
  <c r="M220" i="84"/>
  <c r="N220" i="84"/>
  <c r="O220" i="84"/>
  <c r="K221" i="84"/>
  <c r="L221" i="84"/>
  <c r="M221" i="84"/>
  <c r="N221" i="84"/>
  <c r="O221" i="84"/>
  <c r="K222" i="84"/>
  <c r="L222" i="84"/>
  <c r="M222" i="84"/>
  <c r="N222" i="84"/>
  <c r="O222" i="84"/>
  <c r="K223" i="84"/>
  <c r="L223" i="84"/>
  <c r="M223" i="84"/>
  <c r="N223" i="84"/>
  <c r="O223" i="84"/>
  <c r="K224" i="84"/>
  <c r="L224" i="84"/>
  <c r="M224" i="84"/>
  <c r="N224" i="84"/>
  <c r="O224" i="84"/>
  <c r="K225" i="84"/>
  <c r="L225" i="84"/>
  <c r="M225" i="84"/>
  <c r="N225" i="84"/>
  <c r="O225" i="84"/>
  <c r="K226" i="84"/>
  <c r="L226" i="84"/>
  <c r="M226" i="84"/>
  <c r="N226" i="84"/>
  <c r="O226" i="84"/>
  <c r="K227" i="84"/>
  <c r="L227" i="84"/>
  <c r="M227" i="84"/>
  <c r="N227" i="84"/>
  <c r="O227" i="84"/>
  <c r="K228" i="84"/>
  <c r="L228" i="84"/>
  <c r="M228" i="84"/>
  <c r="N228" i="84"/>
  <c r="O228" i="84"/>
  <c r="K229" i="84"/>
  <c r="L229" i="84"/>
  <c r="M229" i="84"/>
  <c r="N229" i="84"/>
  <c r="O229" i="84"/>
  <c r="K230" i="84"/>
  <c r="L230" i="84"/>
  <c r="M230" i="84"/>
  <c r="N230" i="84"/>
  <c r="O230" i="84"/>
  <c r="K231" i="84"/>
  <c r="L231" i="84"/>
  <c r="M231" i="84"/>
  <c r="N231" i="84"/>
  <c r="O231" i="84"/>
  <c r="K232" i="84"/>
  <c r="L232" i="84"/>
  <c r="M232" i="84"/>
  <c r="N232" i="84"/>
  <c r="O232" i="84"/>
  <c r="K233" i="84"/>
  <c r="L233" i="84"/>
  <c r="M233" i="84"/>
  <c r="N233" i="84"/>
  <c r="O233" i="84"/>
  <c r="K234" i="84"/>
  <c r="L234" i="84"/>
  <c r="M234" i="84"/>
  <c r="N234" i="84"/>
  <c r="O234" i="84"/>
  <c r="K235" i="84"/>
  <c r="L235" i="84"/>
  <c r="M235" i="84"/>
  <c r="N235" i="84"/>
  <c r="O235" i="84"/>
  <c r="K236" i="84"/>
  <c r="L236" i="84"/>
  <c r="M236" i="84"/>
  <c r="N236" i="84"/>
  <c r="O236" i="84"/>
  <c r="K237" i="84"/>
  <c r="L237" i="84"/>
  <c r="M237" i="84"/>
  <c r="N237" i="84"/>
  <c r="O237" i="84"/>
  <c r="K238" i="84"/>
  <c r="L238" i="84"/>
  <c r="M238" i="84"/>
  <c r="N238" i="84"/>
  <c r="O238" i="84"/>
  <c r="K239" i="84"/>
  <c r="L239" i="84"/>
  <c r="M239" i="84"/>
  <c r="N239" i="84"/>
  <c r="O239" i="84"/>
  <c r="K240" i="84"/>
  <c r="L240" i="84"/>
  <c r="M240" i="84"/>
  <c r="N240" i="84"/>
  <c r="O240" i="84"/>
  <c r="K241" i="84"/>
  <c r="L241" i="84"/>
  <c r="M241" i="84"/>
  <c r="N241" i="84"/>
  <c r="O241" i="84"/>
  <c r="K242" i="84"/>
  <c r="L242" i="84"/>
  <c r="M242" i="84"/>
  <c r="N242" i="84"/>
  <c r="O242" i="84"/>
  <c r="K243" i="84"/>
  <c r="L243" i="84"/>
  <c r="M243" i="84"/>
  <c r="N243" i="84"/>
  <c r="O243" i="84"/>
  <c r="K244" i="84"/>
  <c r="L244" i="84"/>
  <c r="M244" i="84"/>
  <c r="N244" i="84"/>
  <c r="O244" i="84"/>
  <c r="K245" i="84"/>
  <c r="L245" i="84"/>
  <c r="M245" i="84"/>
  <c r="N245" i="84"/>
  <c r="O245" i="84"/>
  <c r="K246" i="84"/>
  <c r="L246" i="84"/>
  <c r="M246" i="84"/>
  <c r="N246" i="84"/>
  <c r="O246" i="84"/>
  <c r="K247" i="84"/>
  <c r="L247" i="84"/>
  <c r="M247" i="84"/>
  <c r="N247" i="84"/>
  <c r="O247" i="84"/>
  <c r="K248" i="84"/>
  <c r="L248" i="84"/>
  <c r="M248" i="84"/>
  <c r="N248" i="84"/>
  <c r="O248" i="84"/>
  <c r="K249" i="84"/>
  <c r="L249" i="84"/>
  <c r="M249" i="84"/>
  <c r="N249" i="84"/>
  <c r="O249" i="84"/>
  <c r="K250" i="84"/>
  <c r="L250" i="84"/>
  <c r="M250" i="84"/>
  <c r="N250" i="84"/>
  <c r="O250" i="84"/>
  <c r="K251" i="84"/>
  <c r="L251" i="84"/>
  <c r="M251" i="84"/>
  <c r="N251" i="84"/>
  <c r="O251" i="84"/>
  <c r="K252" i="84"/>
  <c r="L252" i="84"/>
  <c r="M252" i="84"/>
  <c r="N252" i="84"/>
  <c r="O252" i="84"/>
  <c r="K253" i="84"/>
  <c r="L253" i="84"/>
  <c r="M253" i="84"/>
  <c r="N253" i="84"/>
  <c r="O253" i="84"/>
  <c r="K254" i="84"/>
  <c r="L254" i="84"/>
  <c r="M254" i="84"/>
  <c r="N254" i="84"/>
  <c r="O254" i="84"/>
  <c r="K255" i="84"/>
  <c r="L255" i="84"/>
  <c r="M255" i="84"/>
  <c r="N255" i="84"/>
  <c r="O255" i="84"/>
  <c r="K256" i="84"/>
  <c r="L256" i="84"/>
  <c r="M256" i="84"/>
  <c r="N256" i="84"/>
  <c r="O256" i="84"/>
  <c r="K257" i="84"/>
  <c r="L257" i="84"/>
  <c r="M257" i="84"/>
  <c r="N257" i="84"/>
  <c r="O257" i="84"/>
  <c r="K258" i="84"/>
  <c r="L258" i="84"/>
  <c r="M258" i="84"/>
  <c r="N258" i="84"/>
  <c r="O258" i="84"/>
  <c r="K259" i="84"/>
  <c r="L259" i="84"/>
  <c r="M259" i="84"/>
  <c r="N259" i="84"/>
  <c r="O259" i="84"/>
  <c r="K260" i="84"/>
  <c r="L260" i="84"/>
  <c r="M260" i="84"/>
  <c r="N260" i="84"/>
  <c r="O260" i="84"/>
  <c r="K261" i="84"/>
  <c r="L261" i="84"/>
  <c r="M261" i="84"/>
  <c r="N261" i="84"/>
  <c r="O261" i="84"/>
  <c r="K262" i="84"/>
  <c r="L262" i="84"/>
  <c r="M262" i="84"/>
  <c r="N262" i="84"/>
  <c r="O262" i="84"/>
  <c r="K263" i="84"/>
  <c r="L263" i="84"/>
  <c r="M263" i="84"/>
  <c r="N263" i="84"/>
  <c r="O263" i="84"/>
  <c r="K264" i="84"/>
  <c r="L264" i="84"/>
  <c r="M264" i="84"/>
  <c r="N264" i="84"/>
  <c r="O264" i="84"/>
  <c r="K265" i="84"/>
  <c r="L265" i="84"/>
  <c r="M265" i="84"/>
  <c r="N265" i="84"/>
  <c r="O265" i="84"/>
  <c r="K266" i="84"/>
  <c r="L266" i="84"/>
  <c r="M266" i="84"/>
  <c r="N266" i="84"/>
  <c r="O266" i="84"/>
  <c r="K267" i="84"/>
  <c r="L267" i="84"/>
  <c r="M267" i="84"/>
  <c r="N267" i="84"/>
  <c r="O267" i="84"/>
  <c r="K268" i="84"/>
  <c r="L268" i="84"/>
  <c r="M268" i="84"/>
  <c r="N268" i="84"/>
  <c r="O268" i="84"/>
  <c r="K269" i="84"/>
  <c r="L269" i="84"/>
  <c r="M269" i="84"/>
  <c r="N269" i="84"/>
  <c r="O269" i="84"/>
  <c r="K270" i="84"/>
  <c r="L270" i="84"/>
  <c r="M270" i="84"/>
  <c r="N270" i="84"/>
  <c r="O270" i="84"/>
  <c r="K271" i="84"/>
  <c r="L271" i="84"/>
  <c r="M271" i="84"/>
  <c r="N271" i="84"/>
  <c r="O271" i="84"/>
  <c r="K272" i="84"/>
  <c r="L272" i="84"/>
  <c r="M272" i="84"/>
  <c r="N272" i="84"/>
  <c r="O272" i="84"/>
  <c r="K273" i="84"/>
  <c r="L273" i="84"/>
  <c r="M273" i="84"/>
  <c r="N273" i="84"/>
  <c r="O273" i="84"/>
  <c r="K274" i="84"/>
  <c r="L274" i="84"/>
  <c r="M274" i="84"/>
  <c r="N274" i="84"/>
  <c r="O274" i="84"/>
  <c r="K275" i="84"/>
  <c r="L275" i="84"/>
  <c r="M275" i="84"/>
  <c r="N275" i="84"/>
  <c r="O275" i="84"/>
  <c r="K276" i="84"/>
  <c r="L276" i="84"/>
  <c r="M276" i="84"/>
  <c r="N276" i="84"/>
  <c r="O276" i="84"/>
  <c r="K277" i="84"/>
  <c r="L277" i="84"/>
  <c r="M277" i="84"/>
  <c r="N277" i="84"/>
  <c r="O277" i="84"/>
  <c r="K278" i="84"/>
  <c r="L278" i="84"/>
  <c r="M278" i="84"/>
  <c r="N278" i="84"/>
  <c r="O278" i="84"/>
  <c r="K279" i="84"/>
  <c r="L279" i="84"/>
  <c r="M279" i="84"/>
  <c r="N279" i="84"/>
  <c r="O279" i="84"/>
  <c r="K280" i="84"/>
  <c r="L280" i="84"/>
  <c r="M280" i="84"/>
  <c r="N280" i="84"/>
  <c r="O280" i="84"/>
  <c r="K281" i="84"/>
  <c r="L281" i="84"/>
  <c r="M281" i="84"/>
  <c r="N281" i="84"/>
  <c r="O281" i="84"/>
  <c r="K282" i="84"/>
  <c r="L282" i="84"/>
  <c r="M282" i="84"/>
  <c r="N282" i="84"/>
  <c r="O282" i="84"/>
  <c r="K283" i="84"/>
  <c r="L283" i="84"/>
  <c r="M283" i="84"/>
  <c r="N283" i="84"/>
  <c r="O283" i="84"/>
  <c r="K284" i="84"/>
  <c r="L284" i="84"/>
  <c r="M284" i="84"/>
  <c r="N284" i="84"/>
  <c r="O284" i="84"/>
  <c r="K285" i="84"/>
  <c r="L285" i="84"/>
  <c r="M285" i="84"/>
  <c r="N285" i="84"/>
  <c r="O285" i="84"/>
  <c r="K286" i="84"/>
  <c r="L286" i="84"/>
  <c r="M286" i="84"/>
  <c r="N286" i="84"/>
  <c r="O286" i="84"/>
  <c r="K287" i="84"/>
  <c r="L287" i="84"/>
  <c r="M287" i="84"/>
  <c r="N287" i="84"/>
  <c r="O287" i="84"/>
  <c r="K288" i="84"/>
  <c r="L288" i="84"/>
  <c r="M288" i="84"/>
  <c r="N288" i="84"/>
  <c r="O288" i="84"/>
  <c r="K289" i="84"/>
  <c r="L289" i="84"/>
  <c r="M289" i="84"/>
  <c r="N289" i="84"/>
  <c r="O289" i="84"/>
  <c r="K290" i="84"/>
  <c r="L290" i="84"/>
  <c r="M290" i="84"/>
  <c r="N290" i="84"/>
  <c r="O290" i="84"/>
  <c r="K291" i="84"/>
  <c r="L291" i="84"/>
  <c r="M291" i="84"/>
  <c r="N291" i="84"/>
  <c r="O291" i="84"/>
  <c r="K292" i="84"/>
  <c r="L292" i="84"/>
  <c r="M292" i="84"/>
  <c r="N292" i="84"/>
  <c r="O292" i="84"/>
  <c r="K293" i="84"/>
  <c r="L293" i="84"/>
  <c r="M293" i="84"/>
  <c r="N293" i="84"/>
  <c r="O293" i="84"/>
  <c r="K294" i="84"/>
  <c r="L294" i="84"/>
  <c r="M294" i="84"/>
  <c r="N294" i="84"/>
  <c r="O294" i="84"/>
  <c r="K295" i="84"/>
  <c r="L295" i="84"/>
  <c r="M295" i="84"/>
  <c r="N295" i="84"/>
  <c r="O295" i="84"/>
  <c r="K296" i="84"/>
  <c r="L296" i="84"/>
  <c r="M296" i="84"/>
  <c r="N296" i="84"/>
  <c r="O296" i="84"/>
  <c r="K297" i="84"/>
  <c r="L297" i="84"/>
  <c r="M297" i="84"/>
  <c r="N297" i="84"/>
  <c r="O297" i="84"/>
  <c r="K298" i="84"/>
  <c r="L298" i="84"/>
  <c r="M298" i="84"/>
  <c r="N298" i="84"/>
  <c r="O298" i="84"/>
  <c r="K299" i="84"/>
  <c r="L299" i="84"/>
  <c r="M299" i="84"/>
  <c r="N299" i="84"/>
  <c r="O299" i="84"/>
  <c r="K300" i="84"/>
  <c r="L300" i="84"/>
  <c r="M300" i="84"/>
  <c r="N300" i="84"/>
  <c r="O300" i="84"/>
  <c r="K301" i="84"/>
  <c r="L301" i="84"/>
  <c r="M301" i="84"/>
  <c r="N301" i="84"/>
  <c r="O301" i="84"/>
  <c r="K302" i="84"/>
  <c r="L302" i="84"/>
  <c r="M302" i="84"/>
  <c r="N302" i="84"/>
  <c r="O302" i="84"/>
  <c r="K303" i="84"/>
  <c r="L303" i="84"/>
  <c r="M303" i="84"/>
  <c r="N303" i="84"/>
  <c r="O303" i="84"/>
  <c r="K304" i="84"/>
  <c r="L304" i="84"/>
  <c r="M304" i="84"/>
  <c r="N304" i="84"/>
  <c r="O304" i="84"/>
  <c r="K305" i="84"/>
  <c r="L305" i="84"/>
  <c r="M305" i="84"/>
  <c r="N305" i="84"/>
  <c r="O305" i="84"/>
  <c r="K306" i="84"/>
  <c r="L306" i="84"/>
  <c r="M306" i="84"/>
  <c r="N306" i="84"/>
  <c r="O306" i="84"/>
  <c r="K307" i="84"/>
  <c r="L307" i="84"/>
  <c r="M307" i="84"/>
  <c r="N307" i="84"/>
  <c r="O307" i="84"/>
  <c r="K308" i="84"/>
  <c r="L308" i="84"/>
  <c r="M308" i="84"/>
  <c r="N308" i="84"/>
  <c r="O308" i="84"/>
  <c r="K309" i="84"/>
  <c r="L309" i="84"/>
  <c r="M309" i="84"/>
  <c r="N309" i="84"/>
  <c r="O309" i="84"/>
  <c r="K310" i="84"/>
  <c r="L310" i="84"/>
  <c r="M310" i="84"/>
  <c r="N310" i="84"/>
  <c r="O310" i="84"/>
  <c r="K311" i="84"/>
  <c r="L311" i="84"/>
  <c r="M311" i="84"/>
  <c r="N311" i="84"/>
  <c r="O311" i="84"/>
  <c r="K312" i="84"/>
  <c r="L312" i="84"/>
  <c r="M312" i="84"/>
  <c r="N312" i="84"/>
  <c r="O312" i="84"/>
  <c r="K313" i="84"/>
  <c r="L313" i="84"/>
  <c r="M313" i="84"/>
  <c r="N313" i="84"/>
  <c r="O313" i="84"/>
  <c r="K314" i="84"/>
  <c r="L314" i="84"/>
  <c r="M314" i="84"/>
  <c r="N314" i="84"/>
  <c r="O314" i="84"/>
  <c r="K315" i="84"/>
  <c r="L315" i="84"/>
  <c r="M315" i="84"/>
  <c r="N315" i="84"/>
  <c r="O315" i="84"/>
  <c r="K316" i="84"/>
  <c r="L316" i="84"/>
  <c r="M316" i="84"/>
  <c r="N316" i="84"/>
  <c r="O316" i="84"/>
  <c r="K317" i="84"/>
  <c r="L317" i="84"/>
  <c r="M317" i="84"/>
  <c r="N317" i="84"/>
  <c r="O317" i="84"/>
  <c r="K318" i="84"/>
  <c r="L318" i="84"/>
  <c r="M318" i="84"/>
  <c r="N318" i="84"/>
  <c r="O318" i="84"/>
  <c r="K319" i="84"/>
  <c r="L319" i="84"/>
  <c r="M319" i="84"/>
  <c r="N319" i="84"/>
  <c r="O319" i="84"/>
  <c r="K320" i="84"/>
  <c r="L320" i="84"/>
  <c r="M320" i="84"/>
  <c r="N320" i="84"/>
  <c r="O320" i="84"/>
  <c r="K321" i="84"/>
  <c r="L321" i="84"/>
  <c r="M321" i="84"/>
  <c r="N321" i="84"/>
  <c r="O321" i="84"/>
  <c r="K322" i="84"/>
  <c r="L322" i="84"/>
  <c r="M322" i="84"/>
  <c r="N322" i="84"/>
  <c r="O322" i="84"/>
  <c r="K323" i="84"/>
  <c r="L323" i="84"/>
  <c r="M323" i="84"/>
  <c r="N323" i="84"/>
  <c r="O323" i="84"/>
  <c r="K324" i="84"/>
  <c r="L324" i="84"/>
  <c r="M324" i="84"/>
  <c r="N324" i="84"/>
  <c r="O324" i="84"/>
  <c r="K325" i="84"/>
  <c r="L325" i="84"/>
  <c r="M325" i="84"/>
  <c r="N325" i="84"/>
  <c r="O325" i="84"/>
  <c r="K326" i="84"/>
  <c r="L326" i="84"/>
  <c r="M326" i="84"/>
  <c r="N326" i="84"/>
  <c r="O326" i="84"/>
  <c r="K327" i="84"/>
  <c r="L327" i="84"/>
  <c r="M327" i="84"/>
  <c r="N327" i="84"/>
  <c r="O327" i="84"/>
  <c r="K328" i="84"/>
  <c r="L328" i="84"/>
  <c r="M328" i="84"/>
  <c r="N328" i="84"/>
  <c r="O328" i="84"/>
  <c r="K329" i="84"/>
  <c r="L329" i="84"/>
  <c r="M329" i="84"/>
  <c r="N329" i="84"/>
  <c r="O329" i="84"/>
  <c r="K330" i="84"/>
  <c r="L330" i="84"/>
  <c r="M330" i="84"/>
  <c r="N330" i="84"/>
  <c r="O330" i="84"/>
  <c r="K331" i="84"/>
  <c r="L331" i="84"/>
  <c r="M331" i="84"/>
  <c r="N331" i="84"/>
  <c r="O331" i="84"/>
  <c r="K332" i="84"/>
  <c r="L332" i="84"/>
  <c r="M332" i="84"/>
  <c r="N332" i="84"/>
  <c r="O332" i="84"/>
  <c r="K333" i="84"/>
  <c r="L333" i="84"/>
  <c r="M333" i="84"/>
  <c r="N333" i="84"/>
  <c r="O333" i="84"/>
  <c r="K334" i="84"/>
  <c r="L334" i="84"/>
  <c r="M334" i="84"/>
  <c r="N334" i="84"/>
  <c r="O334" i="84"/>
  <c r="K335" i="84"/>
  <c r="L335" i="84"/>
  <c r="M335" i="84"/>
  <c r="N335" i="84"/>
  <c r="O335" i="84"/>
  <c r="K336" i="84"/>
  <c r="L336" i="84"/>
  <c r="M336" i="84"/>
  <c r="N336" i="84"/>
  <c r="O336" i="84"/>
  <c r="K337" i="84"/>
  <c r="L337" i="84"/>
  <c r="M337" i="84"/>
  <c r="N337" i="84"/>
  <c r="O337" i="84"/>
  <c r="K338" i="84"/>
  <c r="L338" i="84"/>
  <c r="M338" i="84"/>
  <c r="N338" i="84"/>
  <c r="O338" i="84"/>
  <c r="K339" i="84"/>
  <c r="L339" i="84"/>
  <c r="M339" i="84"/>
  <c r="N339" i="84"/>
  <c r="O339" i="84"/>
  <c r="K340" i="84"/>
  <c r="L340" i="84"/>
  <c r="M340" i="84"/>
  <c r="N340" i="84"/>
  <c r="O340" i="84"/>
  <c r="K341" i="84"/>
  <c r="L341" i="84"/>
  <c r="M341" i="84"/>
  <c r="N341" i="84"/>
  <c r="O341" i="84"/>
  <c r="K342" i="84"/>
  <c r="L342" i="84"/>
  <c r="M342" i="84"/>
  <c r="N342" i="84"/>
  <c r="O342" i="84"/>
  <c r="K343" i="84"/>
  <c r="L343" i="84"/>
  <c r="M343" i="84"/>
  <c r="N343" i="84"/>
  <c r="O343" i="84"/>
  <c r="K344" i="84"/>
  <c r="L344" i="84"/>
  <c r="M344" i="84"/>
  <c r="N344" i="84"/>
  <c r="O344" i="84"/>
  <c r="K345" i="84"/>
  <c r="L345" i="84"/>
  <c r="M345" i="84"/>
  <c r="N345" i="84"/>
  <c r="O345" i="84"/>
  <c r="K346" i="84"/>
  <c r="L346" i="84"/>
  <c r="M346" i="84"/>
  <c r="N346" i="84"/>
  <c r="O346" i="84"/>
  <c r="K347" i="84"/>
  <c r="L347" i="84"/>
  <c r="M347" i="84"/>
  <c r="N347" i="84"/>
  <c r="O347" i="84"/>
  <c r="K348" i="84"/>
  <c r="L348" i="84"/>
  <c r="M348" i="84"/>
  <c r="N348" i="84"/>
  <c r="O348" i="84"/>
  <c r="K349" i="84"/>
  <c r="L349" i="84"/>
  <c r="M349" i="84"/>
  <c r="N349" i="84"/>
  <c r="O349" i="84"/>
  <c r="K350" i="84"/>
  <c r="L350" i="84"/>
  <c r="M350" i="84"/>
  <c r="N350" i="84"/>
  <c r="O350" i="84"/>
  <c r="K351" i="84"/>
  <c r="L351" i="84"/>
  <c r="M351" i="84"/>
  <c r="N351" i="84"/>
  <c r="O351" i="84"/>
  <c r="K352" i="84"/>
  <c r="L352" i="84"/>
  <c r="M352" i="84"/>
  <c r="N352" i="84"/>
  <c r="O352" i="84"/>
  <c r="K353" i="84"/>
  <c r="L353" i="84"/>
  <c r="M353" i="84"/>
  <c r="N353" i="84"/>
  <c r="O353" i="84"/>
  <c r="K354" i="84"/>
  <c r="L354" i="84"/>
  <c r="M354" i="84"/>
  <c r="N354" i="84"/>
  <c r="O354" i="84"/>
  <c r="K355" i="84"/>
  <c r="L355" i="84"/>
  <c r="M355" i="84"/>
  <c r="N355" i="84"/>
  <c r="O355" i="84"/>
  <c r="K356" i="84"/>
  <c r="L356" i="84"/>
  <c r="M356" i="84"/>
  <c r="N356" i="84"/>
  <c r="O356" i="84"/>
  <c r="K357" i="84"/>
  <c r="L357" i="84"/>
  <c r="M357" i="84"/>
  <c r="N357" i="84"/>
  <c r="O357" i="84"/>
  <c r="K358" i="84"/>
  <c r="L358" i="84"/>
  <c r="M358" i="84"/>
  <c r="N358" i="84"/>
  <c r="O358" i="84"/>
  <c r="K359" i="84"/>
  <c r="L359" i="84"/>
  <c r="M359" i="84"/>
  <c r="N359" i="84"/>
  <c r="O359" i="84"/>
  <c r="K360" i="84"/>
  <c r="L360" i="84"/>
  <c r="M360" i="84"/>
  <c r="N360" i="84"/>
  <c r="O360" i="84"/>
  <c r="K361" i="84"/>
  <c r="L361" i="84"/>
  <c r="M361" i="84"/>
  <c r="N361" i="84"/>
  <c r="O361" i="84"/>
  <c r="K362" i="84"/>
  <c r="L362" i="84"/>
  <c r="M362" i="84"/>
  <c r="N362" i="84"/>
  <c r="O362" i="84"/>
  <c r="K363" i="84"/>
  <c r="L363" i="84"/>
  <c r="M363" i="84"/>
  <c r="N363" i="84"/>
  <c r="O363" i="84"/>
  <c r="K364" i="84"/>
  <c r="L364" i="84"/>
  <c r="M364" i="84"/>
  <c r="N364" i="84"/>
  <c r="O364" i="84"/>
  <c r="K365" i="84"/>
  <c r="L365" i="84"/>
  <c r="M365" i="84"/>
  <c r="N365" i="84"/>
  <c r="O365" i="84"/>
  <c r="K366" i="84"/>
  <c r="L366" i="84"/>
  <c r="M366" i="84"/>
  <c r="N366" i="84"/>
  <c r="O366" i="84"/>
  <c r="K367" i="84"/>
  <c r="L367" i="84"/>
  <c r="M367" i="84"/>
  <c r="N367" i="84"/>
  <c r="O367" i="84"/>
  <c r="K368" i="84"/>
  <c r="L368" i="84"/>
  <c r="M368" i="84"/>
  <c r="N368" i="84"/>
  <c r="O368" i="84"/>
  <c r="K369" i="84"/>
  <c r="L369" i="84"/>
  <c r="M369" i="84"/>
  <c r="N369" i="84"/>
  <c r="O369" i="84"/>
  <c r="K370" i="84"/>
  <c r="L370" i="84"/>
  <c r="M370" i="84"/>
  <c r="N370" i="84"/>
  <c r="O370" i="84"/>
  <c r="K371" i="84"/>
  <c r="L371" i="84"/>
  <c r="M371" i="84"/>
  <c r="N371" i="84"/>
  <c r="O371" i="84"/>
  <c r="K372" i="84"/>
  <c r="L372" i="84"/>
  <c r="M372" i="84"/>
  <c r="N372" i="84"/>
  <c r="O372" i="84"/>
  <c r="K373" i="84"/>
  <c r="L373" i="84"/>
  <c r="M373" i="84"/>
  <c r="N373" i="84"/>
  <c r="O373" i="84"/>
  <c r="K374" i="84"/>
  <c r="L374" i="84"/>
  <c r="M374" i="84"/>
  <c r="N374" i="84"/>
  <c r="O374" i="84"/>
  <c r="K375" i="84"/>
  <c r="L375" i="84"/>
  <c r="M375" i="84"/>
  <c r="N375" i="84"/>
  <c r="O375" i="84"/>
  <c r="K376" i="84"/>
  <c r="L376" i="84"/>
  <c r="M376" i="84"/>
  <c r="N376" i="84"/>
  <c r="O376" i="84"/>
  <c r="K377" i="84"/>
  <c r="L377" i="84"/>
  <c r="M377" i="84"/>
  <c r="N377" i="84"/>
  <c r="O377" i="84"/>
  <c r="K378" i="84"/>
  <c r="L378" i="84"/>
  <c r="M378" i="84"/>
  <c r="N378" i="84"/>
  <c r="O378" i="84"/>
  <c r="K379" i="84"/>
  <c r="L379" i="84"/>
  <c r="M379" i="84"/>
  <c r="N379" i="84"/>
  <c r="O379" i="84"/>
  <c r="K380" i="84"/>
  <c r="L380" i="84"/>
  <c r="M380" i="84"/>
  <c r="N380" i="84"/>
  <c r="O380" i="84"/>
  <c r="K381" i="84"/>
  <c r="L381" i="84"/>
  <c r="M381" i="84"/>
  <c r="N381" i="84"/>
  <c r="O381" i="84"/>
  <c r="K382" i="84"/>
  <c r="L382" i="84"/>
  <c r="M382" i="84"/>
  <c r="N382" i="84"/>
  <c r="O382" i="84"/>
  <c r="K383" i="84"/>
  <c r="L383" i="84"/>
  <c r="M383" i="84"/>
  <c r="N383" i="84"/>
  <c r="O383" i="84"/>
  <c r="K384" i="84"/>
  <c r="L384" i="84"/>
  <c r="M384" i="84"/>
  <c r="N384" i="84"/>
  <c r="O384" i="84"/>
  <c r="K385" i="84"/>
  <c r="L385" i="84"/>
  <c r="M385" i="84"/>
  <c r="N385" i="84"/>
  <c r="O385" i="84"/>
  <c r="K386" i="84"/>
  <c r="L386" i="84"/>
  <c r="M386" i="84"/>
  <c r="N386" i="84"/>
  <c r="O386" i="84"/>
  <c r="K387" i="84"/>
  <c r="L387" i="84"/>
  <c r="M387" i="84"/>
  <c r="N387" i="84"/>
  <c r="O387" i="84"/>
  <c r="K388" i="84"/>
  <c r="L388" i="84"/>
  <c r="M388" i="84"/>
  <c r="N388" i="84"/>
  <c r="O388" i="84"/>
  <c r="K389" i="84"/>
  <c r="L389" i="84"/>
  <c r="M389" i="84"/>
  <c r="N389" i="84"/>
  <c r="O389" i="84"/>
  <c r="K390" i="84"/>
  <c r="L390" i="84"/>
  <c r="M390" i="84"/>
  <c r="N390" i="84"/>
  <c r="O390" i="84"/>
  <c r="K391" i="84"/>
  <c r="L391" i="84"/>
  <c r="M391" i="84"/>
  <c r="N391" i="84"/>
  <c r="O391" i="84"/>
  <c r="K392" i="84"/>
  <c r="L392" i="84"/>
  <c r="M392" i="84"/>
  <c r="N392" i="84"/>
  <c r="O392" i="84"/>
  <c r="K393" i="84"/>
  <c r="L393" i="84"/>
  <c r="M393" i="84"/>
  <c r="N393" i="84"/>
  <c r="O393" i="84"/>
  <c r="K394" i="84"/>
  <c r="L394" i="84"/>
  <c r="M394" i="84"/>
  <c r="N394" i="84"/>
  <c r="O394" i="84"/>
  <c r="K395" i="84"/>
  <c r="L395" i="84"/>
  <c r="M395" i="84"/>
  <c r="N395" i="84"/>
  <c r="O395" i="84"/>
  <c r="K396" i="84"/>
  <c r="L396" i="84"/>
  <c r="M396" i="84"/>
  <c r="N396" i="84"/>
  <c r="O396" i="84"/>
  <c r="K397" i="84"/>
  <c r="L397" i="84"/>
  <c r="M397" i="84"/>
  <c r="N397" i="84"/>
  <c r="O397" i="84"/>
  <c r="K398" i="84"/>
  <c r="L398" i="84"/>
  <c r="M398" i="84"/>
  <c r="N398" i="84"/>
  <c r="O398" i="84"/>
  <c r="K399" i="84"/>
  <c r="L399" i="84"/>
  <c r="M399" i="84"/>
  <c r="N399" i="84"/>
  <c r="O399" i="84"/>
  <c r="K400" i="84"/>
  <c r="L400" i="84"/>
  <c r="M400" i="84"/>
  <c r="N400" i="84"/>
  <c r="O400" i="84"/>
  <c r="K401" i="84"/>
  <c r="L401" i="84"/>
  <c r="M401" i="84"/>
  <c r="N401" i="84"/>
  <c r="O401" i="84"/>
  <c r="K402" i="84"/>
  <c r="L402" i="84"/>
  <c r="M402" i="84"/>
  <c r="N402" i="84"/>
  <c r="O402" i="84"/>
  <c r="K403" i="84"/>
  <c r="L403" i="84"/>
  <c r="M403" i="84"/>
  <c r="N403" i="84"/>
  <c r="O403" i="84"/>
  <c r="K404" i="84"/>
  <c r="L404" i="84"/>
  <c r="M404" i="84"/>
  <c r="N404" i="84"/>
  <c r="O404" i="84"/>
  <c r="K405" i="84"/>
  <c r="L405" i="84"/>
  <c r="M405" i="84"/>
  <c r="N405" i="84"/>
  <c r="O405" i="84"/>
  <c r="K406" i="84"/>
  <c r="L406" i="84"/>
  <c r="M406" i="84"/>
  <c r="N406" i="84"/>
  <c r="O406" i="84"/>
  <c r="K407" i="84"/>
  <c r="L407" i="84"/>
  <c r="M407" i="84"/>
  <c r="N407" i="84"/>
  <c r="O407" i="84"/>
  <c r="K408" i="84"/>
  <c r="L408" i="84"/>
  <c r="M408" i="84"/>
  <c r="N408" i="84"/>
  <c r="O408" i="84"/>
  <c r="K409" i="84"/>
  <c r="L409" i="84"/>
  <c r="M409" i="84"/>
  <c r="N409" i="84"/>
  <c r="O409" i="84"/>
  <c r="K410" i="84"/>
  <c r="L410" i="84"/>
  <c r="M410" i="84"/>
  <c r="N410" i="84"/>
  <c r="O410" i="84"/>
  <c r="K411" i="84"/>
  <c r="L411" i="84"/>
  <c r="M411" i="84"/>
  <c r="N411" i="84"/>
  <c r="O411" i="84"/>
  <c r="K412" i="84"/>
  <c r="L412" i="84"/>
  <c r="M412" i="84"/>
  <c r="N412" i="84"/>
  <c r="O412" i="84"/>
  <c r="K413" i="84"/>
  <c r="L413" i="84"/>
  <c r="M413" i="84"/>
  <c r="N413" i="84"/>
  <c r="O413" i="84"/>
  <c r="K414" i="84"/>
  <c r="L414" i="84"/>
  <c r="M414" i="84"/>
  <c r="N414" i="84"/>
  <c r="O414" i="84"/>
  <c r="K415" i="84"/>
  <c r="L415" i="84"/>
  <c r="M415" i="84"/>
  <c r="N415" i="84"/>
  <c r="O415" i="84"/>
  <c r="K416" i="84"/>
  <c r="L416" i="84"/>
  <c r="M416" i="84"/>
  <c r="N416" i="84"/>
  <c r="O416" i="84"/>
  <c r="K417" i="84"/>
  <c r="L417" i="84"/>
  <c r="M417" i="84"/>
  <c r="N417" i="84"/>
  <c r="O417" i="84"/>
  <c r="K418" i="84"/>
  <c r="L418" i="84"/>
  <c r="M418" i="84"/>
  <c r="N418" i="84"/>
  <c r="O418" i="84"/>
  <c r="K419" i="84"/>
  <c r="L419" i="84"/>
  <c r="M419" i="84"/>
  <c r="N419" i="84"/>
  <c r="O419" i="84"/>
  <c r="K420" i="84"/>
  <c r="L420" i="84"/>
  <c r="M420" i="84"/>
  <c r="N420" i="84"/>
  <c r="O420" i="84"/>
  <c r="K421" i="84"/>
  <c r="L421" i="84"/>
  <c r="M421" i="84"/>
  <c r="N421" i="84"/>
  <c r="O421" i="84"/>
  <c r="K422" i="84"/>
  <c r="L422" i="84"/>
  <c r="M422" i="84"/>
  <c r="N422" i="84"/>
  <c r="O422" i="84"/>
  <c r="K423" i="84"/>
  <c r="L423" i="84"/>
  <c r="M423" i="84"/>
  <c r="N423" i="84"/>
  <c r="O423" i="84"/>
  <c r="K424" i="84"/>
  <c r="L424" i="84"/>
  <c r="M424" i="84"/>
  <c r="N424" i="84"/>
  <c r="O424" i="84"/>
  <c r="K425" i="84"/>
  <c r="L425" i="84"/>
  <c r="M425" i="84"/>
  <c r="N425" i="84"/>
  <c r="O425" i="84"/>
  <c r="K426" i="84"/>
  <c r="L426" i="84"/>
  <c r="M426" i="84"/>
  <c r="N426" i="84"/>
  <c r="O426" i="84"/>
  <c r="K427" i="84"/>
  <c r="L427" i="84"/>
  <c r="M427" i="84"/>
  <c r="N427" i="84"/>
  <c r="O427" i="84"/>
  <c r="K428" i="84"/>
  <c r="L428" i="84"/>
  <c r="M428" i="84"/>
  <c r="N428" i="84"/>
  <c r="O428" i="84"/>
  <c r="K429" i="84"/>
  <c r="L429" i="84"/>
  <c r="M429" i="84"/>
  <c r="N429" i="84"/>
  <c r="O429" i="84"/>
  <c r="K430" i="84"/>
  <c r="L430" i="84"/>
  <c r="M430" i="84"/>
  <c r="N430" i="84"/>
  <c r="O430" i="84"/>
  <c r="K431" i="84"/>
  <c r="L431" i="84"/>
  <c r="M431" i="84"/>
  <c r="N431" i="84"/>
  <c r="O431" i="84"/>
  <c r="K432" i="84"/>
  <c r="L432" i="84"/>
  <c r="M432" i="84"/>
  <c r="N432" i="84"/>
  <c r="O432" i="84"/>
  <c r="K433" i="84"/>
  <c r="L433" i="84"/>
  <c r="M433" i="84"/>
  <c r="N433" i="84"/>
  <c r="O433" i="84"/>
  <c r="K434" i="84"/>
  <c r="L434" i="84"/>
  <c r="M434" i="84"/>
  <c r="N434" i="84"/>
  <c r="O434" i="84"/>
  <c r="K435" i="84"/>
  <c r="L435" i="84"/>
  <c r="M435" i="84"/>
  <c r="N435" i="84"/>
  <c r="O435" i="84"/>
  <c r="K436" i="84"/>
  <c r="L436" i="84"/>
  <c r="M436" i="84"/>
  <c r="N436" i="84"/>
  <c r="O436" i="84"/>
  <c r="K437" i="84"/>
  <c r="L437" i="84"/>
  <c r="M437" i="84"/>
  <c r="N437" i="84"/>
  <c r="O437" i="84"/>
  <c r="K438" i="84"/>
  <c r="L438" i="84"/>
  <c r="M438" i="84"/>
  <c r="N438" i="84"/>
  <c r="O438" i="84"/>
  <c r="K439" i="84"/>
  <c r="L439" i="84"/>
  <c r="M439" i="84"/>
  <c r="N439" i="84"/>
  <c r="O439" i="84"/>
  <c r="K440" i="84"/>
  <c r="L440" i="84"/>
  <c r="M440" i="84"/>
  <c r="N440" i="84"/>
  <c r="O440" i="84"/>
  <c r="K441" i="84"/>
  <c r="L441" i="84"/>
  <c r="M441" i="84"/>
  <c r="N441" i="84"/>
  <c r="O441" i="84"/>
  <c r="K442" i="84"/>
  <c r="L442" i="84"/>
  <c r="M442" i="84"/>
  <c r="N442" i="84"/>
  <c r="O442" i="84"/>
  <c r="K443" i="84"/>
  <c r="L443" i="84"/>
  <c r="M443" i="84"/>
  <c r="N443" i="84"/>
  <c r="O443" i="84"/>
  <c r="K444" i="84"/>
  <c r="L444" i="84"/>
  <c r="M444" i="84"/>
  <c r="N444" i="84"/>
  <c r="O444" i="84"/>
  <c r="K445" i="84"/>
  <c r="L445" i="84"/>
  <c r="M445" i="84"/>
  <c r="N445" i="84"/>
  <c r="O445" i="84"/>
  <c r="K446" i="84"/>
  <c r="L446" i="84"/>
  <c r="M446" i="84"/>
  <c r="N446" i="84"/>
  <c r="O446" i="84"/>
  <c r="K447" i="84"/>
  <c r="L447" i="84"/>
  <c r="M447" i="84"/>
  <c r="N447" i="84"/>
  <c r="O447" i="84"/>
  <c r="K448" i="84"/>
  <c r="L448" i="84"/>
  <c r="M448" i="84"/>
  <c r="N448" i="84"/>
  <c r="O448" i="84"/>
  <c r="K449" i="84"/>
  <c r="L449" i="84"/>
  <c r="M449" i="84"/>
  <c r="N449" i="84"/>
  <c r="O449" i="84"/>
  <c r="K450" i="84"/>
  <c r="L450" i="84"/>
  <c r="M450" i="84"/>
  <c r="N450" i="84"/>
  <c r="O450" i="84"/>
  <c r="K451" i="84"/>
  <c r="L451" i="84"/>
  <c r="M451" i="84"/>
  <c r="N451" i="84"/>
  <c r="O451" i="84"/>
  <c r="K452" i="84"/>
  <c r="L452" i="84"/>
  <c r="M452" i="84"/>
  <c r="N452" i="84"/>
  <c r="O452" i="84"/>
  <c r="K453" i="84"/>
  <c r="L453" i="84"/>
  <c r="M453" i="84"/>
  <c r="N453" i="84"/>
  <c r="O453" i="84"/>
  <c r="K454" i="84"/>
  <c r="L454" i="84"/>
  <c r="M454" i="84"/>
  <c r="N454" i="84"/>
  <c r="O454" i="84"/>
  <c r="K455" i="84"/>
  <c r="L455" i="84"/>
  <c r="M455" i="84"/>
  <c r="N455" i="84"/>
  <c r="O455" i="84"/>
  <c r="K456" i="84"/>
  <c r="L456" i="84"/>
  <c r="M456" i="84"/>
  <c r="N456" i="84"/>
  <c r="O456" i="84"/>
  <c r="K457" i="84"/>
  <c r="L457" i="84"/>
  <c r="M457" i="84"/>
  <c r="N457" i="84"/>
  <c r="O457" i="84"/>
  <c r="K458" i="84"/>
  <c r="L458" i="84"/>
  <c r="M458" i="84"/>
  <c r="N458" i="84"/>
  <c r="O458" i="84"/>
  <c r="K459" i="84"/>
  <c r="L459" i="84"/>
  <c r="M459" i="84"/>
  <c r="N459" i="84"/>
  <c r="O459" i="84"/>
  <c r="K460" i="84"/>
  <c r="L460" i="84"/>
  <c r="M460" i="84"/>
  <c r="N460" i="84"/>
  <c r="O460" i="84"/>
  <c r="K461" i="84"/>
  <c r="L461" i="84"/>
  <c r="M461" i="84"/>
  <c r="N461" i="84"/>
  <c r="O461" i="84"/>
  <c r="K462" i="84"/>
  <c r="L462" i="84"/>
  <c r="M462" i="84"/>
  <c r="N462" i="84"/>
  <c r="O462" i="84"/>
  <c r="K463" i="84"/>
  <c r="L463" i="84"/>
  <c r="M463" i="84"/>
  <c r="N463" i="84"/>
  <c r="O463" i="84"/>
  <c r="K464" i="84"/>
  <c r="L464" i="84"/>
  <c r="M464" i="84"/>
  <c r="N464" i="84"/>
  <c r="O464" i="84"/>
  <c r="K465" i="84"/>
  <c r="L465" i="84"/>
  <c r="M465" i="84"/>
  <c r="N465" i="84"/>
  <c r="O465" i="84"/>
  <c r="K466" i="84"/>
  <c r="L466" i="84"/>
  <c r="M466" i="84"/>
  <c r="N466" i="84"/>
  <c r="O466" i="84"/>
  <c r="K467" i="84"/>
  <c r="L467" i="84"/>
  <c r="M467" i="84"/>
  <c r="N467" i="84"/>
  <c r="O467" i="84"/>
  <c r="K468" i="84"/>
  <c r="L468" i="84"/>
  <c r="M468" i="84"/>
  <c r="N468" i="84"/>
  <c r="O468" i="84"/>
  <c r="K469" i="84"/>
  <c r="L469" i="84"/>
  <c r="M469" i="84"/>
  <c r="N469" i="84"/>
  <c r="O469" i="84"/>
  <c r="K470" i="84"/>
  <c r="L470" i="84"/>
  <c r="M470" i="84"/>
  <c r="N470" i="84"/>
  <c r="O470" i="84"/>
  <c r="K471" i="84"/>
  <c r="L471" i="84"/>
  <c r="M471" i="84"/>
  <c r="N471" i="84"/>
  <c r="O471" i="84"/>
  <c r="K472" i="84"/>
  <c r="L472" i="84"/>
  <c r="M472" i="84"/>
  <c r="N472" i="84"/>
  <c r="O472" i="84"/>
  <c r="K473" i="84"/>
  <c r="L473" i="84"/>
  <c r="M473" i="84"/>
  <c r="N473" i="84"/>
  <c r="O473" i="84"/>
  <c r="K474" i="84"/>
  <c r="L474" i="84"/>
  <c r="M474" i="84"/>
  <c r="N474" i="84"/>
  <c r="O474" i="84"/>
  <c r="K475" i="84"/>
  <c r="L475" i="84"/>
  <c r="M475" i="84"/>
  <c r="N475" i="84"/>
  <c r="O475" i="84"/>
  <c r="K476" i="84"/>
  <c r="L476" i="84"/>
  <c r="M476" i="84"/>
  <c r="N476" i="84"/>
  <c r="O476" i="84"/>
  <c r="K477" i="84"/>
  <c r="L477" i="84"/>
  <c r="M477" i="84"/>
  <c r="N477" i="84"/>
  <c r="O477" i="84"/>
  <c r="K478" i="84"/>
  <c r="L478" i="84"/>
  <c r="M478" i="84"/>
  <c r="N478" i="84"/>
  <c r="O478" i="84"/>
  <c r="K479" i="84"/>
  <c r="L479" i="84"/>
  <c r="M479" i="84"/>
  <c r="N479" i="84"/>
  <c r="O479" i="84"/>
  <c r="K480" i="84"/>
  <c r="L480" i="84"/>
  <c r="M480" i="84"/>
  <c r="N480" i="84"/>
  <c r="O480" i="84"/>
  <c r="K481" i="84"/>
  <c r="L481" i="84"/>
  <c r="M481" i="84"/>
  <c r="N481" i="84"/>
  <c r="O481" i="84"/>
  <c r="K482" i="84"/>
  <c r="L482" i="84"/>
  <c r="M482" i="84"/>
  <c r="N482" i="84"/>
  <c r="O482" i="84"/>
  <c r="K483" i="84"/>
  <c r="L483" i="84"/>
  <c r="M483" i="84"/>
  <c r="N483" i="84"/>
  <c r="O483" i="84"/>
  <c r="K484" i="84"/>
  <c r="L484" i="84"/>
  <c r="M484" i="84"/>
  <c r="N484" i="84"/>
  <c r="O484" i="84"/>
  <c r="K485" i="84"/>
  <c r="L485" i="84"/>
  <c r="M485" i="84"/>
  <c r="N485" i="84"/>
  <c r="O485" i="84"/>
  <c r="K486" i="84"/>
  <c r="L486" i="84"/>
  <c r="M486" i="84"/>
  <c r="N486" i="84"/>
  <c r="O486" i="84"/>
  <c r="K487" i="84"/>
  <c r="L487" i="84"/>
  <c r="M487" i="84"/>
  <c r="N487" i="84"/>
  <c r="O487" i="84"/>
  <c r="K488" i="84"/>
  <c r="L488" i="84"/>
  <c r="M488" i="84"/>
  <c r="N488" i="84"/>
  <c r="O488" i="84"/>
  <c r="K489" i="84"/>
  <c r="L489" i="84"/>
  <c r="M489" i="84"/>
  <c r="N489" i="84"/>
  <c r="O489" i="84"/>
  <c r="K490" i="84"/>
  <c r="L490" i="84"/>
  <c r="M490" i="84"/>
  <c r="N490" i="84"/>
  <c r="O490" i="84"/>
  <c r="K491" i="84"/>
  <c r="L491" i="84"/>
  <c r="M491" i="84"/>
  <c r="N491" i="84"/>
  <c r="O491" i="84"/>
  <c r="K492" i="84"/>
  <c r="L492" i="84"/>
  <c r="M492" i="84"/>
  <c r="N492" i="84"/>
  <c r="O492" i="84"/>
  <c r="K493" i="84"/>
  <c r="L493" i="84"/>
  <c r="M493" i="84"/>
  <c r="N493" i="84"/>
  <c r="O493" i="84"/>
  <c r="K494" i="84"/>
  <c r="L494" i="84"/>
  <c r="M494" i="84"/>
  <c r="N494" i="84"/>
  <c r="O494" i="84"/>
  <c r="K495" i="84"/>
  <c r="L495" i="84"/>
  <c r="M495" i="84"/>
  <c r="N495" i="84"/>
  <c r="O495" i="84"/>
  <c r="K496" i="84"/>
  <c r="L496" i="84"/>
  <c r="M496" i="84"/>
  <c r="N496" i="84"/>
  <c r="O496" i="84"/>
  <c r="K497" i="84"/>
  <c r="L497" i="84"/>
  <c r="M497" i="84"/>
  <c r="N497" i="84"/>
  <c r="O497" i="84"/>
  <c r="K498" i="84"/>
  <c r="L498" i="84"/>
  <c r="M498" i="84"/>
  <c r="N498" i="84"/>
  <c r="O498" i="84"/>
  <c r="K499" i="84"/>
  <c r="L499" i="84"/>
  <c r="M499" i="84"/>
  <c r="N499" i="84"/>
  <c r="O499" i="84"/>
  <c r="K500" i="84"/>
  <c r="L500" i="84"/>
  <c r="M500" i="84"/>
  <c r="N500" i="84"/>
  <c r="O500" i="84"/>
  <c r="K501" i="84"/>
  <c r="L501" i="84"/>
  <c r="M501" i="84"/>
  <c r="N501" i="84"/>
  <c r="O501" i="84"/>
  <c r="K502" i="84"/>
  <c r="L502" i="84"/>
  <c r="M502" i="84"/>
  <c r="N502" i="84"/>
  <c r="O502" i="84"/>
  <c r="K503" i="84"/>
  <c r="L503" i="84"/>
  <c r="M503" i="84"/>
  <c r="N503" i="84"/>
  <c r="O503" i="84"/>
  <c r="K504" i="84"/>
  <c r="L504" i="84"/>
  <c r="M504" i="84"/>
  <c r="N504" i="84"/>
  <c r="O504" i="84"/>
  <c r="K505" i="84"/>
  <c r="L505" i="84"/>
  <c r="M505" i="84"/>
  <c r="N505" i="84"/>
  <c r="O505" i="84"/>
  <c r="K506" i="84"/>
  <c r="L506" i="84"/>
  <c r="M506" i="84"/>
  <c r="N506" i="84"/>
  <c r="O506" i="84"/>
  <c r="K507" i="84"/>
  <c r="L507" i="84"/>
  <c r="M507" i="84"/>
  <c r="N507" i="84"/>
  <c r="O507" i="84"/>
  <c r="K508" i="84"/>
  <c r="L508" i="84"/>
  <c r="M508" i="84"/>
  <c r="N508" i="84"/>
  <c r="O508" i="84"/>
  <c r="K509" i="84"/>
  <c r="L509" i="84"/>
  <c r="M509" i="84"/>
  <c r="N509" i="84"/>
  <c r="O509" i="84"/>
  <c r="K510" i="84"/>
  <c r="L510" i="84"/>
  <c r="M510" i="84"/>
  <c r="N510" i="84"/>
  <c r="O510" i="84"/>
  <c r="K511" i="84"/>
  <c r="L511" i="84"/>
  <c r="M511" i="84"/>
  <c r="N511" i="84"/>
  <c r="O511" i="84"/>
  <c r="K512" i="84"/>
  <c r="L512" i="84"/>
  <c r="M512" i="84"/>
  <c r="N512" i="84"/>
  <c r="O512" i="84"/>
  <c r="K513" i="84"/>
  <c r="L513" i="84"/>
  <c r="M513" i="84"/>
  <c r="N513" i="84"/>
  <c r="O513" i="84"/>
  <c r="K514" i="84"/>
  <c r="L514" i="84"/>
  <c r="M514" i="84"/>
  <c r="N514" i="84"/>
  <c r="O514" i="84"/>
  <c r="K515" i="84"/>
  <c r="L515" i="84"/>
  <c r="M515" i="84"/>
  <c r="N515" i="84"/>
  <c r="O515" i="84"/>
  <c r="K516" i="84"/>
  <c r="L516" i="84"/>
  <c r="M516" i="84"/>
  <c r="N516" i="84"/>
  <c r="O516" i="84"/>
  <c r="K517" i="84"/>
  <c r="L517" i="84"/>
  <c r="M517" i="84"/>
  <c r="N517" i="84"/>
  <c r="O517" i="84"/>
  <c r="K518" i="84"/>
  <c r="L518" i="84"/>
  <c r="M518" i="84"/>
  <c r="N518" i="84"/>
  <c r="O518" i="84"/>
  <c r="K519" i="84"/>
  <c r="L519" i="84"/>
  <c r="M519" i="84"/>
  <c r="N519" i="84"/>
  <c r="O519" i="84"/>
  <c r="K520" i="84"/>
  <c r="L520" i="84"/>
  <c r="M520" i="84"/>
  <c r="N520" i="84"/>
  <c r="O520" i="84"/>
  <c r="K521" i="84"/>
  <c r="L521" i="84"/>
  <c r="M521" i="84"/>
  <c r="N521" i="84"/>
  <c r="O521" i="84"/>
  <c r="K522" i="84"/>
  <c r="L522" i="84"/>
  <c r="M522" i="84"/>
  <c r="N522" i="84"/>
  <c r="O522" i="84"/>
  <c r="K523" i="84"/>
  <c r="L523" i="84"/>
  <c r="M523" i="84"/>
  <c r="N523" i="84"/>
  <c r="O523" i="84"/>
  <c r="K524" i="84"/>
  <c r="L524" i="84"/>
  <c r="M524" i="84"/>
  <c r="N524" i="84"/>
  <c r="O524" i="84"/>
  <c r="K525" i="84"/>
  <c r="L525" i="84"/>
  <c r="M525" i="84"/>
  <c r="N525" i="84"/>
  <c r="O525" i="84"/>
  <c r="K526" i="84"/>
  <c r="L526" i="84"/>
  <c r="M526" i="84"/>
  <c r="N526" i="84"/>
  <c r="O526" i="84"/>
  <c r="K527" i="84"/>
  <c r="L527" i="84"/>
  <c r="M527" i="84"/>
  <c r="N527" i="84"/>
  <c r="O527" i="84"/>
  <c r="K528" i="84"/>
  <c r="L528" i="84"/>
  <c r="M528" i="84"/>
  <c r="N528" i="84"/>
  <c r="O528" i="84"/>
  <c r="K529" i="84"/>
  <c r="L529" i="84"/>
  <c r="M529" i="84"/>
  <c r="N529" i="84"/>
  <c r="O529" i="84"/>
  <c r="K530" i="84"/>
  <c r="L530" i="84"/>
  <c r="M530" i="84"/>
  <c r="N530" i="84"/>
  <c r="O530" i="84"/>
  <c r="K531" i="84"/>
  <c r="L531" i="84"/>
  <c r="M531" i="84"/>
  <c r="N531" i="84"/>
  <c r="O531" i="84"/>
  <c r="K532" i="84"/>
  <c r="L532" i="84"/>
  <c r="M532" i="84"/>
  <c r="N532" i="84"/>
  <c r="O532" i="84"/>
  <c r="K533" i="84"/>
  <c r="L533" i="84"/>
  <c r="M533" i="84"/>
  <c r="N533" i="84"/>
  <c r="O533" i="84"/>
  <c r="K534" i="84"/>
  <c r="L534" i="84"/>
  <c r="M534" i="84"/>
  <c r="N534" i="84"/>
  <c r="O534" i="84"/>
  <c r="K535" i="84"/>
  <c r="L535" i="84"/>
  <c r="M535" i="84"/>
  <c r="N535" i="84"/>
  <c r="O535" i="84"/>
  <c r="K536" i="84"/>
  <c r="L536" i="84"/>
  <c r="M536" i="84"/>
  <c r="N536" i="84"/>
  <c r="O536" i="84"/>
  <c r="K537" i="84"/>
  <c r="L537" i="84"/>
  <c r="M537" i="84"/>
  <c r="N537" i="84"/>
  <c r="O537" i="84"/>
  <c r="K538" i="84"/>
  <c r="L538" i="84"/>
  <c r="M538" i="84"/>
  <c r="N538" i="84"/>
  <c r="O538" i="84"/>
  <c r="K539" i="84"/>
  <c r="L539" i="84"/>
  <c r="M539" i="84"/>
  <c r="N539" i="84"/>
  <c r="O539" i="84"/>
  <c r="K540" i="84"/>
  <c r="L540" i="84"/>
  <c r="M540" i="84"/>
  <c r="N540" i="84"/>
  <c r="O540" i="84"/>
  <c r="K541" i="84"/>
  <c r="L541" i="84"/>
  <c r="M541" i="84"/>
  <c r="N541" i="84"/>
  <c r="O541" i="84"/>
  <c r="K542" i="84"/>
  <c r="L542" i="84"/>
  <c r="M542" i="84"/>
  <c r="N542" i="84"/>
  <c r="O542" i="84"/>
  <c r="K543" i="84"/>
  <c r="L543" i="84"/>
  <c r="M543" i="84"/>
  <c r="N543" i="84"/>
  <c r="O543" i="84"/>
  <c r="K544" i="84"/>
  <c r="L544" i="84"/>
  <c r="M544" i="84"/>
  <c r="N544" i="84"/>
  <c r="O544" i="84"/>
  <c r="K545" i="84"/>
  <c r="L545" i="84"/>
  <c r="M545" i="84"/>
  <c r="N545" i="84"/>
  <c r="O545" i="84"/>
  <c r="K546" i="84"/>
  <c r="L546" i="84"/>
  <c r="M546" i="84"/>
  <c r="N546" i="84"/>
  <c r="O546" i="84"/>
  <c r="K547" i="84"/>
  <c r="L547" i="84"/>
  <c r="M547" i="84"/>
  <c r="N547" i="84"/>
  <c r="O547" i="84"/>
  <c r="K548" i="84"/>
  <c r="L548" i="84"/>
  <c r="M548" i="84"/>
  <c r="N548" i="84"/>
  <c r="O548" i="84"/>
  <c r="K549" i="84"/>
  <c r="L549" i="84"/>
  <c r="M549" i="84"/>
  <c r="N549" i="84"/>
  <c r="O549" i="84"/>
  <c r="K550" i="84"/>
  <c r="L550" i="84"/>
  <c r="M550" i="84"/>
  <c r="N550" i="84"/>
  <c r="O550" i="84"/>
  <c r="K551" i="84"/>
  <c r="L551" i="84"/>
  <c r="M551" i="84"/>
  <c r="N551" i="84"/>
  <c r="O551" i="84"/>
  <c r="K552" i="84"/>
  <c r="L552" i="84"/>
  <c r="M552" i="84"/>
  <c r="N552" i="84"/>
  <c r="O552" i="84"/>
  <c r="K553" i="84"/>
  <c r="L553" i="84"/>
  <c r="M553" i="84"/>
  <c r="N553" i="84"/>
  <c r="O553" i="84"/>
  <c r="K554" i="84"/>
  <c r="L554" i="84"/>
  <c r="M554" i="84"/>
  <c r="N554" i="84"/>
  <c r="O554" i="84"/>
  <c r="K555" i="84"/>
  <c r="L555" i="84"/>
  <c r="M555" i="84"/>
  <c r="N555" i="84"/>
  <c r="O555" i="84"/>
  <c r="K556" i="84"/>
  <c r="L556" i="84"/>
  <c r="M556" i="84"/>
  <c r="N556" i="84"/>
  <c r="O556" i="84"/>
  <c r="K557" i="84"/>
  <c r="L557" i="84"/>
  <c r="M557" i="84"/>
  <c r="N557" i="84"/>
  <c r="O557" i="84"/>
  <c r="K558" i="84"/>
  <c r="L558" i="84"/>
  <c r="M558" i="84"/>
  <c r="N558" i="84"/>
  <c r="O558" i="84"/>
  <c r="K559" i="84"/>
  <c r="L559" i="84"/>
  <c r="M559" i="84"/>
  <c r="N559" i="84"/>
  <c r="O559" i="84"/>
  <c r="K560" i="84"/>
  <c r="L560" i="84"/>
  <c r="M560" i="84"/>
  <c r="N560" i="84"/>
  <c r="O560" i="84"/>
  <c r="K561" i="84"/>
  <c r="L561" i="84"/>
  <c r="M561" i="84"/>
  <c r="N561" i="84"/>
  <c r="O561" i="84"/>
  <c r="K562" i="84"/>
  <c r="L562" i="84"/>
  <c r="M562" i="84"/>
  <c r="N562" i="84"/>
  <c r="O562" i="84"/>
  <c r="K563" i="84"/>
  <c r="L563" i="84"/>
  <c r="M563" i="84"/>
  <c r="N563" i="84"/>
  <c r="O563" i="84"/>
  <c r="K564" i="84"/>
  <c r="L564" i="84"/>
  <c r="M564" i="84"/>
  <c r="N564" i="84"/>
  <c r="O564" i="84"/>
  <c r="K565" i="84"/>
  <c r="L565" i="84"/>
  <c r="M565" i="84"/>
  <c r="N565" i="84"/>
  <c r="O565" i="84"/>
  <c r="K566" i="84"/>
  <c r="L566" i="84"/>
  <c r="M566" i="84"/>
  <c r="N566" i="84"/>
  <c r="O566" i="84"/>
  <c r="K567" i="84"/>
  <c r="L567" i="84"/>
  <c r="M567" i="84"/>
  <c r="N567" i="84"/>
  <c r="O567" i="84"/>
  <c r="K568" i="84"/>
  <c r="L568" i="84"/>
  <c r="M568" i="84"/>
  <c r="N568" i="84"/>
  <c r="O568" i="84"/>
  <c r="K569" i="84"/>
  <c r="L569" i="84"/>
  <c r="M569" i="84"/>
  <c r="N569" i="84"/>
  <c r="O569" i="84"/>
  <c r="K570" i="84"/>
  <c r="L570" i="84"/>
  <c r="M570" i="84"/>
  <c r="N570" i="84"/>
  <c r="O570" i="84"/>
  <c r="K571" i="84"/>
  <c r="L571" i="84"/>
  <c r="M571" i="84"/>
  <c r="N571" i="84"/>
  <c r="O571" i="84"/>
  <c r="K572" i="84"/>
  <c r="L572" i="84"/>
  <c r="M572" i="84"/>
  <c r="N572" i="84"/>
  <c r="O572" i="84"/>
  <c r="K573" i="84"/>
  <c r="L573" i="84"/>
  <c r="M573" i="84"/>
  <c r="N573" i="84"/>
  <c r="O573" i="84"/>
  <c r="K574" i="84"/>
  <c r="L574" i="84"/>
  <c r="M574" i="84"/>
  <c r="N574" i="84"/>
  <c r="O574" i="84"/>
  <c r="K575" i="84"/>
  <c r="L575" i="84"/>
  <c r="M575" i="84"/>
  <c r="N575" i="84"/>
  <c r="O575" i="84"/>
  <c r="K576" i="84"/>
  <c r="L576" i="84"/>
  <c r="M576" i="84"/>
  <c r="N576" i="84"/>
  <c r="O576" i="84"/>
  <c r="K577" i="84"/>
  <c r="L577" i="84"/>
  <c r="M577" i="84"/>
  <c r="N577" i="84"/>
  <c r="O577" i="84"/>
  <c r="K578" i="84"/>
  <c r="L578" i="84"/>
  <c r="M578" i="84"/>
  <c r="N578" i="84"/>
  <c r="O578" i="84"/>
  <c r="K579" i="84"/>
  <c r="L579" i="84"/>
  <c r="M579" i="84"/>
  <c r="N579" i="84"/>
  <c r="O579" i="84"/>
  <c r="K580" i="84"/>
  <c r="L580" i="84"/>
  <c r="M580" i="84"/>
  <c r="N580" i="84"/>
  <c r="O580" i="84"/>
  <c r="K581" i="84"/>
  <c r="L581" i="84"/>
  <c r="M581" i="84"/>
  <c r="N581" i="84"/>
  <c r="O581" i="84"/>
  <c r="K582" i="84"/>
  <c r="L582" i="84"/>
  <c r="M582" i="84"/>
  <c r="N582" i="84"/>
  <c r="O582" i="84"/>
  <c r="K583" i="84"/>
  <c r="L583" i="84"/>
  <c r="M583" i="84"/>
  <c r="N583" i="84"/>
  <c r="O583" i="84"/>
  <c r="K584" i="84"/>
  <c r="L584" i="84"/>
  <c r="M584" i="84"/>
  <c r="N584" i="84"/>
  <c r="O584" i="84"/>
  <c r="K585" i="84"/>
  <c r="L585" i="84"/>
  <c r="M585" i="84"/>
  <c r="N585" i="84"/>
  <c r="O585" i="84"/>
  <c r="K586" i="84"/>
  <c r="L586" i="84"/>
  <c r="M586" i="84"/>
  <c r="N586" i="84"/>
  <c r="O586" i="84"/>
  <c r="K587" i="84"/>
  <c r="L587" i="84"/>
  <c r="M587" i="84"/>
  <c r="N587" i="84"/>
  <c r="O587" i="84"/>
  <c r="K588" i="84"/>
  <c r="L588" i="84"/>
  <c r="M588" i="84"/>
  <c r="N588" i="84"/>
  <c r="O588" i="84"/>
  <c r="K589" i="84"/>
  <c r="L589" i="84"/>
  <c r="M589" i="84"/>
  <c r="N589" i="84"/>
  <c r="O589" i="84"/>
  <c r="K590" i="84"/>
  <c r="L590" i="84"/>
  <c r="M590" i="84"/>
  <c r="N590" i="84"/>
  <c r="O590" i="84"/>
  <c r="K591" i="84"/>
  <c r="L591" i="84"/>
  <c r="M591" i="84"/>
  <c r="N591" i="84"/>
  <c r="O591" i="84"/>
  <c r="K592" i="84"/>
  <c r="L592" i="84"/>
  <c r="M592" i="84"/>
  <c r="N592" i="84"/>
  <c r="O592" i="84"/>
  <c r="K593" i="84"/>
  <c r="L593" i="84"/>
  <c r="M593" i="84"/>
  <c r="N593" i="84"/>
  <c r="O593" i="84"/>
  <c r="K594" i="84"/>
  <c r="L594" i="84"/>
  <c r="M594" i="84"/>
  <c r="N594" i="84"/>
  <c r="O594" i="84"/>
  <c r="K595" i="84"/>
  <c r="L595" i="84"/>
  <c r="M595" i="84"/>
  <c r="N595" i="84"/>
  <c r="O595" i="84"/>
  <c r="K596" i="84"/>
  <c r="L596" i="84"/>
  <c r="M596" i="84"/>
  <c r="N596" i="84"/>
  <c r="O596" i="84"/>
  <c r="K597" i="84"/>
  <c r="L597" i="84"/>
  <c r="M597" i="84"/>
  <c r="N597" i="84"/>
  <c r="O597" i="84"/>
  <c r="K598" i="84"/>
  <c r="L598" i="84"/>
  <c r="M598" i="84"/>
  <c r="N598" i="84"/>
  <c r="O598" i="84"/>
  <c r="K599" i="84"/>
  <c r="L599" i="84"/>
  <c r="M599" i="84"/>
  <c r="N599" i="84"/>
  <c r="O599" i="84"/>
  <c r="K600" i="84"/>
  <c r="L600" i="84"/>
  <c r="M600" i="84"/>
  <c r="N600" i="84"/>
  <c r="O600" i="84"/>
  <c r="K601" i="84"/>
  <c r="L601" i="84"/>
  <c r="M601" i="84"/>
  <c r="N601" i="84"/>
  <c r="O601" i="84"/>
  <c r="K602" i="84"/>
  <c r="L602" i="84"/>
  <c r="M602" i="84"/>
  <c r="N602" i="84"/>
  <c r="O602" i="84"/>
  <c r="K603" i="84"/>
  <c r="L603" i="84"/>
  <c r="M603" i="84"/>
  <c r="N603" i="84"/>
  <c r="O603" i="84"/>
  <c r="K604" i="84"/>
  <c r="L604" i="84"/>
  <c r="M604" i="84"/>
  <c r="N604" i="84"/>
  <c r="O604" i="84"/>
  <c r="K605" i="84"/>
  <c r="L605" i="84"/>
  <c r="M605" i="84"/>
  <c r="N605" i="84"/>
  <c r="O605" i="84"/>
  <c r="K606" i="84"/>
  <c r="L606" i="84"/>
  <c r="M606" i="84"/>
  <c r="N606" i="84"/>
  <c r="O606" i="84"/>
  <c r="K607" i="84"/>
  <c r="L607" i="84"/>
  <c r="M607" i="84"/>
  <c r="N607" i="84"/>
  <c r="O607" i="84"/>
  <c r="K608" i="84"/>
  <c r="L608" i="84"/>
  <c r="M608" i="84"/>
  <c r="N608" i="84"/>
  <c r="O608" i="84"/>
  <c r="K609" i="84"/>
  <c r="L609" i="84"/>
  <c r="M609" i="84"/>
  <c r="N609" i="84"/>
  <c r="O609" i="84"/>
  <c r="K610" i="84"/>
  <c r="L610" i="84"/>
  <c r="M610" i="84"/>
  <c r="N610" i="84"/>
  <c r="O610" i="84"/>
  <c r="K611" i="84"/>
  <c r="L611" i="84"/>
  <c r="M611" i="84"/>
  <c r="N611" i="84"/>
  <c r="O611" i="84"/>
  <c r="K612" i="84"/>
  <c r="L612" i="84"/>
  <c r="M612" i="84"/>
  <c r="N612" i="84"/>
  <c r="O612" i="84"/>
  <c r="K613" i="84"/>
  <c r="L613" i="84"/>
  <c r="M613" i="84"/>
  <c r="N613" i="84"/>
  <c r="O613" i="84"/>
  <c r="K614" i="84"/>
  <c r="L614" i="84"/>
  <c r="M614" i="84"/>
  <c r="N614" i="84"/>
  <c r="O614" i="84"/>
  <c r="K615" i="84"/>
  <c r="L615" i="84"/>
  <c r="M615" i="84"/>
  <c r="N615" i="84"/>
  <c r="O615" i="84"/>
  <c r="K616" i="84"/>
  <c r="L616" i="84"/>
  <c r="M616" i="84"/>
  <c r="N616" i="84"/>
  <c r="O616" i="84"/>
  <c r="K617" i="84"/>
  <c r="L617" i="84"/>
  <c r="M617" i="84"/>
  <c r="N617" i="84"/>
  <c r="O617" i="84"/>
  <c r="K618" i="84"/>
  <c r="L618" i="84"/>
  <c r="M618" i="84"/>
  <c r="N618" i="84"/>
  <c r="O618" i="84"/>
  <c r="K619" i="84"/>
  <c r="L619" i="84"/>
  <c r="M619" i="84"/>
  <c r="N619" i="84"/>
  <c r="O619" i="84"/>
  <c r="K620" i="84"/>
  <c r="L620" i="84"/>
  <c r="M620" i="84"/>
  <c r="N620" i="84"/>
  <c r="O620" i="84"/>
  <c r="K621" i="84"/>
  <c r="L621" i="84"/>
  <c r="M621" i="84"/>
  <c r="N621" i="84"/>
  <c r="O621" i="84"/>
  <c r="K622" i="84"/>
  <c r="L622" i="84"/>
  <c r="M622" i="84"/>
  <c r="N622" i="84"/>
  <c r="O622" i="84"/>
  <c r="K623" i="84"/>
  <c r="L623" i="84"/>
  <c r="M623" i="84"/>
  <c r="N623" i="84"/>
  <c r="O623" i="84"/>
  <c r="K624" i="84"/>
  <c r="L624" i="84"/>
  <c r="M624" i="84"/>
  <c r="N624" i="84"/>
  <c r="O624" i="84"/>
  <c r="K625" i="84"/>
  <c r="L625" i="84"/>
  <c r="M625" i="84"/>
  <c r="N625" i="84"/>
  <c r="O625" i="84"/>
  <c r="K626" i="84"/>
  <c r="L626" i="84"/>
  <c r="M626" i="84"/>
  <c r="N626" i="84"/>
  <c r="O626" i="84"/>
  <c r="K627" i="84"/>
  <c r="L627" i="84"/>
  <c r="M627" i="84"/>
  <c r="N627" i="84"/>
  <c r="O627" i="84"/>
  <c r="K628" i="84"/>
  <c r="L628" i="84"/>
  <c r="M628" i="84"/>
  <c r="N628" i="84"/>
  <c r="O628" i="84"/>
  <c r="K629" i="84"/>
  <c r="L629" i="84"/>
  <c r="M629" i="84"/>
  <c r="N629" i="84"/>
  <c r="O629" i="84"/>
  <c r="K630" i="84"/>
  <c r="L630" i="84"/>
  <c r="M630" i="84"/>
  <c r="N630" i="84"/>
  <c r="O630" i="84"/>
  <c r="K631" i="84"/>
  <c r="L631" i="84"/>
  <c r="M631" i="84"/>
  <c r="N631" i="84"/>
  <c r="O631" i="84"/>
  <c r="K632" i="84"/>
  <c r="L632" i="84"/>
  <c r="M632" i="84"/>
  <c r="N632" i="84"/>
  <c r="O632" i="84"/>
  <c r="K633" i="84"/>
  <c r="L633" i="84"/>
  <c r="M633" i="84"/>
  <c r="N633" i="84"/>
  <c r="O633" i="84"/>
  <c r="K634" i="84"/>
  <c r="L634" i="84"/>
  <c r="M634" i="84"/>
  <c r="N634" i="84"/>
  <c r="O634" i="84"/>
  <c r="K635" i="84"/>
  <c r="L635" i="84"/>
  <c r="M635" i="84"/>
  <c r="N635" i="84"/>
  <c r="O635" i="84"/>
  <c r="K636" i="84"/>
  <c r="L636" i="84"/>
  <c r="M636" i="84"/>
  <c r="N636" i="84"/>
  <c r="O636" i="84"/>
  <c r="K637" i="84"/>
  <c r="L637" i="84"/>
  <c r="M637" i="84"/>
  <c r="N637" i="84"/>
  <c r="O637" i="84"/>
  <c r="K638" i="84"/>
  <c r="L638" i="84"/>
  <c r="M638" i="84"/>
  <c r="N638" i="84"/>
  <c r="O638" i="84"/>
  <c r="K639" i="84"/>
  <c r="L639" i="84"/>
  <c r="M639" i="84"/>
  <c r="N639" i="84"/>
  <c r="O639" i="84"/>
  <c r="K640" i="84"/>
  <c r="L640" i="84"/>
  <c r="M640" i="84"/>
  <c r="N640" i="84"/>
  <c r="O640" i="84"/>
  <c r="K641" i="84"/>
  <c r="L641" i="84"/>
  <c r="M641" i="84"/>
  <c r="N641" i="84"/>
  <c r="O641" i="84"/>
  <c r="K642" i="84"/>
  <c r="L642" i="84"/>
  <c r="M642" i="84"/>
  <c r="N642" i="84"/>
  <c r="O642" i="84"/>
  <c r="K643" i="84"/>
  <c r="L643" i="84"/>
  <c r="M643" i="84"/>
  <c r="N643" i="84"/>
  <c r="O643" i="84"/>
  <c r="K644" i="84"/>
  <c r="L644" i="84"/>
  <c r="M644" i="84"/>
  <c r="N644" i="84"/>
  <c r="O644" i="84"/>
  <c r="K645" i="84"/>
  <c r="L645" i="84"/>
  <c r="M645" i="84"/>
  <c r="N645" i="84"/>
  <c r="O645" i="84"/>
  <c r="K646" i="84"/>
  <c r="L646" i="84"/>
  <c r="M646" i="84"/>
  <c r="N646" i="84"/>
  <c r="O646" i="84"/>
  <c r="K647" i="84"/>
  <c r="L647" i="84"/>
  <c r="M647" i="84"/>
  <c r="N647" i="84"/>
  <c r="O647" i="84"/>
  <c r="K648" i="84"/>
  <c r="L648" i="84"/>
  <c r="M648" i="84"/>
  <c r="N648" i="84"/>
  <c r="O648" i="84"/>
  <c r="K649" i="84"/>
  <c r="L649" i="84"/>
  <c r="M649" i="84"/>
  <c r="N649" i="84"/>
  <c r="O649" i="84"/>
  <c r="K650" i="84"/>
  <c r="L650" i="84"/>
  <c r="M650" i="84"/>
  <c r="N650" i="84"/>
  <c r="O650" i="84"/>
  <c r="K651" i="84"/>
  <c r="L651" i="84"/>
  <c r="M651" i="84"/>
  <c r="N651" i="84"/>
  <c r="O651" i="84"/>
  <c r="K652" i="84"/>
  <c r="L652" i="84"/>
  <c r="M652" i="84"/>
  <c r="N652" i="84"/>
  <c r="O652" i="84"/>
  <c r="K653" i="84"/>
  <c r="L653" i="84"/>
  <c r="M653" i="84"/>
  <c r="N653" i="84"/>
  <c r="O653" i="84"/>
  <c r="K654" i="84"/>
  <c r="L654" i="84"/>
  <c r="M654" i="84"/>
  <c r="N654" i="84"/>
  <c r="O654" i="84"/>
  <c r="K655" i="84"/>
  <c r="L655" i="84"/>
  <c r="M655" i="84"/>
  <c r="N655" i="84"/>
  <c r="O655" i="84"/>
  <c r="K656" i="84"/>
  <c r="L656" i="84"/>
  <c r="M656" i="84"/>
  <c r="N656" i="84"/>
  <c r="O656" i="84"/>
  <c r="K657" i="84"/>
  <c r="L657" i="84"/>
  <c r="M657" i="84"/>
  <c r="N657" i="84"/>
  <c r="O657" i="84"/>
  <c r="K658" i="84"/>
  <c r="L658" i="84"/>
  <c r="M658" i="84"/>
  <c r="N658" i="84"/>
  <c r="O658" i="84"/>
  <c r="K659" i="84"/>
  <c r="L659" i="84"/>
  <c r="M659" i="84"/>
  <c r="N659" i="84"/>
  <c r="O659" i="84"/>
  <c r="K660" i="84"/>
  <c r="L660" i="84"/>
  <c r="M660" i="84"/>
  <c r="N660" i="84"/>
  <c r="O660" i="84"/>
  <c r="K661" i="84"/>
  <c r="L661" i="84"/>
  <c r="M661" i="84"/>
  <c r="N661" i="84"/>
  <c r="O661" i="84"/>
  <c r="K662" i="84"/>
  <c r="L662" i="84"/>
  <c r="M662" i="84"/>
  <c r="N662" i="84"/>
  <c r="O662" i="84"/>
  <c r="K663" i="84"/>
  <c r="L663" i="84"/>
  <c r="M663" i="84"/>
  <c r="N663" i="84"/>
  <c r="O663" i="84"/>
  <c r="K664" i="84"/>
  <c r="L664" i="84"/>
  <c r="M664" i="84"/>
  <c r="N664" i="84"/>
  <c r="O664" i="84"/>
  <c r="K665" i="84"/>
  <c r="L665" i="84"/>
  <c r="M665" i="84"/>
  <c r="N665" i="84"/>
  <c r="O665" i="84"/>
  <c r="K666" i="84"/>
  <c r="L666" i="84"/>
  <c r="M666" i="84"/>
  <c r="N666" i="84"/>
  <c r="O666" i="84"/>
  <c r="K667" i="84"/>
  <c r="L667" i="84"/>
  <c r="M667" i="84"/>
  <c r="N667" i="84"/>
  <c r="O667" i="84"/>
  <c r="K668" i="84"/>
  <c r="L668" i="84"/>
  <c r="M668" i="84"/>
  <c r="N668" i="84"/>
  <c r="O668" i="84"/>
  <c r="K669" i="84"/>
  <c r="L669" i="84"/>
  <c r="M669" i="84"/>
  <c r="N669" i="84"/>
  <c r="O669" i="84"/>
  <c r="K670" i="84"/>
  <c r="L670" i="84"/>
  <c r="M670" i="84"/>
  <c r="N670" i="84"/>
  <c r="O670" i="84"/>
  <c r="K671" i="84"/>
  <c r="L671" i="84"/>
  <c r="M671" i="84"/>
  <c r="N671" i="84"/>
  <c r="O671" i="84"/>
  <c r="K672" i="84"/>
  <c r="L672" i="84"/>
  <c r="M672" i="84"/>
  <c r="N672" i="84"/>
  <c r="O672" i="84"/>
  <c r="K673" i="84"/>
  <c r="L673" i="84"/>
  <c r="M673" i="84"/>
  <c r="N673" i="84"/>
  <c r="O673" i="84"/>
  <c r="K674" i="84"/>
  <c r="L674" i="84"/>
  <c r="M674" i="84"/>
  <c r="N674" i="84"/>
  <c r="O674" i="84"/>
  <c r="K675" i="84"/>
  <c r="L675" i="84"/>
  <c r="M675" i="84"/>
  <c r="N675" i="84"/>
  <c r="O675" i="84"/>
  <c r="K676" i="84"/>
  <c r="L676" i="84"/>
  <c r="M676" i="84"/>
  <c r="N676" i="84"/>
  <c r="O676" i="84"/>
  <c r="K677" i="84"/>
  <c r="L677" i="84"/>
  <c r="M677" i="84"/>
  <c r="N677" i="84"/>
  <c r="O677" i="84"/>
  <c r="K678" i="84"/>
  <c r="L678" i="84"/>
  <c r="M678" i="84"/>
  <c r="N678" i="84"/>
  <c r="O678" i="84"/>
  <c r="K679" i="84"/>
  <c r="L679" i="84"/>
  <c r="M679" i="84"/>
  <c r="N679" i="84"/>
  <c r="O679" i="84"/>
  <c r="K680" i="84"/>
  <c r="L680" i="84"/>
  <c r="M680" i="84"/>
  <c r="N680" i="84"/>
  <c r="O680" i="84"/>
  <c r="K681" i="84"/>
  <c r="L681" i="84"/>
  <c r="M681" i="84"/>
  <c r="N681" i="84"/>
  <c r="O681" i="84"/>
  <c r="K682" i="84"/>
  <c r="L682" i="84"/>
  <c r="M682" i="84"/>
  <c r="N682" i="84"/>
  <c r="O682" i="84"/>
  <c r="K683" i="84"/>
  <c r="L683" i="84"/>
  <c r="M683" i="84"/>
  <c r="N683" i="84"/>
  <c r="O683" i="84"/>
  <c r="K684" i="84"/>
  <c r="L684" i="84"/>
  <c r="M684" i="84"/>
  <c r="N684" i="84"/>
  <c r="O684" i="84"/>
  <c r="K685" i="84"/>
  <c r="L685" i="84"/>
  <c r="M685" i="84"/>
  <c r="N685" i="84"/>
  <c r="O685" i="84"/>
  <c r="K686" i="84"/>
  <c r="L686" i="84"/>
  <c r="M686" i="84"/>
  <c r="N686" i="84"/>
  <c r="O686" i="84"/>
  <c r="K687" i="84"/>
  <c r="L687" i="84"/>
  <c r="M687" i="84"/>
  <c r="N687" i="84"/>
  <c r="O687" i="84"/>
  <c r="K688" i="84"/>
  <c r="L688" i="84"/>
  <c r="M688" i="84"/>
  <c r="N688" i="84"/>
  <c r="O688" i="84"/>
  <c r="K689" i="84"/>
  <c r="L689" i="84"/>
  <c r="M689" i="84"/>
  <c r="N689" i="84"/>
  <c r="O689" i="84"/>
  <c r="K690" i="84"/>
  <c r="L690" i="84"/>
  <c r="M690" i="84"/>
  <c r="N690" i="84"/>
  <c r="O690" i="84"/>
  <c r="K691" i="84"/>
  <c r="L691" i="84"/>
  <c r="M691" i="84"/>
  <c r="N691" i="84"/>
  <c r="O691" i="84"/>
  <c r="K692" i="84"/>
  <c r="L692" i="84"/>
  <c r="M692" i="84"/>
  <c r="N692" i="84"/>
  <c r="O692" i="84"/>
  <c r="K693" i="84"/>
  <c r="L693" i="84"/>
  <c r="M693" i="84"/>
  <c r="N693" i="84"/>
  <c r="O693" i="84"/>
  <c r="K694" i="84"/>
  <c r="L694" i="84"/>
  <c r="M694" i="84"/>
  <c r="N694" i="84"/>
  <c r="O694" i="84"/>
  <c r="K695" i="84"/>
  <c r="L695" i="84"/>
  <c r="M695" i="84"/>
  <c r="N695" i="84"/>
  <c r="O695" i="84"/>
  <c r="K696" i="84"/>
  <c r="L696" i="84"/>
  <c r="M696" i="84"/>
  <c r="N696" i="84"/>
  <c r="O696" i="84"/>
  <c r="K697" i="84"/>
  <c r="L697" i="84"/>
  <c r="M697" i="84"/>
  <c r="N697" i="84"/>
  <c r="O697" i="84"/>
  <c r="K698" i="84"/>
  <c r="L698" i="84"/>
  <c r="M698" i="84"/>
  <c r="N698" i="84"/>
  <c r="O698" i="84"/>
  <c r="K699" i="84"/>
  <c r="L699" i="84"/>
  <c r="M699" i="84"/>
  <c r="N699" i="84"/>
  <c r="O699" i="84"/>
  <c r="K700" i="84"/>
  <c r="L700" i="84"/>
  <c r="M700" i="84"/>
  <c r="N700" i="84"/>
  <c r="O700" i="84"/>
  <c r="K701" i="84"/>
  <c r="L701" i="84"/>
  <c r="M701" i="84"/>
  <c r="N701" i="84"/>
  <c r="O701" i="84"/>
  <c r="K702" i="84"/>
  <c r="L702" i="84"/>
  <c r="M702" i="84"/>
  <c r="N702" i="84"/>
  <c r="O702" i="84"/>
  <c r="K703" i="84"/>
  <c r="L703" i="84"/>
  <c r="M703" i="84"/>
  <c r="N703" i="84"/>
  <c r="O703" i="84"/>
  <c r="K704" i="84"/>
  <c r="L704" i="84"/>
  <c r="M704" i="84"/>
  <c r="N704" i="84"/>
  <c r="O704" i="84"/>
  <c r="K705" i="84"/>
  <c r="L705" i="84"/>
  <c r="M705" i="84"/>
  <c r="N705" i="84"/>
  <c r="O705" i="84"/>
  <c r="K706" i="84"/>
  <c r="L706" i="84"/>
  <c r="M706" i="84"/>
  <c r="N706" i="84"/>
  <c r="O706" i="84"/>
  <c r="K707" i="84"/>
  <c r="L707" i="84"/>
  <c r="M707" i="84"/>
  <c r="N707" i="84"/>
  <c r="O707" i="84"/>
  <c r="K708" i="84"/>
  <c r="L708" i="84"/>
  <c r="M708" i="84"/>
  <c r="N708" i="84"/>
  <c r="O708" i="84"/>
  <c r="K709" i="84"/>
  <c r="L709" i="84"/>
  <c r="M709" i="84"/>
  <c r="N709" i="84"/>
  <c r="O709" i="84"/>
  <c r="K710" i="84"/>
  <c r="L710" i="84"/>
  <c r="M710" i="84"/>
  <c r="N710" i="84"/>
  <c r="O710" i="84"/>
  <c r="K711" i="84"/>
  <c r="L711" i="84"/>
  <c r="M711" i="84"/>
  <c r="N711" i="84"/>
  <c r="O711" i="84"/>
  <c r="K712" i="84"/>
  <c r="L712" i="84"/>
  <c r="M712" i="84"/>
  <c r="N712" i="84"/>
  <c r="O712" i="84"/>
  <c r="K713" i="84"/>
  <c r="L713" i="84"/>
  <c r="M713" i="84"/>
  <c r="N713" i="84"/>
  <c r="O713" i="84"/>
  <c r="K714" i="84"/>
  <c r="L714" i="84"/>
  <c r="M714" i="84"/>
  <c r="N714" i="84"/>
  <c r="O714" i="84"/>
  <c r="K715" i="84"/>
  <c r="L715" i="84"/>
  <c r="M715" i="84"/>
  <c r="N715" i="84"/>
  <c r="O715" i="84"/>
  <c r="K716" i="84"/>
  <c r="L716" i="84"/>
  <c r="M716" i="84"/>
  <c r="N716" i="84"/>
  <c r="O716" i="84"/>
  <c r="K717" i="84"/>
  <c r="L717" i="84"/>
  <c r="M717" i="84"/>
  <c r="N717" i="84"/>
  <c r="O717" i="84"/>
  <c r="K718" i="84"/>
  <c r="L718" i="84"/>
  <c r="M718" i="84"/>
  <c r="N718" i="84"/>
  <c r="O718" i="84"/>
  <c r="K719" i="84"/>
  <c r="L719" i="84"/>
  <c r="M719" i="84"/>
  <c r="N719" i="84"/>
  <c r="O719" i="84"/>
  <c r="K720" i="84"/>
  <c r="L720" i="84"/>
  <c r="M720" i="84"/>
  <c r="N720" i="84"/>
  <c r="O720" i="84"/>
  <c r="K721" i="84"/>
  <c r="L721" i="84"/>
  <c r="M721" i="84"/>
  <c r="N721" i="84"/>
  <c r="O721" i="84"/>
  <c r="K722" i="84"/>
  <c r="L722" i="84"/>
  <c r="M722" i="84"/>
  <c r="N722" i="84"/>
  <c r="O722" i="84"/>
  <c r="K723" i="84"/>
  <c r="L723" i="84"/>
  <c r="M723" i="84"/>
  <c r="N723" i="84"/>
  <c r="O723" i="84"/>
  <c r="K724" i="84"/>
  <c r="L724" i="84"/>
  <c r="M724" i="84"/>
  <c r="N724" i="84"/>
  <c r="O724" i="84"/>
  <c r="K725" i="84"/>
  <c r="L725" i="84"/>
  <c r="M725" i="84"/>
  <c r="N725" i="84"/>
  <c r="O725" i="84"/>
  <c r="K726" i="84"/>
  <c r="L726" i="84"/>
  <c r="M726" i="84"/>
  <c r="N726" i="84"/>
  <c r="O726" i="84"/>
  <c r="K727" i="84"/>
  <c r="L727" i="84"/>
  <c r="M727" i="84"/>
  <c r="N727" i="84"/>
  <c r="O727" i="84"/>
  <c r="K728" i="84"/>
  <c r="L728" i="84"/>
  <c r="M728" i="84"/>
  <c r="N728" i="84"/>
  <c r="O728" i="84"/>
  <c r="K729" i="84"/>
  <c r="L729" i="84"/>
  <c r="M729" i="84"/>
  <c r="N729" i="84"/>
  <c r="O729" i="84"/>
  <c r="K730" i="84"/>
  <c r="L730" i="84"/>
  <c r="M730" i="84"/>
  <c r="N730" i="84"/>
  <c r="O730" i="84"/>
  <c r="K731" i="84"/>
  <c r="L731" i="84"/>
  <c r="M731" i="84"/>
  <c r="N731" i="84"/>
  <c r="O731" i="84"/>
  <c r="K732" i="84"/>
  <c r="L732" i="84"/>
  <c r="M732" i="84"/>
  <c r="N732" i="84"/>
  <c r="O732" i="84"/>
  <c r="K733" i="84"/>
  <c r="L733" i="84"/>
  <c r="M733" i="84"/>
  <c r="N733" i="84"/>
  <c r="O733" i="84"/>
  <c r="K734" i="84"/>
  <c r="L734" i="84"/>
  <c r="M734" i="84"/>
  <c r="N734" i="84"/>
  <c r="O734" i="84"/>
  <c r="K735" i="84"/>
  <c r="L735" i="84"/>
  <c r="M735" i="84"/>
  <c r="N735" i="84"/>
  <c r="O735" i="84"/>
  <c r="K736" i="84"/>
  <c r="L736" i="84"/>
  <c r="M736" i="84"/>
  <c r="N736" i="84"/>
  <c r="O736" i="84"/>
  <c r="K737" i="84"/>
  <c r="L737" i="84"/>
  <c r="M737" i="84"/>
  <c r="N737" i="84"/>
  <c r="O737" i="84"/>
  <c r="K738" i="84"/>
  <c r="L738" i="84"/>
  <c r="M738" i="84"/>
  <c r="N738" i="84"/>
  <c r="O738" i="84"/>
  <c r="K739" i="84"/>
  <c r="L739" i="84"/>
  <c r="M739" i="84"/>
  <c r="N739" i="84"/>
  <c r="O739" i="84"/>
  <c r="K740" i="84"/>
  <c r="L740" i="84"/>
  <c r="M740" i="84"/>
  <c r="N740" i="84"/>
  <c r="O740" i="84"/>
  <c r="K741" i="84"/>
  <c r="L741" i="84"/>
  <c r="M741" i="84"/>
  <c r="N741" i="84"/>
  <c r="O741" i="84"/>
  <c r="K742" i="84"/>
  <c r="L742" i="84"/>
  <c r="M742" i="84"/>
  <c r="N742" i="84"/>
  <c r="O742" i="84"/>
  <c r="K743" i="84"/>
  <c r="L743" i="84"/>
  <c r="M743" i="84"/>
  <c r="N743" i="84"/>
  <c r="O743" i="84"/>
  <c r="K744" i="84"/>
  <c r="L744" i="84"/>
  <c r="M744" i="84"/>
  <c r="N744" i="84"/>
  <c r="O744" i="84"/>
  <c r="K745" i="84"/>
  <c r="L745" i="84"/>
  <c r="M745" i="84"/>
  <c r="N745" i="84"/>
  <c r="O745" i="84"/>
  <c r="K746" i="84"/>
  <c r="L746" i="84"/>
  <c r="M746" i="84"/>
  <c r="N746" i="84"/>
  <c r="O746" i="84"/>
  <c r="K747" i="84"/>
  <c r="L747" i="84"/>
  <c r="M747" i="84"/>
  <c r="N747" i="84"/>
  <c r="O747" i="84"/>
  <c r="K748" i="84"/>
  <c r="L748" i="84"/>
  <c r="M748" i="84"/>
  <c r="N748" i="84"/>
  <c r="O748" i="84"/>
  <c r="K749" i="84"/>
  <c r="L749" i="84"/>
  <c r="M749" i="84"/>
  <c r="N749" i="84"/>
  <c r="O749" i="84"/>
  <c r="K750" i="84"/>
  <c r="L750" i="84"/>
  <c r="M750" i="84"/>
  <c r="N750" i="84"/>
  <c r="O750" i="84"/>
  <c r="K751" i="84"/>
  <c r="L751" i="84"/>
  <c r="M751" i="84"/>
  <c r="N751" i="84"/>
  <c r="O751" i="84"/>
  <c r="K752" i="84"/>
  <c r="L752" i="84"/>
  <c r="M752" i="84"/>
  <c r="N752" i="84"/>
  <c r="O752" i="84"/>
  <c r="K753" i="84"/>
  <c r="L753" i="84"/>
  <c r="M753" i="84"/>
  <c r="N753" i="84"/>
  <c r="O753" i="84"/>
  <c r="K754" i="84"/>
  <c r="L754" i="84"/>
  <c r="M754" i="84"/>
  <c r="N754" i="84"/>
  <c r="O754" i="84"/>
  <c r="K755" i="84"/>
  <c r="L755" i="84"/>
  <c r="M755" i="84"/>
  <c r="N755" i="84"/>
  <c r="O755" i="84"/>
  <c r="K756" i="84"/>
  <c r="L756" i="84"/>
  <c r="M756" i="84"/>
  <c r="N756" i="84"/>
  <c r="O756" i="84"/>
  <c r="K757" i="84"/>
  <c r="L757" i="84"/>
  <c r="M757" i="84"/>
  <c r="N757" i="84"/>
  <c r="O757" i="84"/>
  <c r="K758" i="84"/>
  <c r="L758" i="84"/>
  <c r="M758" i="84"/>
  <c r="N758" i="84"/>
  <c r="O758" i="84"/>
  <c r="K759" i="84"/>
  <c r="L759" i="84"/>
  <c r="M759" i="84"/>
  <c r="N759" i="84"/>
  <c r="O759" i="84"/>
  <c r="K760" i="84"/>
  <c r="L760" i="84"/>
  <c r="M760" i="84"/>
  <c r="N760" i="84"/>
  <c r="O760" i="84"/>
  <c r="K761" i="84"/>
  <c r="L761" i="84"/>
  <c r="M761" i="84"/>
  <c r="N761" i="84"/>
  <c r="O761" i="84"/>
  <c r="K762" i="84"/>
  <c r="L762" i="84"/>
  <c r="M762" i="84"/>
  <c r="N762" i="84"/>
  <c r="O762" i="84"/>
  <c r="K763" i="84"/>
  <c r="L763" i="84"/>
  <c r="M763" i="84"/>
  <c r="N763" i="84"/>
  <c r="O763" i="84"/>
  <c r="K764" i="84"/>
  <c r="L764" i="84"/>
  <c r="M764" i="84"/>
  <c r="N764" i="84"/>
  <c r="O764" i="84"/>
  <c r="K765" i="84"/>
  <c r="L765" i="84"/>
  <c r="M765" i="84"/>
  <c r="N765" i="84"/>
  <c r="O765" i="84"/>
  <c r="K766" i="84"/>
  <c r="L766" i="84"/>
  <c r="M766" i="84"/>
  <c r="N766" i="84"/>
  <c r="O766" i="84"/>
  <c r="K767" i="84"/>
  <c r="L767" i="84"/>
  <c r="M767" i="84"/>
  <c r="N767" i="84"/>
  <c r="O767" i="84"/>
  <c r="K768" i="84"/>
  <c r="L768" i="84"/>
  <c r="M768" i="84"/>
  <c r="N768" i="84"/>
  <c r="O768" i="84"/>
  <c r="K769" i="84"/>
  <c r="L769" i="84"/>
  <c r="M769" i="84"/>
  <c r="N769" i="84"/>
  <c r="O769" i="84"/>
  <c r="K770" i="84"/>
  <c r="L770" i="84"/>
  <c r="M770" i="84"/>
  <c r="N770" i="84"/>
  <c r="O770" i="84"/>
  <c r="K771" i="84"/>
  <c r="L771" i="84"/>
  <c r="M771" i="84"/>
  <c r="N771" i="84"/>
  <c r="O771" i="84"/>
  <c r="K772" i="84"/>
  <c r="L772" i="84"/>
  <c r="M772" i="84"/>
  <c r="N772" i="84"/>
  <c r="O772" i="84"/>
  <c r="K773" i="84"/>
  <c r="L773" i="84"/>
  <c r="M773" i="84"/>
  <c r="N773" i="84"/>
  <c r="O773" i="84"/>
  <c r="K774" i="84"/>
  <c r="L774" i="84"/>
  <c r="M774" i="84"/>
  <c r="N774" i="84"/>
  <c r="O774" i="84"/>
  <c r="K775" i="84"/>
  <c r="L775" i="84"/>
  <c r="M775" i="84"/>
  <c r="N775" i="84"/>
  <c r="O775" i="84"/>
  <c r="K776" i="84"/>
  <c r="L776" i="84"/>
  <c r="M776" i="84"/>
  <c r="N776" i="84"/>
  <c r="O776" i="84"/>
  <c r="K777" i="84"/>
  <c r="L777" i="84"/>
  <c r="M777" i="84"/>
  <c r="N777" i="84"/>
  <c r="O777" i="84"/>
  <c r="K778" i="84"/>
  <c r="L778" i="84"/>
  <c r="M778" i="84"/>
  <c r="N778" i="84"/>
  <c r="O778" i="84"/>
  <c r="K779" i="84"/>
  <c r="L779" i="84"/>
  <c r="M779" i="84"/>
  <c r="N779" i="84"/>
  <c r="O779" i="84"/>
  <c r="K780" i="84"/>
  <c r="L780" i="84"/>
  <c r="M780" i="84"/>
  <c r="N780" i="84"/>
  <c r="O780" i="84"/>
  <c r="K781" i="84"/>
  <c r="L781" i="84"/>
  <c r="M781" i="84"/>
  <c r="N781" i="84"/>
  <c r="O781" i="84"/>
  <c r="K782" i="84"/>
  <c r="L782" i="84"/>
  <c r="M782" i="84"/>
  <c r="N782" i="84"/>
  <c r="O782" i="84"/>
  <c r="K783" i="84"/>
  <c r="L783" i="84"/>
  <c r="M783" i="84"/>
  <c r="N783" i="84"/>
  <c r="O783" i="84"/>
  <c r="K784" i="84"/>
  <c r="L784" i="84"/>
  <c r="M784" i="84"/>
  <c r="N784" i="84"/>
  <c r="O784" i="84"/>
  <c r="K785" i="84"/>
  <c r="L785" i="84"/>
  <c r="M785" i="84"/>
  <c r="N785" i="84"/>
  <c r="O785" i="84"/>
  <c r="K786" i="84"/>
  <c r="L786" i="84"/>
  <c r="M786" i="84"/>
  <c r="N786" i="84"/>
  <c r="O786" i="84"/>
  <c r="K787" i="84"/>
  <c r="L787" i="84"/>
  <c r="M787" i="84"/>
  <c r="N787" i="84"/>
  <c r="O787" i="84"/>
  <c r="K788" i="84"/>
  <c r="L788" i="84"/>
  <c r="M788" i="84"/>
  <c r="N788" i="84"/>
  <c r="O788" i="84"/>
  <c r="K789" i="84"/>
  <c r="L789" i="84"/>
  <c r="M789" i="84"/>
  <c r="N789" i="84"/>
  <c r="O789" i="84"/>
  <c r="K790" i="84"/>
  <c r="L790" i="84"/>
  <c r="M790" i="84"/>
  <c r="N790" i="84"/>
  <c r="O790" i="84"/>
  <c r="K791" i="84"/>
  <c r="L791" i="84"/>
  <c r="M791" i="84"/>
  <c r="N791" i="84"/>
  <c r="O791" i="84"/>
  <c r="K792" i="84"/>
  <c r="L792" i="84"/>
  <c r="M792" i="84"/>
  <c r="N792" i="84"/>
  <c r="O792" i="84"/>
  <c r="K793" i="84"/>
  <c r="L793" i="84"/>
  <c r="M793" i="84"/>
  <c r="N793" i="84"/>
  <c r="O793" i="84"/>
  <c r="K794" i="84"/>
  <c r="L794" i="84"/>
  <c r="M794" i="84"/>
  <c r="N794" i="84"/>
  <c r="O794" i="84"/>
  <c r="K795" i="84"/>
  <c r="L795" i="84"/>
  <c r="M795" i="84"/>
  <c r="N795" i="84"/>
  <c r="O795" i="84"/>
  <c r="K796" i="84"/>
  <c r="L796" i="84"/>
  <c r="M796" i="84"/>
  <c r="N796" i="84"/>
  <c r="O796" i="84"/>
  <c r="K797" i="84"/>
  <c r="L797" i="84"/>
  <c r="M797" i="84"/>
  <c r="N797" i="84"/>
  <c r="O797" i="84"/>
  <c r="K798" i="84"/>
  <c r="L798" i="84"/>
  <c r="M798" i="84"/>
  <c r="N798" i="84"/>
  <c r="O798" i="84"/>
  <c r="K799" i="84"/>
  <c r="L799" i="84"/>
  <c r="M799" i="84"/>
  <c r="N799" i="84"/>
  <c r="O799" i="84"/>
  <c r="K800" i="84"/>
  <c r="L800" i="84"/>
  <c r="M800" i="84"/>
  <c r="N800" i="84"/>
  <c r="O800" i="84"/>
  <c r="K801" i="84"/>
  <c r="L801" i="84"/>
  <c r="M801" i="84"/>
  <c r="N801" i="84"/>
  <c r="O801" i="84"/>
  <c r="K802" i="84"/>
  <c r="L802" i="84"/>
  <c r="M802" i="84"/>
  <c r="N802" i="84"/>
  <c r="O802" i="84"/>
  <c r="K803" i="84"/>
  <c r="L803" i="84"/>
  <c r="M803" i="84"/>
  <c r="N803" i="84"/>
  <c r="O803" i="84"/>
  <c r="K804" i="84"/>
  <c r="L804" i="84"/>
  <c r="M804" i="84"/>
  <c r="N804" i="84"/>
  <c r="O804" i="84"/>
  <c r="K805" i="84"/>
  <c r="L805" i="84"/>
  <c r="M805" i="84"/>
  <c r="N805" i="84"/>
  <c r="O805" i="84"/>
  <c r="K806" i="84"/>
  <c r="L806" i="84"/>
  <c r="M806" i="84"/>
  <c r="N806" i="84"/>
  <c r="O806" i="84"/>
  <c r="K807" i="84"/>
  <c r="L807" i="84"/>
  <c r="M807" i="84"/>
  <c r="N807" i="84"/>
  <c r="O807" i="84"/>
  <c r="K808" i="84"/>
  <c r="L808" i="84"/>
  <c r="M808" i="84"/>
  <c r="N808" i="84"/>
  <c r="O808" i="84"/>
  <c r="K809" i="84"/>
  <c r="L809" i="84"/>
  <c r="M809" i="84"/>
  <c r="N809" i="84"/>
  <c r="O809" i="84"/>
  <c r="K810" i="84"/>
  <c r="L810" i="84"/>
  <c r="M810" i="84"/>
  <c r="N810" i="84"/>
  <c r="O810" i="84"/>
  <c r="K811" i="84"/>
  <c r="L811" i="84"/>
  <c r="M811" i="84"/>
  <c r="N811" i="84"/>
  <c r="O811" i="84"/>
  <c r="K812" i="84"/>
  <c r="L812" i="84"/>
  <c r="M812" i="84"/>
  <c r="N812" i="84"/>
  <c r="O812" i="84"/>
  <c r="K813" i="84"/>
  <c r="L813" i="84"/>
  <c r="M813" i="84"/>
  <c r="N813" i="84"/>
  <c r="O813" i="84"/>
  <c r="K814" i="84"/>
  <c r="L814" i="84"/>
  <c r="M814" i="84"/>
  <c r="N814" i="84"/>
  <c r="O814" i="84"/>
  <c r="K815" i="84"/>
  <c r="L815" i="84"/>
  <c r="M815" i="84"/>
  <c r="N815" i="84"/>
  <c r="O815" i="84"/>
  <c r="K816" i="84"/>
  <c r="L816" i="84"/>
  <c r="M816" i="84"/>
  <c r="N816" i="84"/>
  <c r="O816" i="84"/>
  <c r="K817" i="84"/>
  <c r="L817" i="84"/>
  <c r="M817" i="84"/>
  <c r="N817" i="84"/>
  <c r="O817" i="84"/>
  <c r="K818" i="84"/>
  <c r="L818" i="84"/>
  <c r="M818" i="84"/>
  <c r="N818" i="84"/>
  <c r="O818" i="84"/>
  <c r="K819" i="84"/>
  <c r="L819" i="84"/>
  <c r="M819" i="84"/>
  <c r="N819" i="84"/>
  <c r="O819" i="84"/>
  <c r="K820" i="84"/>
  <c r="L820" i="84"/>
  <c r="M820" i="84"/>
  <c r="N820" i="84"/>
  <c r="O820" i="84"/>
  <c r="K821" i="84"/>
  <c r="L821" i="84"/>
  <c r="M821" i="84"/>
  <c r="N821" i="84"/>
  <c r="O821" i="84"/>
  <c r="K822" i="84"/>
  <c r="L822" i="84"/>
  <c r="M822" i="84"/>
  <c r="N822" i="84"/>
  <c r="O822" i="84"/>
  <c r="K823" i="84"/>
  <c r="L823" i="84"/>
  <c r="M823" i="84"/>
  <c r="N823" i="84"/>
  <c r="O823" i="84"/>
  <c r="K824" i="84"/>
  <c r="L824" i="84"/>
  <c r="M824" i="84"/>
  <c r="N824" i="84"/>
  <c r="O824" i="84"/>
  <c r="K825" i="84"/>
  <c r="L825" i="84"/>
  <c r="M825" i="84"/>
  <c r="N825" i="84"/>
  <c r="O825" i="84"/>
  <c r="K826" i="84"/>
  <c r="L826" i="84"/>
  <c r="M826" i="84"/>
  <c r="N826" i="84"/>
  <c r="O826" i="84"/>
  <c r="K827" i="84"/>
  <c r="L827" i="84"/>
  <c r="M827" i="84"/>
  <c r="N827" i="84"/>
  <c r="O827" i="84"/>
  <c r="K828" i="84"/>
  <c r="L828" i="84"/>
  <c r="M828" i="84"/>
  <c r="N828" i="84"/>
  <c r="O828" i="84"/>
  <c r="K829" i="84"/>
  <c r="L829" i="84"/>
  <c r="M829" i="84"/>
  <c r="N829" i="84"/>
  <c r="O829" i="84"/>
  <c r="K830" i="84"/>
  <c r="L830" i="84"/>
  <c r="M830" i="84"/>
  <c r="N830" i="84"/>
  <c r="O830" i="84"/>
  <c r="K831" i="84"/>
  <c r="L831" i="84"/>
  <c r="M831" i="84"/>
  <c r="N831" i="84"/>
  <c r="O831" i="84"/>
  <c r="K832" i="84"/>
  <c r="L832" i="84"/>
  <c r="M832" i="84"/>
  <c r="N832" i="84"/>
  <c r="O832" i="84"/>
  <c r="K833" i="84"/>
  <c r="L833" i="84"/>
  <c r="M833" i="84"/>
  <c r="N833" i="84"/>
  <c r="O833" i="84"/>
  <c r="K834" i="84"/>
  <c r="L834" i="84"/>
  <c r="M834" i="84"/>
  <c r="N834" i="84"/>
  <c r="O834" i="84"/>
  <c r="K835" i="84"/>
  <c r="L835" i="84"/>
  <c r="M835" i="84"/>
  <c r="N835" i="84"/>
  <c r="O835" i="84"/>
  <c r="K836" i="84"/>
  <c r="L836" i="84"/>
  <c r="M836" i="84"/>
  <c r="N836" i="84"/>
  <c r="O836" i="84"/>
  <c r="K837" i="84"/>
  <c r="L837" i="84"/>
  <c r="M837" i="84"/>
  <c r="N837" i="84"/>
  <c r="O837" i="84"/>
  <c r="K838" i="84"/>
  <c r="L838" i="84"/>
  <c r="M838" i="84"/>
  <c r="N838" i="84"/>
  <c r="O838" i="84"/>
  <c r="K839" i="84"/>
  <c r="L839" i="84"/>
  <c r="M839" i="84"/>
  <c r="N839" i="84"/>
  <c r="O839" i="84"/>
  <c r="K840" i="84"/>
  <c r="L840" i="84"/>
  <c r="M840" i="84"/>
  <c r="N840" i="84"/>
  <c r="O840" i="84"/>
  <c r="K841" i="84"/>
  <c r="L841" i="84"/>
  <c r="M841" i="84"/>
  <c r="N841" i="84"/>
  <c r="O841" i="84"/>
  <c r="K842" i="84"/>
  <c r="L842" i="84"/>
  <c r="M842" i="84"/>
  <c r="N842" i="84"/>
  <c r="O842" i="84"/>
  <c r="K843" i="84"/>
  <c r="L843" i="84"/>
  <c r="M843" i="84"/>
  <c r="N843" i="84"/>
  <c r="O843" i="84"/>
  <c r="K844" i="84"/>
  <c r="L844" i="84"/>
  <c r="M844" i="84"/>
  <c r="N844" i="84"/>
  <c r="O844" i="84"/>
  <c r="K845" i="84"/>
  <c r="L845" i="84"/>
  <c r="M845" i="84"/>
  <c r="N845" i="84"/>
  <c r="O845" i="84"/>
  <c r="K846" i="84"/>
  <c r="L846" i="84"/>
  <c r="M846" i="84"/>
  <c r="N846" i="84"/>
  <c r="O846" i="84"/>
  <c r="K847" i="84"/>
  <c r="L847" i="84"/>
  <c r="M847" i="84"/>
  <c r="N847" i="84"/>
  <c r="O847" i="84"/>
  <c r="K848" i="84"/>
  <c r="L848" i="84"/>
  <c r="M848" i="84"/>
  <c r="N848" i="84"/>
  <c r="O848" i="84"/>
  <c r="K849" i="84"/>
  <c r="L849" i="84"/>
  <c r="M849" i="84"/>
  <c r="N849" i="84"/>
  <c r="O849" i="84"/>
  <c r="K850" i="84"/>
  <c r="L850" i="84"/>
  <c r="M850" i="84"/>
  <c r="N850" i="84"/>
  <c r="O850" i="84"/>
  <c r="K851" i="84"/>
  <c r="L851" i="84"/>
  <c r="M851" i="84"/>
  <c r="N851" i="84"/>
  <c r="O851" i="84"/>
  <c r="K852" i="84"/>
  <c r="L852" i="84"/>
  <c r="M852" i="84"/>
  <c r="N852" i="84"/>
  <c r="O852" i="84"/>
  <c r="K853" i="84"/>
  <c r="L853" i="84"/>
  <c r="M853" i="84"/>
  <c r="N853" i="84"/>
  <c r="O853" i="84"/>
  <c r="K854" i="84"/>
  <c r="L854" i="84"/>
  <c r="M854" i="84"/>
  <c r="N854" i="84"/>
  <c r="O854" i="84"/>
  <c r="K855" i="84"/>
  <c r="L855" i="84"/>
  <c r="M855" i="84"/>
  <c r="N855" i="84"/>
  <c r="O855" i="84"/>
  <c r="K856" i="84"/>
  <c r="L856" i="84"/>
  <c r="M856" i="84"/>
  <c r="N856" i="84"/>
  <c r="O856" i="84"/>
  <c r="K857" i="84"/>
  <c r="L857" i="84"/>
  <c r="M857" i="84"/>
  <c r="N857" i="84"/>
  <c r="O857" i="84"/>
  <c r="K858" i="84"/>
  <c r="L858" i="84"/>
  <c r="M858" i="84"/>
  <c r="N858" i="84"/>
  <c r="O858" i="84"/>
  <c r="K859" i="84"/>
  <c r="L859" i="84"/>
  <c r="M859" i="84"/>
  <c r="N859" i="84"/>
  <c r="O859" i="84"/>
  <c r="K860" i="84"/>
  <c r="L860" i="84"/>
  <c r="M860" i="84"/>
  <c r="N860" i="84"/>
  <c r="O860" i="84"/>
  <c r="K861" i="84"/>
  <c r="L861" i="84"/>
  <c r="M861" i="84"/>
  <c r="N861" i="84"/>
  <c r="O861" i="84"/>
  <c r="K862" i="84"/>
  <c r="L862" i="84"/>
  <c r="M862" i="84"/>
  <c r="N862" i="84"/>
  <c r="O862" i="84"/>
  <c r="K863" i="84"/>
  <c r="L863" i="84"/>
  <c r="M863" i="84"/>
  <c r="N863" i="84"/>
  <c r="O863" i="84"/>
  <c r="K864" i="84"/>
  <c r="L864" i="84"/>
  <c r="M864" i="84"/>
  <c r="N864" i="84"/>
  <c r="O864" i="84"/>
  <c r="K865" i="84"/>
  <c r="L865" i="84"/>
  <c r="M865" i="84"/>
  <c r="N865" i="84"/>
  <c r="O865" i="84"/>
  <c r="K866" i="84"/>
  <c r="L866" i="84"/>
  <c r="M866" i="84"/>
  <c r="N866" i="84"/>
  <c r="O866" i="84"/>
  <c r="K867" i="84"/>
  <c r="L867" i="84"/>
  <c r="M867" i="84"/>
  <c r="N867" i="84"/>
  <c r="O867" i="84"/>
  <c r="K868" i="84"/>
  <c r="L868" i="84"/>
  <c r="M868" i="84"/>
  <c r="N868" i="84"/>
  <c r="O868" i="84"/>
  <c r="K869" i="84"/>
  <c r="L869" i="84"/>
  <c r="M869" i="84"/>
  <c r="N869" i="84"/>
  <c r="O869" i="84"/>
  <c r="K870" i="84"/>
  <c r="L870" i="84"/>
  <c r="M870" i="84"/>
  <c r="N870" i="84"/>
  <c r="O870" i="84"/>
  <c r="K871" i="84"/>
  <c r="L871" i="84"/>
  <c r="M871" i="84"/>
  <c r="N871" i="84"/>
  <c r="O871" i="84"/>
  <c r="K872" i="84"/>
  <c r="L872" i="84"/>
  <c r="M872" i="84"/>
  <c r="N872" i="84"/>
  <c r="O872" i="84"/>
  <c r="K873" i="84"/>
  <c r="L873" i="84"/>
  <c r="M873" i="84"/>
  <c r="N873" i="84"/>
  <c r="O873" i="84"/>
  <c r="K874" i="84"/>
  <c r="L874" i="84"/>
  <c r="M874" i="84"/>
  <c r="N874" i="84"/>
  <c r="O874" i="84"/>
  <c r="K875" i="84"/>
  <c r="L875" i="84"/>
  <c r="M875" i="84"/>
  <c r="N875" i="84"/>
  <c r="O875" i="84"/>
  <c r="K876" i="84"/>
  <c r="L876" i="84"/>
  <c r="M876" i="84"/>
  <c r="N876" i="84"/>
  <c r="O876" i="84"/>
  <c r="K877" i="84"/>
  <c r="L877" i="84"/>
  <c r="M877" i="84"/>
  <c r="N877" i="84"/>
  <c r="O877" i="84"/>
  <c r="K878" i="84"/>
  <c r="L878" i="84"/>
  <c r="M878" i="84"/>
  <c r="N878" i="84"/>
  <c r="O878" i="84"/>
  <c r="K879" i="84"/>
  <c r="L879" i="84"/>
  <c r="M879" i="84"/>
  <c r="N879" i="84"/>
  <c r="O879" i="84"/>
  <c r="K880" i="84"/>
  <c r="L880" i="84"/>
  <c r="M880" i="84"/>
  <c r="N880" i="84"/>
  <c r="O880" i="84"/>
  <c r="K881" i="84"/>
  <c r="L881" i="84"/>
  <c r="M881" i="84"/>
  <c r="N881" i="84"/>
  <c r="O881" i="84"/>
  <c r="K882" i="84"/>
  <c r="L882" i="84"/>
  <c r="M882" i="84"/>
  <c r="N882" i="84"/>
  <c r="O882" i="84"/>
  <c r="K883" i="84"/>
  <c r="L883" i="84"/>
  <c r="M883" i="84"/>
  <c r="N883" i="84"/>
  <c r="O883" i="84"/>
  <c r="K884" i="84"/>
  <c r="L884" i="84"/>
  <c r="M884" i="84"/>
  <c r="N884" i="84"/>
  <c r="O884" i="84"/>
  <c r="K885" i="84"/>
  <c r="L885" i="84"/>
  <c r="M885" i="84"/>
  <c r="N885" i="84"/>
  <c r="O885" i="84"/>
  <c r="K886" i="84"/>
  <c r="L886" i="84"/>
  <c r="M886" i="84"/>
  <c r="N886" i="84"/>
  <c r="O886" i="84"/>
  <c r="K887" i="84"/>
  <c r="L887" i="84"/>
  <c r="M887" i="84"/>
  <c r="N887" i="84"/>
  <c r="O887" i="84"/>
  <c r="K888" i="84"/>
  <c r="L888" i="84"/>
  <c r="M888" i="84"/>
  <c r="N888" i="84"/>
  <c r="O888" i="84"/>
  <c r="K889" i="84"/>
  <c r="L889" i="84"/>
  <c r="M889" i="84"/>
  <c r="N889" i="84"/>
  <c r="O889" i="84"/>
  <c r="K890" i="84"/>
  <c r="L890" i="84"/>
  <c r="M890" i="84"/>
  <c r="N890" i="84"/>
  <c r="O890" i="84"/>
  <c r="K891" i="84"/>
  <c r="L891" i="84"/>
  <c r="M891" i="84"/>
  <c r="N891" i="84"/>
  <c r="O891" i="84"/>
  <c r="K892" i="84"/>
  <c r="L892" i="84"/>
  <c r="M892" i="84"/>
  <c r="N892" i="84"/>
  <c r="O892" i="84"/>
  <c r="K893" i="84"/>
  <c r="L893" i="84"/>
  <c r="M893" i="84"/>
  <c r="N893" i="84"/>
  <c r="O893" i="84"/>
  <c r="K894" i="84"/>
  <c r="L894" i="84"/>
  <c r="M894" i="84"/>
  <c r="N894" i="84"/>
  <c r="O894" i="84"/>
  <c r="K895" i="84"/>
  <c r="L895" i="84"/>
  <c r="M895" i="84"/>
  <c r="N895" i="84"/>
  <c r="O895" i="84"/>
  <c r="K896" i="84"/>
  <c r="L896" i="84"/>
  <c r="M896" i="84"/>
  <c r="N896" i="84"/>
  <c r="O896" i="84"/>
  <c r="K897" i="84"/>
  <c r="L897" i="84"/>
  <c r="M897" i="84"/>
  <c r="N897" i="84"/>
  <c r="O897" i="84"/>
  <c r="K898" i="84"/>
  <c r="L898" i="84"/>
  <c r="M898" i="84"/>
  <c r="N898" i="84"/>
  <c r="O898" i="84"/>
  <c r="K899" i="84"/>
  <c r="L899" i="84"/>
  <c r="M899" i="84"/>
  <c r="N899" i="84"/>
  <c r="O899" i="84"/>
  <c r="K900" i="84"/>
  <c r="L900" i="84"/>
  <c r="M900" i="84"/>
  <c r="N900" i="84"/>
  <c r="O900" i="84"/>
  <c r="K901" i="84"/>
  <c r="L901" i="84"/>
  <c r="M901" i="84"/>
  <c r="N901" i="84"/>
  <c r="O901" i="84"/>
  <c r="K902" i="84"/>
  <c r="L902" i="84"/>
  <c r="M902" i="84"/>
  <c r="N902" i="84"/>
  <c r="O902" i="84"/>
  <c r="K903" i="84"/>
  <c r="L903" i="84"/>
  <c r="M903" i="84"/>
  <c r="N903" i="84"/>
  <c r="O903" i="84"/>
  <c r="K904" i="84"/>
  <c r="L904" i="84"/>
  <c r="M904" i="84"/>
  <c r="N904" i="84"/>
  <c r="O904" i="84"/>
  <c r="K905" i="84"/>
  <c r="L905" i="84"/>
  <c r="M905" i="84"/>
  <c r="N905" i="84"/>
  <c r="O905" i="84"/>
  <c r="K906" i="84"/>
  <c r="L906" i="84"/>
  <c r="M906" i="84"/>
  <c r="N906" i="84"/>
  <c r="O906" i="84"/>
  <c r="K907" i="84"/>
  <c r="L907" i="84"/>
  <c r="M907" i="84"/>
  <c r="N907" i="84"/>
  <c r="O907" i="84"/>
  <c r="K908" i="84"/>
  <c r="L908" i="84"/>
  <c r="M908" i="84"/>
  <c r="N908" i="84"/>
  <c r="O908" i="84"/>
  <c r="K909" i="84"/>
  <c r="L909" i="84"/>
  <c r="M909" i="84"/>
  <c r="N909" i="84"/>
  <c r="O909" i="84"/>
  <c r="K910" i="84"/>
  <c r="L910" i="84"/>
  <c r="M910" i="84"/>
  <c r="N910" i="84"/>
  <c r="O910" i="84"/>
  <c r="K911" i="84"/>
  <c r="L911" i="84"/>
  <c r="M911" i="84"/>
  <c r="N911" i="84"/>
  <c r="O911" i="84"/>
  <c r="K912" i="84"/>
  <c r="L912" i="84"/>
  <c r="M912" i="84"/>
  <c r="N912" i="84"/>
  <c r="O912" i="84"/>
  <c r="K913" i="84"/>
  <c r="L913" i="84"/>
  <c r="M913" i="84"/>
  <c r="N913" i="84"/>
  <c r="O913" i="84"/>
  <c r="K914" i="84"/>
  <c r="L914" i="84"/>
  <c r="M914" i="84"/>
  <c r="N914" i="84"/>
  <c r="O914" i="84"/>
  <c r="K915" i="84"/>
  <c r="L915" i="84"/>
  <c r="M915" i="84"/>
  <c r="N915" i="84"/>
  <c r="O915" i="84"/>
  <c r="K916" i="84"/>
  <c r="L916" i="84"/>
  <c r="M916" i="84"/>
  <c r="N916" i="84"/>
  <c r="O916" i="84"/>
  <c r="K917" i="84"/>
  <c r="L917" i="84"/>
  <c r="M917" i="84"/>
  <c r="N917" i="84"/>
  <c r="O917" i="84"/>
  <c r="K918" i="84"/>
  <c r="L918" i="84"/>
  <c r="M918" i="84"/>
  <c r="N918" i="84"/>
  <c r="O918" i="84"/>
  <c r="K919" i="84"/>
  <c r="L919" i="84"/>
  <c r="M919" i="84"/>
  <c r="N919" i="84"/>
  <c r="O919" i="84"/>
  <c r="K920" i="84"/>
  <c r="L920" i="84"/>
  <c r="M920" i="84"/>
  <c r="N920" i="84"/>
  <c r="O920" i="84"/>
  <c r="K921" i="84"/>
  <c r="L921" i="84"/>
  <c r="M921" i="84"/>
  <c r="N921" i="84"/>
  <c r="O921" i="84"/>
  <c r="K922" i="84"/>
  <c r="L922" i="84"/>
  <c r="M922" i="84"/>
  <c r="N922" i="84"/>
  <c r="O922" i="84"/>
  <c r="K923" i="84"/>
  <c r="L923" i="84"/>
  <c r="M923" i="84"/>
  <c r="N923" i="84"/>
  <c r="O923" i="84"/>
  <c r="K924" i="84"/>
  <c r="L924" i="84"/>
  <c r="M924" i="84"/>
  <c r="N924" i="84"/>
  <c r="O924" i="84"/>
  <c r="K925" i="84"/>
  <c r="L925" i="84"/>
  <c r="M925" i="84"/>
  <c r="N925" i="84"/>
  <c r="O925" i="84"/>
  <c r="K926" i="84"/>
  <c r="L926" i="84"/>
  <c r="M926" i="84"/>
  <c r="N926" i="84"/>
  <c r="O926" i="84"/>
  <c r="K927" i="84"/>
  <c r="L927" i="84"/>
  <c r="M927" i="84"/>
  <c r="N927" i="84"/>
  <c r="O927" i="84"/>
  <c r="K928" i="84"/>
  <c r="L928" i="84"/>
  <c r="M928" i="84"/>
  <c r="N928" i="84"/>
  <c r="O928" i="84"/>
  <c r="K929" i="84"/>
  <c r="L929" i="84"/>
  <c r="M929" i="84"/>
  <c r="N929" i="84"/>
  <c r="O929" i="84"/>
  <c r="K930" i="84"/>
  <c r="L930" i="84"/>
  <c r="M930" i="84"/>
  <c r="N930" i="84"/>
  <c r="O930" i="84"/>
  <c r="K931" i="84"/>
  <c r="L931" i="84"/>
  <c r="M931" i="84"/>
  <c r="N931" i="84"/>
  <c r="O931" i="84"/>
  <c r="K932" i="84"/>
  <c r="L932" i="84"/>
  <c r="M932" i="84"/>
  <c r="N932" i="84"/>
  <c r="O932" i="84"/>
  <c r="K933" i="84"/>
  <c r="L933" i="84"/>
  <c r="M933" i="84"/>
  <c r="N933" i="84"/>
  <c r="O933" i="84"/>
  <c r="K934" i="84"/>
  <c r="L934" i="84"/>
  <c r="M934" i="84"/>
  <c r="N934" i="84"/>
  <c r="O934" i="84"/>
  <c r="K935" i="84"/>
  <c r="L935" i="84"/>
  <c r="M935" i="84"/>
  <c r="N935" i="84"/>
  <c r="O935" i="84"/>
  <c r="K936" i="84"/>
  <c r="L936" i="84"/>
  <c r="M936" i="84"/>
  <c r="N936" i="84"/>
  <c r="O936" i="84"/>
  <c r="K937" i="84"/>
  <c r="L937" i="84"/>
  <c r="M937" i="84"/>
  <c r="N937" i="84"/>
  <c r="O937" i="84"/>
  <c r="K938" i="84"/>
  <c r="L938" i="84"/>
  <c r="M938" i="84"/>
  <c r="N938" i="84"/>
  <c r="O938" i="84"/>
  <c r="K939" i="84"/>
  <c r="L939" i="84"/>
  <c r="M939" i="84"/>
  <c r="N939" i="84"/>
  <c r="O939" i="84"/>
  <c r="K940" i="84"/>
  <c r="L940" i="84"/>
  <c r="M940" i="84"/>
  <c r="N940" i="84"/>
  <c r="O940" i="84"/>
  <c r="K941" i="84"/>
  <c r="L941" i="84"/>
  <c r="M941" i="84"/>
  <c r="N941" i="84"/>
  <c r="O941" i="84"/>
  <c r="K942" i="84"/>
  <c r="L942" i="84"/>
  <c r="M942" i="84"/>
  <c r="N942" i="84"/>
  <c r="O942" i="84"/>
  <c r="K943" i="84"/>
  <c r="L943" i="84"/>
  <c r="M943" i="84"/>
  <c r="N943" i="84"/>
  <c r="O943" i="84"/>
  <c r="K944" i="84"/>
  <c r="L944" i="84"/>
  <c r="M944" i="84"/>
  <c r="N944" i="84"/>
  <c r="O944" i="84"/>
  <c r="K945" i="84"/>
  <c r="L945" i="84"/>
  <c r="M945" i="84"/>
  <c r="N945" i="84"/>
  <c r="O945" i="84"/>
  <c r="K946" i="84"/>
  <c r="L946" i="84"/>
  <c r="M946" i="84"/>
  <c r="N946" i="84"/>
  <c r="O946" i="84"/>
  <c r="K947" i="84"/>
  <c r="L947" i="84"/>
  <c r="M947" i="84"/>
  <c r="N947" i="84"/>
  <c r="O947" i="84"/>
  <c r="K948" i="84"/>
  <c r="L948" i="84"/>
  <c r="M948" i="84"/>
  <c r="N948" i="84"/>
  <c r="O948" i="84"/>
  <c r="K949" i="84"/>
  <c r="L949" i="84"/>
  <c r="M949" i="84"/>
  <c r="N949" i="84"/>
  <c r="O949" i="84"/>
  <c r="K950" i="84"/>
  <c r="L950" i="84"/>
  <c r="M950" i="84"/>
  <c r="N950" i="84"/>
  <c r="O950" i="84"/>
  <c r="K951" i="84"/>
  <c r="L951" i="84"/>
  <c r="M951" i="84"/>
  <c r="N951" i="84"/>
  <c r="O951" i="84"/>
  <c r="K952" i="84"/>
  <c r="L952" i="84"/>
  <c r="M952" i="84"/>
  <c r="N952" i="84"/>
  <c r="O952" i="84"/>
  <c r="K953" i="84"/>
  <c r="L953" i="84"/>
  <c r="M953" i="84"/>
  <c r="N953" i="84"/>
  <c r="O953" i="84"/>
  <c r="K954" i="84"/>
  <c r="L954" i="84"/>
  <c r="M954" i="84"/>
  <c r="N954" i="84"/>
  <c r="O954" i="84"/>
  <c r="K955" i="84"/>
  <c r="L955" i="84"/>
  <c r="M955" i="84"/>
  <c r="N955" i="84"/>
  <c r="O955" i="84"/>
  <c r="K956" i="84"/>
  <c r="L956" i="84"/>
  <c r="M956" i="84"/>
  <c r="N956" i="84"/>
  <c r="O956" i="84"/>
  <c r="K957" i="84"/>
  <c r="L957" i="84"/>
  <c r="M957" i="84"/>
  <c r="N957" i="84"/>
  <c r="O957" i="84"/>
  <c r="K958" i="84"/>
  <c r="L958" i="84"/>
  <c r="M958" i="84"/>
  <c r="N958" i="84"/>
  <c r="O958" i="84"/>
  <c r="K959" i="84"/>
  <c r="L959" i="84"/>
  <c r="M959" i="84"/>
  <c r="N959" i="84"/>
  <c r="O959" i="84"/>
  <c r="K960" i="84"/>
  <c r="L960" i="84"/>
  <c r="M960" i="84"/>
  <c r="N960" i="84"/>
  <c r="O960" i="84"/>
  <c r="K961" i="84"/>
  <c r="L961" i="84"/>
  <c r="M961" i="84"/>
  <c r="N961" i="84"/>
  <c r="O961" i="84"/>
  <c r="K962" i="84"/>
  <c r="L962" i="84"/>
  <c r="M962" i="84"/>
  <c r="N962" i="84"/>
  <c r="O962" i="84"/>
  <c r="K963" i="84"/>
  <c r="L963" i="84"/>
  <c r="M963" i="84"/>
  <c r="N963" i="84"/>
  <c r="O963" i="84"/>
  <c r="K964" i="84"/>
  <c r="L964" i="84"/>
  <c r="M964" i="84"/>
  <c r="N964" i="84"/>
  <c r="O964" i="84"/>
  <c r="K965" i="84"/>
  <c r="L965" i="84"/>
  <c r="M965" i="84"/>
  <c r="N965" i="84"/>
  <c r="O965" i="84"/>
  <c r="K966" i="84"/>
  <c r="L966" i="84"/>
  <c r="M966" i="84"/>
  <c r="N966" i="84"/>
  <c r="O966" i="84"/>
  <c r="K967" i="84"/>
  <c r="L967" i="84"/>
  <c r="M967" i="84"/>
  <c r="N967" i="84"/>
  <c r="O967" i="84"/>
  <c r="K968" i="84"/>
  <c r="L968" i="84"/>
  <c r="M968" i="84"/>
  <c r="N968" i="84"/>
  <c r="O968" i="84"/>
  <c r="K969" i="84"/>
  <c r="L969" i="84"/>
  <c r="M969" i="84"/>
  <c r="N969" i="84"/>
  <c r="O969" i="84"/>
  <c r="K970" i="84"/>
  <c r="L970" i="84"/>
  <c r="M970" i="84"/>
  <c r="N970" i="84"/>
  <c r="O970" i="84"/>
  <c r="K971" i="84"/>
  <c r="L971" i="84"/>
  <c r="M971" i="84"/>
  <c r="N971" i="84"/>
  <c r="O971" i="84"/>
  <c r="K972" i="84"/>
  <c r="L972" i="84"/>
  <c r="M972" i="84"/>
  <c r="N972" i="84"/>
  <c r="O972" i="84"/>
  <c r="K973" i="84"/>
  <c r="L973" i="84"/>
  <c r="M973" i="84"/>
  <c r="N973" i="84"/>
  <c r="O973" i="84"/>
  <c r="K974" i="84"/>
  <c r="L974" i="84"/>
  <c r="M974" i="84"/>
  <c r="N974" i="84"/>
  <c r="O974" i="84"/>
  <c r="K975" i="84"/>
  <c r="L975" i="84"/>
  <c r="M975" i="84"/>
  <c r="N975" i="84"/>
  <c r="O975" i="84"/>
  <c r="K976" i="84"/>
  <c r="L976" i="84"/>
  <c r="M976" i="84"/>
  <c r="N976" i="84"/>
  <c r="O976" i="84"/>
  <c r="K977" i="84"/>
  <c r="L977" i="84"/>
  <c r="M977" i="84"/>
  <c r="N977" i="84"/>
  <c r="O977" i="84"/>
  <c r="K978" i="84"/>
  <c r="L978" i="84"/>
  <c r="M978" i="84"/>
  <c r="N978" i="84"/>
  <c r="O978" i="84"/>
  <c r="K979" i="84"/>
  <c r="L979" i="84"/>
  <c r="M979" i="84"/>
  <c r="N979" i="84"/>
  <c r="O979" i="84"/>
  <c r="K980" i="84"/>
  <c r="L980" i="84"/>
  <c r="M980" i="84"/>
  <c r="N980" i="84"/>
  <c r="O980" i="84"/>
  <c r="K981" i="84"/>
  <c r="L981" i="84"/>
  <c r="M981" i="84"/>
  <c r="N981" i="84"/>
  <c r="O981" i="84"/>
  <c r="K982" i="84"/>
  <c r="L982" i="84"/>
  <c r="M982" i="84"/>
  <c r="N982" i="84"/>
  <c r="O982" i="84"/>
  <c r="K983" i="84"/>
  <c r="L983" i="84"/>
  <c r="M983" i="84"/>
  <c r="N983" i="84"/>
  <c r="O983" i="84"/>
  <c r="K984" i="84"/>
  <c r="L984" i="84"/>
  <c r="M984" i="84"/>
  <c r="N984" i="84"/>
  <c r="O984" i="84"/>
  <c r="K985" i="84"/>
  <c r="L985" i="84"/>
  <c r="M985" i="84"/>
  <c r="N985" i="84"/>
  <c r="O985" i="84"/>
  <c r="K986" i="84"/>
  <c r="L986" i="84"/>
  <c r="M986" i="84"/>
  <c r="N986" i="84"/>
  <c r="O986" i="84"/>
  <c r="K987" i="84"/>
  <c r="L987" i="84"/>
  <c r="M987" i="84"/>
  <c r="N987" i="84"/>
  <c r="O987" i="84"/>
  <c r="K988" i="84"/>
  <c r="L988" i="84"/>
  <c r="M988" i="84"/>
  <c r="N988" i="84"/>
  <c r="O988" i="84"/>
  <c r="K989" i="84"/>
  <c r="L989" i="84"/>
  <c r="M989" i="84"/>
  <c r="N989" i="84"/>
  <c r="O989" i="84"/>
  <c r="K990" i="84"/>
  <c r="L990" i="84"/>
  <c r="M990" i="84"/>
  <c r="N990" i="84"/>
  <c r="O990" i="84"/>
  <c r="K991" i="84"/>
  <c r="L991" i="84"/>
  <c r="M991" i="84"/>
  <c r="N991" i="84"/>
  <c r="O991" i="84"/>
  <c r="K992" i="84"/>
  <c r="L992" i="84"/>
  <c r="M992" i="84"/>
  <c r="N992" i="84"/>
  <c r="O992" i="84"/>
  <c r="K993" i="84"/>
  <c r="L993" i="84"/>
  <c r="M993" i="84"/>
  <c r="N993" i="84"/>
  <c r="O993" i="84"/>
  <c r="K994" i="84"/>
  <c r="L994" i="84"/>
  <c r="M994" i="84"/>
  <c r="N994" i="84"/>
  <c r="O994" i="84"/>
  <c r="K995" i="84"/>
  <c r="L995" i="84"/>
  <c r="M995" i="84"/>
  <c r="N995" i="84"/>
  <c r="O995" i="84"/>
  <c r="K996" i="84"/>
  <c r="L996" i="84"/>
  <c r="M996" i="84"/>
  <c r="N996" i="84"/>
  <c r="O996" i="84"/>
  <c r="K997" i="84"/>
  <c r="L997" i="84"/>
  <c r="M997" i="84"/>
  <c r="N997" i="84"/>
  <c r="O997" i="84"/>
  <c r="K998" i="84"/>
  <c r="L998" i="84"/>
  <c r="M998" i="84"/>
  <c r="N998" i="84"/>
  <c r="O998" i="84"/>
  <c r="K999" i="84"/>
  <c r="L999" i="84"/>
  <c r="M999" i="84"/>
  <c r="N999" i="84"/>
  <c r="O999" i="84"/>
  <c r="K1000" i="84"/>
  <c r="L1000" i="84"/>
  <c r="M1000" i="84"/>
  <c r="N1000" i="84"/>
  <c r="O1000" i="84"/>
  <c r="K1001" i="84"/>
  <c r="L1001" i="84"/>
  <c r="M1001" i="84"/>
  <c r="N1001" i="84"/>
  <c r="O1001" i="84"/>
  <c r="K1002" i="84"/>
  <c r="L1002" i="84"/>
  <c r="M1002" i="84"/>
  <c r="N1002" i="84"/>
  <c r="O1002" i="84"/>
  <c r="K1003" i="84"/>
  <c r="L1003" i="84"/>
  <c r="M1003" i="84"/>
  <c r="N1003" i="84"/>
  <c r="O1003" i="84"/>
  <c r="K1004" i="84"/>
  <c r="L1004" i="84"/>
  <c r="M1004" i="84"/>
  <c r="N1004" i="84"/>
  <c r="O1004" i="84"/>
  <c r="K1005" i="84"/>
  <c r="L1005" i="84"/>
  <c r="M1005" i="84"/>
  <c r="N1005" i="84"/>
  <c r="O1005" i="84"/>
  <c r="K1006" i="84"/>
  <c r="L1006" i="84"/>
  <c r="M1006" i="84"/>
  <c r="N1006" i="84"/>
  <c r="O1006" i="84"/>
  <c r="K1007" i="84"/>
  <c r="L1007" i="84"/>
  <c r="M1007" i="84"/>
  <c r="N1007" i="84"/>
  <c r="O1007" i="84"/>
  <c r="K1008" i="84"/>
  <c r="L1008" i="84"/>
  <c r="M1008" i="84"/>
  <c r="N1008" i="84"/>
  <c r="O1008" i="84"/>
  <c r="K1009" i="84"/>
  <c r="L1009" i="84"/>
  <c r="M1009" i="84"/>
  <c r="N1009" i="84"/>
  <c r="O1009" i="84"/>
  <c r="K1010" i="84"/>
  <c r="L1010" i="84"/>
  <c r="M1010" i="84"/>
  <c r="N1010" i="84"/>
  <c r="O1010" i="84"/>
  <c r="K1011" i="84"/>
  <c r="L1011" i="84"/>
  <c r="M1011" i="84"/>
  <c r="N1011" i="84"/>
  <c r="O1011" i="84"/>
  <c r="K1012" i="84"/>
  <c r="L1012" i="84"/>
  <c r="M1012" i="84"/>
  <c r="N1012" i="84"/>
  <c r="O1012" i="84"/>
  <c r="K1013" i="84"/>
  <c r="L1013" i="84"/>
  <c r="M1013" i="84"/>
  <c r="N1013" i="84"/>
  <c r="O1013" i="84"/>
  <c r="K1014" i="84"/>
  <c r="L1014" i="84"/>
  <c r="M1014" i="84"/>
  <c r="N1014" i="84"/>
  <c r="O1014" i="84"/>
  <c r="K1015" i="84"/>
  <c r="L1015" i="84"/>
  <c r="M1015" i="84"/>
  <c r="N1015" i="84"/>
  <c r="O1015" i="84"/>
  <c r="K1016" i="84"/>
  <c r="L1016" i="84"/>
  <c r="M1016" i="84"/>
  <c r="N1016" i="84"/>
  <c r="O1016" i="84"/>
  <c r="K1017" i="84"/>
  <c r="L1017" i="84"/>
  <c r="M1017" i="84"/>
  <c r="N1017" i="84"/>
  <c r="O1017" i="84"/>
  <c r="K1018" i="84"/>
  <c r="L1018" i="84"/>
  <c r="M1018" i="84"/>
  <c r="N1018" i="84"/>
  <c r="O1018" i="84"/>
  <c r="K1019" i="84"/>
  <c r="L1019" i="84"/>
  <c r="M1019" i="84"/>
  <c r="N1019" i="84"/>
  <c r="O1019" i="84"/>
  <c r="K1020" i="84"/>
  <c r="L1020" i="84"/>
  <c r="M1020" i="84"/>
  <c r="N1020" i="84"/>
  <c r="O1020" i="84"/>
  <c r="K1021" i="84"/>
  <c r="L1021" i="84"/>
  <c r="M1021" i="84"/>
  <c r="N1021" i="84"/>
  <c r="O1021" i="84"/>
  <c r="K1022" i="84"/>
  <c r="L1022" i="84"/>
  <c r="M1022" i="84"/>
  <c r="N1022" i="84"/>
  <c r="O1022" i="84"/>
  <c r="K1023" i="84"/>
  <c r="L1023" i="84"/>
  <c r="M1023" i="84"/>
  <c r="N1023" i="84"/>
  <c r="O1023" i="84"/>
  <c r="K1024" i="84"/>
  <c r="L1024" i="84"/>
  <c r="M1024" i="84"/>
  <c r="N1024" i="84"/>
  <c r="O1024" i="84"/>
  <c r="K1025" i="84"/>
  <c r="L1025" i="84"/>
  <c r="M1025" i="84"/>
  <c r="N1025" i="84"/>
  <c r="O1025" i="84"/>
  <c r="K1026" i="84"/>
  <c r="L1026" i="84"/>
  <c r="M1026" i="84"/>
  <c r="N1026" i="84"/>
  <c r="O1026" i="84"/>
  <c r="K1027" i="84"/>
  <c r="L1027" i="84"/>
  <c r="M1027" i="84"/>
  <c r="N1027" i="84"/>
  <c r="O1027" i="84"/>
  <c r="K1028" i="84"/>
  <c r="L1028" i="84"/>
  <c r="M1028" i="84"/>
  <c r="N1028" i="84"/>
  <c r="O1028" i="84"/>
  <c r="K1029" i="84"/>
  <c r="L1029" i="84"/>
  <c r="M1029" i="84"/>
  <c r="N1029" i="84"/>
  <c r="O1029" i="84"/>
  <c r="K1030" i="84"/>
  <c r="L1030" i="84"/>
  <c r="M1030" i="84"/>
  <c r="N1030" i="84"/>
  <c r="O1030" i="84"/>
  <c r="K1031" i="84"/>
  <c r="L1031" i="84"/>
  <c r="M1031" i="84"/>
  <c r="N1031" i="84"/>
  <c r="O1031" i="84"/>
  <c r="K1032" i="84"/>
  <c r="L1032" i="84"/>
  <c r="M1032" i="84"/>
  <c r="N1032" i="84"/>
  <c r="O1032" i="84"/>
  <c r="K1033" i="84"/>
  <c r="L1033" i="84"/>
  <c r="M1033" i="84"/>
  <c r="N1033" i="84"/>
  <c r="O1033" i="84"/>
  <c r="K1034" i="84"/>
  <c r="L1034" i="84"/>
  <c r="M1034" i="84"/>
  <c r="N1034" i="84"/>
  <c r="O1034" i="84"/>
  <c r="K1035" i="84"/>
  <c r="L1035" i="84"/>
  <c r="M1035" i="84"/>
  <c r="N1035" i="84"/>
  <c r="O1035" i="84"/>
  <c r="K1036" i="84"/>
  <c r="L1036" i="84"/>
  <c r="M1036" i="84"/>
  <c r="N1036" i="84"/>
  <c r="O1036" i="84"/>
  <c r="K1037" i="84"/>
  <c r="L1037" i="84"/>
  <c r="M1037" i="84"/>
  <c r="N1037" i="84"/>
  <c r="O1037" i="84"/>
  <c r="K1038" i="84"/>
  <c r="L1038" i="84"/>
  <c r="M1038" i="84"/>
  <c r="N1038" i="84"/>
  <c r="O1038" i="84"/>
  <c r="K1039" i="84"/>
  <c r="L1039" i="84"/>
  <c r="M1039" i="84"/>
  <c r="N1039" i="84"/>
  <c r="O1039" i="84"/>
  <c r="K1040" i="84"/>
  <c r="L1040" i="84"/>
  <c r="M1040" i="84"/>
  <c r="N1040" i="84"/>
  <c r="O1040" i="84"/>
  <c r="K1041" i="84"/>
  <c r="L1041" i="84"/>
  <c r="M1041" i="84"/>
  <c r="N1041" i="84"/>
  <c r="O1041" i="84"/>
  <c r="K1042" i="84"/>
  <c r="L1042" i="84"/>
  <c r="M1042" i="84"/>
  <c r="N1042" i="84"/>
  <c r="O1042" i="84"/>
  <c r="K1043" i="84"/>
  <c r="L1043" i="84"/>
  <c r="M1043" i="84"/>
  <c r="N1043" i="84"/>
  <c r="O1043" i="84"/>
  <c r="K1044" i="84"/>
  <c r="L1044" i="84"/>
  <c r="M1044" i="84"/>
  <c r="N1044" i="84"/>
  <c r="O1044" i="84"/>
  <c r="K1045" i="84"/>
  <c r="L1045" i="84"/>
  <c r="M1045" i="84"/>
  <c r="N1045" i="84"/>
  <c r="O1045" i="84"/>
  <c r="K1046" i="84"/>
  <c r="L1046" i="84"/>
  <c r="M1046" i="84"/>
  <c r="N1046" i="84"/>
  <c r="O1046" i="84"/>
  <c r="K1047" i="84"/>
  <c r="L1047" i="84"/>
  <c r="M1047" i="84"/>
  <c r="N1047" i="84"/>
  <c r="O1047" i="84"/>
  <c r="K1048" i="84"/>
  <c r="L1048" i="84"/>
  <c r="M1048" i="84"/>
  <c r="N1048" i="84"/>
  <c r="O1048" i="84"/>
  <c r="K1049" i="84"/>
  <c r="L1049" i="84"/>
  <c r="M1049" i="84"/>
  <c r="N1049" i="84"/>
  <c r="O1049" i="84"/>
  <c r="K1050" i="84"/>
  <c r="L1050" i="84"/>
  <c r="M1050" i="84"/>
  <c r="N1050" i="84"/>
  <c r="O1050" i="84"/>
  <c r="K1051" i="84"/>
  <c r="L1051" i="84"/>
  <c r="M1051" i="84"/>
  <c r="N1051" i="84"/>
  <c r="O1051" i="84"/>
  <c r="K1052" i="84"/>
  <c r="L1052" i="84"/>
  <c r="M1052" i="84"/>
  <c r="N1052" i="84"/>
  <c r="O1052" i="84"/>
  <c r="K1053" i="84"/>
  <c r="L1053" i="84"/>
  <c r="M1053" i="84"/>
  <c r="N1053" i="84"/>
  <c r="O1053" i="84"/>
  <c r="K1054" i="84"/>
  <c r="L1054" i="84"/>
  <c r="M1054" i="84"/>
  <c r="N1054" i="84"/>
  <c r="O1054" i="84"/>
  <c r="K1055" i="84"/>
  <c r="L1055" i="84"/>
  <c r="M1055" i="84"/>
  <c r="N1055" i="84"/>
  <c r="O1055" i="84"/>
  <c r="K1056" i="84"/>
  <c r="L1056" i="84"/>
  <c r="M1056" i="84"/>
  <c r="N1056" i="84"/>
  <c r="O1056" i="84"/>
  <c r="K1057" i="84"/>
  <c r="L1057" i="84"/>
  <c r="M1057" i="84"/>
  <c r="N1057" i="84"/>
  <c r="O1057" i="84"/>
  <c r="K1058" i="84"/>
  <c r="L1058" i="84"/>
  <c r="M1058" i="84"/>
  <c r="N1058" i="84"/>
  <c r="O1058" i="84"/>
  <c r="K1059" i="84"/>
  <c r="L1059" i="84"/>
  <c r="M1059" i="84"/>
  <c r="N1059" i="84"/>
  <c r="O1059" i="84"/>
  <c r="K1060" i="84"/>
  <c r="L1060" i="84"/>
  <c r="M1060" i="84"/>
  <c r="N1060" i="84"/>
  <c r="O1060" i="84"/>
  <c r="K1061" i="84"/>
  <c r="L1061" i="84"/>
  <c r="M1061" i="84"/>
  <c r="N1061" i="84"/>
  <c r="O1061" i="84"/>
  <c r="K1062" i="84"/>
  <c r="L1062" i="84"/>
  <c r="M1062" i="84"/>
  <c r="N1062" i="84"/>
  <c r="O1062" i="84"/>
  <c r="K1063" i="84"/>
  <c r="L1063" i="84"/>
  <c r="M1063" i="84"/>
  <c r="N1063" i="84"/>
  <c r="O1063" i="84"/>
  <c r="K1064" i="84"/>
  <c r="L1064" i="84"/>
  <c r="M1064" i="84"/>
  <c r="N1064" i="84"/>
  <c r="O1064" i="84"/>
  <c r="K1065" i="84"/>
  <c r="L1065" i="84"/>
  <c r="M1065" i="84"/>
  <c r="N1065" i="84"/>
  <c r="O1065" i="84"/>
  <c r="K1066" i="84"/>
  <c r="L1066" i="84"/>
  <c r="M1066" i="84"/>
  <c r="N1066" i="84"/>
  <c r="O1066" i="84"/>
  <c r="K1067" i="84"/>
  <c r="L1067" i="84"/>
  <c r="M1067" i="84"/>
  <c r="N1067" i="84"/>
  <c r="O1067" i="84"/>
  <c r="K1068" i="84"/>
  <c r="L1068" i="84"/>
  <c r="M1068" i="84"/>
  <c r="N1068" i="84"/>
  <c r="O1068" i="84"/>
  <c r="K1069" i="84"/>
  <c r="L1069" i="84"/>
  <c r="M1069" i="84"/>
  <c r="N1069" i="84"/>
  <c r="O1069" i="84"/>
  <c r="K1070" i="84"/>
  <c r="L1070" i="84"/>
  <c r="M1070" i="84"/>
  <c r="N1070" i="84"/>
  <c r="O1070" i="84"/>
  <c r="K1071" i="84"/>
  <c r="L1071" i="84"/>
  <c r="M1071" i="84"/>
  <c r="N1071" i="84"/>
  <c r="O1071" i="84"/>
  <c r="K1072" i="84"/>
  <c r="L1072" i="84"/>
  <c r="M1072" i="84"/>
  <c r="N1072" i="84"/>
  <c r="O1072" i="84"/>
  <c r="K1073" i="84"/>
  <c r="L1073" i="84"/>
  <c r="M1073" i="84"/>
  <c r="N1073" i="84"/>
  <c r="O1073" i="84"/>
  <c r="K1074" i="84"/>
  <c r="L1074" i="84"/>
  <c r="M1074" i="84"/>
  <c r="N1074" i="84"/>
  <c r="O1074" i="84"/>
  <c r="K1075" i="84"/>
  <c r="L1075" i="84"/>
  <c r="M1075" i="84"/>
  <c r="N1075" i="84"/>
  <c r="O1075" i="84"/>
  <c r="K1076" i="84"/>
  <c r="L1076" i="84"/>
  <c r="M1076" i="84"/>
  <c r="N1076" i="84"/>
  <c r="O1076" i="84"/>
  <c r="K1077" i="84"/>
  <c r="L1077" i="84"/>
  <c r="M1077" i="84"/>
  <c r="N1077" i="84"/>
  <c r="O1077" i="84"/>
  <c r="K1078" i="84"/>
  <c r="L1078" i="84"/>
  <c r="M1078" i="84"/>
  <c r="N1078" i="84"/>
  <c r="O1078" i="84"/>
  <c r="K1079" i="84"/>
  <c r="L1079" i="84"/>
  <c r="M1079" i="84"/>
  <c r="N1079" i="84"/>
  <c r="O1079" i="84"/>
  <c r="K1080" i="84"/>
  <c r="L1080" i="84"/>
  <c r="M1080" i="84"/>
  <c r="N1080" i="84"/>
  <c r="O1080" i="84"/>
  <c r="K1081" i="84"/>
  <c r="L1081" i="84"/>
  <c r="M1081" i="84"/>
  <c r="N1081" i="84"/>
  <c r="O1081" i="84"/>
  <c r="K1082" i="84"/>
  <c r="L1082" i="84"/>
  <c r="M1082" i="84"/>
  <c r="N1082" i="84"/>
  <c r="O1082" i="84"/>
  <c r="K1083" i="84"/>
  <c r="L1083" i="84"/>
  <c r="M1083" i="84"/>
  <c r="N1083" i="84"/>
  <c r="O1083" i="84"/>
  <c r="K1084" i="84"/>
  <c r="L1084" i="84"/>
  <c r="M1084" i="84"/>
  <c r="N1084" i="84"/>
  <c r="O1084" i="84"/>
  <c r="K1085" i="84"/>
  <c r="L1085" i="84"/>
  <c r="M1085" i="84"/>
  <c r="N1085" i="84"/>
  <c r="O1085" i="84"/>
  <c r="K1086" i="84"/>
  <c r="L1086" i="84"/>
  <c r="M1086" i="84"/>
  <c r="N1086" i="84"/>
  <c r="O1086" i="84"/>
  <c r="K1087" i="84"/>
  <c r="L1087" i="84"/>
  <c r="M1087" i="84"/>
  <c r="N1087" i="84"/>
  <c r="O1087" i="84"/>
  <c r="K1088" i="84"/>
  <c r="L1088" i="84"/>
  <c r="M1088" i="84"/>
  <c r="N1088" i="84"/>
  <c r="O1088" i="84"/>
  <c r="K1089" i="84"/>
  <c r="L1089" i="84"/>
  <c r="M1089" i="84"/>
  <c r="N1089" i="84"/>
  <c r="O1089" i="84"/>
  <c r="K1090" i="84"/>
  <c r="L1090" i="84"/>
  <c r="M1090" i="84"/>
  <c r="N1090" i="84"/>
  <c r="O1090" i="84"/>
  <c r="K1091" i="84"/>
  <c r="L1091" i="84"/>
  <c r="M1091" i="84"/>
  <c r="N1091" i="84"/>
  <c r="O1091" i="84"/>
  <c r="K1092" i="84"/>
  <c r="L1092" i="84"/>
  <c r="M1092" i="84"/>
  <c r="N1092" i="84"/>
  <c r="O1092" i="84"/>
  <c r="K1093" i="84"/>
  <c r="L1093" i="84"/>
  <c r="M1093" i="84"/>
  <c r="N1093" i="84"/>
  <c r="O1093" i="84"/>
  <c r="K1094" i="84"/>
  <c r="L1094" i="84"/>
  <c r="M1094" i="84"/>
  <c r="N1094" i="84"/>
  <c r="O1094" i="84"/>
  <c r="K1095" i="84"/>
  <c r="L1095" i="84"/>
  <c r="M1095" i="84"/>
  <c r="N1095" i="84"/>
  <c r="O1095" i="84"/>
  <c r="K1096" i="84"/>
  <c r="L1096" i="84"/>
  <c r="M1096" i="84"/>
  <c r="N1096" i="84"/>
  <c r="O1096" i="84"/>
  <c r="K1097" i="84"/>
  <c r="L1097" i="84"/>
  <c r="M1097" i="84"/>
  <c r="N1097" i="84"/>
  <c r="O1097" i="84"/>
  <c r="K1098" i="84"/>
  <c r="L1098" i="84"/>
  <c r="M1098" i="84"/>
  <c r="N1098" i="84"/>
  <c r="O1098" i="84"/>
  <c r="K1099" i="84"/>
  <c r="L1099" i="84"/>
  <c r="M1099" i="84"/>
  <c r="N1099" i="84"/>
  <c r="O1099" i="84"/>
  <c r="K1100" i="84"/>
  <c r="L1100" i="84"/>
  <c r="M1100" i="84"/>
  <c r="N1100" i="84"/>
  <c r="O1100" i="84"/>
  <c r="K1101" i="84"/>
  <c r="L1101" i="84"/>
  <c r="M1101" i="84"/>
  <c r="N1101" i="84"/>
  <c r="O1101" i="84"/>
  <c r="K1102" i="84"/>
  <c r="L1102" i="84"/>
  <c r="M1102" i="84"/>
  <c r="N1102" i="84"/>
  <c r="O1102" i="84"/>
  <c r="K1103" i="84"/>
  <c r="L1103" i="84"/>
  <c r="M1103" i="84"/>
  <c r="N1103" i="84"/>
  <c r="O1103" i="84"/>
  <c r="K1104" i="84"/>
  <c r="L1104" i="84"/>
  <c r="M1104" i="84"/>
  <c r="N1104" i="84"/>
  <c r="O1104" i="84"/>
  <c r="K1105" i="84"/>
  <c r="L1105" i="84"/>
  <c r="M1105" i="84"/>
  <c r="N1105" i="84"/>
  <c r="O1105" i="84"/>
  <c r="K1106" i="84"/>
  <c r="L1106" i="84"/>
  <c r="M1106" i="84"/>
  <c r="N1106" i="84"/>
  <c r="O1106" i="84"/>
  <c r="K1107" i="84"/>
  <c r="L1107" i="84"/>
  <c r="M1107" i="84"/>
  <c r="N1107" i="84"/>
  <c r="O1107" i="84"/>
  <c r="K1108" i="84"/>
  <c r="L1108" i="84"/>
  <c r="M1108" i="84"/>
  <c r="N1108" i="84"/>
  <c r="O1108" i="84"/>
  <c r="K1109" i="84"/>
  <c r="L1109" i="84"/>
  <c r="M1109" i="84"/>
  <c r="N1109" i="84"/>
  <c r="O1109" i="84"/>
  <c r="K1110" i="84"/>
  <c r="L1110" i="84"/>
  <c r="M1110" i="84"/>
  <c r="N1110" i="84"/>
  <c r="O1110" i="84"/>
  <c r="K1111" i="84"/>
  <c r="L1111" i="84"/>
  <c r="M1111" i="84"/>
  <c r="N1111" i="84"/>
  <c r="O1111" i="84"/>
  <c r="K1112" i="84"/>
  <c r="L1112" i="84"/>
  <c r="M1112" i="84"/>
  <c r="N1112" i="84"/>
  <c r="O1112" i="84"/>
  <c r="K1113" i="84"/>
  <c r="L1113" i="84"/>
  <c r="M1113" i="84"/>
  <c r="N1113" i="84"/>
  <c r="O1113" i="84"/>
  <c r="K1114" i="84"/>
  <c r="L1114" i="84"/>
  <c r="M1114" i="84"/>
  <c r="N1114" i="84"/>
  <c r="O1114" i="84"/>
  <c r="K1115" i="84"/>
  <c r="L1115" i="84"/>
  <c r="M1115" i="84"/>
  <c r="N1115" i="84"/>
  <c r="O1115" i="84"/>
  <c r="K1116" i="84"/>
  <c r="L1116" i="84"/>
  <c r="M1116" i="84"/>
  <c r="N1116" i="84"/>
  <c r="O1116" i="84"/>
  <c r="K1117" i="84"/>
  <c r="L1117" i="84"/>
  <c r="M1117" i="84"/>
  <c r="N1117" i="84"/>
  <c r="O1117" i="84"/>
  <c r="K1118" i="84"/>
  <c r="L1118" i="84"/>
  <c r="M1118" i="84"/>
  <c r="N1118" i="84"/>
  <c r="O1118" i="84"/>
  <c r="K1119" i="84"/>
  <c r="L1119" i="84"/>
  <c r="M1119" i="84"/>
  <c r="N1119" i="84"/>
  <c r="O1119" i="84"/>
  <c r="K1120" i="84"/>
  <c r="L1120" i="84"/>
  <c r="M1120" i="84"/>
  <c r="N1120" i="84"/>
  <c r="O1120" i="84"/>
  <c r="K1121" i="84"/>
  <c r="L1121" i="84"/>
  <c r="M1121" i="84"/>
  <c r="N1121" i="84"/>
  <c r="O1121" i="84"/>
  <c r="K1122" i="84"/>
  <c r="L1122" i="84"/>
  <c r="M1122" i="84"/>
  <c r="N1122" i="84"/>
  <c r="O1122" i="84"/>
  <c r="K1123" i="84"/>
  <c r="L1123" i="84"/>
  <c r="M1123" i="84"/>
  <c r="N1123" i="84"/>
  <c r="O1123" i="84"/>
  <c r="K1124" i="84"/>
  <c r="L1124" i="84"/>
  <c r="M1124" i="84"/>
  <c r="N1124" i="84"/>
  <c r="O1124" i="84"/>
  <c r="K1125" i="84"/>
  <c r="L1125" i="84"/>
  <c r="M1125" i="84"/>
  <c r="N1125" i="84"/>
  <c r="O1125" i="84"/>
  <c r="K1126" i="84"/>
  <c r="L1126" i="84"/>
  <c r="M1126" i="84"/>
  <c r="N1126" i="84"/>
  <c r="O1126" i="84"/>
  <c r="K1127" i="84"/>
  <c r="L1127" i="84"/>
  <c r="M1127" i="84"/>
  <c r="N1127" i="84"/>
  <c r="O1127" i="84"/>
  <c r="K1128" i="84"/>
  <c r="L1128" i="84"/>
  <c r="M1128" i="84"/>
  <c r="N1128" i="84"/>
  <c r="O1128" i="84"/>
  <c r="K1129" i="84"/>
  <c r="L1129" i="84"/>
  <c r="M1129" i="84"/>
  <c r="N1129" i="84"/>
  <c r="O1129" i="84"/>
  <c r="K1130" i="84"/>
  <c r="L1130" i="84"/>
  <c r="M1130" i="84"/>
  <c r="N1130" i="84"/>
  <c r="O1130" i="84"/>
  <c r="K1131" i="84"/>
  <c r="L1131" i="84"/>
  <c r="M1131" i="84"/>
  <c r="N1131" i="84"/>
  <c r="O1131" i="84"/>
  <c r="K1132" i="84"/>
  <c r="L1132" i="84"/>
  <c r="M1132" i="84"/>
  <c r="N1132" i="84"/>
  <c r="O1132" i="84"/>
  <c r="K1133" i="84"/>
  <c r="L1133" i="84"/>
  <c r="M1133" i="84"/>
  <c r="N1133" i="84"/>
  <c r="O1133" i="84"/>
  <c r="K1134" i="84"/>
  <c r="L1134" i="84"/>
  <c r="M1134" i="84"/>
  <c r="N1134" i="84"/>
  <c r="O1134" i="84"/>
  <c r="K1135" i="84"/>
  <c r="L1135" i="84"/>
  <c r="M1135" i="84"/>
  <c r="N1135" i="84"/>
  <c r="O1135" i="84"/>
  <c r="K1136" i="84"/>
  <c r="L1136" i="84"/>
  <c r="M1136" i="84"/>
  <c r="N1136" i="84"/>
  <c r="O1136" i="84"/>
  <c r="K1137" i="84"/>
  <c r="L1137" i="84"/>
  <c r="M1137" i="84"/>
  <c r="N1137" i="84"/>
  <c r="O1137" i="84"/>
  <c r="K1138" i="84"/>
  <c r="L1138" i="84"/>
  <c r="M1138" i="84"/>
  <c r="N1138" i="84"/>
  <c r="O1138" i="84"/>
  <c r="K1139" i="84"/>
  <c r="L1139" i="84"/>
  <c r="M1139" i="84"/>
  <c r="N1139" i="84"/>
  <c r="O1139" i="84"/>
  <c r="K1140" i="84"/>
  <c r="L1140" i="84"/>
  <c r="M1140" i="84"/>
  <c r="N1140" i="84"/>
  <c r="O1140" i="84"/>
  <c r="K1141" i="84"/>
  <c r="L1141" i="84"/>
  <c r="M1141" i="84"/>
  <c r="N1141" i="84"/>
  <c r="O1141" i="84"/>
  <c r="K1142" i="84"/>
  <c r="L1142" i="84"/>
  <c r="M1142" i="84"/>
  <c r="N1142" i="84"/>
  <c r="O1142" i="84"/>
  <c r="K1143" i="84"/>
  <c r="L1143" i="84"/>
  <c r="M1143" i="84"/>
  <c r="N1143" i="84"/>
  <c r="O1143" i="84"/>
  <c r="K1144" i="84"/>
  <c r="L1144" i="84"/>
  <c r="M1144" i="84"/>
  <c r="N1144" i="84"/>
  <c r="O1144" i="84"/>
  <c r="K1145" i="84"/>
  <c r="L1145" i="84"/>
  <c r="M1145" i="84"/>
  <c r="N1145" i="84"/>
  <c r="O1145" i="84"/>
  <c r="K1146" i="84"/>
  <c r="L1146" i="84"/>
  <c r="M1146" i="84"/>
  <c r="N1146" i="84"/>
  <c r="O1146" i="84"/>
  <c r="K1147" i="84"/>
  <c r="L1147" i="84"/>
  <c r="M1147" i="84"/>
  <c r="N1147" i="84"/>
  <c r="O1147" i="84"/>
  <c r="K1148" i="84"/>
  <c r="L1148" i="84"/>
  <c r="M1148" i="84"/>
  <c r="N1148" i="84"/>
  <c r="O1148" i="84"/>
  <c r="K1149" i="84"/>
  <c r="L1149" i="84"/>
  <c r="M1149" i="84"/>
  <c r="N1149" i="84"/>
  <c r="O1149" i="84"/>
  <c r="K1150" i="84"/>
  <c r="L1150" i="84"/>
  <c r="M1150" i="84"/>
  <c r="N1150" i="84"/>
  <c r="O1150" i="84"/>
  <c r="K1151" i="84"/>
  <c r="L1151" i="84"/>
  <c r="M1151" i="84"/>
  <c r="N1151" i="84"/>
  <c r="O1151" i="84"/>
  <c r="K1152" i="84"/>
  <c r="L1152" i="84"/>
  <c r="M1152" i="84"/>
  <c r="N1152" i="84"/>
  <c r="O1152" i="84"/>
  <c r="K1153" i="84"/>
  <c r="L1153" i="84"/>
  <c r="M1153" i="84"/>
  <c r="N1153" i="84"/>
  <c r="O1153" i="84"/>
  <c r="K1154" i="84"/>
  <c r="L1154" i="84"/>
  <c r="M1154" i="84"/>
  <c r="N1154" i="84"/>
  <c r="O1154" i="84"/>
  <c r="K1155" i="84"/>
  <c r="L1155" i="84"/>
  <c r="M1155" i="84"/>
  <c r="N1155" i="84"/>
  <c r="O1155" i="84"/>
  <c r="K1156" i="84"/>
  <c r="L1156" i="84"/>
  <c r="M1156" i="84"/>
  <c r="N1156" i="84"/>
  <c r="O1156" i="84"/>
  <c r="K1157" i="84"/>
  <c r="L1157" i="84"/>
  <c r="M1157" i="84"/>
  <c r="N1157" i="84"/>
  <c r="O1157" i="84"/>
  <c r="K1158" i="84"/>
  <c r="L1158" i="84"/>
  <c r="M1158" i="84"/>
  <c r="N1158" i="84"/>
  <c r="O1158" i="84"/>
  <c r="K1159" i="84"/>
  <c r="L1159" i="84"/>
  <c r="M1159" i="84"/>
  <c r="N1159" i="84"/>
  <c r="O1159" i="84"/>
  <c r="K1160" i="84"/>
  <c r="L1160" i="84"/>
  <c r="M1160" i="84"/>
  <c r="N1160" i="84"/>
  <c r="O1160" i="84"/>
  <c r="K1161" i="84"/>
  <c r="L1161" i="84"/>
  <c r="M1161" i="84"/>
  <c r="N1161" i="84"/>
  <c r="O1161" i="84"/>
  <c r="K1162" i="84"/>
  <c r="L1162" i="84"/>
  <c r="M1162" i="84"/>
  <c r="N1162" i="84"/>
  <c r="O1162" i="84"/>
  <c r="K1163" i="84"/>
  <c r="L1163" i="84"/>
  <c r="M1163" i="84"/>
  <c r="N1163" i="84"/>
  <c r="O1163" i="84"/>
  <c r="K1164" i="84"/>
  <c r="L1164" i="84"/>
  <c r="M1164" i="84"/>
  <c r="N1164" i="84"/>
  <c r="O1164" i="84"/>
  <c r="K1165" i="84"/>
  <c r="L1165" i="84"/>
  <c r="M1165" i="84"/>
  <c r="N1165" i="84"/>
  <c r="O1165" i="84"/>
  <c r="K1166" i="84"/>
  <c r="L1166" i="84"/>
  <c r="M1166" i="84"/>
  <c r="N1166" i="84"/>
  <c r="O1166" i="84"/>
  <c r="K1167" i="84"/>
  <c r="L1167" i="84"/>
  <c r="M1167" i="84"/>
  <c r="N1167" i="84"/>
  <c r="O1167" i="84"/>
  <c r="K1168" i="84"/>
  <c r="L1168" i="84"/>
  <c r="M1168" i="84"/>
  <c r="N1168" i="84"/>
  <c r="O1168" i="84"/>
  <c r="K1169" i="84"/>
  <c r="L1169" i="84"/>
  <c r="M1169" i="84"/>
  <c r="N1169" i="84"/>
  <c r="O1169" i="84"/>
  <c r="K1170" i="84"/>
  <c r="L1170" i="84"/>
  <c r="M1170" i="84"/>
  <c r="N1170" i="84"/>
  <c r="O1170" i="84"/>
  <c r="K1171" i="84"/>
  <c r="L1171" i="84"/>
  <c r="M1171" i="84"/>
  <c r="N1171" i="84"/>
  <c r="O1171" i="84"/>
  <c r="K1172" i="84"/>
  <c r="L1172" i="84"/>
  <c r="M1172" i="84"/>
  <c r="N1172" i="84"/>
  <c r="O1172" i="84"/>
  <c r="K1173" i="84"/>
  <c r="L1173" i="84"/>
  <c r="M1173" i="84"/>
  <c r="N1173" i="84"/>
  <c r="O1173" i="84"/>
  <c r="K1174" i="84"/>
  <c r="L1174" i="84"/>
  <c r="M1174" i="84"/>
  <c r="N1174" i="84"/>
  <c r="O1174" i="84"/>
  <c r="K1175" i="84"/>
  <c r="L1175" i="84"/>
  <c r="M1175" i="84"/>
  <c r="N1175" i="84"/>
  <c r="O1175" i="84"/>
  <c r="K1176" i="84"/>
  <c r="L1176" i="84"/>
  <c r="M1176" i="84"/>
  <c r="N1176" i="84"/>
  <c r="O1176" i="84"/>
  <c r="K1177" i="84"/>
  <c r="L1177" i="84"/>
  <c r="M1177" i="84"/>
  <c r="N1177" i="84"/>
  <c r="O1177" i="84"/>
  <c r="K1178" i="84"/>
  <c r="L1178" i="84"/>
  <c r="M1178" i="84"/>
  <c r="N1178" i="84"/>
  <c r="O1178" i="84"/>
  <c r="K1179" i="84"/>
  <c r="L1179" i="84"/>
  <c r="M1179" i="84"/>
  <c r="N1179" i="84"/>
  <c r="O1179" i="84"/>
  <c r="K1180" i="84"/>
  <c r="L1180" i="84"/>
  <c r="M1180" i="84"/>
  <c r="N1180" i="84"/>
  <c r="O1180" i="84"/>
  <c r="K1181" i="84"/>
  <c r="L1181" i="84"/>
  <c r="M1181" i="84"/>
  <c r="N1181" i="84"/>
  <c r="O1181" i="84"/>
  <c r="K1182" i="84"/>
  <c r="L1182" i="84"/>
  <c r="M1182" i="84"/>
  <c r="N1182" i="84"/>
  <c r="O1182" i="84"/>
  <c r="K1183" i="84"/>
  <c r="L1183" i="84"/>
  <c r="M1183" i="84"/>
  <c r="N1183" i="84"/>
  <c r="O1183" i="84"/>
  <c r="K1184" i="84"/>
  <c r="L1184" i="84"/>
  <c r="M1184" i="84"/>
  <c r="N1184" i="84"/>
  <c r="O1184" i="84"/>
  <c r="K1185" i="84"/>
  <c r="L1185" i="84"/>
  <c r="M1185" i="84"/>
  <c r="N1185" i="84"/>
  <c r="O1185" i="84"/>
  <c r="K1186" i="84"/>
  <c r="L1186" i="84"/>
  <c r="M1186" i="84"/>
  <c r="N1186" i="84"/>
  <c r="O1186" i="84"/>
  <c r="K1187" i="84"/>
  <c r="L1187" i="84"/>
  <c r="M1187" i="84"/>
  <c r="N1187" i="84"/>
  <c r="O1187" i="84"/>
  <c r="K1188" i="84"/>
  <c r="L1188" i="84"/>
  <c r="M1188" i="84"/>
  <c r="N1188" i="84"/>
  <c r="O1188" i="84"/>
  <c r="K1189" i="84"/>
  <c r="L1189" i="84"/>
  <c r="M1189" i="84"/>
  <c r="N1189" i="84"/>
  <c r="O1189" i="84"/>
  <c r="K1190" i="84"/>
  <c r="L1190" i="84"/>
  <c r="M1190" i="84"/>
  <c r="N1190" i="84"/>
  <c r="O1190" i="84"/>
  <c r="K1191" i="84"/>
  <c r="L1191" i="84"/>
  <c r="M1191" i="84"/>
  <c r="N1191" i="84"/>
  <c r="O1191" i="84"/>
  <c r="K1192" i="84"/>
  <c r="L1192" i="84"/>
  <c r="M1192" i="84"/>
  <c r="N1192" i="84"/>
  <c r="O1192" i="84"/>
  <c r="K1193" i="84"/>
  <c r="L1193" i="84"/>
  <c r="M1193" i="84"/>
  <c r="N1193" i="84"/>
  <c r="O1193" i="84"/>
  <c r="K1194" i="84"/>
  <c r="L1194" i="84"/>
  <c r="M1194" i="84"/>
  <c r="N1194" i="84"/>
  <c r="O1194" i="84"/>
  <c r="K1195" i="84"/>
  <c r="L1195" i="84"/>
  <c r="M1195" i="84"/>
  <c r="N1195" i="84"/>
  <c r="O1195" i="84"/>
  <c r="K1196" i="84"/>
  <c r="L1196" i="84"/>
  <c r="M1196" i="84"/>
  <c r="N1196" i="84"/>
  <c r="O1196" i="84"/>
  <c r="K1197" i="84"/>
  <c r="L1197" i="84"/>
  <c r="M1197" i="84"/>
  <c r="N1197" i="84"/>
  <c r="O1197" i="84"/>
  <c r="K1198" i="84"/>
  <c r="L1198" i="84"/>
  <c r="M1198" i="84"/>
  <c r="N1198" i="84"/>
  <c r="O1198" i="84"/>
  <c r="K1199" i="84"/>
  <c r="L1199" i="84"/>
  <c r="M1199" i="84"/>
  <c r="N1199" i="84"/>
  <c r="O1199" i="84"/>
  <c r="K1200" i="84"/>
  <c r="L1200" i="84"/>
  <c r="M1200" i="84"/>
  <c r="N1200" i="84"/>
  <c r="O1200" i="84"/>
  <c r="K1201" i="84"/>
  <c r="L1201" i="84"/>
  <c r="M1201" i="84"/>
  <c r="N1201" i="84"/>
  <c r="O1201" i="84"/>
  <c r="K1202" i="84"/>
  <c r="L1202" i="84"/>
  <c r="M1202" i="84"/>
  <c r="N1202" i="84"/>
  <c r="O1202" i="84"/>
  <c r="K1203" i="84"/>
  <c r="L1203" i="84"/>
  <c r="M1203" i="84"/>
  <c r="N1203" i="84"/>
  <c r="O1203" i="84"/>
  <c r="K1204" i="84"/>
  <c r="L1204" i="84"/>
  <c r="M1204" i="84"/>
  <c r="N1204" i="84"/>
  <c r="O1204" i="84"/>
  <c r="K1205" i="84"/>
  <c r="L1205" i="84"/>
  <c r="M1205" i="84"/>
  <c r="N1205" i="84"/>
  <c r="O1205" i="84"/>
  <c r="K1206" i="84"/>
  <c r="L1206" i="84"/>
  <c r="M1206" i="84"/>
  <c r="N1206" i="84"/>
  <c r="O1206" i="84"/>
  <c r="K1207" i="84"/>
  <c r="L1207" i="84"/>
  <c r="M1207" i="84"/>
  <c r="N1207" i="84"/>
  <c r="O1207" i="84"/>
  <c r="K1208" i="84"/>
  <c r="L1208" i="84"/>
  <c r="M1208" i="84"/>
  <c r="N1208" i="84"/>
  <c r="O1208" i="84"/>
  <c r="K1209" i="84"/>
  <c r="L1209" i="84"/>
  <c r="M1209" i="84"/>
  <c r="N1209" i="84"/>
  <c r="O1209" i="84"/>
  <c r="K1210" i="84"/>
  <c r="L1210" i="84"/>
  <c r="M1210" i="84"/>
  <c r="N1210" i="84"/>
  <c r="O1210" i="84"/>
  <c r="K1211" i="84"/>
  <c r="L1211" i="84"/>
  <c r="M1211" i="84"/>
  <c r="N1211" i="84"/>
  <c r="O1211" i="84"/>
  <c r="K1212" i="84"/>
  <c r="L1212" i="84"/>
  <c r="M1212" i="84"/>
  <c r="N1212" i="84"/>
  <c r="O1212" i="84"/>
  <c r="K1213" i="84"/>
  <c r="L1213" i="84"/>
  <c r="M1213" i="84"/>
  <c r="N1213" i="84"/>
  <c r="O1213" i="84"/>
  <c r="K1214" i="84"/>
  <c r="L1214" i="84"/>
  <c r="M1214" i="84"/>
  <c r="N1214" i="84"/>
  <c r="O1214" i="84"/>
  <c r="K1215" i="84"/>
  <c r="L1215" i="84"/>
  <c r="M1215" i="84"/>
  <c r="N1215" i="84"/>
  <c r="O1215" i="84"/>
  <c r="K1216" i="84"/>
  <c r="L1216" i="84"/>
  <c r="M1216" i="84"/>
  <c r="N1216" i="84"/>
  <c r="O1216" i="84"/>
  <c r="K1217" i="84"/>
  <c r="L1217" i="84"/>
  <c r="M1217" i="84"/>
  <c r="N1217" i="84"/>
  <c r="O1217" i="84"/>
  <c r="K1218" i="84"/>
  <c r="L1218" i="84"/>
  <c r="M1218" i="84"/>
  <c r="N1218" i="84"/>
  <c r="O1218" i="84"/>
  <c r="K1219" i="84"/>
  <c r="L1219" i="84"/>
  <c r="M1219" i="84"/>
  <c r="N1219" i="84"/>
  <c r="O1219" i="84"/>
  <c r="K1220" i="84"/>
  <c r="L1220" i="84"/>
  <c r="M1220" i="84"/>
  <c r="N1220" i="84"/>
  <c r="O1220" i="84"/>
  <c r="K1221" i="84"/>
  <c r="L1221" i="84"/>
  <c r="M1221" i="84"/>
  <c r="N1221" i="84"/>
  <c r="O1221" i="84"/>
  <c r="K1222" i="84"/>
  <c r="L1222" i="84"/>
  <c r="M1222" i="84"/>
  <c r="N1222" i="84"/>
  <c r="O1222" i="84"/>
  <c r="K1223" i="84"/>
  <c r="L1223" i="84"/>
  <c r="M1223" i="84"/>
  <c r="N1223" i="84"/>
  <c r="O1223" i="84"/>
  <c r="K1224" i="84"/>
  <c r="L1224" i="84"/>
  <c r="M1224" i="84"/>
  <c r="N1224" i="84"/>
  <c r="O1224" i="84"/>
  <c r="K1225" i="84"/>
  <c r="L1225" i="84"/>
  <c r="M1225" i="84"/>
  <c r="N1225" i="84"/>
  <c r="O1225" i="84"/>
  <c r="K1226" i="84"/>
  <c r="L1226" i="84"/>
  <c r="M1226" i="84"/>
  <c r="N1226" i="84"/>
  <c r="O1226" i="84"/>
  <c r="K1227" i="84"/>
  <c r="L1227" i="84"/>
  <c r="M1227" i="84"/>
  <c r="N1227" i="84"/>
  <c r="O1227" i="84"/>
  <c r="K1228" i="84"/>
  <c r="L1228" i="84"/>
  <c r="M1228" i="84"/>
  <c r="N1228" i="84"/>
  <c r="O1228" i="84"/>
  <c r="K1229" i="84"/>
  <c r="L1229" i="84"/>
  <c r="M1229" i="84"/>
  <c r="N1229" i="84"/>
  <c r="O1229" i="84"/>
  <c r="K1230" i="84"/>
  <c r="L1230" i="84"/>
  <c r="M1230" i="84"/>
  <c r="N1230" i="84"/>
  <c r="O1230" i="84"/>
  <c r="K1231" i="84"/>
  <c r="L1231" i="84"/>
  <c r="M1231" i="84"/>
  <c r="N1231" i="84"/>
  <c r="O1231" i="84"/>
  <c r="K1232" i="84"/>
  <c r="L1232" i="84"/>
  <c r="M1232" i="84"/>
  <c r="N1232" i="84"/>
  <c r="O1232" i="84"/>
  <c r="K1233" i="84"/>
  <c r="L1233" i="84"/>
  <c r="M1233" i="84"/>
  <c r="N1233" i="84"/>
  <c r="O1233" i="84"/>
  <c r="K1234" i="84"/>
  <c r="L1234" i="84"/>
  <c r="M1234" i="84"/>
  <c r="N1234" i="84"/>
  <c r="O1234" i="84"/>
  <c r="K1235" i="84"/>
  <c r="L1235" i="84"/>
  <c r="M1235" i="84"/>
  <c r="N1235" i="84"/>
  <c r="O1235" i="84"/>
  <c r="K1236" i="84"/>
  <c r="L1236" i="84"/>
  <c r="M1236" i="84"/>
  <c r="N1236" i="84"/>
  <c r="O1236" i="84"/>
  <c r="K1237" i="84"/>
  <c r="L1237" i="84"/>
  <c r="M1237" i="84"/>
  <c r="N1237" i="84"/>
  <c r="O1237" i="84"/>
  <c r="K1238" i="84"/>
  <c r="L1238" i="84"/>
  <c r="M1238" i="84"/>
  <c r="N1238" i="84"/>
  <c r="O1238" i="84"/>
  <c r="K1239" i="84"/>
  <c r="L1239" i="84"/>
  <c r="M1239" i="84"/>
  <c r="N1239" i="84"/>
  <c r="O1239" i="84"/>
  <c r="K1240" i="84"/>
  <c r="L1240" i="84"/>
  <c r="M1240" i="84"/>
  <c r="N1240" i="84"/>
  <c r="O1240" i="84"/>
  <c r="K1241" i="84"/>
  <c r="L1241" i="84"/>
  <c r="M1241" i="84"/>
  <c r="N1241" i="84"/>
  <c r="O1241" i="84"/>
  <c r="K1242" i="84"/>
  <c r="L1242" i="84"/>
  <c r="M1242" i="84"/>
  <c r="N1242" i="84"/>
  <c r="O1242" i="84"/>
  <c r="K1243" i="84"/>
  <c r="L1243" i="84"/>
  <c r="M1243" i="84"/>
  <c r="N1243" i="84"/>
  <c r="O1243" i="84"/>
  <c r="K1244" i="84"/>
  <c r="L1244" i="84"/>
  <c r="M1244" i="84"/>
  <c r="N1244" i="84"/>
  <c r="O1244" i="84"/>
  <c r="K1245" i="84"/>
  <c r="L1245" i="84"/>
  <c r="M1245" i="84"/>
  <c r="N1245" i="84"/>
  <c r="O1245" i="84"/>
  <c r="K1246" i="84"/>
  <c r="L1246" i="84"/>
  <c r="M1246" i="84"/>
  <c r="N1246" i="84"/>
  <c r="O1246" i="84"/>
  <c r="K1247" i="84"/>
  <c r="L1247" i="84"/>
  <c r="M1247" i="84"/>
  <c r="N1247" i="84"/>
  <c r="O1247" i="84"/>
  <c r="K1248" i="84"/>
  <c r="L1248" i="84"/>
  <c r="M1248" i="84"/>
  <c r="N1248" i="84"/>
  <c r="O1248" i="84"/>
  <c r="K1249" i="84"/>
  <c r="L1249" i="84"/>
  <c r="M1249" i="84"/>
  <c r="N1249" i="84"/>
  <c r="O1249" i="84"/>
  <c r="K1250" i="84"/>
  <c r="L1250" i="84"/>
  <c r="M1250" i="84"/>
  <c r="N1250" i="84"/>
  <c r="O1250" i="84"/>
  <c r="K1251" i="84"/>
  <c r="L1251" i="84"/>
  <c r="M1251" i="84"/>
  <c r="N1251" i="84"/>
  <c r="O1251" i="84"/>
  <c r="K1252" i="84"/>
  <c r="L1252" i="84"/>
  <c r="M1252" i="84"/>
  <c r="N1252" i="84"/>
  <c r="O1252" i="84"/>
  <c r="K1253" i="84"/>
  <c r="L1253" i="84"/>
  <c r="M1253" i="84"/>
  <c r="N1253" i="84"/>
  <c r="O1253" i="84"/>
  <c r="K1254" i="84"/>
  <c r="L1254" i="84"/>
  <c r="M1254" i="84"/>
  <c r="N1254" i="84"/>
  <c r="O1254" i="84"/>
  <c r="K1255" i="84"/>
  <c r="L1255" i="84"/>
  <c r="M1255" i="84"/>
  <c r="N1255" i="84"/>
  <c r="O1255" i="84"/>
  <c r="K1256" i="84"/>
  <c r="L1256" i="84"/>
  <c r="M1256" i="84"/>
  <c r="N1256" i="84"/>
  <c r="O1256" i="84"/>
  <c r="K1257" i="84"/>
  <c r="L1257" i="84"/>
  <c r="M1257" i="84"/>
  <c r="N1257" i="84"/>
  <c r="O1257" i="84"/>
  <c r="K1258" i="84"/>
  <c r="L1258" i="84"/>
  <c r="M1258" i="84"/>
  <c r="N1258" i="84"/>
  <c r="O1258" i="84"/>
  <c r="K1259" i="84"/>
  <c r="L1259" i="84"/>
  <c r="M1259" i="84"/>
  <c r="N1259" i="84"/>
  <c r="O1259" i="84"/>
  <c r="K1260" i="84"/>
  <c r="L1260" i="84"/>
  <c r="M1260" i="84"/>
  <c r="N1260" i="84"/>
  <c r="O1260" i="84"/>
  <c r="K1261" i="84"/>
  <c r="L1261" i="84"/>
  <c r="M1261" i="84"/>
  <c r="N1261" i="84"/>
  <c r="O1261" i="84"/>
  <c r="K1262" i="84"/>
  <c r="L1262" i="84"/>
  <c r="M1262" i="84"/>
  <c r="N1262" i="84"/>
  <c r="O1262" i="84"/>
  <c r="K1263" i="84"/>
  <c r="L1263" i="84"/>
  <c r="M1263" i="84"/>
  <c r="N1263" i="84"/>
  <c r="O1263" i="84"/>
  <c r="K1264" i="84"/>
  <c r="L1264" i="84"/>
  <c r="M1264" i="84"/>
  <c r="N1264" i="84"/>
  <c r="O1264" i="84"/>
  <c r="K1265" i="84"/>
  <c r="L1265" i="84"/>
  <c r="M1265" i="84"/>
  <c r="N1265" i="84"/>
  <c r="O1265" i="84"/>
  <c r="K1266" i="84"/>
  <c r="L1266" i="84"/>
  <c r="M1266" i="84"/>
  <c r="N1266" i="84"/>
  <c r="O1266" i="84"/>
  <c r="K1267" i="84"/>
  <c r="L1267" i="84"/>
  <c r="M1267" i="84"/>
  <c r="N1267" i="84"/>
  <c r="O1267" i="84"/>
  <c r="K1268" i="84"/>
  <c r="L1268" i="84"/>
  <c r="M1268" i="84"/>
  <c r="N1268" i="84"/>
  <c r="O1268" i="84"/>
  <c r="K1269" i="84"/>
  <c r="L1269" i="84"/>
  <c r="M1269" i="84"/>
  <c r="N1269" i="84"/>
  <c r="O1269" i="84"/>
  <c r="K1270" i="84"/>
  <c r="L1270" i="84"/>
  <c r="M1270" i="84"/>
  <c r="N1270" i="84"/>
  <c r="O1270" i="84"/>
  <c r="K1271" i="84"/>
  <c r="L1271" i="84"/>
  <c r="M1271" i="84"/>
  <c r="N1271" i="84"/>
  <c r="O1271" i="84"/>
  <c r="K1272" i="84"/>
  <c r="L1272" i="84"/>
  <c r="M1272" i="84"/>
  <c r="N1272" i="84"/>
  <c r="O1272" i="84"/>
  <c r="K1273" i="84"/>
  <c r="L1273" i="84"/>
  <c r="M1273" i="84"/>
  <c r="N1273" i="84"/>
  <c r="O1273" i="84"/>
  <c r="K1274" i="84"/>
  <c r="L1274" i="84"/>
  <c r="M1274" i="84"/>
  <c r="N1274" i="84"/>
  <c r="O1274" i="84"/>
  <c r="K1275" i="84"/>
  <c r="L1275" i="84"/>
  <c r="M1275" i="84"/>
  <c r="N1275" i="84"/>
  <c r="O1275" i="84"/>
  <c r="K1276" i="84"/>
  <c r="L1276" i="84"/>
  <c r="M1276" i="84"/>
  <c r="N1276" i="84"/>
  <c r="O1276" i="84"/>
  <c r="K1277" i="84"/>
  <c r="L1277" i="84"/>
  <c r="M1277" i="84"/>
  <c r="N1277" i="84"/>
  <c r="O1277" i="84"/>
  <c r="K1278" i="84"/>
  <c r="L1278" i="84"/>
  <c r="M1278" i="84"/>
  <c r="N1278" i="84"/>
  <c r="O1278" i="84"/>
  <c r="K1279" i="84"/>
  <c r="L1279" i="84"/>
  <c r="M1279" i="84"/>
  <c r="N1279" i="84"/>
  <c r="O1279" i="84"/>
  <c r="K1280" i="84"/>
  <c r="L1280" i="84"/>
  <c r="M1280" i="84"/>
  <c r="N1280" i="84"/>
  <c r="O1280" i="84"/>
  <c r="K1281" i="84"/>
  <c r="L1281" i="84"/>
  <c r="M1281" i="84"/>
  <c r="N1281" i="84"/>
  <c r="O1281" i="84"/>
  <c r="K1282" i="84"/>
  <c r="L1282" i="84"/>
  <c r="M1282" i="84"/>
  <c r="N1282" i="84"/>
  <c r="O1282" i="84"/>
  <c r="K1283" i="84"/>
  <c r="L1283" i="84"/>
  <c r="M1283" i="84"/>
  <c r="N1283" i="84"/>
  <c r="O1283" i="84"/>
  <c r="K1284" i="84"/>
  <c r="L1284" i="84"/>
  <c r="M1284" i="84"/>
  <c r="N1284" i="84"/>
  <c r="O1284" i="84"/>
  <c r="K1285" i="84"/>
  <c r="L1285" i="84"/>
  <c r="M1285" i="84"/>
  <c r="N1285" i="84"/>
  <c r="O1285" i="84"/>
  <c r="K1286" i="84"/>
  <c r="L1286" i="84"/>
  <c r="M1286" i="84"/>
  <c r="N1286" i="84"/>
  <c r="O1286" i="84"/>
  <c r="K1287" i="84"/>
  <c r="L1287" i="84"/>
  <c r="M1287" i="84"/>
  <c r="N1287" i="84"/>
  <c r="O1287" i="84"/>
  <c r="K1288" i="84"/>
  <c r="L1288" i="84"/>
  <c r="M1288" i="84"/>
  <c r="N1288" i="84"/>
  <c r="O1288" i="84"/>
  <c r="K1289" i="84"/>
  <c r="L1289" i="84"/>
  <c r="M1289" i="84"/>
  <c r="N1289" i="84"/>
  <c r="O1289" i="84"/>
  <c r="K1290" i="84"/>
  <c r="L1290" i="84"/>
  <c r="M1290" i="84"/>
  <c r="N1290" i="84"/>
  <c r="O1290" i="84"/>
  <c r="K1291" i="84"/>
  <c r="L1291" i="84"/>
  <c r="M1291" i="84"/>
  <c r="N1291" i="84"/>
  <c r="O1291" i="84"/>
  <c r="K1292" i="84"/>
  <c r="L1292" i="84"/>
  <c r="M1292" i="84"/>
  <c r="N1292" i="84"/>
  <c r="O1292" i="84"/>
  <c r="K1293" i="84"/>
  <c r="L1293" i="84"/>
  <c r="M1293" i="84"/>
  <c r="N1293" i="84"/>
  <c r="O1293" i="84"/>
  <c r="K1294" i="84"/>
  <c r="L1294" i="84"/>
  <c r="M1294" i="84"/>
  <c r="N1294" i="84"/>
  <c r="O1294" i="84"/>
  <c r="K1295" i="84"/>
  <c r="L1295" i="84"/>
  <c r="M1295" i="84"/>
  <c r="N1295" i="84"/>
  <c r="O1295" i="84"/>
  <c r="K1296" i="84"/>
  <c r="L1296" i="84"/>
  <c r="M1296" i="84"/>
  <c r="N1296" i="84"/>
  <c r="O1296" i="84"/>
  <c r="K1297" i="84"/>
  <c r="L1297" i="84"/>
  <c r="M1297" i="84"/>
  <c r="N1297" i="84"/>
  <c r="O1297" i="84"/>
  <c r="K1298" i="84"/>
  <c r="L1298" i="84"/>
  <c r="M1298" i="84"/>
  <c r="N1298" i="84"/>
  <c r="O1298" i="84"/>
  <c r="K1299" i="84"/>
  <c r="L1299" i="84"/>
  <c r="M1299" i="84"/>
  <c r="N1299" i="84"/>
  <c r="O1299" i="84"/>
  <c r="K1300" i="84"/>
  <c r="L1300" i="84"/>
  <c r="M1300" i="84"/>
  <c r="N1300" i="84"/>
  <c r="O1300" i="84"/>
  <c r="K1301" i="84"/>
  <c r="L1301" i="84"/>
  <c r="M1301" i="84"/>
  <c r="N1301" i="84"/>
  <c r="O1301" i="84"/>
  <c r="K1302" i="84"/>
  <c r="L1302" i="84"/>
  <c r="M1302" i="84"/>
  <c r="N1302" i="84"/>
  <c r="O1302" i="84"/>
  <c r="K1303" i="84"/>
  <c r="L1303" i="84"/>
  <c r="M1303" i="84"/>
  <c r="N1303" i="84"/>
  <c r="O1303" i="84"/>
  <c r="K1304" i="84"/>
  <c r="L1304" i="84"/>
  <c r="M1304" i="84"/>
  <c r="N1304" i="84"/>
  <c r="O1304" i="84"/>
  <c r="K1305" i="84"/>
  <c r="L1305" i="84"/>
  <c r="M1305" i="84"/>
  <c r="N1305" i="84"/>
  <c r="O1305" i="84"/>
  <c r="K1306" i="84"/>
  <c r="L1306" i="84"/>
  <c r="M1306" i="84"/>
  <c r="N1306" i="84"/>
  <c r="O1306" i="84"/>
  <c r="K1307" i="84"/>
  <c r="L1307" i="84"/>
  <c r="M1307" i="84"/>
  <c r="N1307" i="84"/>
  <c r="O1307" i="84"/>
  <c r="K1308" i="84"/>
  <c r="L1308" i="84"/>
  <c r="M1308" i="84"/>
  <c r="N1308" i="84"/>
  <c r="O1308" i="84"/>
  <c r="K1309" i="84"/>
  <c r="L1309" i="84"/>
  <c r="M1309" i="84"/>
  <c r="N1309" i="84"/>
  <c r="O1309" i="84"/>
  <c r="K1310" i="84"/>
  <c r="L1310" i="84"/>
  <c r="M1310" i="84"/>
  <c r="N1310" i="84"/>
  <c r="O1310" i="84"/>
  <c r="K1311" i="84"/>
  <c r="L1311" i="84"/>
  <c r="M1311" i="84"/>
  <c r="N1311" i="84"/>
  <c r="O1311" i="84"/>
  <c r="K1312" i="84"/>
  <c r="L1312" i="84"/>
  <c r="M1312" i="84"/>
  <c r="N1312" i="84"/>
  <c r="O1312" i="84"/>
  <c r="K1313" i="84"/>
  <c r="L1313" i="84"/>
  <c r="M1313" i="84"/>
  <c r="N1313" i="84"/>
  <c r="O1313" i="84"/>
  <c r="K1314" i="84"/>
  <c r="L1314" i="84"/>
  <c r="M1314" i="84"/>
  <c r="N1314" i="84"/>
  <c r="O1314" i="84"/>
  <c r="K1315" i="84"/>
  <c r="L1315" i="84"/>
  <c r="M1315" i="84"/>
  <c r="N1315" i="84"/>
  <c r="O1315" i="84"/>
  <c r="K1316" i="84"/>
  <c r="L1316" i="84"/>
  <c r="M1316" i="84"/>
  <c r="N1316" i="84"/>
  <c r="O1316" i="84"/>
  <c r="K1317" i="84"/>
  <c r="L1317" i="84"/>
  <c r="M1317" i="84"/>
  <c r="N1317" i="84"/>
  <c r="O1317" i="84"/>
  <c r="K1318" i="84"/>
  <c r="L1318" i="84"/>
  <c r="M1318" i="84"/>
  <c r="N1318" i="84"/>
  <c r="O1318" i="84"/>
  <c r="K1319" i="84"/>
  <c r="L1319" i="84"/>
  <c r="M1319" i="84"/>
  <c r="N1319" i="84"/>
  <c r="O1319" i="84"/>
  <c r="K1320" i="84"/>
  <c r="L1320" i="84"/>
  <c r="M1320" i="84"/>
  <c r="N1320" i="84"/>
  <c r="O1320" i="84"/>
  <c r="K1321" i="84"/>
  <c r="L1321" i="84"/>
  <c r="M1321" i="84"/>
  <c r="N1321" i="84"/>
  <c r="O1321" i="84"/>
  <c r="K1322" i="84"/>
  <c r="L1322" i="84"/>
  <c r="M1322" i="84"/>
  <c r="N1322" i="84"/>
  <c r="O1322" i="84"/>
  <c r="K1323" i="84"/>
  <c r="L1323" i="84"/>
  <c r="M1323" i="84"/>
  <c r="N1323" i="84"/>
  <c r="O1323" i="84"/>
  <c r="K1324" i="84"/>
  <c r="L1324" i="84"/>
  <c r="M1324" i="84"/>
  <c r="N1324" i="84"/>
  <c r="O1324" i="84"/>
  <c r="K1325" i="84"/>
  <c r="L1325" i="84"/>
  <c r="M1325" i="84"/>
  <c r="N1325" i="84"/>
  <c r="O1325" i="84"/>
  <c r="K1326" i="84"/>
  <c r="L1326" i="84"/>
  <c r="M1326" i="84"/>
  <c r="N1326" i="84"/>
  <c r="O1326" i="84"/>
  <c r="K1327" i="84"/>
  <c r="L1327" i="84"/>
  <c r="M1327" i="84"/>
  <c r="N1327" i="84"/>
  <c r="O1327" i="84"/>
  <c r="K1328" i="84"/>
  <c r="L1328" i="84"/>
  <c r="M1328" i="84"/>
  <c r="N1328" i="84"/>
  <c r="O1328" i="84"/>
  <c r="K1329" i="84"/>
  <c r="L1329" i="84"/>
  <c r="M1329" i="84"/>
  <c r="N1329" i="84"/>
  <c r="O1329" i="84"/>
  <c r="K1330" i="84"/>
  <c r="L1330" i="84"/>
  <c r="M1330" i="84"/>
  <c r="N1330" i="84"/>
  <c r="O1330" i="84"/>
  <c r="K1331" i="84"/>
  <c r="L1331" i="84"/>
  <c r="M1331" i="84"/>
  <c r="N1331" i="84"/>
  <c r="O1331" i="84"/>
  <c r="K1332" i="84"/>
  <c r="L1332" i="84"/>
  <c r="M1332" i="84"/>
  <c r="N1332" i="84"/>
  <c r="O1332" i="84"/>
  <c r="K1333" i="84"/>
  <c r="L1333" i="84"/>
  <c r="M1333" i="84"/>
  <c r="N1333" i="84"/>
  <c r="O1333" i="84"/>
  <c r="K1334" i="84"/>
  <c r="L1334" i="84"/>
  <c r="M1334" i="84"/>
  <c r="N1334" i="84"/>
  <c r="O1334" i="84"/>
  <c r="K1335" i="84"/>
  <c r="L1335" i="84"/>
  <c r="M1335" i="84"/>
  <c r="N1335" i="84"/>
  <c r="O1335" i="84"/>
  <c r="K1336" i="84"/>
  <c r="L1336" i="84"/>
  <c r="M1336" i="84"/>
  <c r="N1336" i="84"/>
  <c r="O1336" i="84"/>
  <c r="K1337" i="84"/>
  <c r="L1337" i="84"/>
  <c r="M1337" i="84"/>
  <c r="N1337" i="84"/>
  <c r="O1337" i="84"/>
  <c r="K1338" i="84"/>
  <c r="L1338" i="84"/>
  <c r="M1338" i="84"/>
  <c r="N1338" i="84"/>
  <c r="O1338" i="84"/>
  <c r="K1339" i="84"/>
  <c r="L1339" i="84"/>
  <c r="M1339" i="84"/>
  <c r="N1339" i="84"/>
  <c r="O1339" i="84"/>
  <c r="K1340" i="84"/>
  <c r="L1340" i="84"/>
  <c r="M1340" i="84"/>
  <c r="N1340" i="84"/>
  <c r="O1340" i="84"/>
  <c r="K1341" i="84"/>
  <c r="L1341" i="84"/>
  <c r="M1341" i="84"/>
  <c r="N1341" i="84"/>
  <c r="O1341" i="84"/>
  <c r="K1342" i="84"/>
  <c r="L1342" i="84"/>
  <c r="M1342" i="84"/>
  <c r="N1342" i="84"/>
  <c r="O1342" i="84"/>
  <c r="K1343" i="84"/>
  <c r="L1343" i="84"/>
  <c r="M1343" i="84"/>
  <c r="N1343" i="84"/>
  <c r="O1343" i="84"/>
  <c r="K1344" i="84"/>
  <c r="L1344" i="84"/>
  <c r="M1344" i="84"/>
  <c r="N1344" i="84"/>
  <c r="O1344" i="84"/>
  <c r="K1345" i="84"/>
  <c r="L1345" i="84"/>
  <c r="M1345" i="84"/>
  <c r="N1345" i="84"/>
  <c r="O1345" i="84"/>
  <c r="K1346" i="84"/>
  <c r="L1346" i="84"/>
  <c r="M1346" i="84"/>
  <c r="N1346" i="84"/>
  <c r="O1346" i="84"/>
  <c r="K1347" i="84"/>
  <c r="L1347" i="84"/>
  <c r="M1347" i="84"/>
  <c r="N1347" i="84"/>
  <c r="O1347" i="84"/>
  <c r="K1348" i="84"/>
  <c r="L1348" i="84"/>
  <c r="M1348" i="84"/>
  <c r="N1348" i="84"/>
  <c r="O1348" i="84"/>
  <c r="K1349" i="84"/>
  <c r="L1349" i="84"/>
  <c r="M1349" i="84"/>
  <c r="N1349" i="84"/>
  <c r="O1349" i="84"/>
  <c r="K1350" i="84"/>
  <c r="L1350" i="84"/>
  <c r="M1350" i="84"/>
  <c r="N1350" i="84"/>
  <c r="O1350" i="84"/>
  <c r="K1351" i="84"/>
  <c r="L1351" i="84"/>
  <c r="M1351" i="84"/>
  <c r="N1351" i="84"/>
  <c r="O1351" i="84"/>
  <c r="K1352" i="84"/>
  <c r="L1352" i="84"/>
  <c r="M1352" i="84"/>
  <c r="N1352" i="84"/>
  <c r="O1352" i="84"/>
  <c r="K1353" i="84"/>
  <c r="L1353" i="84"/>
  <c r="M1353" i="84"/>
  <c r="N1353" i="84"/>
  <c r="O1353" i="84"/>
  <c r="K1354" i="84"/>
  <c r="L1354" i="84"/>
  <c r="M1354" i="84"/>
  <c r="N1354" i="84"/>
  <c r="O1354" i="84"/>
  <c r="K1355" i="84"/>
  <c r="L1355" i="84"/>
  <c r="M1355" i="84"/>
  <c r="N1355" i="84"/>
  <c r="O1355" i="84"/>
  <c r="K1356" i="84"/>
  <c r="L1356" i="84"/>
  <c r="M1356" i="84"/>
  <c r="N1356" i="84"/>
  <c r="O1356" i="84"/>
  <c r="K1357" i="84"/>
  <c r="L1357" i="84"/>
  <c r="M1357" i="84"/>
  <c r="N1357" i="84"/>
  <c r="O1357" i="84"/>
  <c r="K1358" i="84"/>
  <c r="L1358" i="84"/>
  <c r="M1358" i="84"/>
  <c r="N1358" i="84"/>
  <c r="O1358" i="84"/>
  <c r="K1359" i="84"/>
  <c r="L1359" i="84"/>
  <c r="M1359" i="84"/>
  <c r="N1359" i="84"/>
  <c r="O1359" i="84"/>
  <c r="K1360" i="84"/>
  <c r="L1360" i="84"/>
  <c r="M1360" i="84"/>
  <c r="N1360" i="84"/>
  <c r="O1360" i="84"/>
  <c r="K1361" i="84"/>
  <c r="L1361" i="84"/>
  <c r="M1361" i="84"/>
  <c r="N1361" i="84"/>
  <c r="O1361" i="84"/>
  <c r="K1362" i="84"/>
  <c r="L1362" i="84"/>
  <c r="M1362" i="84"/>
  <c r="N1362" i="84"/>
  <c r="O1362" i="84"/>
  <c r="K1363" i="84"/>
  <c r="L1363" i="84"/>
  <c r="M1363" i="84"/>
  <c r="N1363" i="84"/>
  <c r="O1363" i="84"/>
  <c r="K1364" i="84"/>
  <c r="L1364" i="84"/>
  <c r="M1364" i="84"/>
  <c r="N1364" i="84"/>
  <c r="O1364" i="84"/>
  <c r="K1365" i="84"/>
  <c r="L1365" i="84"/>
  <c r="M1365" i="84"/>
  <c r="N1365" i="84"/>
  <c r="O1365" i="84"/>
  <c r="K1366" i="84"/>
  <c r="L1366" i="84"/>
  <c r="M1366" i="84"/>
  <c r="N1366" i="84"/>
  <c r="O1366" i="84"/>
  <c r="K1367" i="84"/>
  <c r="L1367" i="84"/>
  <c r="M1367" i="84"/>
  <c r="N1367" i="84"/>
  <c r="O1367" i="84"/>
  <c r="K1368" i="84"/>
  <c r="L1368" i="84"/>
  <c r="M1368" i="84"/>
  <c r="N1368" i="84"/>
  <c r="O1368" i="84"/>
  <c r="K1369" i="84"/>
  <c r="L1369" i="84"/>
  <c r="M1369" i="84"/>
  <c r="N1369" i="84"/>
  <c r="O1369" i="84"/>
  <c r="K1370" i="84"/>
  <c r="L1370" i="84"/>
  <c r="M1370" i="84"/>
  <c r="N1370" i="84"/>
  <c r="O1370" i="84"/>
  <c r="K1371" i="84"/>
  <c r="L1371" i="84"/>
  <c r="M1371" i="84"/>
  <c r="N1371" i="84"/>
  <c r="O1371" i="84"/>
  <c r="K1372" i="84"/>
  <c r="L1372" i="84"/>
  <c r="M1372" i="84"/>
  <c r="N1372" i="84"/>
  <c r="O1372" i="84"/>
  <c r="K1373" i="84"/>
  <c r="L1373" i="84"/>
  <c r="M1373" i="84"/>
  <c r="N1373" i="84"/>
  <c r="O1373" i="84"/>
  <c r="K1374" i="84"/>
  <c r="L1374" i="84"/>
  <c r="M1374" i="84"/>
  <c r="N1374" i="84"/>
  <c r="O1374" i="84"/>
  <c r="K1375" i="84"/>
  <c r="L1375" i="84"/>
  <c r="M1375" i="84"/>
  <c r="N1375" i="84"/>
  <c r="O1375" i="84"/>
  <c r="K1376" i="84"/>
  <c r="L1376" i="84"/>
  <c r="M1376" i="84"/>
  <c r="N1376" i="84"/>
  <c r="O1376" i="84"/>
  <c r="K1377" i="84"/>
  <c r="L1377" i="84"/>
  <c r="M1377" i="84"/>
  <c r="N1377" i="84"/>
  <c r="O1377" i="84"/>
  <c r="K1378" i="84"/>
  <c r="L1378" i="84"/>
  <c r="M1378" i="84"/>
  <c r="N1378" i="84"/>
  <c r="O1378" i="84"/>
  <c r="K1379" i="84"/>
  <c r="L1379" i="84"/>
  <c r="M1379" i="84"/>
  <c r="N1379" i="84"/>
  <c r="O1379" i="84"/>
  <c r="K1380" i="84"/>
  <c r="L1380" i="84"/>
  <c r="M1380" i="84"/>
  <c r="N1380" i="84"/>
  <c r="O1380" i="84"/>
  <c r="K1381" i="84"/>
  <c r="L1381" i="84"/>
  <c r="M1381" i="84"/>
  <c r="N1381" i="84"/>
  <c r="O1381" i="84"/>
  <c r="K1382" i="84"/>
  <c r="L1382" i="84"/>
  <c r="M1382" i="84"/>
  <c r="N1382" i="84"/>
  <c r="O1382" i="84"/>
  <c r="K1383" i="84"/>
  <c r="L1383" i="84"/>
  <c r="M1383" i="84"/>
  <c r="N1383" i="84"/>
  <c r="O1383" i="84"/>
  <c r="K1384" i="84"/>
  <c r="L1384" i="84"/>
  <c r="M1384" i="84"/>
  <c r="N1384" i="84"/>
  <c r="O1384" i="84"/>
  <c r="K1385" i="84"/>
  <c r="L1385" i="84"/>
  <c r="M1385" i="84"/>
  <c r="N1385" i="84"/>
  <c r="O1385" i="84"/>
  <c r="K1386" i="84"/>
  <c r="L1386" i="84"/>
  <c r="M1386" i="84"/>
  <c r="N1386" i="84"/>
  <c r="O1386" i="84"/>
  <c r="K1387" i="84"/>
  <c r="L1387" i="84"/>
  <c r="M1387" i="84"/>
  <c r="N1387" i="84"/>
  <c r="O1387" i="84"/>
  <c r="K1388" i="84"/>
  <c r="L1388" i="84"/>
  <c r="M1388" i="84"/>
  <c r="N1388" i="84"/>
  <c r="O1388" i="84"/>
  <c r="K1389" i="84"/>
  <c r="L1389" i="84"/>
  <c r="M1389" i="84"/>
  <c r="N1389" i="84"/>
  <c r="O1389" i="84"/>
  <c r="K1390" i="84"/>
  <c r="L1390" i="84"/>
  <c r="M1390" i="84"/>
  <c r="N1390" i="84"/>
  <c r="O1390" i="84"/>
  <c r="K1391" i="84"/>
  <c r="L1391" i="84"/>
  <c r="M1391" i="84"/>
  <c r="N1391" i="84"/>
  <c r="O1391" i="84"/>
  <c r="K1392" i="84"/>
  <c r="L1392" i="84"/>
  <c r="M1392" i="84"/>
  <c r="N1392" i="84"/>
  <c r="O1392" i="84"/>
  <c r="K1393" i="84"/>
  <c r="L1393" i="84"/>
  <c r="M1393" i="84"/>
  <c r="N1393" i="84"/>
  <c r="O1393" i="84"/>
  <c r="K1394" i="84"/>
  <c r="L1394" i="84"/>
  <c r="M1394" i="84"/>
  <c r="N1394" i="84"/>
  <c r="O1394" i="84"/>
  <c r="K1395" i="84"/>
  <c r="L1395" i="84"/>
  <c r="M1395" i="84"/>
  <c r="N1395" i="84"/>
  <c r="O1395" i="84"/>
  <c r="K1396" i="84"/>
  <c r="L1396" i="84"/>
  <c r="M1396" i="84"/>
  <c r="N1396" i="84"/>
  <c r="O1396" i="84"/>
  <c r="K1397" i="84"/>
  <c r="L1397" i="84"/>
  <c r="M1397" i="84"/>
  <c r="N1397" i="84"/>
  <c r="O1397" i="84"/>
  <c r="K1398" i="84"/>
  <c r="L1398" i="84"/>
  <c r="M1398" i="84"/>
  <c r="N1398" i="84"/>
  <c r="O1398" i="84"/>
  <c r="K1399" i="84"/>
  <c r="L1399" i="84"/>
  <c r="M1399" i="84"/>
  <c r="N1399" i="84"/>
  <c r="O1399" i="84"/>
  <c r="K1400" i="84"/>
  <c r="L1400" i="84"/>
  <c r="M1400" i="84"/>
  <c r="N1400" i="84"/>
  <c r="O1400" i="84"/>
  <c r="K1401" i="84"/>
  <c r="L1401" i="84"/>
  <c r="M1401" i="84"/>
  <c r="N1401" i="84"/>
  <c r="O1401" i="84"/>
  <c r="K1402" i="84"/>
  <c r="L1402" i="84"/>
  <c r="M1402" i="84"/>
  <c r="N1402" i="84"/>
  <c r="O1402" i="84"/>
  <c r="K1403" i="84"/>
  <c r="L1403" i="84"/>
  <c r="M1403" i="84"/>
  <c r="N1403" i="84"/>
  <c r="O1403" i="84"/>
  <c r="K1404" i="84"/>
  <c r="L1404" i="84"/>
  <c r="M1404" i="84"/>
  <c r="N1404" i="84"/>
  <c r="O1404" i="84"/>
  <c r="K1405" i="84"/>
  <c r="L1405" i="84"/>
  <c r="M1405" i="84"/>
  <c r="N1405" i="84"/>
  <c r="O1405" i="84"/>
  <c r="K1406" i="84"/>
  <c r="L1406" i="84"/>
  <c r="M1406" i="84"/>
  <c r="N1406" i="84"/>
  <c r="O1406" i="84"/>
  <c r="K1407" i="84"/>
  <c r="L1407" i="84"/>
  <c r="M1407" i="84"/>
  <c r="N1407" i="84"/>
  <c r="O1407" i="84"/>
  <c r="K1408" i="84"/>
  <c r="L1408" i="84"/>
  <c r="M1408" i="84"/>
  <c r="N1408" i="84"/>
  <c r="O1408" i="84"/>
  <c r="K1409" i="84"/>
  <c r="L1409" i="84"/>
  <c r="M1409" i="84"/>
  <c r="N1409" i="84"/>
  <c r="O1409" i="84"/>
  <c r="K1410" i="84"/>
  <c r="L1410" i="84"/>
  <c r="M1410" i="84"/>
  <c r="N1410" i="84"/>
  <c r="O1410" i="84"/>
  <c r="K1411" i="84"/>
  <c r="L1411" i="84"/>
  <c r="M1411" i="84"/>
  <c r="N1411" i="84"/>
  <c r="O1411" i="84"/>
  <c r="K1412" i="84"/>
  <c r="L1412" i="84"/>
  <c r="M1412" i="84"/>
  <c r="N1412" i="84"/>
  <c r="O1412" i="84"/>
  <c r="K1413" i="84"/>
  <c r="L1413" i="84"/>
  <c r="M1413" i="84"/>
  <c r="N1413" i="84"/>
  <c r="O1413" i="84"/>
  <c r="K1414" i="84"/>
  <c r="L1414" i="84"/>
  <c r="M1414" i="84"/>
  <c r="N1414" i="84"/>
  <c r="O1414" i="84"/>
  <c r="K1415" i="84"/>
  <c r="L1415" i="84"/>
  <c r="M1415" i="84"/>
  <c r="N1415" i="84"/>
  <c r="O1415" i="84"/>
  <c r="K1416" i="84"/>
  <c r="L1416" i="84"/>
  <c r="M1416" i="84"/>
  <c r="N1416" i="84"/>
  <c r="O1416" i="84"/>
  <c r="K1417" i="84"/>
  <c r="L1417" i="84"/>
  <c r="M1417" i="84"/>
  <c r="N1417" i="84"/>
  <c r="O1417" i="84"/>
  <c r="K1418" i="84"/>
  <c r="L1418" i="84"/>
  <c r="M1418" i="84"/>
  <c r="N1418" i="84"/>
  <c r="O1418" i="84"/>
  <c r="K1419" i="84"/>
  <c r="L1419" i="84"/>
  <c r="M1419" i="84"/>
  <c r="N1419" i="84"/>
  <c r="O1419" i="84"/>
  <c r="K1420" i="84"/>
  <c r="L1420" i="84"/>
  <c r="M1420" i="84"/>
  <c r="N1420" i="84"/>
  <c r="O1420" i="84"/>
  <c r="K1421" i="84"/>
  <c r="L1421" i="84"/>
  <c r="M1421" i="84"/>
  <c r="N1421" i="84"/>
  <c r="O1421" i="84"/>
  <c r="K1422" i="84"/>
  <c r="L1422" i="84"/>
  <c r="M1422" i="84"/>
  <c r="N1422" i="84"/>
  <c r="O1422" i="84"/>
  <c r="K1423" i="84"/>
  <c r="L1423" i="84"/>
  <c r="M1423" i="84"/>
  <c r="N1423" i="84"/>
  <c r="O1423" i="84"/>
  <c r="K1424" i="84"/>
  <c r="L1424" i="84"/>
  <c r="M1424" i="84"/>
  <c r="N1424" i="84"/>
  <c r="O1424" i="84"/>
  <c r="K1425" i="84"/>
  <c r="L1425" i="84"/>
  <c r="M1425" i="84"/>
  <c r="N1425" i="84"/>
  <c r="O1425" i="84"/>
  <c r="K1426" i="84"/>
  <c r="L1426" i="84"/>
  <c r="M1426" i="84"/>
  <c r="N1426" i="84"/>
  <c r="O1426" i="84"/>
  <c r="K1427" i="84"/>
  <c r="L1427" i="84"/>
  <c r="M1427" i="84"/>
  <c r="N1427" i="84"/>
  <c r="O1427" i="84"/>
  <c r="K1428" i="84"/>
  <c r="L1428" i="84"/>
  <c r="M1428" i="84"/>
  <c r="N1428" i="84"/>
  <c r="O1428" i="84"/>
  <c r="K1429" i="84"/>
  <c r="L1429" i="84"/>
  <c r="M1429" i="84"/>
  <c r="N1429" i="84"/>
  <c r="O1429" i="84"/>
  <c r="K1430" i="84"/>
  <c r="L1430" i="84"/>
  <c r="M1430" i="84"/>
  <c r="N1430" i="84"/>
  <c r="O1430" i="84"/>
  <c r="K1431" i="84"/>
  <c r="L1431" i="84"/>
  <c r="M1431" i="84"/>
  <c r="N1431" i="84"/>
  <c r="O1431" i="84"/>
  <c r="K1432" i="84"/>
  <c r="L1432" i="84"/>
  <c r="M1432" i="84"/>
  <c r="N1432" i="84"/>
  <c r="O1432" i="84"/>
  <c r="K1433" i="84"/>
  <c r="L1433" i="84"/>
  <c r="M1433" i="84"/>
  <c r="N1433" i="84"/>
  <c r="O1433" i="84"/>
  <c r="K1434" i="84"/>
  <c r="L1434" i="84"/>
  <c r="M1434" i="84"/>
  <c r="N1434" i="84"/>
  <c r="O1434" i="84"/>
  <c r="K1435" i="84"/>
  <c r="L1435" i="84"/>
  <c r="M1435" i="84"/>
  <c r="N1435" i="84"/>
  <c r="O1435" i="84"/>
  <c r="K1436" i="84"/>
  <c r="L1436" i="84"/>
  <c r="M1436" i="84"/>
  <c r="N1436" i="84"/>
  <c r="O1436" i="84"/>
  <c r="K1437" i="84"/>
  <c r="L1437" i="84"/>
  <c r="M1437" i="84"/>
  <c r="N1437" i="84"/>
  <c r="O1437" i="84"/>
  <c r="K1438" i="84"/>
  <c r="L1438" i="84"/>
  <c r="M1438" i="84"/>
  <c r="N1438" i="84"/>
  <c r="O1438" i="84"/>
  <c r="K1439" i="84"/>
  <c r="L1439" i="84"/>
  <c r="M1439" i="84"/>
  <c r="N1439" i="84"/>
  <c r="O1439" i="84"/>
  <c r="K1440" i="84"/>
  <c r="L1440" i="84"/>
  <c r="M1440" i="84"/>
  <c r="N1440" i="84"/>
  <c r="O1440" i="84"/>
  <c r="K1441" i="84"/>
  <c r="L1441" i="84"/>
  <c r="M1441" i="84"/>
  <c r="N1441" i="84"/>
  <c r="O1441" i="84"/>
  <c r="K1442" i="84"/>
  <c r="L1442" i="84"/>
  <c r="M1442" i="84"/>
  <c r="N1442" i="84"/>
  <c r="O1442" i="84"/>
  <c r="K1443" i="84"/>
  <c r="L1443" i="84"/>
  <c r="M1443" i="84"/>
  <c r="N1443" i="84"/>
  <c r="O1443" i="84"/>
  <c r="K1444" i="84"/>
  <c r="L1444" i="84"/>
  <c r="M1444" i="84"/>
  <c r="N1444" i="84"/>
  <c r="O1444" i="84"/>
  <c r="K1445" i="84"/>
  <c r="L1445" i="84"/>
  <c r="M1445" i="84"/>
  <c r="N1445" i="84"/>
  <c r="O1445" i="84"/>
  <c r="K1446" i="84"/>
  <c r="L1446" i="84"/>
  <c r="M1446" i="84"/>
  <c r="N1446" i="84"/>
  <c r="O1446" i="84"/>
  <c r="K1447" i="84"/>
  <c r="L1447" i="84"/>
  <c r="M1447" i="84"/>
  <c r="N1447" i="84"/>
  <c r="O1447" i="84"/>
  <c r="K1448" i="84"/>
  <c r="L1448" i="84"/>
  <c r="M1448" i="84"/>
  <c r="N1448" i="84"/>
  <c r="O1448" i="84"/>
  <c r="K1449" i="84"/>
  <c r="L1449" i="84"/>
  <c r="M1449" i="84"/>
  <c r="N1449" i="84"/>
  <c r="O1449" i="84"/>
  <c r="K1450" i="84"/>
  <c r="L1450" i="84"/>
  <c r="M1450" i="84"/>
  <c r="N1450" i="84"/>
  <c r="O1450" i="84"/>
  <c r="K1451" i="84"/>
  <c r="L1451" i="84"/>
  <c r="M1451" i="84"/>
  <c r="N1451" i="84"/>
  <c r="O1451" i="84"/>
  <c r="K1452" i="84"/>
  <c r="L1452" i="84"/>
  <c r="M1452" i="84"/>
  <c r="N1452" i="84"/>
  <c r="O1452" i="84"/>
  <c r="K1453" i="84"/>
  <c r="L1453" i="84"/>
  <c r="M1453" i="84"/>
  <c r="N1453" i="84"/>
  <c r="O1453" i="84"/>
  <c r="K1454" i="84"/>
  <c r="L1454" i="84"/>
  <c r="M1454" i="84"/>
  <c r="N1454" i="84"/>
  <c r="O1454" i="84"/>
  <c r="K1455" i="84"/>
  <c r="L1455" i="84"/>
  <c r="M1455" i="84"/>
  <c r="N1455" i="84"/>
  <c r="O1455" i="84"/>
  <c r="K1456" i="84"/>
  <c r="L1456" i="84"/>
  <c r="M1456" i="84"/>
  <c r="N1456" i="84"/>
  <c r="O1456" i="84"/>
  <c r="K1457" i="84"/>
  <c r="L1457" i="84"/>
  <c r="M1457" i="84"/>
  <c r="N1457" i="84"/>
  <c r="O1457" i="84"/>
  <c r="K1458" i="84"/>
  <c r="L1458" i="84"/>
  <c r="M1458" i="84"/>
  <c r="N1458" i="84"/>
  <c r="O1458" i="84"/>
  <c r="K1459" i="84"/>
  <c r="L1459" i="84"/>
  <c r="M1459" i="84"/>
  <c r="N1459" i="84"/>
  <c r="O1459" i="84"/>
  <c r="K1460" i="84"/>
  <c r="L1460" i="84"/>
  <c r="M1460" i="84"/>
  <c r="N1460" i="84"/>
  <c r="O1460" i="84"/>
  <c r="K1461" i="84"/>
  <c r="L1461" i="84"/>
  <c r="M1461" i="84"/>
  <c r="N1461" i="84"/>
  <c r="O1461" i="84"/>
  <c r="K1462" i="84"/>
  <c r="L1462" i="84"/>
  <c r="M1462" i="84"/>
  <c r="N1462" i="84"/>
  <c r="O1462" i="84"/>
  <c r="K1463" i="84"/>
  <c r="L1463" i="84"/>
  <c r="M1463" i="84"/>
  <c r="N1463" i="84"/>
  <c r="O1463" i="84"/>
  <c r="K1464" i="84"/>
  <c r="L1464" i="84"/>
  <c r="M1464" i="84"/>
  <c r="N1464" i="84"/>
  <c r="O1464" i="84"/>
  <c r="K1465" i="84"/>
  <c r="L1465" i="84"/>
  <c r="M1465" i="84"/>
  <c r="N1465" i="84"/>
  <c r="O1465" i="84"/>
  <c r="K1466" i="84"/>
  <c r="L1466" i="84"/>
  <c r="M1466" i="84"/>
  <c r="N1466" i="84"/>
  <c r="O1466" i="84"/>
  <c r="K1467" i="84"/>
  <c r="L1467" i="84"/>
  <c r="M1467" i="84"/>
  <c r="N1467" i="84"/>
  <c r="O1467" i="84"/>
  <c r="K1468" i="84"/>
  <c r="L1468" i="84"/>
  <c r="M1468" i="84"/>
  <c r="N1468" i="84"/>
  <c r="O1468" i="84"/>
  <c r="K1469" i="84"/>
  <c r="L1469" i="84"/>
  <c r="M1469" i="84"/>
  <c r="N1469" i="84"/>
  <c r="O1469" i="84"/>
  <c r="K1470" i="84"/>
  <c r="L1470" i="84"/>
  <c r="M1470" i="84"/>
  <c r="N1470" i="84"/>
  <c r="O1470" i="84"/>
  <c r="K1471" i="84"/>
  <c r="L1471" i="84"/>
  <c r="M1471" i="84"/>
  <c r="N1471" i="84"/>
  <c r="O1471" i="84"/>
  <c r="K1472" i="84"/>
  <c r="L1472" i="84"/>
  <c r="M1472" i="84"/>
  <c r="N1472" i="84"/>
  <c r="O1472" i="84"/>
  <c r="K1473" i="84"/>
  <c r="L1473" i="84"/>
  <c r="M1473" i="84"/>
  <c r="N1473" i="84"/>
  <c r="O1473" i="84"/>
  <c r="K1474" i="84"/>
  <c r="L1474" i="84"/>
  <c r="M1474" i="84"/>
  <c r="N1474" i="84"/>
  <c r="O1474" i="84"/>
  <c r="K1475" i="84"/>
  <c r="L1475" i="84"/>
  <c r="M1475" i="84"/>
  <c r="N1475" i="84"/>
  <c r="O1475" i="84"/>
  <c r="K1476" i="84"/>
  <c r="L1476" i="84"/>
  <c r="M1476" i="84"/>
  <c r="N1476" i="84"/>
  <c r="O1476" i="84"/>
  <c r="K1477" i="84"/>
  <c r="L1477" i="84"/>
  <c r="M1477" i="84"/>
  <c r="N1477" i="84"/>
  <c r="O1477" i="84"/>
  <c r="K1478" i="84"/>
  <c r="L1478" i="84"/>
  <c r="M1478" i="84"/>
  <c r="N1478" i="84"/>
  <c r="O1478" i="84"/>
  <c r="K1479" i="84"/>
  <c r="L1479" i="84"/>
  <c r="M1479" i="84"/>
  <c r="N1479" i="84"/>
  <c r="O1479" i="84"/>
  <c r="K1480" i="84"/>
  <c r="L1480" i="84"/>
  <c r="M1480" i="84"/>
  <c r="N1480" i="84"/>
  <c r="O1480" i="84"/>
  <c r="K1481" i="84"/>
  <c r="L1481" i="84"/>
  <c r="M1481" i="84"/>
  <c r="N1481" i="84"/>
  <c r="O1481" i="84"/>
  <c r="K1482" i="84"/>
  <c r="L1482" i="84"/>
  <c r="M1482" i="84"/>
  <c r="N1482" i="84"/>
  <c r="O1482" i="84"/>
  <c r="K1483" i="84"/>
  <c r="L1483" i="84"/>
  <c r="M1483" i="84"/>
  <c r="N1483" i="84"/>
  <c r="O1483" i="84"/>
  <c r="K1484" i="84"/>
  <c r="L1484" i="84"/>
  <c r="M1484" i="84"/>
  <c r="N1484" i="84"/>
  <c r="O1484" i="84"/>
  <c r="K1485" i="84"/>
  <c r="L1485" i="84"/>
  <c r="M1485" i="84"/>
  <c r="N1485" i="84"/>
  <c r="O1485" i="84"/>
  <c r="K1486" i="84"/>
  <c r="L1486" i="84"/>
  <c r="M1486" i="84"/>
  <c r="N1486" i="84"/>
  <c r="O1486" i="84"/>
  <c r="K1487" i="84"/>
  <c r="L1487" i="84"/>
  <c r="M1487" i="84"/>
  <c r="N1487" i="84"/>
  <c r="O1487" i="84"/>
  <c r="K1488" i="84"/>
  <c r="L1488" i="84"/>
  <c r="M1488" i="84"/>
  <c r="N1488" i="84"/>
  <c r="O1488" i="84"/>
  <c r="K1489" i="84"/>
  <c r="L1489" i="84"/>
  <c r="M1489" i="84"/>
  <c r="N1489" i="84"/>
  <c r="O1489" i="84"/>
  <c r="K1490" i="84"/>
  <c r="L1490" i="84"/>
  <c r="M1490" i="84"/>
  <c r="N1490" i="84"/>
  <c r="O1490" i="84"/>
  <c r="K1491" i="84"/>
  <c r="L1491" i="84"/>
  <c r="M1491" i="84"/>
  <c r="N1491" i="84"/>
  <c r="O1491" i="84"/>
  <c r="K1492" i="84"/>
  <c r="L1492" i="84"/>
  <c r="M1492" i="84"/>
  <c r="N1492" i="84"/>
  <c r="O1492" i="84"/>
  <c r="K1493" i="84"/>
  <c r="L1493" i="84"/>
  <c r="M1493" i="84"/>
  <c r="N1493" i="84"/>
  <c r="O1493" i="84"/>
  <c r="K1494" i="84"/>
  <c r="L1494" i="84"/>
  <c r="M1494" i="84"/>
  <c r="N1494" i="84"/>
  <c r="O1494" i="84"/>
  <c r="K1495" i="84"/>
  <c r="L1495" i="84"/>
  <c r="M1495" i="84"/>
  <c r="N1495" i="84"/>
  <c r="O1495" i="84"/>
  <c r="K1496" i="84"/>
  <c r="L1496" i="84"/>
  <c r="M1496" i="84"/>
  <c r="N1496" i="84"/>
  <c r="O1496" i="84"/>
  <c r="K1497" i="84"/>
  <c r="L1497" i="84"/>
  <c r="M1497" i="84"/>
  <c r="N1497" i="84"/>
  <c r="O1497" i="84"/>
  <c r="K1498" i="84"/>
  <c r="L1498" i="84"/>
  <c r="M1498" i="84"/>
  <c r="N1498" i="84"/>
  <c r="O1498" i="84"/>
  <c r="K1499" i="84"/>
  <c r="L1499" i="84"/>
  <c r="M1499" i="84"/>
  <c r="N1499" i="84"/>
  <c r="O1499" i="84"/>
  <c r="K1500" i="84"/>
  <c r="L1500" i="84"/>
  <c r="M1500" i="84"/>
  <c r="N1500" i="84"/>
  <c r="O1500" i="84"/>
  <c r="K1501" i="84"/>
  <c r="L1501" i="84"/>
  <c r="M1501" i="84"/>
  <c r="N1501" i="84"/>
  <c r="O1501" i="84"/>
  <c r="K1502" i="84"/>
  <c r="L1502" i="84"/>
  <c r="M1502" i="84"/>
  <c r="N1502" i="84"/>
  <c r="O1502" i="84"/>
  <c r="K1503" i="84"/>
  <c r="L1503" i="84"/>
  <c r="M1503" i="84"/>
  <c r="N1503" i="84"/>
  <c r="O1503" i="84"/>
  <c r="K1504" i="84"/>
  <c r="L1504" i="84"/>
  <c r="M1504" i="84"/>
  <c r="N1504" i="84"/>
  <c r="O1504" i="84"/>
  <c r="K1505" i="84"/>
  <c r="L1505" i="84"/>
  <c r="M1505" i="84"/>
  <c r="N1505" i="84"/>
  <c r="O1505" i="84"/>
  <c r="K1506" i="84"/>
  <c r="L1506" i="84"/>
  <c r="M1506" i="84"/>
  <c r="N1506" i="84"/>
  <c r="O1506" i="84"/>
  <c r="K1507" i="84"/>
  <c r="L1507" i="84"/>
  <c r="M1507" i="84"/>
  <c r="N1507" i="84"/>
  <c r="O1507" i="84"/>
  <c r="K1508" i="84"/>
  <c r="L1508" i="84"/>
  <c r="M1508" i="84"/>
  <c r="N1508" i="84"/>
  <c r="O1508" i="84"/>
  <c r="K1509" i="84"/>
  <c r="L1509" i="84"/>
  <c r="M1509" i="84"/>
  <c r="N1509" i="84"/>
  <c r="O1509" i="84"/>
  <c r="K1510" i="84"/>
  <c r="L1510" i="84"/>
  <c r="M1510" i="84"/>
  <c r="N1510" i="84"/>
  <c r="O1510" i="84"/>
  <c r="K1511" i="84"/>
  <c r="L1511" i="84"/>
  <c r="M1511" i="84"/>
  <c r="N1511" i="84"/>
  <c r="O1511" i="84"/>
  <c r="K1512" i="84"/>
  <c r="L1512" i="84"/>
  <c r="M1512" i="84"/>
  <c r="N1512" i="84"/>
  <c r="O1512" i="84"/>
  <c r="K1513" i="84"/>
  <c r="L1513" i="84"/>
  <c r="M1513" i="84"/>
  <c r="N1513" i="84"/>
  <c r="O1513" i="84"/>
  <c r="K1514" i="84"/>
  <c r="L1514" i="84"/>
  <c r="M1514" i="84"/>
  <c r="N1514" i="84"/>
  <c r="O1514" i="84"/>
  <c r="K1515" i="84"/>
  <c r="L1515" i="84"/>
  <c r="M1515" i="84"/>
  <c r="N1515" i="84"/>
  <c r="O1515" i="84"/>
  <c r="K1516" i="84"/>
  <c r="L1516" i="84"/>
  <c r="M1516" i="84"/>
  <c r="N1516" i="84"/>
  <c r="O1516" i="84"/>
  <c r="K1517" i="84"/>
  <c r="L1517" i="84"/>
  <c r="M1517" i="84"/>
  <c r="N1517" i="84"/>
  <c r="O1517" i="84"/>
  <c r="K1518" i="84"/>
  <c r="L1518" i="84"/>
  <c r="M1518" i="84"/>
  <c r="N1518" i="84"/>
  <c r="O1518" i="84"/>
  <c r="K1519" i="84"/>
  <c r="L1519" i="84"/>
  <c r="M1519" i="84"/>
  <c r="N1519" i="84"/>
  <c r="O1519" i="84"/>
  <c r="K1520" i="84"/>
  <c r="L1520" i="84"/>
  <c r="M1520" i="84"/>
  <c r="N1520" i="84"/>
  <c r="O1520" i="84"/>
  <c r="K1521" i="84"/>
  <c r="L1521" i="84"/>
  <c r="M1521" i="84"/>
  <c r="N1521" i="84"/>
  <c r="O1521" i="84"/>
  <c r="K1522" i="84"/>
  <c r="L1522" i="84"/>
  <c r="M1522" i="84"/>
  <c r="N1522" i="84"/>
  <c r="O1522" i="84"/>
  <c r="K1523" i="84"/>
  <c r="L1523" i="84"/>
  <c r="M1523" i="84"/>
  <c r="N1523" i="84"/>
  <c r="O1523" i="84"/>
  <c r="K1524" i="84"/>
  <c r="L1524" i="84"/>
  <c r="M1524" i="84"/>
  <c r="N1524" i="84"/>
  <c r="O1524" i="84"/>
  <c r="K1525" i="84"/>
  <c r="L1525" i="84"/>
  <c r="M1525" i="84"/>
  <c r="N1525" i="84"/>
  <c r="O1525" i="84"/>
  <c r="K1526" i="84"/>
  <c r="L1526" i="84"/>
  <c r="M1526" i="84"/>
  <c r="N1526" i="84"/>
  <c r="O1526" i="84"/>
  <c r="K1527" i="84"/>
  <c r="L1527" i="84"/>
  <c r="M1527" i="84"/>
  <c r="N1527" i="84"/>
  <c r="O1527" i="84"/>
  <c r="K1528" i="84"/>
  <c r="L1528" i="84"/>
  <c r="M1528" i="84"/>
  <c r="N1528" i="84"/>
  <c r="O1528" i="84"/>
  <c r="K1529" i="84"/>
  <c r="L1529" i="84"/>
  <c r="M1529" i="84"/>
  <c r="N1529" i="84"/>
  <c r="O1529" i="84"/>
  <c r="K1530" i="84"/>
  <c r="L1530" i="84"/>
  <c r="M1530" i="84"/>
  <c r="N1530" i="84"/>
  <c r="O1530" i="84"/>
  <c r="K1531" i="84"/>
  <c r="L1531" i="84"/>
  <c r="M1531" i="84"/>
  <c r="N1531" i="84"/>
  <c r="O1531" i="84"/>
  <c r="K1532" i="84"/>
  <c r="L1532" i="84"/>
  <c r="M1532" i="84"/>
  <c r="N1532" i="84"/>
  <c r="O1532" i="84"/>
  <c r="K1533" i="84"/>
  <c r="L1533" i="84"/>
  <c r="M1533" i="84"/>
  <c r="N1533" i="84"/>
  <c r="O1533" i="84"/>
  <c r="K1534" i="84"/>
  <c r="L1534" i="84"/>
  <c r="M1534" i="84"/>
  <c r="N1534" i="84"/>
  <c r="O1534" i="84"/>
  <c r="K1535" i="84"/>
  <c r="L1535" i="84"/>
  <c r="M1535" i="84"/>
  <c r="N1535" i="84"/>
  <c r="O1535" i="84"/>
  <c r="K1536" i="84"/>
  <c r="L1536" i="84"/>
  <c r="M1536" i="84"/>
  <c r="N1536" i="84"/>
  <c r="O1536" i="84"/>
  <c r="K1537" i="84"/>
  <c r="L1537" i="84"/>
  <c r="M1537" i="84"/>
  <c r="N1537" i="84"/>
  <c r="O1537" i="84"/>
  <c r="K1538" i="84"/>
  <c r="L1538" i="84"/>
  <c r="M1538" i="84"/>
  <c r="N1538" i="84"/>
  <c r="O1538" i="84"/>
  <c r="K1539" i="84"/>
  <c r="L1539" i="84"/>
  <c r="M1539" i="84"/>
  <c r="N1539" i="84"/>
  <c r="O1539" i="84"/>
  <c r="K1540" i="84"/>
  <c r="L1540" i="84"/>
  <c r="M1540" i="84"/>
  <c r="N1540" i="84"/>
  <c r="O1540" i="84"/>
  <c r="K1541" i="84"/>
  <c r="L1541" i="84"/>
  <c r="M1541" i="84"/>
  <c r="N1541" i="84"/>
  <c r="O1541" i="84"/>
  <c r="K1542" i="84"/>
  <c r="L1542" i="84"/>
  <c r="M1542" i="84"/>
  <c r="N1542" i="84"/>
  <c r="O1542" i="84"/>
  <c r="K1543" i="84"/>
  <c r="L1543" i="84"/>
  <c r="M1543" i="84"/>
  <c r="N1543" i="84"/>
  <c r="O1543" i="84"/>
  <c r="K1544" i="84"/>
  <c r="L1544" i="84"/>
  <c r="M1544" i="84"/>
  <c r="N1544" i="84"/>
  <c r="O1544" i="84"/>
  <c r="K1545" i="84"/>
  <c r="L1545" i="84"/>
  <c r="M1545" i="84"/>
  <c r="N1545" i="84"/>
  <c r="O1545" i="84"/>
  <c r="K1546" i="84"/>
  <c r="L1546" i="84"/>
  <c r="M1546" i="84"/>
  <c r="N1546" i="84"/>
  <c r="O1546" i="84"/>
  <c r="K1547" i="84"/>
  <c r="L1547" i="84"/>
  <c r="M1547" i="84"/>
  <c r="N1547" i="84"/>
  <c r="O1547" i="84"/>
  <c r="K1548" i="84"/>
  <c r="L1548" i="84"/>
  <c r="M1548" i="84"/>
  <c r="N1548" i="84"/>
  <c r="O1548" i="84"/>
  <c r="K1549" i="84"/>
  <c r="L1549" i="84"/>
  <c r="M1549" i="84"/>
  <c r="N1549" i="84"/>
  <c r="O1549" i="84"/>
  <c r="K1550" i="84"/>
  <c r="L1550" i="84"/>
  <c r="M1550" i="84"/>
  <c r="N1550" i="84"/>
  <c r="O1550" i="84"/>
  <c r="K1551" i="84"/>
  <c r="L1551" i="84"/>
  <c r="M1551" i="84"/>
  <c r="N1551" i="84"/>
  <c r="O1551" i="84"/>
  <c r="K1552" i="84"/>
  <c r="L1552" i="84"/>
  <c r="M1552" i="84"/>
  <c r="N1552" i="84"/>
  <c r="O1552" i="84"/>
  <c r="K1553" i="84"/>
  <c r="L1553" i="84"/>
  <c r="M1553" i="84"/>
  <c r="N1553" i="84"/>
  <c r="O1553" i="84"/>
  <c r="K1554" i="84"/>
  <c r="L1554" i="84"/>
  <c r="M1554" i="84"/>
  <c r="N1554" i="84"/>
  <c r="O1554" i="84"/>
  <c r="K1555" i="84"/>
  <c r="L1555" i="84"/>
  <c r="M1555" i="84"/>
  <c r="N1555" i="84"/>
  <c r="O1555" i="84"/>
  <c r="K1556" i="84"/>
  <c r="L1556" i="84"/>
  <c r="M1556" i="84"/>
  <c r="N1556" i="84"/>
  <c r="O1556" i="84"/>
  <c r="K1557" i="84"/>
  <c r="L1557" i="84"/>
  <c r="M1557" i="84"/>
  <c r="N1557" i="84"/>
  <c r="O1557" i="84"/>
  <c r="K1558" i="84"/>
  <c r="L1558" i="84"/>
  <c r="M1558" i="84"/>
  <c r="N1558" i="84"/>
  <c r="O1558" i="84"/>
  <c r="K1559" i="84"/>
  <c r="L1559" i="84"/>
  <c r="M1559" i="84"/>
  <c r="N1559" i="84"/>
  <c r="O1559" i="84"/>
  <c r="K1560" i="84"/>
  <c r="L1560" i="84"/>
  <c r="M1560" i="84"/>
  <c r="N1560" i="84"/>
  <c r="O1560" i="84"/>
  <c r="K1561" i="84"/>
  <c r="L1561" i="84"/>
  <c r="M1561" i="84"/>
  <c r="N1561" i="84"/>
  <c r="O1561" i="84"/>
  <c r="K1562" i="84"/>
  <c r="L1562" i="84"/>
  <c r="M1562" i="84"/>
  <c r="N1562" i="84"/>
  <c r="O1562" i="84"/>
  <c r="K1563" i="84"/>
  <c r="L1563" i="84"/>
  <c r="M1563" i="84"/>
  <c r="N1563" i="84"/>
  <c r="O1563" i="84"/>
  <c r="K1564" i="84"/>
  <c r="L1564" i="84"/>
  <c r="M1564" i="84"/>
  <c r="N1564" i="84"/>
  <c r="O1564" i="84"/>
  <c r="K1565" i="84"/>
  <c r="L1565" i="84"/>
  <c r="M1565" i="84"/>
  <c r="N1565" i="84"/>
  <c r="O1565" i="84"/>
  <c r="K1566" i="84"/>
  <c r="L1566" i="84"/>
  <c r="M1566" i="84"/>
  <c r="N1566" i="84"/>
  <c r="O1566" i="84"/>
  <c r="K1567" i="84"/>
  <c r="L1567" i="84"/>
  <c r="M1567" i="84"/>
  <c r="N1567" i="84"/>
  <c r="O1567" i="84"/>
  <c r="K1568" i="84"/>
  <c r="L1568" i="84"/>
  <c r="M1568" i="84"/>
  <c r="N1568" i="84"/>
  <c r="O1568" i="84"/>
  <c r="K1569" i="84"/>
  <c r="L1569" i="84"/>
  <c r="M1569" i="84"/>
  <c r="N1569" i="84"/>
  <c r="O1569" i="84"/>
  <c r="K1570" i="84"/>
  <c r="L1570" i="84"/>
  <c r="M1570" i="84"/>
  <c r="N1570" i="84"/>
  <c r="O1570" i="84"/>
  <c r="K1571" i="84"/>
  <c r="L1571" i="84"/>
  <c r="M1571" i="84"/>
  <c r="N1571" i="84"/>
  <c r="O1571" i="84"/>
  <c r="K1572" i="84"/>
  <c r="L1572" i="84"/>
  <c r="M1572" i="84"/>
  <c r="N1572" i="84"/>
  <c r="O1572" i="84"/>
  <c r="K1573" i="84"/>
  <c r="L1573" i="84"/>
  <c r="M1573" i="84"/>
  <c r="N1573" i="84"/>
  <c r="O1573" i="84"/>
  <c r="K1574" i="84"/>
  <c r="L1574" i="84"/>
  <c r="M1574" i="84"/>
  <c r="N1574" i="84"/>
  <c r="O1574" i="84"/>
  <c r="K1575" i="84"/>
  <c r="L1575" i="84"/>
  <c r="M1575" i="84"/>
  <c r="N1575" i="84"/>
  <c r="O1575" i="84"/>
  <c r="K1576" i="84"/>
  <c r="L1576" i="84"/>
  <c r="M1576" i="84"/>
  <c r="N1576" i="84"/>
  <c r="O1576" i="84"/>
  <c r="K1577" i="84"/>
  <c r="L1577" i="84"/>
  <c r="M1577" i="84"/>
  <c r="N1577" i="84"/>
  <c r="O1577" i="84"/>
  <c r="K1578" i="84"/>
  <c r="L1578" i="84"/>
  <c r="M1578" i="84"/>
  <c r="N1578" i="84"/>
  <c r="O1578" i="84"/>
  <c r="K1579" i="84"/>
  <c r="L1579" i="84"/>
  <c r="M1579" i="84"/>
  <c r="N1579" i="84"/>
  <c r="O1579" i="84"/>
  <c r="K1580" i="84"/>
  <c r="L1580" i="84"/>
  <c r="M1580" i="84"/>
  <c r="N1580" i="84"/>
  <c r="O1580" i="84"/>
  <c r="K1581" i="84"/>
  <c r="L1581" i="84"/>
  <c r="M1581" i="84"/>
  <c r="N1581" i="84"/>
  <c r="O1581" i="84"/>
  <c r="K1582" i="84"/>
  <c r="L1582" i="84"/>
  <c r="M1582" i="84"/>
  <c r="N1582" i="84"/>
  <c r="O1582" i="84"/>
  <c r="K1583" i="84"/>
  <c r="L1583" i="84"/>
  <c r="M1583" i="84"/>
  <c r="N1583" i="84"/>
  <c r="O1583" i="84"/>
  <c r="K1584" i="84"/>
  <c r="L1584" i="84"/>
  <c r="M1584" i="84"/>
  <c r="N1584" i="84"/>
  <c r="O1584" i="84"/>
  <c r="K1585" i="84"/>
  <c r="L1585" i="84"/>
  <c r="M1585" i="84"/>
  <c r="N1585" i="84"/>
  <c r="O1585" i="84"/>
  <c r="K1586" i="84"/>
  <c r="L1586" i="84"/>
  <c r="M1586" i="84"/>
  <c r="N1586" i="84"/>
  <c r="O1586" i="84"/>
  <c r="K1587" i="84"/>
  <c r="L1587" i="84"/>
  <c r="M1587" i="84"/>
  <c r="N1587" i="84"/>
  <c r="O1587" i="84"/>
  <c r="K1588" i="84"/>
  <c r="L1588" i="84"/>
  <c r="M1588" i="84"/>
  <c r="N1588" i="84"/>
  <c r="O1588" i="84"/>
  <c r="K1589" i="84"/>
  <c r="L1589" i="84"/>
  <c r="M1589" i="84"/>
  <c r="N1589" i="84"/>
  <c r="O1589" i="84"/>
  <c r="K1590" i="84"/>
  <c r="L1590" i="84"/>
  <c r="M1590" i="84"/>
  <c r="N1590" i="84"/>
  <c r="O1590" i="84"/>
  <c r="K1591" i="84"/>
  <c r="L1591" i="84"/>
  <c r="M1591" i="84"/>
  <c r="N1591" i="84"/>
  <c r="O1591" i="84"/>
  <c r="K1592" i="84"/>
  <c r="L1592" i="84"/>
  <c r="M1592" i="84"/>
  <c r="N1592" i="84"/>
  <c r="O1592" i="84"/>
  <c r="K1593" i="84"/>
  <c r="L1593" i="84"/>
  <c r="M1593" i="84"/>
  <c r="N1593" i="84"/>
  <c r="O1593" i="84"/>
  <c r="K1594" i="84"/>
  <c r="L1594" i="84"/>
  <c r="M1594" i="84"/>
  <c r="N1594" i="84"/>
  <c r="O1594" i="84"/>
  <c r="K1595" i="84"/>
  <c r="L1595" i="84"/>
  <c r="M1595" i="84"/>
  <c r="N1595" i="84"/>
  <c r="O1595" i="84"/>
  <c r="K1596" i="84"/>
  <c r="L1596" i="84"/>
  <c r="M1596" i="84"/>
  <c r="N1596" i="84"/>
  <c r="O1596" i="84"/>
  <c r="K1597" i="84"/>
  <c r="L1597" i="84"/>
  <c r="M1597" i="84"/>
  <c r="N1597" i="84"/>
  <c r="O1597" i="84"/>
  <c r="K1598" i="84"/>
  <c r="L1598" i="84"/>
  <c r="M1598" i="84"/>
  <c r="N1598" i="84"/>
  <c r="O1598" i="84"/>
  <c r="K1599" i="84"/>
  <c r="L1599" i="84"/>
  <c r="M1599" i="84"/>
  <c r="N1599" i="84"/>
  <c r="O1599" i="84"/>
  <c r="K1600" i="84"/>
  <c r="L1600" i="84"/>
  <c r="M1600" i="84"/>
  <c r="N1600" i="84"/>
  <c r="O1600" i="84"/>
  <c r="K1601" i="84"/>
  <c r="L1601" i="84"/>
  <c r="M1601" i="84"/>
  <c r="N1601" i="84"/>
  <c r="O1601" i="84"/>
  <c r="K1602" i="84"/>
  <c r="L1602" i="84"/>
  <c r="M1602" i="84"/>
  <c r="N1602" i="84"/>
  <c r="O1602" i="84"/>
  <c r="K1603" i="84"/>
  <c r="L1603" i="84"/>
  <c r="M1603" i="84"/>
  <c r="N1603" i="84"/>
  <c r="O1603" i="84"/>
  <c r="K1604" i="84"/>
  <c r="L1604" i="84"/>
  <c r="M1604" i="84"/>
  <c r="N1604" i="84"/>
  <c r="O1604" i="84"/>
  <c r="K1605" i="84"/>
  <c r="L1605" i="84"/>
  <c r="M1605" i="84"/>
  <c r="N1605" i="84"/>
  <c r="O1605" i="84"/>
  <c r="K1606" i="84"/>
  <c r="L1606" i="84"/>
  <c r="M1606" i="84"/>
  <c r="N1606" i="84"/>
  <c r="O1606" i="84"/>
  <c r="K1607" i="84"/>
  <c r="L1607" i="84"/>
  <c r="M1607" i="84"/>
  <c r="N1607" i="84"/>
  <c r="O1607" i="84"/>
  <c r="K1608" i="84"/>
  <c r="L1608" i="84"/>
  <c r="M1608" i="84"/>
  <c r="N1608" i="84"/>
  <c r="O1608" i="84"/>
  <c r="K1609" i="84"/>
  <c r="L1609" i="84"/>
  <c r="M1609" i="84"/>
  <c r="N1609" i="84"/>
  <c r="O1609" i="84"/>
  <c r="K1610" i="84"/>
  <c r="L1610" i="84"/>
  <c r="M1610" i="84"/>
  <c r="N1610" i="84"/>
  <c r="O1610" i="84"/>
  <c r="K1611" i="84"/>
  <c r="L1611" i="84"/>
  <c r="M1611" i="84"/>
  <c r="N1611" i="84"/>
  <c r="O1611" i="84"/>
  <c r="K1612" i="84"/>
  <c r="L1612" i="84"/>
  <c r="M1612" i="84"/>
  <c r="N1612" i="84"/>
  <c r="O1612" i="84"/>
  <c r="K1613" i="84"/>
  <c r="L1613" i="84"/>
  <c r="M1613" i="84"/>
  <c r="N1613" i="84"/>
  <c r="O1613" i="84"/>
  <c r="K1614" i="84"/>
  <c r="L1614" i="84"/>
  <c r="M1614" i="84"/>
  <c r="N1614" i="84"/>
  <c r="O1614" i="84"/>
  <c r="K1615" i="84"/>
  <c r="L1615" i="84"/>
  <c r="M1615" i="84"/>
  <c r="N1615" i="84"/>
  <c r="O1615" i="84"/>
  <c r="K1616" i="84"/>
  <c r="L1616" i="84"/>
  <c r="M1616" i="84"/>
  <c r="N1616" i="84"/>
  <c r="O1616" i="84"/>
  <c r="K1617" i="84"/>
  <c r="L1617" i="84"/>
  <c r="M1617" i="84"/>
  <c r="N1617" i="84"/>
  <c r="O1617" i="84"/>
  <c r="K1618" i="84"/>
  <c r="L1618" i="84"/>
  <c r="M1618" i="84"/>
  <c r="N1618" i="84"/>
  <c r="O1618" i="84"/>
  <c r="K1619" i="84"/>
  <c r="L1619" i="84"/>
  <c r="M1619" i="84"/>
  <c r="N1619" i="84"/>
  <c r="O1619" i="84"/>
  <c r="K1620" i="84"/>
  <c r="L1620" i="84"/>
  <c r="M1620" i="84"/>
  <c r="N1620" i="84"/>
  <c r="O1620" i="84"/>
  <c r="K1621" i="84"/>
  <c r="L1621" i="84"/>
  <c r="M1621" i="84"/>
  <c r="N1621" i="84"/>
  <c r="O1621" i="84"/>
  <c r="K1622" i="84"/>
  <c r="L1622" i="84"/>
  <c r="M1622" i="84"/>
  <c r="N1622" i="84"/>
  <c r="O1622" i="84"/>
  <c r="K1623" i="84"/>
  <c r="L1623" i="84"/>
  <c r="M1623" i="84"/>
  <c r="N1623" i="84"/>
  <c r="O1623" i="84"/>
  <c r="K1624" i="84"/>
  <c r="L1624" i="84"/>
  <c r="M1624" i="84"/>
  <c r="N1624" i="84"/>
  <c r="O1624" i="84"/>
  <c r="K1625" i="84"/>
  <c r="L1625" i="84"/>
  <c r="M1625" i="84"/>
  <c r="N1625" i="84"/>
  <c r="O1625" i="84"/>
  <c r="K1626" i="84"/>
  <c r="L1626" i="84"/>
  <c r="M1626" i="84"/>
  <c r="N1626" i="84"/>
  <c r="O1626" i="84"/>
  <c r="K1627" i="84"/>
  <c r="L1627" i="84"/>
  <c r="M1627" i="84"/>
  <c r="N1627" i="84"/>
  <c r="O1627" i="84"/>
  <c r="K1628" i="84"/>
  <c r="L1628" i="84"/>
  <c r="M1628" i="84"/>
  <c r="N1628" i="84"/>
  <c r="O1628" i="84"/>
  <c r="K1629" i="84"/>
  <c r="L1629" i="84"/>
  <c r="M1629" i="84"/>
  <c r="N1629" i="84"/>
  <c r="O1629" i="84"/>
  <c r="K1630" i="84"/>
  <c r="L1630" i="84"/>
  <c r="M1630" i="84"/>
  <c r="N1630" i="84"/>
  <c r="O1630" i="84"/>
  <c r="O2" i="84"/>
  <c r="N2" i="84"/>
  <c r="M2" i="84"/>
  <c r="L2" i="84"/>
  <c r="K2" i="84"/>
  <c r="I2" i="25" l="1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2" i="29"/>
  <c r="I3" i="29"/>
  <c r="I4" i="29"/>
  <c r="I5" i="29"/>
  <c r="I6" i="29"/>
  <c r="I9" i="19"/>
  <c r="I8" i="19"/>
  <c r="I7" i="19"/>
  <c r="I6" i="19"/>
  <c r="I5" i="19"/>
  <c r="I4" i="19"/>
  <c r="I3" i="19"/>
  <c r="I2" i="19"/>
  <c r="I10" i="19"/>
  <c r="I2" i="27"/>
  <c r="I3" i="27"/>
  <c r="I4" i="27"/>
  <c r="I5" i="27"/>
  <c r="I6" i="27"/>
  <c r="I7" i="27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38" i="21"/>
  <c r="I37" i="21"/>
  <c r="I36" i="21"/>
  <c r="I35" i="21"/>
  <c r="I34" i="21"/>
  <c r="I33" i="21"/>
  <c r="I32" i="21"/>
  <c r="I31" i="21"/>
  <c r="I30" i="21"/>
  <c r="I29" i="21"/>
  <c r="I28" i="21"/>
  <c r="I27" i="21"/>
  <c r="I39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40" i="21"/>
  <c r="I12" i="21"/>
  <c r="I11" i="21"/>
  <c r="I10" i="21"/>
  <c r="I9" i="21"/>
  <c r="I8" i="21"/>
  <c r="I7" i="21"/>
  <c r="I6" i="21"/>
  <c r="I5" i="21"/>
  <c r="I4" i="21"/>
  <c r="I3" i="21"/>
  <c r="I2" i="21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I3" i="30"/>
  <c r="I4" i="30"/>
  <c r="I5" i="30"/>
  <c r="I6" i="30"/>
  <c r="I13" i="20"/>
  <c r="I12" i="20"/>
  <c r="I11" i="20"/>
  <c r="I10" i="20"/>
  <c r="I9" i="20"/>
  <c r="I8" i="20"/>
  <c r="I7" i="20"/>
  <c r="I6" i="20"/>
  <c r="I5" i="20"/>
  <c r="I4" i="20"/>
  <c r="I3" i="20"/>
  <c r="I2" i="20"/>
  <c r="I2" i="28"/>
  <c r="I3" i="28"/>
  <c r="I4" i="28"/>
  <c r="I5" i="28"/>
  <c r="I6" i="28"/>
  <c r="I7" i="28"/>
  <c r="I17" i="24"/>
  <c r="I16" i="24"/>
  <c r="I15" i="24"/>
  <c r="I14" i="24"/>
  <c r="I18" i="24"/>
  <c r="I13" i="24"/>
  <c r="I12" i="24"/>
  <c r="I11" i="24"/>
  <c r="I10" i="24"/>
  <c r="I9" i="24"/>
  <c r="I8" i="24"/>
  <c r="I7" i="24"/>
  <c r="I6" i="24"/>
  <c r="I5" i="24"/>
  <c r="I4" i="24"/>
  <c r="I3" i="24"/>
  <c r="I2" i="24"/>
  <c r="I25" i="17"/>
  <c r="I24" i="17"/>
  <c r="I23" i="17"/>
  <c r="I22" i="17"/>
  <c r="I21" i="17"/>
  <c r="I20" i="17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4" i="73"/>
  <c r="I3" i="73"/>
  <c r="I11" i="72"/>
  <c r="I10" i="72"/>
  <c r="I9" i="72"/>
  <c r="I8" i="72"/>
  <c r="I7" i="72"/>
  <c r="I6" i="72"/>
  <c r="I5" i="72"/>
  <c r="I4" i="72"/>
  <c r="I3" i="72"/>
  <c r="I2" i="72"/>
  <c r="I2" i="67"/>
  <c r="I2" i="32"/>
  <c r="I3" i="32"/>
  <c r="I18" i="15"/>
  <c r="I17" i="15"/>
  <c r="I16" i="15"/>
  <c r="I15" i="15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I11" i="13"/>
  <c r="I10" i="13"/>
  <c r="I9" i="13"/>
  <c r="I8" i="13"/>
  <c r="I7" i="13"/>
  <c r="I6" i="13"/>
  <c r="I5" i="13"/>
  <c r="I4" i="13"/>
  <c r="I3" i="13"/>
  <c r="I2" i="13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I2" i="31"/>
  <c r="I3" i="31"/>
  <c r="I4" i="31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I9" i="12"/>
  <c r="I8" i="12"/>
  <c r="I7" i="12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30" i="9"/>
  <c r="I19" i="9"/>
  <c r="I20" i="9"/>
  <c r="I21" i="9"/>
  <c r="I22" i="9"/>
  <c r="I23" i="9"/>
  <c r="I24" i="9"/>
  <c r="I25" i="9"/>
  <c r="I26" i="9"/>
  <c r="I27" i="9"/>
  <c r="I28" i="9"/>
  <c r="I55" i="1"/>
  <c r="I54" i="1"/>
  <c r="I53" i="1"/>
  <c r="I52" i="1"/>
  <c r="I51" i="1"/>
  <c r="I50" i="1"/>
  <c r="I49" i="1"/>
  <c r="I60" i="1"/>
  <c r="I48" i="1"/>
  <c r="I59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58" i="1"/>
  <c r="I30" i="1"/>
  <c r="I29" i="1"/>
  <c r="I28" i="1"/>
  <c r="I27" i="1"/>
  <c r="I26" i="1"/>
  <c r="I25" i="1"/>
  <c r="I24" i="1"/>
  <c r="I23" i="1"/>
  <c r="I22" i="1"/>
  <c r="I21" i="1"/>
  <c r="I20" i="1"/>
  <c r="I57" i="1"/>
  <c r="I19" i="1"/>
  <c r="I56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75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34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35" i="68"/>
  <c r="L92" i="68"/>
  <c r="L636" i="68"/>
  <c r="L93" i="68"/>
  <c r="L94" i="68"/>
  <c r="L95" i="68"/>
  <c r="L96" i="68"/>
  <c r="L97" i="68"/>
  <c r="L98" i="68"/>
  <c r="L99" i="68"/>
  <c r="L100" i="68"/>
  <c r="L101" i="68"/>
  <c r="L102" i="68"/>
  <c r="L103" i="68"/>
  <c r="L637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638" i="68"/>
  <c r="L121" i="68"/>
  <c r="L639" i="68"/>
  <c r="L122" i="68"/>
  <c r="L123" i="68"/>
  <c r="L124" i="68"/>
  <c r="L125" i="68"/>
  <c r="L126" i="68"/>
  <c r="L127" i="68"/>
  <c r="L128" i="68"/>
  <c r="L129" i="68"/>
  <c r="L630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640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641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250" i="68"/>
  <c r="L642" i="68"/>
  <c r="L251" i="68"/>
  <c r="L252" i="68"/>
  <c r="L643" i="68"/>
  <c r="L253" i="68"/>
  <c r="L254" i="68"/>
  <c r="L255" i="68"/>
  <c r="L256" i="68"/>
  <c r="L257" i="68"/>
  <c r="L258" i="68"/>
  <c r="L259" i="68"/>
  <c r="L260" i="68"/>
  <c r="L261" i="68"/>
  <c r="L262" i="68"/>
  <c r="L263" i="68"/>
  <c r="L264" i="68"/>
  <c r="L644" i="68"/>
  <c r="L265" i="68"/>
  <c r="L266" i="68"/>
  <c r="L267" i="68"/>
  <c r="L268" i="68"/>
  <c r="L645" i="68"/>
  <c r="L646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368" i="68"/>
  <c r="L369" i="68"/>
  <c r="L647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398" i="68"/>
  <c r="L399" i="68"/>
  <c r="L631" i="68"/>
  <c r="L632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L423" i="68"/>
  <c r="L424" i="68"/>
  <c r="L425" i="68"/>
  <c r="L426" i="68"/>
  <c r="L427" i="68"/>
  <c r="L428" i="68"/>
  <c r="L429" i="68"/>
  <c r="L430" i="68"/>
  <c r="L431" i="68"/>
  <c r="L432" i="68"/>
  <c r="L433" i="68"/>
  <c r="L434" i="68"/>
  <c r="L435" i="68"/>
  <c r="L436" i="68"/>
  <c r="L437" i="68"/>
  <c r="L438" i="68"/>
  <c r="L439" i="68"/>
  <c r="L440" i="68"/>
  <c r="L441" i="68"/>
  <c r="L442" i="68"/>
  <c r="L648" i="68"/>
  <c r="L443" i="68"/>
  <c r="L444" i="68"/>
  <c r="L445" i="68"/>
  <c r="L446" i="68"/>
  <c r="L447" i="68"/>
  <c r="L448" i="68"/>
  <c r="L449" i="68"/>
  <c r="L450" i="68"/>
  <c r="L451" i="68"/>
  <c r="L452" i="68"/>
  <c r="L453" i="68"/>
  <c r="L454" i="68"/>
  <c r="L455" i="68"/>
  <c r="L456" i="68"/>
  <c r="L457" i="68"/>
  <c r="L458" i="68"/>
  <c r="L459" i="68"/>
  <c r="L649" i="68"/>
  <c r="L460" i="68"/>
  <c r="L461" i="68"/>
  <c r="L462" i="68"/>
  <c r="L463" i="68"/>
  <c r="L464" i="68"/>
  <c r="L465" i="68"/>
  <c r="L466" i="68"/>
  <c r="L467" i="68"/>
  <c r="L468" i="68"/>
  <c r="L469" i="68"/>
  <c r="L470" i="68"/>
  <c r="L471" i="68"/>
  <c r="L472" i="68"/>
  <c r="L473" i="68"/>
  <c r="L474" i="68"/>
  <c r="L475" i="68"/>
  <c r="L476" i="68"/>
  <c r="L477" i="68"/>
  <c r="L478" i="68"/>
  <c r="L650" i="68"/>
  <c r="L479" i="68"/>
  <c r="L480" i="68"/>
  <c r="L481" i="68"/>
  <c r="L482" i="68"/>
  <c r="L483" i="68"/>
  <c r="L484" i="68"/>
  <c r="L485" i="68"/>
  <c r="L486" i="68"/>
  <c r="L487" i="68"/>
  <c r="L488" i="68"/>
  <c r="L489" i="68"/>
  <c r="L490" i="68"/>
  <c r="L491" i="68"/>
  <c r="L492" i="68"/>
  <c r="L493" i="68"/>
  <c r="L494" i="68"/>
  <c r="L495" i="68"/>
  <c r="L496" i="68"/>
  <c r="L497" i="68"/>
  <c r="L498" i="68"/>
  <c r="L499" i="68"/>
  <c r="L500" i="68"/>
  <c r="L501" i="68"/>
  <c r="L502" i="68"/>
  <c r="L503" i="68"/>
  <c r="L504" i="68"/>
  <c r="L505" i="68"/>
  <c r="L506" i="68"/>
  <c r="L507" i="68"/>
  <c r="L508" i="68"/>
  <c r="L509" i="68"/>
  <c r="L510" i="68"/>
  <c r="L511" i="68"/>
  <c r="L512" i="68"/>
  <c r="L513" i="68"/>
  <c r="L514" i="68"/>
  <c r="L515" i="68"/>
  <c r="L516" i="68"/>
  <c r="L517" i="68"/>
  <c r="L518" i="68"/>
  <c r="L519" i="68"/>
  <c r="L520" i="68"/>
  <c r="L521" i="68"/>
  <c r="L522" i="68"/>
  <c r="L523" i="68"/>
  <c r="L524" i="68"/>
  <c r="L525" i="68"/>
  <c r="L526" i="68"/>
  <c r="L527" i="68"/>
  <c r="L528" i="68"/>
  <c r="L529" i="68"/>
  <c r="L530" i="68"/>
  <c r="L531" i="68"/>
  <c r="L532" i="68"/>
  <c r="L533" i="68"/>
  <c r="L534" i="68"/>
  <c r="L535" i="68"/>
  <c r="L536" i="68"/>
  <c r="L651" i="68"/>
  <c r="L537" i="68"/>
  <c r="L538" i="68"/>
  <c r="L539" i="68"/>
  <c r="L540" i="68"/>
  <c r="L541" i="68"/>
  <c r="L542" i="68"/>
  <c r="L543" i="68"/>
  <c r="L544" i="68"/>
  <c r="L545" i="68"/>
  <c r="L546" i="68"/>
  <c r="L547" i="68"/>
  <c r="L548" i="68"/>
  <c r="L549" i="68"/>
  <c r="L550" i="68"/>
  <c r="L633" i="68"/>
  <c r="L551" i="68"/>
  <c r="L552" i="68"/>
  <c r="L553" i="68"/>
  <c r="L554" i="68"/>
  <c r="L555" i="68"/>
  <c r="L556" i="68"/>
  <c r="L557" i="68"/>
  <c r="L558" i="68"/>
  <c r="L559" i="68"/>
  <c r="L560" i="68"/>
  <c r="L561" i="68"/>
  <c r="L562" i="68"/>
  <c r="L563" i="68"/>
  <c r="L564" i="68"/>
  <c r="L565" i="68"/>
  <c r="L566" i="68"/>
  <c r="L567" i="68"/>
  <c r="L568" i="68"/>
  <c r="L569" i="68"/>
  <c r="L570" i="68"/>
  <c r="L571" i="68"/>
  <c r="L572" i="68"/>
  <c r="L573" i="68"/>
  <c r="L574" i="68"/>
  <c r="L575" i="68"/>
  <c r="L576" i="68"/>
  <c r="L577" i="68"/>
  <c r="L578" i="68"/>
  <c r="L579" i="68"/>
  <c r="L580" i="68"/>
  <c r="L581" i="68"/>
  <c r="L582" i="68"/>
  <c r="L583" i="68"/>
  <c r="L584" i="68"/>
  <c r="L585" i="68"/>
  <c r="L586" i="68"/>
  <c r="L587" i="68"/>
  <c r="L588" i="68"/>
  <c r="L589" i="68"/>
  <c r="L590" i="68"/>
  <c r="L591" i="68"/>
  <c r="L592" i="68"/>
  <c r="L593" i="68"/>
  <c r="L594" i="68"/>
  <c r="L595" i="68"/>
  <c r="L596" i="68"/>
  <c r="L597" i="68"/>
  <c r="L598" i="68"/>
  <c r="L599" i="68"/>
  <c r="L600" i="68"/>
  <c r="L601" i="68"/>
  <c r="L602" i="68"/>
  <c r="L652" i="68"/>
  <c r="L603" i="68"/>
  <c r="L604" i="68"/>
  <c r="L605" i="68"/>
  <c r="L606" i="68"/>
  <c r="L607" i="68"/>
  <c r="L608" i="68"/>
  <c r="L609" i="68"/>
  <c r="L610" i="68"/>
  <c r="L611" i="68"/>
  <c r="L612" i="68"/>
  <c r="L613" i="68"/>
  <c r="L614" i="68"/>
  <c r="L615" i="68"/>
  <c r="L616" i="68"/>
  <c r="L617" i="68"/>
  <c r="L618" i="68"/>
  <c r="L619" i="68"/>
  <c r="L620" i="68"/>
  <c r="L621" i="68"/>
  <c r="L622" i="68"/>
  <c r="L623" i="68"/>
  <c r="L624" i="68"/>
  <c r="L625" i="68"/>
  <c r="L626" i="68"/>
  <c r="L627" i="68"/>
  <c r="L628" i="68"/>
  <c r="L629" i="68"/>
  <c r="K2" i="68"/>
  <c r="K3" i="68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34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35" i="68"/>
  <c r="K92" i="68"/>
  <c r="K636" i="68"/>
  <c r="K93" i="68"/>
  <c r="K94" i="68"/>
  <c r="K95" i="68"/>
  <c r="K96" i="68"/>
  <c r="K97" i="68"/>
  <c r="K98" i="68"/>
  <c r="K99" i="68"/>
  <c r="K100" i="68"/>
  <c r="K101" i="68"/>
  <c r="K102" i="68"/>
  <c r="K103" i="68"/>
  <c r="K637" i="68"/>
  <c r="K104" i="68"/>
  <c r="K105" i="68"/>
  <c r="K106" i="68"/>
  <c r="K107" i="68"/>
  <c r="K108" i="68"/>
  <c r="K109" i="68"/>
  <c r="K110" i="68"/>
  <c r="K111" i="68"/>
  <c r="K112" i="68"/>
  <c r="K113" i="68"/>
  <c r="K114" i="68"/>
  <c r="K115" i="68"/>
  <c r="K116" i="68"/>
  <c r="K117" i="68"/>
  <c r="K118" i="68"/>
  <c r="K119" i="68"/>
  <c r="K120" i="68"/>
  <c r="K638" i="68"/>
  <c r="K121" i="68"/>
  <c r="K639" i="68"/>
  <c r="K122" i="68"/>
  <c r="K123" i="68"/>
  <c r="K124" i="68"/>
  <c r="K125" i="68"/>
  <c r="K126" i="68"/>
  <c r="K127" i="68"/>
  <c r="K128" i="68"/>
  <c r="K129" i="68"/>
  <c r="K630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145" i="68"/>
  <c r="K640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158" i="68"/>
  <c r="K641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250" i="68"/>
  <c r="K642" i="68"/>
  <c r="K251" i="68"/>
  <c r="K252" i="68"/>
  <c r="K643" i="68"/>
  <c r="K253" i="68"/>
  <c r="K254" i="68"/>
  <c r="K255" i="68"/>
  <c r="K256" i="68"/>
  <c r="K257" i="68"/>
  <c r="K258" i="68"/>
  <c r="K259" i="68"/>
  <c r="K260" i="68"/>
  <c r="K261" i="68"/>
  <c r="K262" i="68"/>
  <c r="K263" i="68"/>
  <c r="K264" i="68"/>
  <c r="K644" i="68"/>
  <c r="K265" i="68"/>
  <c r="K266" i="68"/>
  <c r="K267" i="68"/>
  <c r="K268" i="68"/>
  <c r="K645" i="68"/>
  <c r="K646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368" i="68"/>
  <c r="K369" i="68"/>
  <c r="K647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398" i="68"/>
  <c r="K399" i="68"/>
  <c r="K631" i="68"/>
  <c r="K632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441" i="68"/>
  <c r="K442" i="68"/>
  <c r="K648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458" i="68"/>
  <c r="K459" i="68"/>
  <c r="K64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477" i="68"/>
  <c r="K478" i="68"/>
  <c r="K650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535" i="68"/>
  <c r="K536" i="68"/>
  <c r="K651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549" i="68"/>
  <c r="K550" i="68"/>
  <c r="K633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01" i="68"/>
  <c r="K602" i="68"/>
  <c r="K65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16" i="68"/>
  <c r="K617" i="68"/>
  <c r="K618" i="68"/>
  <c r="K619" i="68"/>
  <c r="K620" i="68"/>
  <c r="K621" i="68"/>
  <c r="K622" i="68"/>
  <c r="K623" i="68"/>
  <c r="K624" i="68"/>
  <c r="K625" i="68"/>
  <c r="K626" i="68"/>
  <c r="K627" i="68"/>
  <c r="K628" i="68"/>
  <c r="K629" i="68"/>
  <c r="L30" i="74" l="1"/>
  <c r="J30" i="76"/>
  <c r="J30" i="75"/>
  <c r="L30" i="46"/>
  <c r="G29" i="82"/>
  <c r="H25" i="57"/>
  <c r="H24" i="57"/>
  <c r="H23" i="57"/>
  <c r="H22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A2" i="78" l="1"/>
  <c r="J10" i="25" l="1"/>
  <c r="J12" i="25"/>
  <c r="J13" i="25"/>
  <c r="K14" i="25"/>
  <c r="K15" i="25"/>
  <c r="J2" i="29"/>
  <c r="K3" i="29"/>
  <c r="J4" i="29"/>
  <c r="J5" i="29"/>
  <c r="K6" i="29"/>
  <c r="K9" i="19"/>
  <c r="K8" i="19"/>
  <c r="K7" i="19"/>
  <c r="J6" i="19"/>
  <c r="K5" i="19"/>
  <c r="J4" i="19"/>
  <c r="J3" i="19"/>
  <c r="K3" i="27"/>
  <c r="K4" i="27"/>
  <c r="J5" i="27"/>
  <c r="J6" i="27"/>
  <c r="J7" i="27"/>
  <c r="K5" i="23"/>
  <c r="J6" i="23"/>
  <c r="J7" i="23"/>
  <c r="J8" i="23"/>
  <c r="K9" i="23"/>
  <c r="K10" i="23"/>
  <c r="J11" i="23"/>
  <c r="J12" i="23"/>
  <c r="K13" i="23"/>
  <c r="K14" i="23"/>
  <c r="J16" i="16"/>
  <c r="J17" i="16"/>
  <c r="K18" i="16"/>
  <c r="J19" i="16"/>
  <c r="K20" i="16"/>
  <c r="J22" i="16"/>
  <c r="K38" i="21"/>
  <c r="K37" i="21"/>
  <c r="J36" i="21"/>
  <c r="J35" i="21"/>
  <c r="J34" i="21"/>
  <c r="K32" i="21"/>
  <c r="K31" i="21"/>
  <c r="K30" i="21"/>
  <c r="J29" i="21"/>
  <c r="J28" i="21"/>
  <c r="J27" i="21"/>
  <c r="J39" i="21"/>
  <c r="K26" i="21"/>
  <c r="J25" i="21"/>
  <c r="J24" i="21"/>
  <c r="J21" i="26"/>
  <c r="J20" i="26"/>
  <c r="K19" i="26"/>
  <c r="J18" i="26"/>
  <c r="J17" i="26"/>
  <c r="J2" i="30"/>
  <c r="K2" i="30"/>
  <c r="K3" i="30"/>
  <c r="K4" i="30"/>
  <c r="K5" i="30"/>
  <c r="K6" i="30"/>
  <c r="K13" i="20"/>
  <c r="J12" i="20"/>
  <c r="K11" i="20"/>
  <c r="J10" i="20"/>
  <c r="K9" i="20"/>
  <c r="J8" i="20"/>
  <c r="K7" i="20"/>
  <c r="J3" i="28"/>
  <c r="J4" i="28"/>
  <c r="J5" i="28"/>
  <c r="J6" i="28"/>
  <c r="J7" i="28"/>
  <c r="K17" i="24"/>
  <c r="J16" i="24"/>
  <c r="J15" i="24"/>
  <c r="K14" i="24"/>
  <c r="K18" i="24"/>
  <c r="K13" i="24"/>
  <c r="K12" i="24"/>
  <c r="K11" i="24"/>
  <c r="J10" i="24"/>
  <c r="J9" i="24"/>
  <c r="K24" i="17"/>
  <c r="J23" i="17"/>
  <c r="J22" i="17"/>
  <c r="J21" i="17"/>
  <c r="J20" i="17"/>
  <c r="K44" i="22"/>
  <c r="K43" i="22"/>
  <c r="J42" i="22"/>
  <c r="J41" i="22"/>
  <c r="J40" i="22"/>
  <c r="J39" i="22"/>
  <c r="J38" i="22"/>
  <c r="K37" i="22"/>
  <c r="J36" i="22"/>
  <c r="K35" i="22"/>
  <c r="J34" i="22"/>
  <c r="J33" i="22"/>
  <c r="K32" i="22"/>
  <c r="K31" i="22"/>
  <c r="J30" i="22"/>
  <c r="K29" i="22"/>
  <c r="K2" i="67"/>
  <c r="J2" i="32"/>
  <c r="K3" i="32"/>
  <c r="K18" i="15"/>
  <c r="J17" i="15"/>
  <c r="K16" i="15"/>
  <c r="J15" i="15"/>
  <c r="J12" i="13"/>
  <c r="J11" i="13"/>
  <c r="K10" i="13"/>
  <c r="J9" i="13"/>
  <c r="J8" i="13"/>
  <c r="K35" i="11"/>
  <c r="K34" i="11"/>
  <c r="K33" i="11"/>
  <c r="J32" i="11"/>
  <c r="J31" i="11"/>
  <c r="K30" i="11"/>
  <c r="J29" i="11"/>
  <c r="K28" i="11"/>
  <c r="J27" i="11"/>
  <c r="J26" i="11"/>
  <c r="J45" i="7"/>
  <c r="J46" i="7"/>
  <c r="K47" i="7"/>
  <c r="J48" i="7"/>
  <c r="K49" i="7"/>
  <c r="J50" i="7"/>
  <c r="K51" i="7"/>
  <c r="K52" i="7"/>
  <c r="J53" i="7"/>
  <c r="K54" i="7"/>
  <c r="J55" i="7"/>
  <c r="K56" i="7"/>
  <c r="K57" i="7"/>
  <c r="J58" i="7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J2" i="66"/>
  <c r="J2" i="31"/>
  <c r="J3" i="31"/>
  <c r="J4" i="31"/>
  <c r="K18" i="14"/>
  <c r="J17" i="14"/>
  <c r="K16" i="14"/>
  <c r="K15" i="14"/>
  <c r="J14" i="14"/>
  <c r="J10" i="12"/>
  <c r="J9" i="12"/>
  <c r="K8" i="12"/>
  <c r="J7" i="12"/>
  <c r="J18" i="9"/>
  <c r="K19" i="9"/>
  <c r="J20" i="9"/>
  <c r="J21" i="9"/>
  <c r="J22" i="9"/>
  <c r="J23" i="9"/>
  <c r="K24" i="9"/>
  <c r="J25" i="9"/>
  <c r="K26" i="9"/>
  <c r="J27" i="9"/>
  <c r="J28" i="9"/>
  <c r="K55" i="1"/>
  <c r="K54" i="1"/>
  <c r="K53" i="1"/>
  <c r="J52" i="1"/>
  <c r="J51" i="1"/>
  <c r="J50" i="1"/>
  <c r="K49" i="1"/>
  <c r="K60" i="1"/>
  <c r="K48" i="1"/>
  <c r="J59" i="1"/>
  <c r="J47" i="1"/>
  <c r="J46" i="1"/>
  <c r="J11" i="25"/>
  <c r="K11" i="25"/>
  <c r="K5" i="29"/>
  <c r="J21" i="16"/>
  <c r="J33" i="21"/>
  <c r="J26" i="21"/>
  <c r="K20" i="26"/>
  <c r="K7" i="30"/>
  <c r="J13" i="20"/>
  <c r="K9" i="24"/>
  <c r="K16" i="24"/>
  <c r="K25" i="17"/>
  <c r="J29" i="22"/>
  <c r="J35" i="22"/>
  <c r="J37" i="22"/>
  <c r="K17" i="15"/>
  <c r="K9" i="13"/>
  <c r="J33" i="11"/>
  <c r="J34" i="11"/>
  <c r="J58" i="4"/>
  <c r="J59" i="4"/>
  <c r="J61" i="4"/>
  <c r="J62" i="4"/>
  <c r="J71" i="4"/>
  <c r="J66" i="4"/>
  <c r="J68" i="4"/>
  <c r="K57" i="4"/>
  <c r="K59" i="4"/>
  <c r="K65" i="4"/>
  <c r="K66" i="4"/>
  <c r="J30" i="9"/>
  <c r="J26" i="9"/>
  <c r="K30" i="9"/>
  <c r="J74" i="6"/>
  <c r="J73" i="6"/>
  <c r="J72" i="6"/>
  <c r="J71" i="6"/>
  <c r="J70" i="6"/>
  <c r="K69" i="6"/>
  <c r="J68" i="6"/>
  <c r="J67" i="6"/>
  <c r="J66" i="6"/>
  <c r="J65" i="6"/>
  <c r="J64" i="6"/>
  <c r="J63" i="6"/>
  <c r="J62" i="6"/>
  <c r="K61" i="6"/>
  <c r="K60" i="6"/>
  <c r="J59" i="6"/>
  <c r="J58" i="6"/>
  <c r="K64" i="6"/>
  <c r="K71" i="6"/>
  <c r="M2" i="68"/>
  <c r="M424" i="68"/>
  <c r="M430" i="68"/>
  <c r="M432" i="68"/>
  <c r="N435" i="68"/>
  <c r="M440" i="68"/>
  <c r="M447" i="68"/>
  <c r="N450" i="68"/>
  <c r="N649" i="68"/>
  <c r="M462" i="68"/>
  <c r="M465" i="68"/>
  <c r="N468" i="68"/>
  <c r="M469" i="68"/>
  <c r="M470" i="68"/>
  <c r="M478" i="68"/>
  <c r="M485" i="68"/>
  <c r="M488" i="68"/>
  <c r="M493" i="68"/>
  <c r="M501" i="68"/>
  <c r="N504" i="68"/>
  <c r="M507" i="68"/>
  <c r="M509" i="68"/>
  <c r="M517" i="68"/>
  <c r="M520" i="68"/>
  <c r="M525" i="68"/>
  <c r="N531" i="68"/>
  <c r="M533" i="68"/>
  <c r="M540" i="68"/>
  <c r="M543" i="68"/>
  <c r="N546" i="68"/>
  <c r="M548" i="68"/>
  <c r="N552" i="68"/>
  <c r="M555" i="68"/>
  <c r="M558" i="68"/>
  <c r="M559" i="68"/>
  <c r="M561" i="68"/>
  <c r="M562" i="68"/>
  <c r="M563" i="68"/>
  <c r="N568" i="68"/>
  <c r="M571" i="68"/>
  <c r="M574" i="68"/>
  <c r="N585" i="68"/>
  <c r="M586" i="68"/>
  <c r="M587" i="68"/>
  <c r="N590" i="68"/>
  <c r="M595" i="68"/>
  <c r="M652" i="68"/>
  <c r="N607" i="68"/>
  <c r="N608" i="68"/>
  <c r="M610" i="68"/>
  <c r="M613" i="68"/>
  <c r="M618" i="68"/>
  <c r="M624" i="68"/>
  <c r="M625" i="68"/>
  <c r="M626" i="68"/>
  <c r="M629" i="68"/>
  <c r="I22" i="57"/>
  <c r="I25" i="57"/>
  <c r="I5" i="57"/>
  <c r="J12" i="24" l="1"/>
  <c r="K2" i="31"/>
  <c r="K25" i="9"/>
  <c r="K72" i="6"/>
  <c r="K2" i="66"/>
  <c r="J9" i="19"/>
  <c r="J5" i="23"/>
  <c r="M473" i="68"/>
  <c r="M648" i="68"/>
  <c r="K45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8" i="1"/>
  <c r="J37" i="21"/>
  <c r="J60" i="6"/>
  <c r="K3" i="28"/>
  <c r="J19" i="26"/>
  <c r="O1" i="21"/>
  <c r="J3" i="27"/>
  <c r="K9" i="12"/>
  <c r="K2" i="32"/>
  <c r="P1" i="1"/>
  <c r="O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5" i="7"/>
  <c r="K34" i="22"/>
  <c r="J6" i="30"/>
  <c r="K10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3" i="7"/>
  <c r="J49" i="7"/>
  <c r="K46" i="7"/>
  <c r="J56" i="7"/>
  <c r="J47" i="7"/>
  <c r="J54" i="7"/>
  <c r="K48" i="7"/>
  <c r="K56" i="4"/>
  <c r="J64" i="4"/>
  <c r="J67" i="4"/>
  <c r="J16" i="14"/>
  <c r="J15" i="14"/>
  <c r="K7" i="12"/>
  <c r="K27" i="9"/>
  <c r="K50" i="1"/>
  <c r="K47" i="1"/>
  <c r="J53" i="1"/>
  <c r="J54" i="1"/>
  <c r="K59" i="1"/>
  <c r="J60" i="1"/>
  <c r="J49" i="1"/>
  <c r="K46" i="1"/>
  <c r="J55" i="1"/>
  <c r="K52" i="1"/>
  <c r="K13" i="25"/>
  <c r="K12" i="25"/>
  <c r="J14" i="25"/>
  <c r="J15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9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2" i="7"/>
  <c r="J51" i="7"/>
  <c r="J57" i="7"/>
  <c r="K58" i="7"/>
  <c r="K50" i="7"/>
  <c r="K58" i="4"/>
  <c r="K17" i="14"/>
  <c r="K28" i="9"/>
  <c r="K20" i="9"/>
  <c r="J19" i="9"/>
  <c r="K22" i="9"/>
  <c r="K21" i="9"/>
  <c r="K51" i="1"/>
  <c r="J61" i="6"/>
  <c r="J69" i="6"/>
  <c r="K63" i="6"/>
  <c r="K70" i="6"/>
  <c r="K62" i="6"/>
  <c r="K74" i="6"/>
  <c r="K66" i="6"/>
  <c r="K58" i="6"/>
  <c r="K73" i="6"/>
  <c r="K65" i="6"/>
  <c r="M609" i="68"/>
  <c r="M602" i="68"/>
  <c r="M594" i="68"/>
  <c r="M578" i="68"/>
  <c r="M570" i="68"/>
  <c r="M554" i="68"/>
  <c r="M547" i="68"/>
  <c r="M539" i="68"/>
  <c r="M532" i="68"/>
  <c r="M524" i="68"/>
  <c r="M516" i="68"/>
  <c r="M508" i="68"/>
  <c r="M500" i="68"/>
  <c r="N492" i="68"/>
  <c r="M484" i="68"/>
  <c r="M477" i="68"/>
  <c r="M461" i="68"/>
  <c r="N454" i="68"/>
  <c r="N446" i="68"/>
  <c r="N431" i="68"/>
  <c r="N423" i="68"/>
  <c r="N621" i="68"/>
  <c r="N605" i="68"/>
  <c r="M598" i="68"/>
  <c r="M582" i="68"/>
  <c r="M566" i="68"/>
  <c r="M536" i="68"/>
  <c r="M528" i="68"/>
  <c r="N512" i="68"/>
  <c r="M496" i="68"/>
  <c r="M622" i="68"/>
  <c r="N599" i="68"/>
  <c r="M591" i="68"/>
  <c r="N651" i="68"/>
  <c r="M529" i="68"/>
  <c r="N497" i="68"/>
  <c r="N474" i="68"/>
  <c r="M466" i="68"/>
  <c r="N436" i="68"/>
  <c r="N617" i="68"/>
  <c r="N616" i="68"/>
  <c r="M601" i="68"/>
  <c r="N577" i="68"/>
  <c r="N569" i="68"/>
  <c r="N553" i="68"/>
  <c r="M538" i="68"/>
  <c r="N523" i="68"/>
  <c r="M515" i="68"/>
  <c r="M499" i="68"/>
  <c r="N491" i="68"/>
  <c r="M483" i="68"/>
  <c r="M476" i="68"/>
  <c r="M460" i="68"/>
  <c r="M445" i="68"/>
  <c r="M438" i="68"/>
  <c r="N422" i="68"/>
  <c r="M623" i="68"/>
  <c r="M530" i="68"/>
  <c r="M514" i="68"/>
  <c r="M444" i="68"/>
  <c r="M439" i="68"/>
  <c r="N439" i="68"/>
  <c r="N593" i="68"/>
  <c r="M593" i="68"/>
  <c r="M453" i="68"/>
  <c r="N453" i="68"/>
  <c r="I3" i="57"/>
  <c r="N430" i="68"/>
  <c r="M523" i="68"/>
  <c r="M491" i="68"/>
  <c r="M423" i="68"/>
  <c r="N601" i="68"/>
  <c r="M552" i="68"/>
  <c r="N507" i="68"/>
  <c r="N538" i="68"/>
  <c r="N561" i="68"/>
  <c r="M608" i="68"/>
  <c r="M468" i="68"/>
  <c r="N469" i="68"/>
  <c r="N594" i="68"/>
  <c r="M492" i="68"/>
  <c r="M577" i="68"/>
  <c r="N543" i="68"/>
  <c r="N539" i="68"/>
  <c r="M431" i="68"/>
  <c r="N500" i="68"/>
  <c r="N499" i="68"/>
  <c r="N562" i="68"/>
  <c r="M592" i="68"/>
  <c r="N592" i="68"/>
  <c r="N537" i="68"/>
  <c r="M537" i="68"/>
  <c r="N490" i="68"/>
  <c r="M490" i="68"/>
  <c r="M467" i="68"/>
  <c r="N467" i="68"/>
  <c r="M429" i="68"/>
  <c r="N429" i="68"/>
  <c r="M615" i="68"/>
  <c r="N615" i="68"/>
  <c r="M560" i="68"/>
  <c r="N560" i="68"/>
  <c r="N506" i="68"/>
  <c r="M506" i="68"/>
  <c r="N475" i="68"/>
  <c r="M475" i="68"/>
  <c r="N437" i="68"/>
  <c r="M437" i="68"/>
  <c r="M480" i="68"/>
  <c r="N480" i="68"/>
  <c r="M458" i="68"/>
  <c r="N458" i="68"/>
  <c r="M427" i="68"/>
  <c r="N427" i="68"/>
  <c r="M576" i="68"/>
  <c r="N576" i="68"/>
  <c r="M522" i="68"/>
  <c r="N522" i="68"/>
  <c r="M482" i="68"/>
  <c r="N482" i="68"/>
  <c r="N600" i="68"/>
  <c r="M600" i="68"/>
  <c r="M545" i="68"/>
  <c r="N545" i="68"/>
  <c r="M498" i="68"/>
  <c r="N498" i="68"/>
  <c r="N452" i="68"/>
  <c r="M452" i="68"/>
  <c r="M421" i="68"/>
  <c r="N421" i="68"/>
  <c r="M633" i="68"/>
  <c r="N633" i="68"/>
  <c r="N554" i="68"/>
  <c r="M531" i="68"/>
  <c r="M422" i="68"/>
  <c r="N516" i="68"/>
  <c r="M616" i="68"/>
  <c r="M569" i="68"/>
  <c r="N558" i="68"/>
  <c r="N465" i="68"/>
  <c r="M585" i="68"/>
  <c r="M649" i="68"/>
  <c r="I13" i="57"/>
  <c r="N515" i="68"/>
  <c r="N477" i="68"/>
  <c r="M568" i="68"/>
  <c r="M446" i="68"/>
  <c r="M573" i="68"/>
  <c r="N602" i="68"/>
  <c r="N476" i="68"/>
  <c r="N445" i="68"/>
  <c r="M553" i="68"/>
  <c r="M546" i="68"/>
  <c r="M455" i="68"/>
  <c r="N455" i="68"/>
  <c r="M579" i="68"/>
  <c r="N579" i="68"/>
  <c r="N485" i="68"/>
  <c r="N473" i="68"/>
  <c r="I7" i="57"/>
  <c r="N624" i="68"/>
  <c r="N566" i="68"/>
  <c r="N530" i="68"/>
  <c r="N484" i="68"/>
  <c r="N438" i="68"/>
  <c r="M454" i="68"/>
  <c r="N623" i="68"/>
  <c r="N578" i="68"/>
  <c r="N483" i="68"/>
  <c r="N514" i="68"/>
  <c r="N460" i="68"/>
  <c r="N444" i="68"/>
  <c r="N424" i="68"/>
  <c r="M607" i="68"/>
  <c r="I15" i="57"/>
  <c r="I11" i="57"/>
  <c r="N535" i="68"/>
  <c r="N609" i="68"/>
  <c r="N574" i="68"/>
  <c r="N461" i="68"/>
  <c r="N586" i="68"/>
  <c r="N570" i="68"/>
  <c r="N508" i="68"/>
  <c r="N648" i="68"/>
  <c r="N629" i="68"/>
  <c r="N613" i="68"/>
  <c r="N528" i="68"/>
  <c r="M621" i="68"/>
  <c r="M605" i="68"/>
  <c r="M590" i="68"/>
  <c r="M512" i="68"/>
  <c r="M497" i="68"/>
  <c r="N625" i="68"/>
  <c r="N610" i="68"/>
  <c r="N598" i="68"/>
  <c r="N582" i="68"/>
  <c r="N524" i="68"/>
  <c r="N496" i="68"/>
  <c r="M617" i="68"/>
  <c r="M450" i="68"/>
  <c r="M435" i="68"/>
  <c r="N548" i="68"/>
  <c r="N536" i="68"/>
  <c r="N547" i="68"/>
  <c r="N532" i="68"/>
  <c r="N520" i="68"/>
  <c r="M504" i="68"/>
  <c r="N529" i="68"/>
  <c r="N517" i="68"/>
  <c r="N488" i="68"/>
  <c r="N614" i="68"/>
  <c r="M614" i="68"/>
  <c r="N583" i="68"/>
  <c r="M583" i="68"/>
  <c r="N521" i="68"/>
  <c r="M521" i="68"/>
  <c r="N489" i="68"/>
  <c r="M489" i="68"/>
  <c r="N622" i="68"/>
  <c r="M436" i="68"/>
  <c r="N591" i="68"/>
  <c r="N466" i="68"/>
  <c r="N606" i="68"/>
  <c r="M606" i="68"/>
  <c r="M575" i="68"/>
  <c r="N575" i="68"/>
  <c r="N551" i="68"/>
  <c r="M551" i="68"/>
  <c r="N544" i="68"/>
  <c r="M544" i="68"/>
  <c r="M505" i="68"/>
  <c r="N505" i="68"/>
  <c r="M443" i="68"/>
  <c r="N443" i="68"/>
  <c r="M651" i="68"/>
  <c r="M474" i="68"/>
  <c r="M567" i="68"/>
  <c r="N567" i="68"/>
  <c r="M513" i="68"/>
  <c r="N513" i="68"/>
  <c r="N481" i="68"/>
  <c r="M481" i="68"/>
  <c r="N459" i="68"/>
  <c r="M459" i="68"/>
  <c r="M451" i="68"/>
  <c r="N451" i="68"/>
  <c r="N428" i="68"/>
  <c r="M428" i="68"/>
  <c r="M599" i="68"/>
  <c r="N559" i="68"/>
  <c r="N628" i="68"/>
  <c r="M628" i="68"/>
  <c r="N620" i="68"/>
  <c r="M620" i="68"/>
  <c r="N612" i="68"/>
  <c r="M612" i="68"/>
  <c r="N604" i="68"/>
  <c r="M604" i="68"/>
  <c r="N597" i="68"/>
  <c r="M597" i="68"/>
  <c r="N589" i="68"/>
  <c r="M589" i="68"/>
  <c r="N581" i="68"/>
  <c r="M581" i="68"/>
  <c r="N565" i="68"/>
  <c r="M565" i="68"/>
  <c r="N557" i="68"/>
  <c r="M557" i="68"/>
  <c r="N550" i="68"/>
  <c r="M550" i="68"/>
  <c r="N542" i="68"/>
  <c r="M542" i="68"/>
  <c r="N527" i="68"/>
  <c r="M527" i="68"/>
  <c r="N519" i="68"/>
  <c r="M519" i="68"/>
  <c r="N511" i="68"/>
  <c r="M511" i="68"/>
  <c r="N503" i="68"/>
  <c r="M503" i="68"/>
  <c r="N495" i="68"/>
  <c r="M495" i="68"/>
  <c r="N487" i="68"/>
  <c r="M487" i="68"/>
  <c r="N479" i="68"/>
  <c r="M479" i="68"/>
  <c r="N472" i="68"/>
  <c r="M472" i="68"/>
  <c r="N464" i="68"/>
  <c r="M464" i="68"/>
  <c r="N457" i="68"/>
  <c r="M457" i="68"/>
  <c r="N449" i="68"/>
  <c r="M449" i="68"/>
  <c r="N442" i="68"/>
  <c r="M442" i="68"/>
  <c r="N434" i="68"/>
  <c r="M434" i="68"/>
  <c r="N426" i="68"/>
  <c r="M426" i="68"/>
  <c r="N618" i="68"/>
  <c r="N587" i="68"/>
  <c r="N555" i="68"/>
  <c r="N525" i="68"/>
  <c r="N493" i="68"/>
  <c r="N462" i="68"/>
  <c r="N432" i="68"/>
  <c r="N627" i="68"/>
  <c r="M627" i="68"/>
  <c r="N619" i="68"/>
  <c r="M619" i="68"/>
  <c r="N611" i="68"/>
  <c r="M611" i="68"/>
  <c r="N603" i="68"/>
  <c r="M603" i="68"/>
  <c r="N596" i="68"/>
  <c r="M596" i="68"/>
  <c r="N588" i="68"/>
  <c r="M588" i="68"/>
  <c r="N580" i="68"/>
  <c r="M580" i="68"/>
  <c r="N572" i="68"/>
  <c r="M572" i="68"/>
  <c r="N564" i="68"/>
  <c r="M564" i="68"/>
  <c r="N556" i="68"/>
  <c r="M556" i="68"/>
  <c r="N549" i="68"/>
  <c r="M549" i="68"/>
  <c r="N541" i="68"/>
  <c r="M541" i="68"/>
  <c r="N534" i="68"/>
  <c r="M534" i="68"/>
  <c r="N526" i="68"/>
  <c r="M526" i="68"/>
  <c r="N518" i="68"/>
  <c r="M518" i="68"/>
  <c r="N510" i="68"/>
  <c r="M510" i="68"/>
  <c r="N502" i="68"/>
  <c r="M502" i="68"/>
  <c r="N494" i="68"/>
  <c r="M494" i="68"/>
  <c r="N486" i="68"/>
  <c r="M486" i="68"/>
  <c r="N650" i="68"/>
  <c r="M650" i="68"/>
  <c r="N471" i="68"/>
  <c r="M471" i="68"/>
  <c r="N463" i="68"/>
  <c r="M463" i="68"/>
  <c r="N456" i="68"/>
  <c r="M456" i="68"/>
  <c r="N448" i="68"/>
  <c r="M448" i="68"/>
  <c r="N441" i="68"/>
  <c r="M441" i="68"/>
  <c r="N433" i="68"/>
  <c r="M433" i="68"/>
  <c r="N425" i="68"/>
  <c r="M425" i="68"/>
  <c r="N626" i="68"/>
  <c r="N595" i="68"/>
  <c r="N563" i="68"/>
  <c r="N533" i="68"/>
  <c r="N501" i="68"/>
  <c r="N470" i="68"/>
  <c r="N440" i="68"/>
  <c r="N652" i="68"/>
  <c r="N571" i="68"/>
  <c r="N540" i="68"/>
  <c r="N509" i="68"/>
  <c r="N478" i="68"/>
  <c r="N447" i="68"/>
  <c r="D30" i="46"/>
  <c r="C30" i="76"/>
  <c r="H14" i="75" l="1"/>
  <c r="D7" i="76"/>
  <c r="F13" i="76"/>
  <c r="F15" i="76"/>
  <c r="F14" i="76"/>
  <c r="F6" i="76"/>
  <c r="F7" i="76"/>
  <c r="F8" i="76"/>
  <c r="F9" i="76"/>
  <c r="F11" i="76"/>
  <c r="F12" i="76"/>
  <c r="F10" i="76"/>
  <c r="I28" i="75"/>
  <c r="E11" i="75"/>
  <c r="E13" i="75"/>
  <c r="E12" i="75"/>
  <c r="E14" i="75"/>
  <c r="E6" i="75"/>
  <c r="E15" i="75"/>
  <c r="E9" i="75"/>
  <c r="E10" i="75"/>
  <c r="E7" i="75"/>
  <c r="E8" i="75"/>
  <c r="D15" i="76"/>
  <c r="H13" i="75"/>
  <c r="H28" i="75"/>
  <c r="C28" i="76"/>
  <c r="D6" i="76"/>
  <c r="H12" i="75"/>
  <c r="D12" i="76"/>
  <c r="D13" i="76"/>
  <c r="G28" i="76"/>
  <c r="D28" i="75"/>
  <c r="G13" i="75"/>
  <c r="G15" i="75"/>
  <c r="G14" i="75"/>
  <c r="G6" i="75"/>
  <c r="G7" i="75"/>
  <c r="G8" i="75"/>
  <c r="G11" i="75"/>
  <c r="G12" i="75"/>
  <c r="G10" i="75"/>
  <c r="G9" i="75"/>
  <c r="D10" i="76"/>
  <c r="D11" i="76"/>
  <c r="H8" i="75"/>
  <c r="H9" i="75"/>
  <c r="F28" i="76"/>
  <c r="F12" i="75"/>
  <c r="F6" i="75"/>
  <c r="F13" i="75"/>
  <c r="F14" i="75"/>
  <c r="F15" i="75"/>
  <c r="F7" i="75"/>
  <c r="F10" i="75"/>
  <c r="F11" i="75"/>
  <c r="F9" i="75"/>
  <c r="F8" i="75"/>
  <c r="D8" i="76"/>
  <c r="G28" i="75"/>
  <c r="F28" i="75"/>
  <c r="I8" i="76"/>
  <c r="I10" i="76"/>
  <c r="I9" i="76"/>
  <c r="I11" i="76"/>
  <c r="I12" i="76"/>
  <c r="I14" i="76"/>
  <c r="I6" i="76"/>
  <c r="I15" i="76"/>
  <c r="I7" i="76"/>
  <c r="I13" i="76"/>
  <c r="I28" i="76"/>
  <c r="D9" i="76"/>
  <c r="H11" i="75"/>
  <c r="H6" i="75"/>
  <c r="D14" i="76"/>
  <c r="H7" i="75"/>
  <c r="G14" i="76"/>
  <c r="G6" i="76"/>
  <c r="G8" i="76"/>
  <c r="G15" i="76"/>
  <c r="G7" i="76"/>
  <c r="G9" i="76"/>
  <c r="G10" i="76"/>
  <c r="G12" i="76"/>
  <c r="G13" i="76"/>
  <c r="G11" i="76"/>
  <c r="H15" i="75"/>
  <c r="H15" i="76"/>
  <c r="H7" i="76"/>
  <c r="H8" i="76"/>
  <c r="H9" i="76"/>
  <c r="H10" i="76"/>
  <c r="H11" i="76"/>
  <c r="H13" i="76"/>
  <c r="H14" i="76"/>
  <c r="H6" i="76"/>
  <c r="H12" i="76"/>
  <c r="D10" i="75"/>
  <c r="D11" i="75"/>
  <c r="D12" i="75"/>
  <c r="D13" i="75"/>
  <c r="D14" i="75"/>
  <c r="D8" i="75"/>
  <c r="D7" i="75"/>
  <c r="D15" i="75"/>
  <c r="D6" i="75"/>
  <c r="D9" i="75"/>
  <c r="H28" i="76"/>
  <c r="I15" i="75"/>
  <c r="I7" i="75"/>
  <c r="I8" i="75"/>
  <c r="I9" i="75"/>
  <c r="I10" i="75"/>
  <c r="I11" i="75"/>
  <c r="I13" i="75"/>
  <c r="I14" i="75"/>
  <c r="I6" i="75"/>
  <c r="I12" i="75"/>
  <c r="E28" i="75"/>
  <c r="H10" i="75"/>
  <c r="N573" i="68"/>
  <c r="D28" i="76" s="1"/>
  <c r="M535" i="68"/>
  <c r="C11" i="76" s="1"/>
  <c r="M584" i="68"/>
  <c r="N584" i="68"/>
  <c r="E28" i="76" s="1"/>
  <c r="I4" i="57"/>
  <c r="I23" i="57"/>
  <c r="I16" i="57"/>
  <c r="I18" i="57"/>
  <c r="F8" i="82" l="1"/>
  <c r="C7" i="76"/>
  <c r="C13" i="76"/>
  <c r="C12" i="76"/>
  <c r="F5" i="82"/>
  <c r="C10" i="76"/>
  <c r="F11" i="82"/>
  <c r="F10" i="82"/>
  <c r="C6" i="76"/>
  <c r="J26" i="76"/>
  <c r="F24" i="82"/>
  <c r="F13" i="82"/>
  <c r="F6" i="82"/>
  <c r="C14" i="76"/>
  <c r="F23" i="82"/>
  <c r="J28" i="76"/>
  <c r="F25" i="82"/>
  <c r="F12" i="82"/>
  <c r="F7" i="82"/>
  <c r="F14" i="82"/>
  <c r="C9" i="76"/>
  <c r="F9" i="82"/>
  <c r="E12" i="76"/>
  <c r="E6" i="76"/>
  <c r="E13" i="76"/>
  <c r="E14" i="76"/>
  <c r="E15" i="76"/>
  <c r="E7" i="76"/>
  <c r="E8" i="76"/>
  <c r="E10" i="76"/>
  <c r="E11" i="76"/>
  <c r="E9" i="76"/>
  <c r="C15" i="76"/>
  <c r="C8" i="76"/>
  <c r="N405" i="68"/>
  <c r="N399" i="68"/>
  <c r="M330" i="68"/>
  <c r="N632" i="68"/>
  <c r="M259" i="68"/>
  <c r="N296" i="68"/>
  <c r="M356" i="68"/>
  <c r="M324" i="68"/>
  <c r="N417" i="68"/>
  <c r="N419" i="68"/>
  <c r="I6" i="57"/>
  <c r="M408" i="68"/>
  <c r="N97" i="68"/>
  <c r="M343" i="68"/>
  <c r="M303" i="68"/>
  <c r="M394" i="68"/>
  <c r="M302" i="68"/>
  <c r="M391" i="68"/>
  <c r="M384" i="68"/>
  <c r="N376" i="68"/>
  <c r="M360" i="68"/>
  <c r="M12" i="68"/>
  <c r="M10" i="68"/>
  <c r="M183" i="68"/>
  <c r="M20" i="68"/>
  <c r="N217" i="68"/>
  <c r="N168" i="68"/>
  <c r="N50" i="68"/>
  <c r="M96" i="68"/>
  <c r="M208" i="68"/>
  <c r="N53" i="68"/>
  <c r="N155" i="68"/>
  <c r="M274" i="68"/>
  <c r="N58" i="68"/>
  <c r="N348" i="68"/>
  <c r="M319" i="68"/>
  <c r="N178" i="68"/>
  <c r="N346" i="68"/>
  <c r="N213" i="68"/>
  <c r="M263" i="68"/>
  <c r="I17" i="57"/>
  <c r="N336" i="68"/>
  <c r="N406" i="68"/>
  <c r="N215" i="68"/>
  <c r="M103" i="68"/>
  <c r="N353" i="68"/>
  <c r="N323" i="68"/>
  <c r="I2" i="57"/>
  <c r="M647" i="68"/>
  <c r="M366" i="68"/>
  <c r="M418" i="68"/>
  <c r="M339" i="68"/>
  <c r="N352" i="68"/>
  <c r="N342" i="68"/>
  <c r="M247" i="68"/>
  <c r="N351" i="68"/>
  <c r="M393" i="68"/>
  <c r="N305" i="68"/>
  <c r="M306" i="68"/>
  <c r="N382" i="68"/>
  <c r="M359" i="68"/>
  <c r="M362" i="68"/>
  <c r="M197" i="68"/>
  <c r="M8" i="68"/>
  <c r="M201" i="68"/>
  <c r="N218" i="68"/>
  <c r="M90" i="68"/>
  <c r="N158" i="68"/>
  <c r="M211" i="68"/>
  <c r="M327" i="68"/>
  <c r="N340" i="68"/>
  <c r="M153" i="68"/>
  <c r="N131" i="68"/>
  <c r="N387" i="68"/>
  <c r="N322" i="68"/>
  <c r="N179" i="68"/>
  <c r="M128" i="68"/>
  <c r="N333" i="68"/>
  <c r="I19" i="57"/>
  <c r="M401" i="68"/>
  <c r="N403" i="68"/>
  <c r="N373" i="68"/>
  <c r="N415" i="68"/>
  <c r="M368" i="68"/>
  <c r="N364" i="68"/>
  <c r="M300" i="68"/>
  <c r="I14" i="57"/>
  <c r="N310" i="68"/>
  <c r="M350" i="68"/>
  <c r="M407" i="68"/>
  <c r="M304" i="68"/>
  <c r="M389" i="68"/>
  <c r="M312" i="68"/>
  <c r="M314" i="68"/>
  <c r="N358" i="68"/>
  <c r="N203" i="68"/>
  <c r="M91" i="68"/>
  <c r="N89" i="68"/>
  <c r="M166" i="68"/>
  <c r="I12" i="57"/>
  <c r="M165" i="68"/>
  <c r="N51" i="68"/>
  <c r="N278" i="68"/>
  <c r="N209" i="68"/>
  <c r="N326" i="68"/>
  <c r="M95" i="68"/>
  <c r="N154" i="68"/>
  <c r="M341" i="68"/>
  <c r="M344" i="68"/>
  <c r="N32" i="68"/>
  <c r="M277" i="68"/>
  <c r="N276" i="68"/>
  <c r="N309" i="68"/>
  <c r="M383" i="68"/>
  <c r="M320" i="68"/>
  <c r="N28" i="68"/>
  <c r="M30" i="68"/>
  <c r="N81" i="68"/>
  <c r="M127" i="68"/>
  <c r="I24" i="57"/>
  <c r="N313" i="68"/>
  <c r="M361" i="68"/>
  <c r="N196" i="68"/>
  <c r="M199" i="68"/>
  <c r="N386" i="68"/>
  <c r="M125" i="68"/>
  <c r="M284" i="68"/>
  <c r="M123" i="68"/>
  <c r="M285" i="68"/>
  <c r="M239" i="68"/>
  <c r="M283" i="68"/>
  <c r="M335" i="68"/>
  <c r="M273" i="68"/>
  <c r="M236" i="68"/>
  <c r="M68" i="68"/>
  <c r="N124" i="68"/>
  <c r="N112" i="68"/>
  <c r="M49" i="68"/>
  <c r="N129" i="68"/>
  <c r="N63" i="68"/>
  <c r="M47" i="68"/>
  <c r="M118" i="68"/>
  <c r="N99" i="68"/>
  <c r="M292" i="68"/>
  <c r="M288" i="68"/>
  <c r="N143" i="68"/>
  <c r="N138" i="68"/>
  <c r="M83" i="68"/>
  <c r="N202" i="68"/>
  <c r="M369" i="68"/>
  <c r="M372" i="68"/>
  <c r="M61" i="68"/>
  <c r="M338" i="68"/>
  <c r="M397" i="68"/>
  <c r="M101" i="68"/>
  <c r="M100" i="68"/>
  <c r="N149" i="68"/>
  <c r="M152" i="68"/>
  <c r="M298" i="68"/>
  <c r="M286" i="68"/>
  <c r="N78" i="68"/>
  <c r="M117" i="68"/>
  <c r="M289" i="68"/>
  <c r="M136" i="68"/>
  <c r="M64" i="68"/>
  <c r="M264" i="68"/>
  <c r="N261" i="68"/>
  <c r="M256" i="68"/>
  <c r="N111" i="68"/>
  <c r="M311" i="68"/>
  <c r="M307" i="68"/>
  <c r="M385" i="68"/>
  <c r="M189" i="68"/>
  <c r="M185" i="68"/>
  <c r="N180" i="68"/>
  <c r="M27" i="68"/>
  <c r="N22" i="68"/>
  <c r="M18" i="68"/>
  <c r="N5" i="68"/>
  <c r="M60" i="68"/>
  <c r="M25" i="68"/>
  <c r="M631" i="68"/>
  <c r="N395" i="68"/>
  <c r="N334" i="68"/>
  <c r="M354" i="68"/>
  <c r="N45" i="68"/>
  <c r="N72" i="68"/>
  <c r="M377" i="68"/>
  <c r="N119" i="68"/>
  <c r="M120" i="68"/>
  <c r="M371" i="68"/>
  <c r="N413" i="68"/>
  <c r="M242" i="68"/>
  <c r="M121" i="68"/>
  <c r="M315" i="68"/>
  <c r="N379" i="68"/>
  <c r="N409" i="68"/>
  <c r="M238" i="68"/>
  <c r="N70" i="68"/>
  <c r="M250" i="68"/>
  <c r="M174" i="68"/>
  <c r="N35" i="68"/>
  <c r="N33" i="68"/>
  <c r="M204" i="68"/>
  <c r="M225" i="68"/>
  <c r="M222" i="68"/>
  <c r="N224" i="68"/>
  <c r="N235" i="68"/>
  <c r="M233" i="68"/>
  <c r="N74" i="68"/>
  <c r="M231" i="68"/>
  <c r="N230" i="68"/>
  <c r="M80" i="68"/>
  <c r="M227" i="68"/>
  <c r="N37" i="68"/>
  <c r="M39" i="68"/>
  <c r="M169" i="68"/>
  <c r="M221" i="68"/>
  <c r="M220" i="68"/>
  <c r="M219" i="68"/>
  <c r="N114" i="68"/>
  <c r="M109" i="68"/>
  <c r="M279" i="68"/>
  <c r="N106" i="68"/>
  <c r="N52" i="68"/>
  <c r="N164" i="68"/>
  <c r="M223" i="68"/>
  <c r="M293" i="68"/>
  <c r="M290" i="68"/>
  <c r="M332" i="68"/>
  <c r="N141" i="68"/>
  <c r="N137" i="68"/>
  <c r="M249" i="68"/>
  <c r="M367" i="68"/>
  <c r="N115" i="68"/>
  <c r="M110" i="68"/>
  <c r="M108" i="68"/>
  <c r="N94" i="68"/>
  <c r="M157" i="68"/>
  <c r="N167" i="68"/>
  <c r="N71" i="68"/>
  <c r="N92" i="68"/>
  <c r="M291" i="68"/>
  <c r="M139" i="68"/>
  <c r="N142" i="68"/>
  <c r="M134" i="68"/>
  <c r="M375" i="68"/>
  <c r="M411" i="68"/>
  <c r="M205" i="68"/>
  <c r="M212" i="68"/>
  <c r="M43" i="68"/>
  <c r="N148" i="68"/>
  <c r="N294" i="68"/>
  <c r="N245" i="68"/>
  <c r="N638" i="68"/>
  <c r="M113" i="68"/>
  <c r="M308" i="68"/>
  <c r="M191" i="68"/>
  <c r="M182" i="68"/>
  <c r="N26" i="68"/>
  <c r="M17" i="68"/>
  <c r="N402" i="68"/>
  <c r="M181" i="68"/>
  <c r="M318" i="68"/>
  <c r="M355" i="68"/>
  <c r="N104" i="68"/>
  <c r="N321" i="68"/>
  <c r="N246" i="68"/>
  <c r="N414" i="68"/>
  <c r="N381" i="68"/>
  <c r="M317" i="68"/>
  <c r="M69" i="68"/>
  <c r="N116" i="68"/>
  <c r="N34" i="68"/>
  <c r="N73" i="68"/>
  <c r="N82" i="68"/>
  <c r="N234" i="68"/>
  <c r="N75" i="68"/>
  <c r="N77" i="68"/>
  <c r="N172" i="68"/>
  <c r="M171" i="68"/>
  <c r="N85" i="68"/>
  <c r="N345" i="68"/>
  <c r="M159" i="68"/>
  <c r="N630" i="68"/>
  <c r="M637" i="68"/>
  <c r="N161" i="68"/>
  <c r="M44" i="68"/>
  <c r="M216" i="68"/>
  <c r="M135" i="68"/>
  <c r="N87" i="68"/>
  <c r="M145" i="68"/>
  <c r="M140" i="68"/>
  <c r="M357" i="68"/>
  <c r="M325" i="68"/>
  <c r="N400" i="68"/>
  <c r="K28" i="74" s="1"/>
  <c r="N102" i="68"/>
  <c r="M156" i="68"/>
  <c r="M634" i="68"/>
  <c r="N347" i="68"/>
  <c r="N144" i="68"/>
  <c r="M253" i="68"/>
  <c r="N257" i="68"/>
  <c r="N107" i="68"/>
  <c r="M388" i="68"/>
  <c r="N186" i="68"/>
  <c r="N31" i="68"/>
  <c r="M21" i="68"/>
  <c r="N244" i="68"/>
  <c r="N404" i="68"/>
  <c r="M46" i="68"/>
  <c r="N645" i="68"/>
  <c r="N272" i="68"/>
  <c r="M370" i="68"/>
  <c r="N270" i="68"/>
  <c r="N316" i="68"/>
  <c r="N237" i="68"/>
  <c r="M642" i="68"/>
  <c r="N36" i="68"/>
  <c r="M380" i="68"/>
  <c r="N84" i="68"/>
  <c r="M378" i="68"/>
  <c r="M232" i="68"/>
  <c r="M76" i="68"/>
  <c r="N79" i="68"/>
  <c r="M38" i="68"/>
  <c r="N40" i="68"/>
  <c r="N86" i="68"/>
  <c r="M398" i="68"/>
  <c r="N188" i="68"/>
  <c r="N13" i="68"/>
  <c r="N173" i="68"/>
  <c r="M271" i="68"/>
  <c r="M258" i="68"/>
  <c r="N251" i="68"/>
  <c r="M295" i="68"/>
  <c r="M365" i="68"/>
  <c r="M349" i="68"/>
  <c r="M301" i="68"/>
  <c r="M269" i="68"/>
  <c r="M162" i="68"/>
  <c r="M66" i="68"/>
  <c r="M19" i="68"/>
  <c r="M3" i="68"/>
  <c r="M410" i="68"/>
  <c r="M396" i="68"/>
  <c r="M194" i="68"/>
  <c r="N339" i="68"/>
  <c r="N331" i="68"/>
  <c r="N275" i="68"/>
  <c r="N254" i="68"/>
  <c r="M240" i="68"/>
  <c r="N192" i="68"/>
  <c r="M176" i="68"/>
  <c r="N130" i="68"/>
  <c r="M88" i="68"/>
  <c r="M56" i="68"/>
  <c r="M24" i="68"/>
  <c r="N16" i="68"/>
  <c r="M337" i="68"/>
  <c r="M281" i="68"/>
  <c r="M267" i="68"/>
  <c r="M643" i="68"/>
  <c r="M214" i="68"/>
  <c r="M190" i="68"/>
  <c r="M641" i="68"/>
  <c r="M151" i="68"/>
  <c r="M54" i="68"/>
  <c r="M23" i="68"/>
  <c r="M7" i="68"/>
  <c r="N329" i="68"/>
  <c r="N122" i="68"/>
  <c r="N636" i="68"/>
  <c r="M297" i="68"/>
  <c r="N62" i="68"/>
  <c r="M147" i="68"/>
  <c r="N390" i="68"/>
  <c r="M170" i="68"/>
  <c r="M210" i="68"/>
  <c r="M282" i="68"/>
  <c r="M268" i="68"/>
  <c r="M122" i="68"/>
  <c r="M636" i="68"/>
  <c r="M329" i="68"/>
  <c r="M62" i="68"/>
  <c r="N639" i="68"/>
  <c r="M639" i="68"/>
  <c r="N214" i="68"/>
  <c r="N267" i="68"/>
  <c r="N260" i="68"/>
  <c r="M260" i="68"/>
  <c r="N206" i="68"/>
  <c r="M206" i="68"/>
  <c r="N281" i="68"/>
  <c r="N273" i="68"/>
  <c r="N151" i="68"/>
  <c r="N190" i="68"/>
  <c r="M646" i="68"/>
  <c r="M241" i="68"/>
  <c r="M177" i="68"/>
  <c r="N146" i="68"/>
  <c r="N57" i="68"/>
  <c r="N297" i="68"/>
  <c r="N23" i="68"/>
  <c r="N392" i="68"/>
  <c r="M14" i="68"/>
  <c r="N337" i="68"/>
  <c r="N643" i="68"/>
  <c r="N15" i="68"/>
  <c r="M15" i="68"/>
  <c r="N198" i="68"/>
  <c r="N7" i="68"/>
  <c r="N641" i="68"/>
  <c r="N54" i="68"/>
  <c r="I8" i="57"/>
  <c r="N328" i="68"/>
  <c r="N266" i="68"/>
  <c r="N229" i="68"/>
  <c r="I9" i="57"/>
  <c r="M13" i="68"/>
  <c r="M198" i="68"/>
  <c r="I10" i="57"/>
  <c r="M419" i="68"/>
  <c r="N324" i="68"/>
  <c r="M65" i="68"/>
  <c r="N65" i="68"/>
  <c r="M374" i="68"/>
  <c r="N374" i="68"/>
  <c r="M635" i="68"/>
  <c r="N635" i="68"/>
  <c r="N398" i="68"/>
  <c r="N241" i="68"/>
  <c r="N243" i="68"/>
  <c r="M243" i="68"/>
  <c r="N195" i="68"/>
  <c r="M195" i="68"/>
  <c r="N163" i="68"/>
  <c r="M163" i="68"/>
  <c r="N126" i="68"/>
  <c r="M126" i="68"/>
  <c r="N67" i="68"/>
  <c r="M67" i="68"/>
  <c r="N4" i="68"/>
  <c r="M4" i="68"/>
  <c r="N193" i="68"/>
  <c r="M193" i="68"/>
  <c r="N41" i="68"/>
  <c r="M41" i="68"/>
  <c r="N412" i="68"/>
  <c r="M412" i="68"/>
  <c r="M287" i="68"/>
  <c r="N287" i="68"/>
  <c r="M265" i="68"/>
  <c r="N265" i="68"/>
  <c r="M228" i="68"/>
  <c r="N228" i="68"/>
  <c r="M105" i="68"/>
  <c r="N105" i="68"/>
  <c r="M29" i="68"/>
  <c r="N29" i="68"/>
  <c r="M251" i="68"/>
  <c r="M188" i="68"/>
  <c r="N389" i="68"/>
  <c r="I28" i="74" s="1"/>
  <c r="N644" i="68"/>
  <c r="M644" i="68"/>
  <c r="N187" i="68"/>
  <c r="M187" i="68"/>
  <c r="N133" i="68"/>
  <c r="M133" i="68"/>
  <c r="N59" i="68"/>
  <c r="M59" i="68"/>
  <c r="M146" i="68"/>
  <c r="N271" i="68"/>
  <c r="N236" i="68"/>
  <c r="M57" i="68"/>
  <c r="N646" i="68"/>
  <c r="M280" i="68"/>
  <c r="N280" i="68"/>
  <c r="M252" i="68"/>
  <c r="N252" i="68"/>
  <c r="M150" i="68"/>
  <c r="N150" i="68"/>
  <c r="N248" i="68"/>
  <c r="N208" i="68"/>
  <c r="N88" i="68"/>
  <c r="M390" i="68"/>
  <c r="N282" i="68"/>
  <c r="N335" i="68"/>
  <c r="N295" i="68"/>
  <c r="N258" i="68"/>
  <c r="N177" i="68"/>
  <c r="M255" i="68"/>
  <c r="N255" i="68"/>
  <c r="M81" i="68"/>
  <c r="M420" i="68"/>
  <c r="N420" i="68"/>
  <c r="N343" i="68"/>
  <c r="M98" i="68"/>
  <c r="N98" i="68"/>
  <c r="M16" i="68"/>
  <c r="N14" i="68"/>
  <c r="M416" i="68"/>
  <c r="N416" i="68"/>
  <c r="M363" i="68"/>
  <c r="N363" i="68"/>
  <c r="M331" i="68"/>
  <c r="M299" i="68"/>
  <c r="N299" i="68"/>
  <c r="M275" i="68"/>
  <c r="M262" i="68"/>
  <c r="N262" i="68"/>
  <c r="M254" i="68"/>
  <c r="M248" i="68"/>
  <c r="N240" i="68"/>
  <c r="M200" i="68"/>
  <c r="N200" i="68"/>
  <c r="M192" i="68"/>
  <c r="M184" i="68"/>
  <c r="N176" i="68"/>
  <c r="M160" i="68"/>
  <c r="M640" i="68"/>
  <c r="M130" i="68"/>
  <c r="N56" i="68"/>
  <c r="M48" i="68"/>
  <c r="N48" i="68"/>
  <c r="M9" i="68"/>
  <c r="N184" i="68"/>
  <c r="N640" i="68"/>
  <c r="N9" i="68"/>
  <c r="N6" i="68"/>
  <c r="M6" i="68"/>
  <c r="N330" i="68"/>
  <c r="N268" i="68"/>
  <c r="M207" i="68"/>
  <c r="N207" i="68"/>
  <c r="M175" i="68"/>
  <c r="N175" i="68"/>
  <c r="M93" i="68"/>
  <c r="N93" i="68"/>
  <c r="M55" i="68"/>
  <c r="N55" i="68"/>
  <c r="M32" i="68"/>
  <c r="N24" i="68"/>
  <c r="N160" i="68"/>
  <c r="N410" i="68"/>
  <c r="N396" i="68"/>
  <c r="N365" i="68"/>
  <c r="N349" i="68"/>
  <c r="N301" i="68"/>
  <c r="N269" i="68"/>
  <c r="N226" i="68"/>
  <c r="M226" i="68"/>
  <c r="N210" i="68"/>
  <c r="N194" i="68"/>
  <c r="N170" i="68"/>
  <c r="N162" i="68"/>
  <c r="N147" i="68"/>
  <c r="N132" i="68"/>
  <c r="M132" i="68"/>
  <c r="N96" i="68"/>
  <c r="N66" i="68"/>
  <c r="N42" i="68"/>
  <c r="M42" i="68"/>
  <c r="N19" i="68"/>
  <c r="N11" i="68"/>
  <c r="N3" i="68"/>
  <c r="M218" i="68"/>
  <c r="M11" i="68"/>
  <c r="M392" i="68"/>
  <c r="M328" i="68"/>
  <c r="M266" i="68"/>
  <c r="M229" i="68"/>
  <c r="M173" i="68"/>
  <c r="K9" i="46" l="1"/>
  <c r="K8" i="46"/>
  <c r="K15" i="46"/>
  <c r="K7" i="46"/>
  <c r="K14" i="46"/>
  <c r="K6" i="46"/>
  <c r="K11" i="46"/>
  <c r="K10" i="46"/>
  <c r="K12" i="46"/>
  <c r="K13" i="46"/>
  <c r="I12" i="74"/>
  <c r="I11" i="74"/>
  <c r="I10" i="74"/>
  <c r="I9" i="74"/>
  <c r="I14" i="74"/>
  <c r="I6" i="74"/>
  <c r="I13" i="74"/>
  <c r="I8" i="74"/>
  <c r="I15" i="74"/>
  <c r="I7" i="74"/>
  <c r="H12" i="46"/>
  <c r="H11" i="46"/>
  <c r="H10" i="46"/>
  <c r="H9" i="46"/>
  <c r="H14" i="46"/>
  <c r="H6" i="46"/>
  <c r="H13" i="46"/>
  <c r="H8" i="46"/>
  <c r="H15" i="46"/>
  <c r="H7" i="46"/>
  <c r="I11" i="46"/>
  <c r="I9" i="46"/>
  <c r="I10" i="46"/>
  <c r="I8" i="46"/>
  <c r="I13" i="46"/>
  <c r="I15" i="46"/>
  <c r="I6" i="46"/>
  <c r="I12" i="46"/>
  <c r="I7" i="46"/>
  <c r="I14" i="46"/>
  <c r="M364" i="68"/>
  <c r="F7" i="74" s="1"/>
  <c r="M209" i="68"/>
  <c r="M158" i="68"/>
  <c r="N197" i="68"/>
  <c r="N247" i="68"/>
  <c r="M203" i="68"/>
  <c r="M276" i="68"/>
  <c r="M213" i="68"/>
  <c r="M28" i="68"/>
  <c r="N368" i="68"/>
  <c r="N394" i="68"/>
  <c r="M323" i="68"/>
  <c r="N183" i="68"/>
  <c r="N95" i="68"/>
  <c r="N383" i="68"/>
  <c r="M405" i="68"/>
  <c r="M310" i="68"/>
  <c r="N359" i="68"/>
  <c r="M179" i="68"/>
  <c r="M296" i="68"/>
  <c r="M346" i="68"/>
  <c r="N103" i="68"/>
  <c r="M178" i="68"/>
  <c r="N12" i="68"/>
  <c r="M403" i="68"/>
  <c r="M352" i="68"/>
  <c r="N10" i="68"/>
  <c r="M322" i="68"/>
  <c r="N362" i="68"/>
  <c r="M351" i="68"/>
  <c r="N350" i="68"/>
  <c r="M168" i="68"/>
  <c r="N366" i="68"/>
  <c r="M313" i="68"/>
  <c r="N303" i="68"/>
  <c r="M326" i="68"/>
  <c r="N384" i="68"/>
  <c r="N153" i="68"/>
  <c r="N356" i="68"/>
  <c r="N393" i="68"/>
  <c r="N274" i="68"/>
  <c r="N647" i="68"/>
  <c r="M373" i="68"/>
  <c r="N391" i="68"/>
  <c r="N91" i="68"/>
  <c r="N302" i="68"/>
  <c r="N344" i="68"/>
  <c r="M309" i="68"/>
  <c r="M53" i="68"/>
  <c r="N327" i="68"/>
  <c r="M154" i="68"/>
  <c r="M89" i="68"/>
  <c r="N20" i="68"/>
  <c r="M353" i="68"/>
  <c r="N128" i="68"/>
  <c r="N263" i="68"/>
  <c r="M415" i="68"/>
  <c r="M342" i="68"/>
  <c r="N211" i="68"/>
  <c r="N407" i="68"/>
  <c r="M333" i="68"/>
  <c r="N8" i="68"/>
  <c r="M632" i="68"/>
  <c r="N341" i="68"/>
  <c r="M399" i="68"/>
  <c r="N30" i="68"/>
  <c r="N201" i="68"/>
  <c r="M417" i="68"/>
  <c r="N312" i="68"/>
  <c r="N165" i="68"/>
  <c r="M131" i="68"/>
  <c r="M217" i="68"/>
  <c r="M305" i="68"/>
  <c r="N90" i="68"/>
  <c r="N277" i="68"/>
  <c r="N360" i="68"/>
  <c r="N401" i="68"/>
  <c r="N408" i="68"/>
  <c r="M215" i="68"/>
  <c r="N418" i="68"/>
  <c r="M358" i="68"/>
  <c r="N166" i="68"/>
  <c r="M155" i="68"/>
  <c r="M51" i="68"/>
  <c r="M376" i="68"/>
  <c r="M348" i="68"/>
  <c r="M278" i="68"/>
  <c r="M340" i="68"/>
  <c r="N127" i="68"/>
  <c r="N304" i="68"/>
  <c r="N300" i="68"/>
  <c r="M196" i="68"/>
  <c r="M382" i="68"/>
  <c r="M97" i="68"/>
  <c r="M406" i="68"/>
  <c r="M58" i="68"/>
  <c r="N2" i="68"/>
  <c r="M50" i="68"/>
  <c r="N314" i="68"/>
  <c r="N306" i="68"/>
  <c r="N259" i="68"/>
  <c r="M336" i="68"/>
  <c r="M387" i="68"/>
  <c r="N320" i="68"/>
  <c r="N319" i="68"/>
  <c r="N361" i="68"/>
  <c r="N199" i="68"/>
  <c r="K28" i="46" s="1"/>
  <c r="M386" i="68"/>
  <c r="N125" i="68"/>
  <c r="N285" i="68"/>
  <c r="N239" i="68"/>
  <c r="N338" i="68"/>
  <c r="M112" i="68"/>
  <c r="M124" i="68"/>
  <c r="N283" i="68"/>
  <c r="N233" i="68"/>
  <c r="N288" i="68"/>
  <c r="N109" i="68"/>
  <c r="N169" i="68"/>
  <c r="M261" i="68"/>
  <c r="N284" i="68"/>
  <c r="N212" i="68"/>
  <c r="M45" i="68"/>
  <c r="N123" i="68"/>
  <c r="N307" i="68"/>
  <c r="M87" i="68"/>
  <c r="N64" i="68"/>
  <c r="M63" i="68"/>
  <c r="N369" i="68"/>
  <c r="N204" i="68"/>
  <c r="N372" i="68"/>
  <c r="M37" i="68"/>
  <c r="M409" i="68"/>
  <c r="N315" i="68"/>
  <c r="N60" i="68"/>
  <c r="M149" i="68"/>
  <c r="M129" i="68"/>
  <c r="N47" i="68"/>
  <c r="N220" i="68"/>
  <c r="M246" i="68"/>
  <c r="M138" i="68"/>
  <c r="N253" i="68"/>
  <c r="N637" i="68"/>
  <c r="N642" i="68"/>
  <c r="N189" i="68"/>
  <c r="N377" i="68"/>
  <c r="N357" i="68"/>
  <c r="M72" i="68"/>
  <c r="M404" i="68"/>
  <c r="M202" i="68"/>
  <c r="N290" i="68"/>
  <c r="N227" i="68"/>
  <c r="N139" i="68"/>
  <c r="N80" i="68"/>
  <c r="M161" i="68"/>
  <c r="N225" i="68"/>
  <c r="N76" i="68"/>
  <c r="N238" i="68"/>
  <c r="N108" i="68"/>
  <c r="M148" i="68"/>
  <c r="M119" i="68"/>
  <c r="N293" i="68"/>
  <c r="N25" i="68"/>
  <c r="N110" i="68"/>
  <c r="N159" i="68"/>
  <c r="N136" i="68"/>
  <c r="N191" i="68"/>
  <c r="M26" i="68"/>
  <c r="N185" i="68"/>
  <c r="I28" i="46" s="1"/>
  <c r="N289" i="68"/>
  <c r="M270" i="68"/>
  <c r="M106" i="68"/>
  <c r="N27" i="68"/>
  <c r="N174" i="68"/>
  <c r="N298" i="68"/>
  <c r="M111" i="68"/>
  <c r="N242" i="68"/>
  <c r="N325" i="68"/>
  <c r="N152" i="68"/>
  <c r="N371" i="68"/>
  <c r="M257" i="68"/>
  <c r="M78" i="68"/>
  <c r="M167" i="68"/>
  <c r="M52" i="68"/>
  <c r="M35" i="68"/>
  <c r="N68" i="68"/>
  <c r="N332" i="68"/>
  <c r="M172" i="68"/>
  <c r="M70" i="68"/>
  <c r="M137" i="68"/>
  <c r="N113" i="68"/>
  <c r="N264" i="68"/>
  <c r="M414" i="68"/>
  <c r="N318" i="68"/>
  <c r="N18" i="68"/>
  <c r="N354" i="68"/>
  <c r="M116" i="68"/>
  <c r="N121" i="68"/>
  <c r="M22" i="68"/>
  <c r="M74" i="68"/>
  <c r="N221" i="68"/>
  <c r="N118" i="68"/>
  <c r="M395" i="68"/>
  <c r="N140" i="68"/>
  <c r="M73" i="68"/>
  <c r="M630" i="68"/>
  <c r="N291" i="68"/>
  <c r="M379" i="68"/>
  <c r="N43" i="68"/>
  <c r="N83" i="68"/>
  <c r="M115" i="68"/>
  <c r="N182" i="68"/>
  <c r="M144" i="68"/>
  <c r="M230" i="68"/>
  <c r="M321" i="68"/>
  <c r="N231" i="68"/>
  <c r="M85" i="68"/>
  <c r="M79" i="68"/>
  <c r="M33" i="68"/>
  <c r="M102" i="68"/>
  <c r="N385" i="68"/>
  <c r="M5" i="68"/>
  <c r="M104" i="68"/>
  <c r="N397" i="68"/>
  <c r="N38" i="68"/>
  <c r="N100" i="68"/>
  <c r="N39" i="68"/>
  <c r="M92" i="68"/>
  <c r="N223" i="68"/>
  <c r="M347" i="68"/>
  <c r="M34" i="68"/>
  <c r="M237" i="68"/>
  <c r="N355" i="68"/>
  <c r="M316" i="68"/>
  <c r="M164" i="68"/>
  <c r="M245" i="68"/>
  <c r="M244" i="68"/>
  <c r="N375" i="68"/>
  <c r="N101" i="68"/>
  <c r="N219" i="68"/>
  <c r="M84" i="68"/>
  <c r="M143" i="68"/>
  <c r="N250" i="68"/>
  <c r="N134" i="68"/>
  <c r="N21" i="68"/>
  <c r="M107" i="68"/>
  <c r="N286" i="68"/>
  <c r="M114" i="68"/>
  <c r="N256" i="68"/>
  <c r="N317" i="68"/>
  <c r="N388" i="68"/>
  <c r="H28" i="74" s="1"/>
  <c r="M71" i="68"/>
  <c r="M40" i="68"/>
  <c r="M94" i="68"/>
  <c r="M400" i="68"/>
  <c r="M180" i="68"/>
  <c r="N120" i="68"/>
  <c r="N205" i="68"/>
  <c r="N49" i="68"/>
  <c r="N222" i="68"/>
  <c r="M413" i="68"/>
  <c r="M345" i="68"/>
  <c r="M402" i="68"/>
  <c r="N292" i="68"/>
  <c r="N308" i="68"/>
  <c r="M638" i="68"/>
  <c r="M77" i="68"/>
  <c r="N117" i="68"/>
  <c r="M224" i="68"/>
  <c r="N61" i="68"/>
  <c r="N634" i="68"/>
  <c r="N171" i="68"/>
  <c r="M235" i="68"/>
  <c r="N311" i="68"/>
  <c r="M141" i="68"/>
  <c r="N216" i="68"/>
  <c r="M234" i="68"/>
  <c r="M334" i="68"/>
  <c r="N232" i="68"/>
  <c r="M645" i="68"/>
  <c r="N279" i="68"/>
  <c r="M99" i="68"/>
  <c r="N46" i="68"/>
  <c r="N631" i="68"/>
  <c r="M142" i="68"/>
  <c r="M31" i="68"/>
  <c r="M272" i="68"/>
  <c r="N380" i="68"/>
  <c r="M75" i="68"/>
  <c r="N411" i="68"/>
  <c r="M186" i="68"/>
  <c r="M86" i="68"/>
  <c r="N370" i="68"/>
  <c r="N249" i="68"/>
  <c r="N378" i="68"/>
  <c r="M294" i="68"/>
  <c r="N367" i="68"/>
  <c r="N181" i="68"/>
  <c r="N135" i="68"/>
  <c r="N17" i="68"/>
  <c r="N156" i="68"/>
  <c r="M381" i="68"/>
  <c r="M82" i="68"/>
  <c r="N44" i="68"/>
  <c r="N157" i="68"/>
  <c r="M36" i="68"/>
  <c r="N145" i="68"/>
  <c r="N69" i="68"/>
  <c r="E9" i="82" l="1"/>
  <c r="J7" i="74"/>
  <c r="J28" i="74"/>
  <c r="G14" i="74"/>
  <c r="F6" i="46"/>
  <c r="E28" i="46"/>
  <c r="F28" i="46"/>
  <c r="F11" i="46"/>
  <c r="F12" i="46"/>
  <c r="F9" i="74"/>
  <c r="F12" i="74"/>
  <c r="F6" i="74"/>
  <c r="F15" i="74"/>
  <c r="G6" i="74"/>
  <c r="J28" i="46"/>
  <c r="D28" i="74"/>
  <c r="J15" i="74"/>
  <c r="C9" i="75"/>
  <c r="L28" i="74"/>
  <c r="F10" i="46"/>
  <c r="C28" i="74"/>
  <c r="G13" i="46"/>
  <c r="J13" i="74"/>
  <c r="F8" i="46"/>
  <c r="G10" i="74"/>
  <c r="C10" i="75"/>
  <c r="G10" i="46"/>
  <c r="F9" i="46"/>
  <c r="J26" i="75"/>
  <c r="J8" i="74"/>
  <c r="D13" i="74"/>
  <c r="F14" i="46"/>
  <c r="D8" i="74"/>
  <c r="E28" i="74"/>
  <c r="G8" i="74"/>
  <c r="C7" i="82"/>
  <c r="D28" i="46"/>
  <c r="F7" i="46"/>
  <c r="E14" i="82"/>
  <c r="F10" i="74"/>
  <c r="J10" i="74"/>
  <c r="G28" i="46"/>
  <c r="E23" i="82"/>
  <c r="E10" i="82"/>
  <c r="C11" i="75"/>
  <c r="G25" i="82"/>
  <c r="C25" i="82"/>
  <c r="C8" i="82"/>
  <c r="G24" i="82"/>
  <c r="D11" i="74"/>
  <c r="G12" i="46"/>
  <c r="K10" i="74"/>
  <c r="K9" i="74"/>
  <c r="K8" i="74"/>
  <c r="K15" i="74"/>
  <c r="K7" i="74"/>
  <c r="K12" i="74"/>
  <c r="K13" i="74"/>
  <c r="K11" i="74"/>
  <c r="K14" i="74"/>
  <c r="K6" i="74"/>
  <c r="H13" i="74"/>
  <c r="H11" i="74"/>
  <c r="H12" i="74"/>
  <c r="H10" i="74"/>
  <c r="H15" i="74"/>
  <c r="H7" i="74"/>
  <c r="H6" i="74"/>
  <c r="H8" i="74"/>
  <c r="H14" i="74"/>
  <c r="H9" i="74"/>
  <c r="F13" i="46"/>
  <c r="G15" i="74"/>
  <c r="C6" i="75"/>
  <c r="E12" i="82"/>
  <c r="E25" i="82"/>
  <c r="L24" i="46"/>
  <c r="C5" i="82"/>
  <c r="C7" i="46"/>
  <c r="C6" i="82"/>
  <c r="D6" i="74"/>
  <c r="F11" i="74"/>
  <c r="G9" i="46"/>
  <c r="G11" i="46"/>
  <c r="J6" i="74"/>
  <c r="D14" i="74"/>
  <c r="D7" i="74"/>
  <c r="G6" i="46"/>
  <c r="H28" i="46"/>
  <c r="C14" i="75"/>
  <c r="G8" i="46"/>
  <c r="G13" i="74"/>
  <c r="E5" i="82"/>
  <c r="E24" i="82"/>
  <c r="C13" i="75"/>
  <c r="L24" i="74"/>
  <c r="C11" i="46"/>
  <c r="C9" i="82"/>
  <c r="C10" i="82"/>
  <c r="C12" i="82"/>
  <c r="D12" i="74"/>
  <c r="D15" i="74"/>
  <c r="F14" i="74"/>
  <c r="G7" i="46"/>
  <c r="J14" i="74"/>
  <c r="J9" i="74"/>
  <c r="E13" i="82"/>
  <c r="C7" i="75"/>
  <c r="C10" i="46"/>
  <c r="C13" i="82"/>
  <c r="C15" i="46"/>
  <c r="C23" i="82"/>
  <c r="J24" i="75"/>
  <c r="F28" i="74"/>
  <c r="E8" i="74"/>
  <c r="E6" i="74"/>
  <c r="E15" i="74"/>
  <c r="E7" i="74"/>
  <c r="E14" i="74"/>
  <c r="E13" i="74"/>
  <c r="E10" i="74"/>
  <c r="E9" i="74"/>
  <c r="E11" i="74"/>
  <c r="E12" i="74"/>
  <c r="C15" i="75"/>
  <c r="J25" i="76"/>
  <c r="C9" i="46"/>
  <c r="C14" i="46"/>
  <c r="C8" i="46"/>
  <c r="J10" i="46"/>
  <c r="J9" i="46"/>
  <c r="J8" i="46"/>
  <c r="J15" i="46"/>
  <c r="J7" i="46"/>
  <c r="J12" i="46"/>
  <c r="J14" i="46"/>
  <c r="J13" i="46"/>
  <c r="J6" i="46"/>
  <c r="J11" i="46"/>
  <c r="F15" i="46"/>
  <c r="G7" i="74"/>
  <c r="E7" i="82"/>
  <c r="E6" i="82"/>
  <c r="C12" i="75"/>
  <c r="L25" i="46"/>
  <c r="L25" i="74"/>
  <c r="C11" i="82"/>
  <c r="C12" i="46"/>
  <c r="D10" i="74"/>
  <c r="D9" i="74"/>
  <c r="F13" i="74"/>
  <c r="G15" i="46"/>
  <c r="J12" i="74"/>
  <c r="J11" i="74"/>
  <c r="L26" i="74"/>
  <c r="C10" i="74"/>
  <c r="C8" i="74"/>
  <c r="C9" i="74"/>
  <c r="D25" i="82"/>
  <c r="C15" i="74"/>
  <c r="C7" i="74"/>
  <c r="D23" i="82"/>
  <c r="D13" i="82"/>
  <c r="D11" i="82"/>
  <c r="D9" i="82"/>
  <c r="D7" i="82"/>
  <c r="D5" i="82"/>
  <c r="C12" i="74"/>
  <c r="D24" i="82"/>
  <c r="D12" i="82"/>
  <c r="D8" i="82"/>
  <c r="C13" i="74"/>
  <c r="C11" i="74"/>
  <c r="C6" i="74"/>
  <c r="C14" i="74"/>
  <c r="D14" i="82"/>
  <c r="D10" i="82"/>
  <c r="D6" i="82"/>
  <c r="C14" i="82"/>
  <c r="J25" i="75"/>
  <c r="L26" i="46"/>
  <c r="C24" i="82"/>
  <c r="G14" i="46"/>
  <c r="G28" i="74"/>
  <c r="C28" i="75"/>
  <c r="J28" i="75"/>
  <c r="G11" i="74"/>
  <c r="C8" i="75"/>
  <c r="G12" i="74"/>
  <c r="J24" i="76"/>
  <c r="D8" i="46"/>
  <c r="D14" i="46"/>
  <c r="D15" i="46"/>
  <c r="D7" i="46"/>
  <c r="D13" i="46"/>
  <c r="D10" i="46"/>
  <c r="D11" i="46"/>
  <c r="D12" i="46"/>
  <c r="D6" i="46"/>
  <c r="D9" i="46"/>
  <c r="E15" i="46"/>
  <c r="E7" i="46"/>
  <c r="E14" i="46"/>
  <c r="E6" i="46"/>
  <c r="E13" i="46"/>
  <c r="E12" i="46"/>
  <c r="E9" i="46"/>
  <c r="E11" i="46"/>
  <c r="E8" i="46"/>
  <c r="E10" i="46"/>
  <c r="C28" i="46"/>
  <c r="L28" i="46"/>
  <c r="G27" i="82"/>
  <c r="G9" i="74"/>
  <c r="E11" i="82"/>
  <c r="E8" i="82"/>
  <c r="C13" i="46"/>
  <c r="G23" i="82"/>
  <c r="C6" i="46"/>
  <c r="F8" i="74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4" i="73" l="1"/>
  <c r="K2" i="73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K9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40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6" i="1"/>
  <c r="K19" i="1"/>
  <c r="K57" i="1"/>
  <c r="K20" i="1"/>
  <c r="K21" i="1"/>
  <c r="K22" i="1"/>
  <c r="K23" i="1"/>
  <c r="K24" i="1"/>
  <c r="K25" i="1"/>
  <c r="K26" i="1"/>
  <c r="K27" i="1"/>
  <c r="K28" i="1"/>
  <c r="K29" i="1"/>
  <c r="K30" i="1"/>
  <c r="K58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75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N1" i="1" l="1"/>
  <c r="J10" i="72"/>
  <c r="J4" i="73"/>
  <c r="J3" i="71"/>
  <c r="J11" i="71"/>
  <c r="K2" i="26"/>
  <c r="N1" i="26" s="1"/>
  <c r="P1" i="26"/>
  <c r="O1" i="26"/>
  <c r="J4" i="71"/>
  <c r="J2" i="73"/>
  <c r="J11" i="72"/>
  <c r="J3" i="72"/>
  <c r="J2" i="26"/>
  <c r="J11" i="12"/>
  <c r="K3" i="73"/>
  <c r="N1" i="73" s="1"/>
  <c r="O1" i="73"/>
  <c r="P1" i="73"/>
  <c r="K2" i="70"/>
  <c r="N1" i="70" s="1"/>
  <c r="P1" i="70"/>
  <c r="O1" i="70"/>
  <c r="J7" i="72"/>
  <c r="J4" i="72"/>
  <c r="J8" i="72"/>
  <c r="K8" i="72"/>
  <c r="J6" i="72"/>
  <c r="J5" i="72"/>
  <c r="K2" i="72"/>
  <c r="O1" i="72"/>
  <c r="P1" i="72"/>
  <c r="K2" i="71"/>
  <c r="P1" i="71"/>
  <c r="O1" i="71"/>
  <c r="J10" i="71"/>
  <c r="J9" i="71"/>
  <c r="K9" i="71"/>
  <c r="J6" i="71"/>
  <c r="J8" i="71"/>
  <c r="J13" i="71"/>
  <c r="K13" i="71"/>
  <c r="J5" i="71"/>
  <c r="K5" i="71"/>
  <c r="J12" i="71"/>
  <c r="K12" i="71"/>
  <c r="K2" i="25"/>
  <c r="N1" i="25" s="1"/>
  <c r="P1" i="25"/>
  <c r="O1" i="25"/>
  <c r="N1" i="29"/>
  <c r="O1" i="29"/>
  <c r="P1" i="29"/>
  <c r="K10" i="19"/>
  <c r="N1" i="19" s="1"/>
  <c r="O1" i="19"/>
  <c r="P1" i="19"/>
  <c r="K2" i="27"/>
  <c r="N1" i="27" s="1"/>
  <c r="O1" i="27"/>
  <c r="P1" i="27"/>
  <c r="K2" i="23"/>
  <c r="N1" i="23" s="1"/>
  <c r="O1" i="23"/>
  <c r="P1" i="23"/>
  <c r="K2" i="16"/>
  <c r="N1" i="16" s="1"/>
  <c r="O1" i="16"/>
  <c r="P1" i="16"/>
  <c r="K2" i="21"/>
  <c r="N1" i="21" s="1"/>
  <c r="P1" i="21"/>
  <c r="N1" i="30"/>
  <c r="P1" i="30"/>
  <c r="O1" i="30"/>
  <c r="J3" i="20"/>
  <c r="J4" i="20"/>
  <c r="J2" i="20"/>
  <c r="K2" i="20"/>
  <c r="P1" i="20"/>
  <c r="O1" i="20"/>
  <c r="J6" i="20"/>
  <c r="J5" i="20"/>
  <c r="K2" i="28"/>
  <c r="O1" i="28"/>
  <c r="P1" i="28"/>
  <c r="J2" i="28"/>
  <c r="K2" i="24"/>
  <c r="N1" i="24" s="1"/>
  <c r="O1" i="24"/>
  <c r="P1" i="24"/>
  <c r="K2" i="17"/>
  <c r="N1" i="17" s="1"/>
  <c r="P1" i="17"/>
  <c r="O1" i="17"/>
  <c r="K2" i="22"/>
  <c r="N1" i="22" s="1"/>
  <c r="O1" i="22"/>
  <c r="P1" i="22"/>
  <c r="N1" i="67"/>
  <c r="O1" i="67"/>
  <c r="P1" i="67"/>
  <c r="N1" i="32"/>
  <c r="O1" i="32"/>
  <c r="P1" i="32"/>
  <c r="J7" i="15"/>
  <c r="K7" i="15"/>
  <c r="J4" i="15"/>
  <c r="K4" i="15"/>
  <c r="J8" i="15"/>
  <c r="K8" i="15"/>
  <c r="J3" i="15"/>
  <c r="J13" i="15"/>
  <c r="K13" i="15"/>
  <c r="J12" i="15"/>
  <c r="K12" i="15"/>
  <c r="K2" i="15"/>
  <c r="P1" i="15"/>
  <c r="O1" i="15"/>
  <c r="J5" i="15"/>
  <c r="K5" i="15"/>
  <c r="J9" i="15"/>
  <c r="K9" i="15"/>
  <c r="J11" i="15"/>
  <c r="K2" i="13"/>
  <c r="N1" i="13" s="1"/>
  <c r="P1" i="13"/>
  <c r="O1" i="13"/>
  <c r="K2" i="11"/>
  <c r="N1" i="11" s="1"/>
  <c r="P1" i="11"/>
  <c r="O1" i="11"/>
  <c r="N1" i="7"/>
  <c r="O1" i="7"/>
  <c r="P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P1" i="4"/>
  <c r="O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N1" i="66"/>
  <c r="O1" i="66"/>
  <c r="P1" i="66"/>
  <c r="N1" i="31"/>
  <c r="P1" i="31"/>
  <c r="O1" i="31"/>
  <c r="J3" i="14"/>
  <c r="J8" i="14"/>
  <c r="K8" i="14"/>
  <c r="J12" i="14"/>
  <c r="K12" i="14"/>
  <c r="J11" i="14"/>
  <c r="K11" i="14"/>
  <c r="K2" i="14"/>
  <c r="P1" i="14"/>
  <c r="O1" i="14"/>
  <c r="J4" i="14"/>
  <c r="K4" i="14"/>
  <c r="J10" i="14"/>
  <c r="K10" i="14"/>
  <c r="J5" i="14"/>
  <c r="K5" i="14"/>
  <c r="K2" i="12"/>
  <c r="P1" i="12"/>
  <c r="O1" i="12"/>
  <c r="J4" i="12"/>
  <c r="K4" i="12"/>
  <c r="J3" i="12"/>
  <c r="K3" i="12"/>
  <c r="J6" i="12"/>
  <c r="J5" i="12"/>
  <c r="K2" i="9"/>
  <c r="N1" i="9" s="1"/>
  <c r="P1" i="9"/>
  <c r="O1" i="9"/>
  <c r="K6" i="6"/>
  <c r="K2" i="6"/>
  <c r="J2" i="1"/>
  <c r="J2" i="6"/>
  <c r="P1" i="6"/>
  <c r="O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3" i="73"/>
  <c r="J2" i="71"/>
  <c r="D30" i="74"/>
  <c r="E30" i="46"/>
  <c r="F30" i="75"/>
  <c r="D30" i="75"/>
  <c r="H30" i="46"/>
  <c r="G30" i="76"/>
  <c r="K30" i="46"/>
  <c r="I30" i="75"/>
  <c r="C30" i="74"/>
  <c r="H30" i="74"/>
  <c r="E30" i="76"/>
  <c r="G30" i="46"/>
  <c r="K30" i="74"/>
  <c r="F30" i="74"/>
  <c r="J30" i="46"/>
  <c r="J30" i="74"/>
  <c r="I30" i="76"/>
  <c r="C30" i="75"/>
  <c r="H30" i="76"/>
  <c r="I30" i="46"/>
  <c r="C30" i="46"/>
  <c r="F30" i="46"/>
  <c r="F30" i="76"/>
  <c r="G30" i="74"/>
  <c r="G30" i="75"/>
  <c r="H30" i="75"/>
  <c r="E30" i="74"/>
  <c r="E30" i="75"/>
  <c r="D30" i="76"/>
  <c r="I30" i="74"/>
  <c r="N1" i="6" l="1"/>
  <c r="N1" i="14"/>
  <c r="AH1" i="1"/>
  <c r="S1" i="30"/>
  <c r="AC1" i="30" s="1"/>
  <c r="T1" i="29"/>
  <c r="AD1" i="29" s="1"/>
  <c r="W1" i="14"/>
  <c r="U1" i="29"/>
  <c r="AE1" i="29" s="1"/>
  <c r="X1" i="29"/>
  <c r="Z1" i="29" s="1"/>
  <c r="N1" i="72"/>
  <c r="S1" i="29"/>
  <c r="AC1" i="29" s="1"/>
  <c r="W1" i="27"/>
  <c r="Y1" i="27" s="1"/>
  <c r="AG1" i="22"/>
  <c r="R1" i="72"/>
  <c r="AB1" i="72" s="1"/>
  <c r="AG1" i="32"/>
  <c r="AG1" i="17"/>
  <c r="AG1" i="28"/>
  <c r="N1" i="20"/>
  <c r="AG1" i="16"/>
  <c r="AG1" i="72"/>
  <c r="AG1" i="70"/>
  <c r="AG1" i="21"/>
  <c r="AG1" i="20"/>
  <c r="N1" i="71"/>
  <c r="AG1" i="11"/>
  <c r="AG1" i="4"/>
  <c r="N1" i="15"/>
  <c r="N1" i="28"/>
  <c r="AG1" i="30"/>
  <c r="AG1" i="27"/>
  <c r="R1" i="30"/>
  <c r="AB1" i="30" s="1"/>
  <c r="N1" i="4"/>
  <c r="AG1" i="13"/>
  <c r="AG1" i="67"/>
  <c r="AG1" i="23"/>
  <c r="N1" i="12"/>
  <c r="AG1" i="24"/>
  <c r="AG1" i="19"/>
  <c r="V1" i="29"/>
  <c r="AF1" i="29" s="1"/>
  <c r="AG1" i="71"/>
  <c r="AG1" i="73"/>
  <c r="Q1" i="29"/>
  <c r="AA1" i="29" s="1"/>
  <c r="AG1" i="7"/>
  <c r="AG1" i="25"/>
  <c r="AG1" i="15"/>
  <c r="V1" i="27"/>
  <c r="AF1" i="27" s="1"/>
  <c r="AG1" i="29"/>
  <c r="X1" i="72"/>
  <c r="Z1" i="72" s="1"/>
  <c r="V1" i="72"/>
  <c r="AF1" i="72" s="1"/>
  <c r="W1" i="72"/>
  <c r="Y1" i="72" s="1"/>
  <c r="T1" i="72"/>
  <c r="AD1" i="72" s="1"/>
  <c r="W1" i="29"/>
  <c r="Y1" i="29" s="1"/>
  <c r="S1" i="14"/>
  <c r="T1" i="14"/>
  <c r="U1" i="14"/>
  <c r="V1" i="73"/>
  <c r="AF1" i="73" s="1"/>
  <c r="W1" i="73"/>
  <c r="Y1" i="73" s="1"/>
  <c r="U1" i="73"/>
  <c r="AE1" i="73" s="1"/>
  <c r="S1" i="73"/>
  <c r="AC1" i="73" s="1"/>
  <c r="Q1" i="73"/>
  <c r="AA1" i="73" s="1"/>
  <c r="X1" i="73"/>
  <c r="Z1" i="73" s="1"/>
  <c r="T1" i="73"/>
  <c r="AD1" i="73" s="1"/>
  <c r="R1" i="73"/>
  <c r="AB1" i="73" s="1"/>
  <c r="S1" i="72"/>
  <c r="AC1" i="72" s="1"/>
  <c r="U1" i="72"/>
  <c r="AE1" i="72" s="1"/>
  <c r="Q1" i="72"/>
  <c r="AA1" i="72" s="1"/>
  <c r="V1" i="71"/>
  <c r="AF1" i="71" s="1"/>
  <c r="U1" i="71"/>
  <c r="AE1" i="71" s="1"/>
  <c r="T1" i="71"/>
  <c r="AD1" i="71" s="1"/>
  <c r="S1" i="71"/>
  <c r="AC1" i="71" s="1"/>
  <c r="R1" i="71"/>
  <c r="AB1" i="71" s="1"/>
  <c r="Q1" i="71"/>
  <c r="AA1" i="71" s="1"/>
  <c r="X1" i="71"/>
  <c r="Z1" i="71" s="1"/>
  <c r="W1" i="71"/>
  <c r="Y1" i="71" s="1"/>
  <c r="R1" i="29"/>
  <c r="AB1" i="29" s="1"/>
  <c r="R1" i="27"/>
  <c r="AB1" i="27" s="1"/>
  <c r="S1" i="27"/>
  <c r="AC1" i="27" s="1"/>
  <c r="U1" i="27"/>
  <c r="AE1" i="27" s="1"/>
  <c r="T1" i="27"/>
  <c r="AD1" i="27" s="1"/>
  <c r="X1" i="27"/>
  <c r="Z1" i="27" s="1"/>
  <c r="Q1" i="27"/>
  <c r="AA1" i="27" s="1"/>
  <c r="T1" i="30"/>
  <c r="AD1" i="30" s="1"/>
  <c r="U1" i="30"/>
  <c r="AE1" i="30" s="1"/>
  <c r="V1" i="30"/>
  <c r="AF1" i="30" s="1"/>
  <c r="W1" i="30"/>
  <c r="Y1" i="30" s="1"/>
  <c r="X1" i="30"/>
  <c r="Z1" i="30" s="1"/>
  <c r="Q1" i="30"/>
  <c r="AA1" i="30" s="1"/>
  <c r="Q1" i="20"/>
  <c r="AA1" i="20" s="1"/>
  <c r="V1" i="20"/>
  <c r="AF1" i="20" s="1"/>
  <c r="U1" i="20"/>
  <c r="AE1" i="20" s="1"/>
  <c r="T1" i="20"/>
  <c r="AD1" i="20" s="1"/>
  <c r="S1" i="20"/>
  <c r="AC1" i="20" s="1"/>
  <c r="R1" i="20"/>
  <c r="AB1" i="20" s="1"/>
  <c r="X1" i="20"/>
  <c r="Z1" i="20" s="1"/>
  <c r="W1" i="20"/>
  <c r="Y1" i="20" s="1"/>
  <c r="U1" i="28"/>
  <c r="AE1" i="28" s="1"/>
  <c r="T1" i="28"/>
  <c r="AD1" i="28" s="1"/>
  <c r="R1" i="28"/>
  <c r="AB1" i="28" s="1"/>
  <c r="X1" i="28"/>
  <c r="Z1" i="28" s="1"/>
  <c r="W1" i="28"/>
  <c r="Y1" i="28" s="1"/>
  <c r="V1" i="28"/>
  <c r="AF1" i="28" s="1"/>
  <c r="S1" i="28"/>
  <c r="AC1" i="28" s="1"/>
  <c r="Q1" i="28"/>
  <c r="AA1" i="28" s="1"/>
  <c r="Q1" i="67"/>
  <c r="AA1" i="67" s="1"/>
  <c r="T1" i="67"/>
  <c r="AD1" i="67" s="1"/>
  <c r="X1" i="67"/>
  <c r="Z1" i="67" s="1"/>
  <c r="V1" i="67"/>
  <c r="AF1" i="67" s="1"/>
  <c r="U1" i="67"/>
  <c r="AE1" i="67" s="1"/>
  <c r="S1" i="67"/>
  <c r="AC1" i="67" s="1"/>
  <c r="R1" i="67"/>
  <c r="AB1" i="67" s="1"/>
  <c r="W1" i="67"/>
  <c r="Y1" i="67" s="1"/>
  <c r="U1" i="15"/>
  <c r="AE1" i="15" s="1"/>
  <c r="T1" i="15"/>
  <c r="AD1" i="15" s="1"/>
  <c r="V1" i="15"/>
  <c r="AF1" i="15" s="1"/>
  <c r="S1" i="15"/>
  <c r="AC1" i="15" s="1"/>
  <c r="R1" i="15"/>
  <c r="AB1" i="15" s="1"/>
  <c r="Q1" i="15"/>
  <c r="AA1" i="15" s="1"/>
  <c r="X1" i="15"/>
  <c r="Z1" i="15" s="1"/>
  <c r="W1" i="15"/>
  <c r="Y1" i="15" s="1"/>
  <c r="U1" i="4"/>
  <c r="AE1" i="4" s="1"/>
  <c r="S1" i="4"/>
  <c r="AC1" i="4" s="1"/>
  <c r="X1" i="4"/>
  <c r="Z1" i="4" s="1"/>
  <c r="W1" i="4"/>
  <c r="Y1" i="4" s="1"/>
  <c r="T1" i="4"/>
  <c r="AD1" i="4" s="1"/>
  <c r="Q1" i="4"/>
  <c r="AA1" i="4" s="1"/>
  <c r="V1" i="4"/>
  <c r="AF1" i="4" s="1"/>
  <c r="R1" i="4"/>
  <c r="AB1" i="4" s="1"/>
  <c r="X1" i="14"/>
  <c r="Q1" i="14"/>
  <c r="R1" i="14"/>
  <c r="V1" i="14"/>
  <c r="U1" i="12"/>
  <c r="R1" i="12"/>
  <c r="T1" i="12"/>
  <c r="X1" i="12"/>
  <c r="V1" i="12"/>
  <c r="S1" i="12"/>
  <c r="Q1" i="12"/>
  <c r="W1" i="12"/>
  <c r="J4" i="70" l="1"/>
  <c r="J3" i="70"/>
  <c r="J2" i="70"/>
  <c r="U1" i="70" l="1"/>
  <c r="AE1" i="70" s="1"/>
  <c r="V1" i="70"/>
  <c r="AF1" i="70" s="1"/>
  <c r="S1" i="70"/>
  <c r="AC1" i="70" s="1"/>
  <c r="R1" i="70"/>
  <c r="AB1" i="70" s="1"/>
  <c r="Q1" i="70"/>
  <c r="AA1" i="70" s="1"/>
  <c r="X1" i="70"/>
  <c r="Z1" i="70" s="1"/>
  <c r="W1" i="70"/>
  <c r="Y1" i="70" s="1"/>
  <c r="T1" i="70"/>
  <c r="AD1" i="70" s="1"/>
  <c r="AH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V1" i="66"/>
  <c r="U1" i="66"/>
  <c r="S1" i="66"/>
  <c r="X1" i="66"/>
  <c r="W1" i="66"/>
  <c r="T1" i="66"/>
  <c r="R1" i="66"/>
  <c r="AB1" i="66" s="1"/>
  <c r="Q1" i="66"/>
  <c r="AG1" i="66"/>
  <c r="Y1" i="66" l="1"/>
  <c r="AF1" i="66"/>
  <c r="AE1" i="66"/>
  <c r="AD1" i="66"/>
  <c r="AC1" i="66"/>
  <c r="Z1" i="66"/>
  <c r="AA1" i="66" l="1"/>
  <c r="AH1" i="67"/>
  <c r="AI1" i="67" l="1"/>
  <c r="AH1" i="66"/>
  <c r="AI1" i="66" s="1"/>
  <c r="N8" i="46"/>
  <c r="P13" i="46"/>
  <c r="Q12" i="46"/>
  <c r="O13" i="46"/>
  <c r="AH1" i="25"/>
  <c r="AH1" i="28"/>
  <c r="AI1" i="28" s="1"/>
  <c r="AH1" i="29"/>
  <c r="AI1" i="29" s="1"/>
  <c r="AH1" i="27"/>
  <c r="AI1" i="27" s="1"/>
  <c r="AH1" i="23"/>
  <c r="AH1" i="30"/>
  <c r="AI1" i="30" s="1"/>
  <c r="AH1" i="24"/>
  <c r="AH1" i="17"/>
  <c r="AH1" i="16"/>
  <c r="AH1" i="19"/>
  <c r="AH1" i="20"/>
  <c r="AI1" i="20" s="1"/>
  <c r="AH1" i="21"/>
  <c r="AH1" i="22"/>
  <c r="AH1" i="26"/>
  <c r="AH1" i="15"/>
  <c r="AH1" i="32"/>
  <c r="AH1" i="11"/>
  <c r="AH1" i="13"/>
  <c r="AH1" i="70" l="1"/>
  <c r="AI1" i="70" s="1"/>
  <c r="AH1" i="7"/>
  <c r="AH1" i="73"/>
  <c r="AI1" i="73" s="1"/>
  <c r="AH1" i="71"/>
  <c r="AI1" i="71" s="1"/>
  <c r="AH1" i="4"/>
  <c r="AI1" i="4" s="1"/>
  <c r="AH1" i="72"/>
  <c r="AI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H1" i="31"/>
  <c r="AH1" i="9"/>
  <c r="AH1" i="12"/>
  <c r="AH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4" i="25"/>
  <c r="J5" i="25"/>
  <c r="J6" i="25"/>
  <c r="J7" i="25"/>
  <c r="J8" i="25"/>
  <c r="J9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S1" i="26" l="1"/>
  <c r="T1" i="26"/>
  <c r="R1" i="26"/>
  <c r="AB1" i="26" s="1"/>
  <c r="V1" i="26"/>
  <c r="AF1" i="26" s="1"/>
  <c r="U1" i="26"/>
  <c r="Q1" i="26"/>
  <c r="AA1" i="26" s="1"/>
  <c r="X1" i="26"/>
  <c r="Z1" i="26" s="1"/>
  <c r="W1" i="26"/>
  <c r="W1" i="25"/>
  <c r="Y1" i="25" s="1"/>
  <c r="T1" i="25"/>
  <c r="AD1" i="25" s="1"/>
  <c r="U1" i="25"/>
  <c r="AE1" i="25" s="1"/>
  <c r="S1" i="25"/>
  <c r="AC1" i="25" s="1"/>
  <c r="R1" i="25"/>
  <c r="AB1" i="25" s="1"/>
  <c r="Q1" i="25"/>
  <c r="AA1" i="25" s="1"/>
  <c r="X1" i="25"/>
  <c r="Z1" i="25" s="1"/>
  <c r="V1" i="25"/>
  <c r="AF1" i="25" s="1"/>
  <c r="AI1" i="25" l="1"/>
  <c r="AG1" i="26" l="1"/>
  <c r="AG1" i="6" l="1"/>
  <c r="AG1" i="14"/>
  <c r="AG1" i="9"/>
  <c r="AG1" i="31"/>
  <c r="AG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40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75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Q1" i="19" l="1"/>
  <c r="AA1" i="19" s="1"/>
  <c r="U1" i="19"/>
  <c r="AE1" i="19" s="1"/>
  <c r="X1" i="19"/>
  <c r="Z1" i="19" s="1"/>
  <c r="W1" i="19"/>
  <c r="Y1" i="19" s="1"/>
  <c r="V1" i="19"/>
  <c r="AF1" i="19" s="1"/>
  <c r="T1" i="19"/>
  <c r="AD1" i="19" s="1"/>
  <c r="S1" i="19"/>
  <c r="AC1" i="19" s="1"/>
  <c r="R1" i="19"/>
  <c r="AB1" i="19" s="1"/>
  <c r="W1" i="23"/>
  <c r="Y1" i="23" s="1"/>
  <c r="V1" i="23"/>
  <c r="AF1" i="23" s="1"/>
  <c r="R1" i="23"/>
  <c r="AB1" i="23" s="1"/>
  <c r="U1" i="23"/>
  <c r="AE1" i="23" s="1"/>
  <c r="T1" i="23"/>
  <c r="AD1" i="23" s="1"/>
  <c r="X1" i="23"/>
  <c r="Z1" i="23" s="1"/>
  <c r="S1" i="23"/>
  <c r="AC1" i="23" s="1"/>
  <c r="Q1" i="23"/>
  <c r="AA1" i="23" s="1"/>
  <c r="S1" i="16"/>
  <c r="AC1" i="16" s="1"/>
  <c r="R1" i="16"/>
  <c r="AB1" i="16" s="1"/>
  <c r="Q1" i="16"/>
  <c r="AA1" i="16" s="1"/>
  <c r="X1" i="16"/>
  <c r="Z1" i="16" s="1"/>
  <c r="W1" i="16"/>
  <c r="Y1" i="16" s="1"/>
  <c r="U1" i="16"/>
  <c r="AE1" i="16" s="1"/>
  <c r="T1" i="16"/>
  <c r="AD1" i="16" s="1"/>
  <c r="V1" i="16"/>
  <c r="AF1" i="16" s="1"/>
  <c r="W1" i="21"/>
  <c r="Y1" i="21" s="1"/>
  <c r="X1" i="21"/>
  <c r="Z1" i="21" s="1"/>
  <c r="V1" i="21"/>
  <c r="AF1" i="21" s="1"/>
  <c r="T1" i="21"/>
  <c r="AD1" i="21" s="1"/>
  <c r="R1" i="21"/>
  <c r="AB1" i="21" s="1"/>
  <c r="U1" i="21"/>
  <c r="AE1" i="21" s="1"/>
  <c r="S1" i="21"/>
  <c r="AC1" i="21" s="1"/>
  <c r="Q1" i="21"/>
  <c r="AA1" i="21" s="1"/>
  <c r="R1" i="24"/>
  <c r="AB1" i="24" s="1"/>
  <c r="V1" i="24"/>
  <c r="AF1" i="24" s="1"/>
  <c r="W1" i="24"/>
  <c r="Y1" i="24" s="1"/>
  <c r="S1" i="24"/>
  <c r="AC1" i="24" s="1"/>
  <c r="Q1" i="24"/>
  <c r="AA1" i="24" s="1"/>
  <c r="T1" i="24"/>
  <c r="AD1" i="24" s="1"/>
  <c r="X1" i="24"/>
  <c r="Z1" i="24" s="1"/>
  <c r="U1" i="24"/>
  <c r="AE1" i="24" s="1"/>
  <c r="U1" i="17"/>
  <c r="AE1" i="17" s="1"/>
  <c r="T1" i="17"/>
  <c r="AD1" i="17" s="1"/>
  <c r="S1" i="17"/>
  <c r="AC1" i="17" s="1"/>
  <c r="R1" i="17"/>
  <c r="AB1" i="17" s="1"/>
  <c r="V1" i="17"/>
  <c r="AF1" i="17" s="1"/>
  <c r="Q1" i="17"/>
  <c r="AA1" i="17" s="1"/>
  <c r="X1" i="17"/>
  <c r="Z1" i="17" s="1"/>
  <c r="W1" i="17"/>
  <c r="Y1" i="17" s="1"/>
  <c r="Q1" i="22"/>
  <c r="AA1" i="22" s="1"/>
  <c r="W1" i="22"/>
  <c r="Y1" i="22" s="1"/>
  <c r="X1" i="22"/>
  <c r="Z1" i="22" s="1"/>
  <c r="T1" i="22"/>
  <c r="AD1" i="22" s="1"/>
  <c r="V1" i="22"/>
  <c r="AF1" i="22" s="1"/>
  <c r="U1" i="22"/>
  <c r="AE1" i="22" s="1"/>
  <c r="S1" i="22"/>
  <c r="AC1" i="22" s="1"/>
  <c r="R1" i="22"/>
  <c r="AB1" i="22" s="1"/>
  <c r="V1" i="32"/>
  <c r="AF1" i="32" s="1"/>
  <c r="R1" i="32"/>
  <c r="AB1" i="32" s="1"/>
  <c r="Q1" i="32"/>
  <c r="AA1" i="32" s="1"/>
  <c r="X1" i="32"/>
  <c r="Z1" i="32" s="1"/>
  <c r="W1" i="32"/>
  <c r="Y1" i="32" s="1"/>
  <c r="U1" i="32"/>
  <c r="AE1" i="32" s="1"/>
  <c r="T1" i="32"/>
  <c r="AD1" i="32" s="1"/>
  <c r="S1" i="32"/>
  <c r="AC1" i="32" s="1"/>
  <c r="Q1" i="13"/>
  <c r="AA1" i="13" s="1"/>
  <c r="T1" i="13"/>
  <c r="AD1" i="13" s="1"/>
  <c r="X1" i="13"/>
  <c r="Z1" i="13" s="1"/>
  <c r="W1" i="13"/>
  <c r="Y1" i="13" s="1"/>
  <c r="V1" i="13"/>
  <c r="AF1" i="13" s="1"/>
  <c r="U1" i="13"/>
  <c r="AE1" i="13" s="1"/>
  <c r="S1" i="13"/>
  <c r="AC1" i="13" s="1"/>
  <c r="R1" i="13"/>
  <c r="AB1" i="13" s="1"/>
  <c r="U1" i="11"/>
  <c r="AE1" i="11" s="1"/>
  <c r="S1" i="11"/>
  <c r="AC1" i="11" s="1"/>
  <c r="R1" i="11"/>
  <c r="AB1" i="11" s="1"/>
  <c r="T1" i="11"/>
  <c r="AD1" i="11" s="1"/>
  <c r="X1" i="11"/>
  <c r="Z1" i="11" s="1"/>
  <c r="W1" i="11"/>
  <c r="Y1" i="11" s="1"/>
  <c r="Q1" i="11"/>
  <c r="AA1" i="11" s="1"/>
  <c r="V1" i="11"/>
  <c r="AF1" i="11" s="1"/>
  <c r="Q1" i="7"/>
  <c r="AA1" i="7" s="1"/>
  <c r="U1" i="7"/>
  <c r="AE1" i="7" s="1"/>
  <c r="S1" i="7"/>
  <c r="AC1" i="7" s="1"/>
  <c r="X1" i="7"/>
  <c r="Z1" i="7" s="1"/>
  <c r="T1" i="7"/>
  <c r="AD1" i="7" s="1"/>
  <c r="R1" i="7"/>
  <c r="AB1" i="7" s="1"/>
  <c r="W1" i="7"/>
  <c r="Y1" i="7" s="1"/>
  <c r="V1" i="7"/>
  <c r="AF1" i="7" s="1"/>
  <c r="Q1" i="31"/>
  <c r="V1" i="31"/>
  <c r="AF1" i="31" s="1"/>
  <c r="S1" i="31"/>
  <c r="AC1" i="31" s="1"/>
  <c r="X1" i="31"/>
  <c r="Z1" i="31" s="1"/>
  <c r="U1" i="31"/>
  <c r="AE1" i="31" s="1"/>
  <c r="R1" i="31"/>
  <c r="AB1" i="31" s="1"/>
  <c r="W1" i="31"/>
  <c r="Y1" i="31" s="1"/>
  <c r="T1" i="31"/>
  <c r="AD1" i="31" s="1"/>
  <c r="W1" i="9"/>
  <c r="Y1" i="9" s="1"/>
  <c r="R1" i="9"/>
  <c r="AB1" i="9" s="1"/>
  <c r="V1" i="9"/>
  <c r="AF1" i="9" s="1"/>
  <c r="U1" i="9"/>
  <c r="AE1" i="9" s="1"/>
  <c r="X1" i="9"/>
  <c r="Z1" i="9" s="1"/>
  <c r="T1" i="9"/>
  <c r="AD1" i="9" s="1"/>
  <c r="S1" i="9"/>
  <c r="AC1" i="9" s="1"/>
  <c r="Q1" i="9"/>
  <c r="T1" i="6"/>
  <c r="AD1" i="6" s="1"/>
  <c r="S1" i="6"/>
  <c r="AC1" i="6" s="1"/>
  <c r="W1" i="6"/>
  <c r="Y1" i="6" s="1"/>
  <c r="R1" i="6"/>
  <c r="AB1" i="6" s="1"/>
  <c r="Q1" i="6"/>
  <c r="X1" i="6"/>
  <c r="Z1" i="6" s="1"/>
  <c r="V1" i="6"/>
  <c r="AF1" i="6" s="1"/>
  <c r="U1" i="6"/>
  <c r="AE1" i="6" s="1"/>
  <c r="Y1" i="12"/>
  <c r="Z1" i="12"/>
  <c r="Z1" i="14"/>
  <c r="Y1" i="14"/>
  <c r="AD1" i="14"/>
  <c r="AF1" i="14"/>
  <c r="AD1" i="12"/>
  <c r="AF1" i="12"/>
  <c r="AE1" i="26"/>
  <c r="AD1" i="26"/>
  <c r="Y1" i="26"/>
  <c r="AC1" i="26"/>
  <c r="AE1" i="12"/>
  <c r="AC1" i="12"/>
  <c r="AB1" i="12"/>
  <c r="AE1" i="14"/>
  <c r="AC1" i="14"/>
  <c r="AB1" i="14"/>
  <c r="AI1" i="21" l="1"/>
  <c r="AI1" i="26"/>
  <c r="AI1" i="19"/>
  <c r="AI1" i="23"/>
  <c r="AI1" i="16"/>
  <c r="AI1" i="24"/>
  <c r="AI1" i="17"/>
  <c r="AI1" i="22"/>
  <c r="AI1" i="7"/>
  <c r="AI1" i="13"/>
  <c r="AI1" i="11"/>
  <c r="AI1" i="15"/>
  <c r="AI1" i="32"/>
  <c r="AA1" i="14"/>
  <c r="AI1" i="14" s="1"/>
  <c r="AA1" i="31"/>
  <c r="AI1" i="31" s="1"/>
  <c r="AA1" i="12"/>
  <c r="AI1" i="12" s="1"/>
  <c r="AA1" i="6"/>
  <c r="AI1" i="6" s="1"/>
  <c r="AA1" i="9"/>
  <c r="AI1" i="9" s="1"/>
  <c r="J34" i="1"/>
  <c r="J36" i="1"/>
  <c r="J41" i="1"/>
  <c r="J18" i="1"/>
  <c r="J6" i="1"/>
  <c r="J39" i="1"/>
  <c r="J28" i="1"/>
  <c r="J4" i="1"/>
  <c r="J21" i="1"/>
  <c r="J10" i="1"/>
  <c r="J13" i="1"/>
  <c r="J20" i="1"/>
  <c r="J44" i="1"/>
  <c r="AG1" i="1" l="1"/>
  <c r="J57" i="1"/>
  <c r="J11" i="1" l="1"/>
  <c r="J32" i="1"/>
  <c r="J23" i="1"/>
  <c r="J14" i="1"/>
  <c r="J45" i="1"/>
  <c r="J29" i="1"/>
  <c r="J19" i="1"/>
  <c r="J8" i="1"/>
  <c r="J31" i="1"/>
  <c r="J37" i="1"/>
  <c r="J25" i="1"/>
  <c r="J16" i="1"/>
  <c r="J3" i="1"/>
  <c r="J33" i="1"/>
  <c r="J40" i="1"/>
  <c r="J26" i="1"/>
  <c r="J17" i="1"/>
  <c r="J5" i="1"/>
  <c r="J43" i="1"/>
  <c r="J58" i="1"/>
  <c r="J12" i="1"/>
  <c r="J42" i="1"/>
  <c r="J27" i="1"/>
  <c r="J56" i="1"/>
  <c r="J7" i="1"/>
  <c r="J35" i="1"/>
  <c r="J24" i="1"/>
  <c r="J15" i="1"/>
  <c r="J38" i="1"/>
  <c r="J30" i="1"/>
  <c r="J22" i="1"/>
  <c r="J9" i="1"/>
  <c r="X1" i="1" l="1"/>
  <c r="Z1" i="1" s="1"/>
  <c r="S1" i="1"/>
  <c r="AC1" i="1" s="1"/>
  <c r="W1" i="1"/>
  <c r="Y1" i="1" s="1"/>
  <c r="U1" i="1"/>
  <c r="AE1" i="1" s="1"/>
  <c r="V1" i="1"/>
  <c r="AF1" i="1" s="1"/>
  <c r="T1" i="1"/>
  <c r="AD1" i="1" s="1"/>
  <c r="R1" i="1"/>
  <c r="AB1" i="1" s="1"/>
  <c r="Q1" i="1"/>
  <c r="AA1" i="1" l="1"/>
  <c r="AI1" i="1" s="1"/>
</calcChain>
</file>

<file path=xl/comments1.xml><?xml version="1.0" encoding="utf-8"?>
<comments xmlns="http://schemas.openxmlformats.org/spreadsheetml/2006/main">
  <authors>
    <author>yun</author>
  </authors>
  <commentList>
    <comment ref="B18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>
  <connection id="1" keepAlive="1" name="abm2_f4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<sst xmlns="http://schemas.openxmlformats.org/spreadsheetml/2006/main" count="4833" uniqueCount="509">
  <si>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</si>
  <si>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</si>
  <si>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</si>
  <si>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</si>
  <si>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</si>
  <si>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</si>
  <si>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</si>
  <si>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</si>
  <si>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</si>
  <si>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</si>
  <si>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</si>
  <si>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</si>
  <si>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</si>
  <si>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</si>
  <si>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</si>
  <si>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</si>
  <si>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</si>
  <si>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</si>
  <si>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</si>
  <si>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</si>
  <si>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</si>
  <si>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</si>
  <si>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</si>
  <si>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</si>
  <si>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</si>
  <si>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</si>
  <si>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</si>
  <si>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</si>
  <si>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</si>
  <si>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</si>
  <si>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</si>
  <si>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</si>
  <si>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</si>
  <si>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</si>
  <si>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</si>
  <si>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</si>
  <si>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</si>
  <si>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</si>
  <si>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</si>
  <si>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</si>
  <si>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</si>
  <si>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</si>
  <si>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</si>
  <si>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</si>
  <si>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</si>
  <si>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</si>
  <si>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</si>
  <si>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</si>
  <si>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</si>
  <si>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</si>
  <si>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</si>
  <si>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</si>
  <si>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</si>
  <si>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</si>
  <si>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</si>
  <si>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</si>
  <si>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</si>
  <si>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</si>
  <si>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</si>
  <si>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</si>
  <si>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</si>
  <si>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</si>
  <si>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</si>
  <si>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</si>
  <si>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</si>
  <si>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</si>
  <si>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</si>
  <si>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</si>
  <si>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</si>
  <si>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</si>
  <si>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</si>
  <si>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</si>
  <si>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</si>
  <si>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</si>
  <si>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</si>
  <si>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</si>
  <si>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</si>
  <si>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</si>
  <si>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</si>
  <si>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</si>
  <si>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</si>
  <si>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</si>
  <si>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</si>
  <si>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</si>
  <si>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</si>
  <si>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</si>
  <si>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</si>
  <si>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</si>
  <si>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</si>
  <si>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</si>
  <si>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</si>
  <si>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</si>
  <si>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</si>
  <si>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</si>
  <si>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</si>
  <si>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</si>
  <si>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</si>
  <si>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</si>
  <si>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</si>
  <si>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</si>
  <si>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</si>
  <si>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</si>
  <si>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</si>
  <si>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</si>
  <si>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</si>
  <si>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</si>
  <si>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</si>
  <si>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</si>
  <si>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</si>
  <si>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</si>
  <si>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</si>
  <si>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</si>
  <si>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</si>
  <si>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</si>
  <si>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</si>
  <si>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</si>
  <si>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</si>
  <si>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</si>
  <si>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</si>
  <si>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</si>
  <si>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</si>
  <si>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</si>
  <si>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</si>
  <si>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</si>
  <si>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</si>
  <si>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</si>
  <si>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</si>
  <si>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</si>
  <si>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</si>
  <si>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</si>
  <si>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</si>
  <si>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</si>
  <si>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</si>
  <si>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</si>
  <si>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</si>
  <si>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</si>
  <si>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</si>
  <si>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</si>
  <si>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</si>
  <si>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</si>
  <si>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</si>
  <si>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</si>
  <si>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</si>
  <si>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</si>
  <si>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</si>
  <si>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</si>
  <si>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</si>
  <si>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</si>
  <si>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</si>
  <si>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</si>
  <si>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</si>
  <si>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</si>
  <si>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</si>
  <si>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</si>
  <si>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</si>
  <si>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</si>
  <si>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</si>
  <si>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</si>
  <si>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</si>
  <si>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</si>
  <si>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</si>
  <si>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</si>
  <si>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</si>
  <si>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</si>
  <si>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</si>
  <si>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</si>
  <si>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</si>
  <si>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</si>
  <si>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</si>
  <si>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</si>
  <si>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</si>
  <si>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</si>
  <si>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</si>
  <si>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</si>
  <si>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</si>
  <si>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</si>
  <si>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</si>
  <si>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</si>
  <si>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</si>
  <si>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</si>
  <si>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</si>
  <si>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</si>
  <si>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</si>
  <si>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</si>
  <si>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</si>
  <si>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</si>
  <si>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</si>
  <si>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</si>
  <si>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</si>
  <si>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</si>
  <si>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</si>
  <si>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</si>
  <si>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</si>
  <si>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</si>
  <si>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</si>
  <si>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</si>
  <si>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</si>
  <si>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</si>
  <si>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</si>
  <si>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</si>
  <si>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</si>
  <si>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</si>
  <si>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</si>
  <si>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</si>
  <si>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</si>
  <si>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</si>
  <si>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</si>
  <si>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</si>
  <si>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</si>
  <si>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</si>
  <si>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</si>
  <si>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</si>
  <si>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</si>
  <si>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</si>
  <si>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</si>
  <si>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</si>
  <si>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</si>
  <si>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</si>
  <si>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</si>
  <si>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</si>
  <si>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</si>
  <si>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</si>
  <si>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</si>
  <si>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</si>
  <si>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</si>
  <si>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</si>
  <si>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</si>
  <si>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</si>
  <si>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</si>
  <si>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</si>
  <si>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</si>
  <si>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</si>
  <si>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</si>
  <si>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</si>
  <si>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</si>
  <si>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</si>
  <si>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</si>
  <si>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</si>
  <si>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</si>
  <si>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</si>
  <si>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</si>
  <si>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</si>
  <si>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</si>
  <si>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</si>
  <si>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</si>
  <si>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</si>
  <si>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</si>
  <si>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</si>
  <si>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</si>
  <si>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</si>
  <si>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</si>
  <si>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</si>
  <si>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</si>
  <si>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</si>
  <si>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</si>
  <si>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</si>
  <si>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</si>
  <si>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</si>
  <si>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</si>
  <si>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</si>
  <si>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</si>
  <si>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</si>
  <si>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</si>
  <si>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</si>
  <si>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</si>
  <si>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</si>
  <si>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</si>
  <si>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</si>
  <si>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</si>
  <si>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</si>
  <si>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</si>
  <si>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</si>
  <si>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</si>
  <si>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</si>
  <si>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</si>
  <si>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</si>
  <si>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</si>
  <si>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</si>
  <si>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</si>
  <si>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</si>
  <si>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</si>
  <si>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</si>
  <si>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</si>
  <si>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</si>
  <si>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</si>
  <si>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</si>
  <si>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</si>
  <si>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</si>
  <si>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</si>
  <si>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</si>
  <si>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</si>
  <si>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</si>
  <si>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</si>
  <si>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</si>
  <si>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</si>
  <si>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</si>
  <si>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</si>
  <si>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</si>
  <si>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</si>
  <si>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</si>
  <si>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</si>
  <si>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</si>
  <si>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</si>
  <si>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</si>
  <si>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</si>
  <si>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</si>
  <si>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</si>
  <si>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</si>
  <si>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</si>
  <si>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</si>
  <si>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>Steps to update the validation result:</t>
  </si>
  <si>
    <t xml:space="preserve">Author </t>
  </si>
  <si>
    <t>yma@sandag.org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</si>
  <si>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</si>
  <si>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</si>
  <si>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</si>
  <si>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</si>
  <si>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</si>
  <si>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</si>
  <si>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t xml:space="preserve">The datasource connection might take several minutes... </t>
  </si>
  <si>
    <t>All the rest will be updated automatically.</t>
  </si>
  <si>
    <t>Scenario_id</t>
  </si>
  <si>
    <t>Input Scenario_id in cell $c$2, which has to be for year 2016.</t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</si>
  <si>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</si>
  <si>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</si>
  <si>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</si>
  <si>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</si>
  <si>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</si>
  <si>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</si>
  <si>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</si>
  <si>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</si>
  <si>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</si>
  <si>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</si>
  <si>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</si>
  <si>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</si>
  <si>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</si>
  <si>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</si>
  <si>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</si>
  <si>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</si>
  <si>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</si>
  <si>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</si>
  <si>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</si>
  <si>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</si>
  <si>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</si>
  <si>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</si>
  <si>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</si>
  <si>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</si>
  <si>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</si>
  <si>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</si>
  <si>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</si>
  <si>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</si>
  <si>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</si>
  <si>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</si>
  <si>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</si>
  <si>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</si>
  <si>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</si>
  <si>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</si>
  <si>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</si>
  <si>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</si>
  <si>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</si>
  <si>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</si>
  <si>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</si>
  <si>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</si>
  <si>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</si>
  <si>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</si>
  <si>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</si>
  <si>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</si>
  <si>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</si>
  <si>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</si>
  <si>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</si>
  <si>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</si>
  <si>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</si>
  <si>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</si>
  <si>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</si>
  <si>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</si>
  <si>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</si>
  <si>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</si>
  <si>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</si>
  <si>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</si>
  <si>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</si>
  <si>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</si>
  <si>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</si>
  <si>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</si>
  <si>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</si>
  <si>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</si>
  <si>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</si>
  <si>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</si>
  <si>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</si>
  <si>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</si>
  <si>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</si>
  <si>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</si>
  <si>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</si>
  <si>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</si>
  <si>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</si>
  <si>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</si>
  <si>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</si>
  <si>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</si>
  <si>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</si>
  <si>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</si>
  <si>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</si>
  <si>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</si>
  <si>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</si>
  <si>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</si>
  <si>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</si>
  <si>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</si>
  <si>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</si>
  <si>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</si>
  <si>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</si>
  <si>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</si>
  <si>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</si>
  <si>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</si>
  <si>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The counts are PM basis - average annaul weekday PM counts of 2016 (excluding holidays).</t>
  </si>
  <si>
    <t>F_tcov_id</t>
  </si>
  <si>
    <t>F_name</t>
  </si>
  <si>
    <t>F_name_fro</t>
  </si>
  <si>
    <t>F_name_to</t>
  </si>
  <si>
    <t>FWY</t>
  </si>
  <si>
    <t>Length_1</t>
  </si>
  <si>
    <t>source</t>
  </si>
  <si>
    <t>abs_gap</t>
  </si>
  <si>
    <t>GAPwAdjac</t>
  </si>
  <si>
    <t>COMMENTS</t>
  </si>
  <si>
    <t>flag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</si>
  <si>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</si>
  <si>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</si>
  <si>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</si>
  <si>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</si>
  <si>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</si>
  <si>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</si>
  <si>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</si>
  <si>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</si>
  <si>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56</t>
  </si>
  <si>
    <t>Caltran</t>
  </si>
  <si>
    <t>40b</t>
  </si>
  <si>
    <t>REMOVE: Count may be  in a different location within all the transitions between I-5 and SR56</t>
  </si>
  <si>
    <t>52</t>
  </si>
  <si>
    <t>15b</t>
  </si>
  <si>
    <t>REMOVE: PeMS count may be from outside IC</t>
  </si>
  <si>
    <t>8</t>
  </si>
  <si>
    <t>31b</t>
  </si>
  <si>
    <t>REMOVE: PeMS count may be before I-15 ramp to I-008</t>
  </si>
  <si>
    <t>15</t>
  </si>
  <si>
    <t>SANDAG</t>
  </si>
  <si>
    <t>06b</t>
  </si>
  <si>
    <t>REMOVE: Count location is between HOV access link off-ramp</t>
  </si>
  <si>
    <t>13b</t>
  </si>
  <si>
    <t>REMOVE: SANDAG count may include HOV counts</t>
  </si>
  <si>
    <t>25b</t>
  </si>
  <si>
    <t>78</t>
  </si>
  <si>
    <t>03b</t>
  </si>
  <si>
    <t>REMOVE: Caltrans counts is likely taken before the IC</t>
  </si>
  <si>
    <t>02b</t>
  </si>
  <si>
    <t>REMOVE: PeMS count may be before off-ramp to eb SR008</t>
  </si>
  <si>
    <t>14b</t>
  </si>
  <si>
    <t>163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</si>
  <si>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</si>
  <si>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</si>
  <si>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</si>
  <si>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</si>
  <si>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</si>
  <si>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</si>
  <si>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</si>
  <si>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</si>
  <si>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</si>
  <si>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</si>
  <si>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</si>
  <si>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</si>
  <si>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</si>
  <si>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</si>
  <si>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21b</t>
  </si>
  <si>
    <t>16b</t>
  </si>
  <si>
    <t>PeMS station is further north next to link 987</t>
  </si>
  <si>
    <t>24b</t>
  </si>
  <si>
    <t>After ramp to nb 67</t>
  </si>
  <si>
    <t>I-5 HOV SB</t>
  </si>
  <si>
    <t>47a</t>
  </si>
  <si>
    <t>Use PeMS Station 20377 (15,530)</t>
  </si>
  <si>
    <t>51b</t>
  </si>
  <si>
    <t>Use PeMS Station 19284</t>
  </si>
  <si>
    <t>I-5 NB AUX LOCAL ACC</t>
  </si>
  <si>
    <t>45b</t>
  </si>
  <si>
    <t>Move to PeMS Station 15277</t>
  </si>
  <si>
    <t>905</t>
  </si>
  <si>
    <t>10b</t>
  </si>
  <si>
    <t>Caltrans counts are generally higher in the I-5,905 International border area</t>
  </si>
  <si>
    <t>17b</t>
  </si>
  <si>
    <t>18b</t>
  </si>
  <si>
    <t>IGNORE  Next to transition to HOV</t>
  </si>
  <si>
    <t>11b</t>
  </si>
  <si>
    <t>IGNORE  Next to transition to/from HOV</t>
  </si>
  <si>
    <t>01b</t>
  </si>
  <si>
    <t>45a</t>
  </si>
  <si>
    <t>x</t>
  </si>
  <si>
    <t>24a</t>
  </si>
  <si>
    <t>05a</t>
  </si>
  <si>
    <t>05b</t>
  </si>
  <si>
    <t>31a</t>
  </si>
  <si>
    <t>14c</t>
  </si>
  <si>
    <t>19a</t>
  </si>
  <si>
    <t>38a</t>
  </si>
  <si>
    <t>x3</t>
  </si>
  <si>
    <t>Column1</t>
  </si>
  <si>
    <t>Otay Mainline Toll Plaza</t>
  </si>
  <si>
    <t>Birch Road</t>
  </si>
  <si>
    <t>Olympic Parkway</t>
  </si>
  <si>
    <t>Otay Lakes Road</t>
  </si>
  <si>
    <t>East H Street</t>
  </si>
  <si>
    <t>San Miguel Ranch Road</t>
  </si>
  <si>
    <t>SR54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</si>
</sst>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</font>
    <font>
      <sz val="10"/>
      <color theme="0" tint="-0.249977111117893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0"/>
      <color rgb="FF000000"/>
      <name val="Calibri"/>
      <family val="2"/>
    </font>
    <font>
      <sz val="10"/>
      <color theme="4" tint="-0.249977111117893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</borders>
  <cellStyleXfs count="52831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486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15" fillId="0" borderId="0" xfId="0" applyNumberFormat="1" applyFon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6" fillId="8" borderId="0" xfId="0" applyFont="1" applyFill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42" fillId="0" borderId="0" xfId="52830" applyFont="1"/>
    <xf numFmtId="0" fontId="0" fillId="0" borderId="0" xfId="0" applyFont="1"/>
    <xf numFmtId="0" fontId="0" fillId="5" borderId="0" xfId="0" applyFill="1"/>
    <xf numFmtId="0" fontId="0" fillId="4" borderId="0" xfId="0" applyFill="1"/>
    <xf numFmtId="1" fontId="2" fillId="0" borderId="0" xfId="0" applyNumberFormat="1" applyFont="1"/>
    <xf numFmtId="167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2" fillId="6" borderId="0" xfId="0" applyNumberFormat="1" applyFont="1" applyFill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1" fontId="2" fillId="27" borderId="0" xfId="0" applyNumberFormat="1" applyFont="1" applyFill="1"/>
    <xf numFmtId="1" fontId="0" fillId="27" borderId="0" xfId="0" applyNumberForma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0" fontId="2" fillId="27" borderId="0" xfId="0" applyFont="1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0" fontId="43" fillId="0" borderId="0" xfId="0" applyFont="1"/>
    <xf numFmtId="1" fontId="43" fillId="0" borderId="0" xfId="0" applyNumberFormat="1" applyFont="1"/>
    <xf numFmtId="0" fontId="44" fillId="3" borderId="33" xfId="0" applyFont="1" applyFill="1" applyBorder="1"/>
    <xf numFmtId="0" fontId="44" fillId="3" borderId="35" xfId="0" applyFont="1" applyFill="1" applyBorder="1"/>
    <xf numFmtId="1" fontId="44" fillId="3" borderId="35" xfId="0" applyNumberFormat="1" applyFont="1" applyFill="1" applyBorder="1"/>
    <xf numFmtId="9" fontId="44" fillId="3" borderId="36" xfId="1" applyFont="1" applyFill="1" applyBorder="1"/>
    <xf numFmtId="0" fontId="44" fillId="3" borderId="0" xfId="0" applyFont="1" applyFill="1"/>
    <xf numFmtId="0" fontId="44" fillId="3" borderId="1" xfId="0" applyFont="1" applyFill="1" applyBorder="1"/>
    <xf numFmtId="0" fontId="44" fillId="3" borderId="0" xfId="0" applyFont="1" applyFill="1" applyBorder="1"/>
    <xf numFmtId="1" fontId="44" fillId="3" borderId="0" xfId="0" applyNumberFormat="1" applyFont="1" applyFill="1" applyBorder="1"/>
    <xf numFmtId="9" fontId="44" fillId="3" borderId="34" xfId="1" applyFont="1" applyFill="1" applyBorder="1"/>
    <xf numFmtId="0" fontId="44" fillId="0" borderId="0" xfId="0" applyFont="1"/>
    <xf numFmtId="0" fontId="44" fillId="0" borderId="0" xfId="0" applyFont="1" applyBorder="1"/>
    <xf numFmtId="0" fontId="44" fillId="0" borderId="0" xfId="0" applyFont="1" applyFill="1"/>
    <xf numFmtId="2" fontId="44" fillId="0" borderId="0" xfId="0" applyNumberFormat="1" applyFont="1" applyFill="1"/>
    <xf numFmtId="0" fontId="44" fillId="0" borderId="0" xfId="0" applyFont="1" applyFill="1" applyBorder="1"/>
    <xf numFmtId="1" fontId="44" fillId="0" borderId="0" xfId="0" applyNumberFormat="1" applyFont="1" applyFill="1" applyBorder="1"/>
    <xf numFmtId="9" fontId="44" fillId="0" borderId="0" xfId="1" applyNumberFormat="1" applyFont="1" applyFill="1" applyBorder="1"/>
    <xf numFmtId="0" fontId="9" fillId="0" borderId="0" xfId="0" applyNumberFormat="1" applyFont="1" applyFill="1" applyBorder="1"/>
    <xf numFmtId="2" fontId="9" fillId="0" borderId="0" xfId="0" applyNumberFormat="1" applyFont="1" applyFill="1" applyBorder="1"/>
    <xf numFmtId="0" fontId="45" fillId="0" borderId="0" xfId="0" applyFont="1" applyBorder="1"/>
    <xf numFmtId="1" fontId="46" fillId="0" borderId="0" xfId="0" applyNumberFormat="1" applyFont="1" applyBorder="1"/>
    <xf numFmtId="2" fontId="45" fillId="0" borderId="0" xfId="0" applyNumberFormat="1" applyFont="1" applyBorder="1"/>
    <xf numFmtId="1" fontId="45" fillId="0" borderId="0" xfId="0" applyNumberFormat="1" applyFont="1" applyBorder="1"/>
    <xf numFmtId="9" fontId="46" fillId="0" borderId="0" xfId="0" applyNumberFormat="1" applyFont="1" applyBorder="1"/>
    <xf numFmtId="9" fontId="44" fillId="0" borderId="0" xfId="0" applyNumberFormat="1" applyFont="1"/>
    <xf numFmtId="164" fontId="44" fillId="0" borderId="0" xfId="0" applyNumberFormat="1" applyFont="1"/>
    <xf numFmtId="0" fontId="46" fillId="0" borderId="0" xfId="0" applyFont="1"/>
    <xf numFmtId="0" fontId="45" fillId="0" borderId="0" xfId="0" applyFont="1" applyFill="1" applyBorder="1"/>
    <xf numFmtId="165" fontId="46" fillId="0" borderId="0" xfId="0" applyNumberFormat="1" applyFont="1"/>
    <xf numFmtId="2" fontId="45" fillId="0" borderId="0" xfId="0" applyNumberFormat="1" applyFont="1" applyFill="1" applyBorder="1"/>
    <xf numFmtId="1" fontId="45" fillId="0" borderId="0" xfId="0" applyNumberFormat="1" applyFont="1" applyFill="1" applyBorder="1"/>
    <xf numFmtId="9" fontId="46" fillId="0" borderId="0" xfId="0" applyNumberFormat="1" applyFont="1"/>
    <xf numFmtId="1" fontId="46" fillId="0" borderId="0" xfId="0" applyNumberFormat="1" applyFont="1"/>
    <xf numFmtId="1" fontId="46" fillId="0" borderId="0" xfId="0" applyNumberFormat="1" applyFont="1" applyFill="1"/>
    <xf numFmtId="9" fontId="18" fillId="0" borderId="0" xfId="0" applyNumberFormat="1" applyFont="1"/>
    <xf numFmtId="0" fontId="48" fillId="0" borderId="0" xfId="0" applyFont="1" applyFill="1" applyBorder="1"/>
    <xf numFmtId="165" fontId="44" fillId="0" borderId="0" xfId="0" applyNumberFormat="1" applyFont="1"/>
    <xf numFmtId="2" fontId="48" fillId="0" borderId="0" xfId="0" applyNumberFormat="1" applyFont="1" applyFill="1" applyBorder="1"/>
    <xf numFmtId="1" fontId="48" fillId="0" borderId="0" xfId="0" applyNumberFormat="1" applyFont="1" applyFill="1" applyBorder="1"/>
    <xf numFmtId="0" fontId="46" fillId="0" borderId="0" xfId="0" applyFont="1" applyFill="1"/>
    <xf numFmtId="0" fontId="46" fillId="0" borderId="0" xfId="0" applyFont="1" applyFill="1" applyBorder="1"/>
    <xf numFmtId="9" fontId="47" fillId="0" borderId="0" xfId="0" applyNumberFormat="1" applyFont="1" applyFill="1" applyBorder="1"/>
    <xf numFmtId="1" fontId="46" fillId="0" borderId="0" xfId="0" applyNumberFormat="1" applyFont="1" applyFill="1" applyBorder="1"/>
    <xf numFmtId="1" fontId="3" fillId="10" borderId="0" xfId="10" applyNumberFormat="1" applyFont="1"/>
    <xf numFmtId="1" fontId="49" fillId="0" borderId="0" xfId="0" applyNumberFormat="1" applyFont="1"/>
    <xf numFmtId="2" fontId="46" fillId="0" borderId="0" xfId="0" applyNumberFormat="1" applyFont="1"/>
    <xf numFmtId="9" fontId="27" fillId="0" borderId="0" xfId="0" applyNumberFormat="1" applyFont="1"/>
    <xf numFmtId="164" fontId="46" fillId="0" borderId="0" xfId="0" applyNumberFormat="1" applyFont="1"/>
    <xf numFmtId="0" fontId="50" fillId="0" borderId="0" xfId="0" applyFont="1"/>
    <xf numFmtId="1" fontId="50" fillId="0" borderId="0" xfId="0" applyNumberFormat="1" applyFont="1"/>
    <xf numFmtId="2" fontId="50" fillId="0" borderId="0" xfId="0" applyNumberFormat="1" applyFont="1"/>
    <xf numFmtId="0" fontId="20" fillId="0" borderId="0" xfId="0" applyFont="1"/>
    <xf numFmtId="1" fontId="20" fillId="0" borderId="0" xfId="0" applyNumberFormat="1" applyFont="1"/>
    <xf numFmtId="2" fontId="20" fillId="0" borderId="0" xfId="0" applyNumberFormat="1" applyFont="1"/>
    <xf numFmtId="0" fontId="20" fillId="0" borderId="0" xfId="0" applyFont="1" applyFill="1"/>
    <xf numFmtId="1" fontId="20" fillId="0" borderId="0" xfId="0" applyNumberFormat="1" applyFont="1" applyFill="1"/>
    <xf numFmtId="2" fontId="20" fillId="0" borderId="0" xfId="0" applyNumberFormat="1" applyFont="1" applyFill="1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</cellXfs>
  <cellStyles count="52831">
    <cellStyle name="20% - Accent1 10" xfId="2"/>
    <cellStyle name="20% - Accent1 10 10" xfId="3"/>
    <cellStyle name="20% - Accent1 10 10 2" xfId="4"/>
    <cellStyle name="20% - Accent1 10 11" xfId="5"/>
    <cellStyle name="20% - Accent1 10 2" xfId="6"/>
    <cellStyle name="20% - Accent1 10 2 10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2 2 2" xfId="28"/>
    <cellStyle name="20% - Accent1 10 2 3 2 2 3" xfId="29"/>
    <cellStyle name="20% - Accent1 10 2 3 2 3" xfId="30"/>
    <cellStyle name="20% - Accent1 10 2 3 2 3 2" xfId="31"/>
    <cellStyle name="20% - Accent1 10 2 3 2 4" xfId="32"/>
    <cellStyle name="20% - Accent1 10 2 3 3" xfId="33"/>
    <cellStyle name="20% - Accent1 10 2 3 3 2" xfId="34"/>
    <cellStyle name="20% - Accent1 10 2 3 3 2 2" xfId="35"/>
    <cellStyle name="20% - Accent1 10 2 3 3 3" xfId="36"/>
    <cellStyle name="20% - Accent1 10 2 3 4" xfId="37"/>
    <cellStyle name="20% - Accent1 10 2 3 4 2" xfId="38"/>
    <cellStyle name="20% - Accent1 10 2 3 5" xfId="39"/>
    <cellStyle name="20% - Accent1 10 2 4" xfId="40"/>
    <cellStyle name="20% - Accent1 10 2 4 2" xfId="41"/>
    <cellStyle name="20% - Accent1 10 2 4 2 2" xfId="42"/>
    <cellStyle name="20% - Accent1 10 2 4 2 2 2" xfId="43"/>
    <cellStyle name="20% - Accent1 10 2 4 2 2 2 2" xfId="44"/>
    <cellStyle name="20% - Accent1 10 2 4 2 2 3" xfId="45"/>
    <cellStyle name="20% - Accent1 10 2 4 2 3" xfId="46"/>
    <cellStyle name="20% - Accent1 10 2 4 2 3 2" xfId="47"/>
    <cellStyle name="20% - Accent1 10 2 4 2 4" xfId="48"/>
    <cellStyle name="20% - Accent1 10 2 4 3" xfId="49"/>
    <cellStyle name="20% - Accent1 10 2 4 3 2" xfId="50"/>
    <cellStyle name="20% - Accent1 10 2 4 3 2 2" xfId="51"/>
    <cellStyle name="20% - Accent1 10 2 4 3 3" xfId="52"/>
    <cellStyle name="20% - Accent1 10 2 4 4" xfId="53"/>
    <cellStyle name="20% - Accent1 10 2 4 4 2" xfId="54"/>
    <cellStyle name="20% - Accent1 10 2 4 5" xfId="55"/>
    <cellStyle name="20% - Accent1 10 2 5" xfId="56"/>
    <cellStyle name="20% - Accent1 10 2 5 2" xfId="57"/>
    <cellStyle name="20% - Accent1 10 2 5 2 2" xfId="58"/>
    <cellStyle name="20% - Accent1 10 2 5 2 2 2" xfId="59"/>
    <cellStyle name="20% - Accent1 10 2 5 2 2 2 2" xfId="60"/>
    <cellStyle name="20% - Accent1 10 2 5 2 2 3" xfId="61"/>
    <cellStyle name="20% - Accent1 10 2 5 2 3" xfId="62"/>
    <cellStyle name="20% - Accent1 10 2 5 2 3 2" xfId="63"/>
    <cellStyle name="20% - Accent1 10 2 5 2 4" xfId="64"/>
    <cellStyle name="20% - Accent1 10 2 5 3" xfId="65"/>
    <cellStyle name="20% - Accent1 10 2 5 3 2" xfId="66"/>
    <cellStyle name="20% - Accent1 10 2 5 3 2 2" xfId="67"/>
    <cellStyle name="20% - Accent1 10 2 5 3 3" xfId="68"/>
    <cellStyle name="20% - Accent1 10 2 5 4" xfId="69"/>
    <cellStyle name="20% - Accent1 10 2 5 4 2" xfId="70"/>
    <cellStyle name="20% - Accent1 10 2 5 5" xfId="71"/>
    <cellStyle name="20% - Accent1 10 2 6" xfId="72"/>
    <cellStyle name="20% - Accent1 10 2 6 2" xfId="73"/>
    <cellStyle name="20% - Accent1 10 2 6 2 2" xfId="74"/>
    <cellStyle name="20% - Accent1 10 2 6 2 2 2" xfId="75"/>
    <cellStyle name="20% - Accent1 10 2 6 2 2 2 2" xfId="76"/>
    <cellStyle name="20% - Accent1 10 2 6 2 2 3" xfId="77"/>
    <cellStyle name="20% - Accent1 10 2 6 2 3" xfId="78"/>
    <cellStyle name="20% - Accent1 10 2 6 2 3 2" xfId="79"/>
    <cellStyle name="20% - Accent1 10 2 6 2 4" xfId="80"/>
    <cellStyle name="20% - Accent1 10 2 6 3" xfId="81"/>
    <cellStyle name="20% - Accent1 10 2 6 3 2" xfId="82"/>
    <cellStyle name="20% - Accent1 10 2 6 3 2 2" xfId="83"/>
    <cellStyle name="20% - Accent1 10 2 6 3 3" xfId="84"/>
    <cellStyle name="20% - Accent1 10 2 6 4" xfId="85"/>
    <cellStyle name="20% - Accent1 10 2 6 4 2" xfId="86"/>
    <cellStyle name="20% - Accent1 10 2 6 5" xfId="87"/>
    <cellStyle name="20% - Accent1 10 2 7" xfId="88"/>
    <cellStyle name="20% - Accent1 10 2 7 2" xfId="89"/>
    <cellStyle name="20% - Accent1 10 2 7 2 2" xfId="90"/>
    <cellStyle name="20% - Accent1 10 2 7 2 2 2" xfId="91"/>
    <cellStyle name="20% - Accent1 10 2 7 2 3" xfId="92"/>
    <cellStyle name="20% - Accent1 10 2 7 3" xfId="93"/>
    <cellStyle name="20% - Accent1 10 2 7 3 2" xfId="94"/>
    <cellStyle name="20% - Accent1 10 2 7 4" xfId="95"/>
    <cellStyle name="20% - Accent1 10 2 8" xfId="96"/>
    <cellStyle name="20% - Accent1 10 2 8 2" xfId="97"/>
    <cellStyle name="20% - Accent1 10 2 8 2 2" xfId="98"/>
    <cellStyle name="20% - Accent1 10 2 8 3" xfId="99"/>
    <cellStyle name="20% - Accent1 10 2 9" xfId="100"/>
    <cellStyle name="20% - Accent1 10 2 9 2" xfId="101"/>
    <cellStyle name="20% - Accent1 10 3" xfId="102"/>
    <cellStyle name="20% - Accent1 10 3 2" xfId="103"/>
    <cellStyle name="20% - Accent1 10 3 2 2" xfId="104"/>
    <cellStyle name="20% - Accent1 10 3 2 2 2" xfId="105"/>
    <cellStyle name="20% - Accent1 10 3 2 2 2 2" xfId="106"/>
    <cellStyle name="20% - Accent1 10 3 2 2 3" xfId="107"/>
    <cellStyle name="20% - Accent1 10 3 2 3" xfId="108"/>
    <cellStyle name="20% - Accent1 10 3 2 3 2" xfId="109"/>
    <cellStyle name="20% - Accent1 10 3 2 4" xfId="110"/>
    <cellStyle name="20% - Accent1 10 3 3" xfId="111"/>
    <cellStyle name="20% - Accent1 10 3 3 2" xfId="112"/>
    <cellStyle name="20% - Accent1 10 3 3 2 2" xfId="113"/>
    <cellStyle name="20% - Accent1 10 3 3 3" xfId="114"/>
    <cellStyle name="20% - Accent1 10 3 4" xfId="115"/>
    <cellStyle name="20% - Accent1 10 3 4 2" xfId="116"/>
    <cellStyle name="20% - Accent1 10 3 5" xfId="117"/>
    <cellStyle name="20% - Accent1 10 4" xfId="118"/>
    <cellStyle name="20% - Accent1 10 4 2" xfId="119"/>
    <cellStyle name="20% - Accent1 10 4 2 2" xfId="120"/>
    <cellStyle name="20% - Accent1 10 4 2 2 2" xfId="121"/>
    <cellStyle name="20% - Accent1 10 4 2 2 2 2" xfId="122"/>
    <cellStyle name="20% - Accent1 10 4 2 2 3" xfId="123"/>
    <cellStyle name="20% - Accent1 10 4 2 3" xfId="124"/>
    <cellStyle name="20% - Accent1 10 4 2 3 2" xfId="125"/>
    <cellStyle name="20% - Accent1 10 4 2 4" xfId="126"/>
    <cellStyle name="20% - Accent1 10 4 3" xfId="127"/>
    <cellStyle name="20% - Accent1 10 4 3 2" xfId="128"/>
    <cellStyle name="20% - Accent1 10 4 3 2 2" xfId="129"/>
    <cellStyle name="20% - Accent1 10 4 3 3" xfId="130"/>
    <cellStyle name="20% - Accent1 10 4 4" xfId="131"/>
    <cellStyle name="20% - Accent1 10 4 4 2" xfId="132"/>
    <cellStyle name="20% - Accent1 10 4 5" xfId="133"/>
    <cellStyle name="20% - Accent1 10 5" xfId="134"/>
    <cellStyle name="20% - Accent1 10 5 2" xfId="135"/>
    <cellStyle name="20% - Accent1 10 5 2 2" xfId="136"/>
    <cellStyle name="20% - Accent1 10 5 2 2 2" xfId="137"/>
    <cellStyle name="20% - Accent1 10 5 2 2 2 2" xfId="138"/>
    <cellStyle name="20% - Accent1 10 5 2 2 3" xfId="139"/>
    <cellStyle name="20% - Accent1 10 5 2 3" xfId="140"/>
    <cellStyle name="20% - Accent1 10 5 2 3 2" xfId="141"/>
    <cellStyle name="20% - Accent1 10 5 2 4" xfId="142"/>
    <cellStyle name="20% - Accent1 10 5 3" xfId="143"/>
    <cellStyle name="20% - Accent1 10 5 3 2" xfId="144"/>
    <cellStyle name="20% - Accent1 10 5 3 2 2" xfId="145"/>
    <cellStyle name="20% - Accent1 10 5 3 3" xfId="146"/>
    <cellStyle name="20% - Accent1 10 5 4" xfId="147"/>
    <cellStyle name="20% - Accent1 10 5 4 2" xfId="148"/>
    <cellStyle name="20% - Accent1 10 5 5" xfId="149"/>
    <cellStyle name="20% - Accent1 10 6" xfId="150"/>
    <cellStyle name="20% - Accent1 10 6 2" xfId="151"/>
    <cellStyle name="20% - Accent1 10 6 2 2" xfId="152"/>
    <cellStyle name="20% - Accent1 10 6 2 2 2" xfId="153"/>
    <cellStyle name="20% - Accent1 10 6 2 2 2 2" xfId="154"/>
    <cellStyle name="20% - Accent1 10 6 2 2 3" xfId="155"/>
    <cellStyle name="20% - Accent1 10 6 2 3" xfId="156"/>
    <cellStyle name="20% - Accent1 10 6 2 3 2" xfId="157"/>
    <cellStyle name="20% - Accent1 10 6 2 4" xfId="158"/>
    <cellStyle name="20% - Accent1 10 6 3" xfId="159"/>
    <cellStyle name="20% - Accent1 10 6 3 2" xfId="160"/>
    <cellStyle name="20% - Accent1 10 6 3 2 2" xfId="161"/>
    <cellStyle name="20% - Accent1 10 6 3 3" xfId="162"/>
    <cellStyle name="20% - Accent1 10 6 4" xfId="163"/>
    <cellStyle name="20% - Accent1 10 6 4 2" xfId="164"/>
    <cellStyle name="20% - Accent1 10 6 5" xfId="165"/>
    <cellStyle name="20% - Accent1 10 7" xfId="166"/>
    <cellStyle name="20% - Accent1 10 7 2" xfId="167"/>
    <cellStyle name="20% - Accent1 10 7 2 2" xfId="168"/>
    <cellStyle name="20% - Accent1 10 7 2 2 2" xfId="169"/>
    <cellStyle name="20% - Accent1 10 7 2 2 2 2" xfId="170"/>
    <cellStyle name="20% - Accent1 10 7 2 2 3" xfId="171"/>
    <cellStyle name="20% - Accent1 10 7 2 3" xfId="172"/>
    <cellStyle name="20% - Accent1 10 7 2 3 2" xfId="173"/>
    <cellStyle name="20% - Accent1 10 7 2 4" xfId="174"/>
    <cellStyle name="20% - Accent1 10 7 3" xfId="175"/>
    <cellStyle name="20% - Accent1 10 7 3 2" xfId="176"/>
    <cellStyle name="20% - Accent1 10 7 3 2 2" xfId="177"/>
    <cellStyle name="20% - Accent1 10 7 3 3" xfId="178"/>
    <cellStyle name="20% - Accent1 10 7 4" xfId="179"/>
    <cellStyle name="20% - Accent1 10 7 4 2" xfId="180"/>
    <cellStyle name="20% - Accent1 10 7 5" xfId="181"/>
    <cellStyle name="20% - Accent1 10 8" xfId="182"/>
    <cellStyle name="20% - Accent1 10 8 2" xfId="183"/>
    <cellStyle name="20% - Accent1 10 8 2 2" xfId="184"/>
    <cellStyle name="20% - Accent1 10 8 2 2 2" xfId="185"/>
    <cellStyle name="20% - Accent1 10 8 2 3" xfId="186"/>
    <cellStyle name="20% - Accent1 10 8 3" xfId="187"/>
    <cellStyle name="20% - Accent1 10 8 3 2" xfId="188"/>
    <cellStyle name="20% - Accent1 10 8 4" xfId="189"/>
    <cellStyle name="20% - Accent1 10 9" xfId="190"/>
    <cellStyle name="20% - Accent1 10 9 2" xfId="191"/>
    <cellStyle name="20% - Accent1 10 9 2 2" xfId="192"/>
    <cellStyle name="20% - Accent1 10 9 3" xfId="193"/>
    <cellStyle name="20% - Accent1 11" xfId="194"/>
    <cellStyle name="20% - Accent1 11 10" xfId="195"/>
    <cellStyle name="20% - Accent1 11 10 2" xfId="196"/>
    <cellStyle name="20% - Accent1 11 11" xfId="197"/>
    <cellStyle name="20% - Accent1 11 2" xfId="198"/>
    <cellStyle name="20% - Accent1 11 2 10" xfId="199"/>
    <cellStyle name="20% - Accent1 11 2 2" xfId="200"/>
    <cellStyle name="20% - Accent1 11 2 2 2" xfId="201"/>
    <cellStyle name="20% - Accent1 11 2 2 2 2" xfId="202"/>
    <cellStyle name="20% - Accent1 11 2 2 2 2 2" xfId="203"/>
    <cellStyle name="20% - Accent1 11 2 2 2 2 2 2" xfId="204"/>
    <cellStyle name="20% - Accent1 11 2 2 2 2 3" xfId="205"/>
    <cellStyle name="20% - Accent1 11 2 2 2 3" xfId="206"/>
    <cellStyle name="20% - Accent1 11 2 2 2 3 2" xfId="207"/>
    <cellStyle name="20% - Accent1 11 2 2 2 4" xfId="208"/>
    <cellStyle name="20% - Accent1 11 2 2 3" xfId="209"/>
    <cellStyle name="20% - Accent1 11 2 2 3 2" xfId="210"/>
    <cellStyle name="20% - Accent1 11 2 2 3 2 2" xfId="211"/>
    <cellStyle name="20% - Accent1 11 2 2 3 3" xfId="212"/>
    <cellStyle name="20% - Accent1 11 2 2 4" xfId="213"/>
    <cellStyle name="20% - Accent1 11 2 2 4 2" xfId="214"/>
    <cellStyle name="20% - Accent1 11 2 2 5" xfId="215"/>
    <cellStyle name="20% - Accent1 11 2 3" xfId="216"/>
    <cellStyle name="20% - Accent1 11 2 3 2" xfId="217"/>
    <cellStyle name="20% - Accent1 11 2 3 2 2" xfId="218"/>
    <cellStyle name="20% - Accent1 11 2 3 2 2 2" xfId="219"/>
    <cellStyle name="20% - Accent1 11 2 3 2 2 2 2" xfId="220"/>
    <cellStyle name="20% - Accent1 11 2 3 2 2 3" xfId="221"/>
    <cellStyle name="20% - Accent1 11 2 3 2 3" xfId="222"/>
    <cellStyle name="20% - Accent1 11 2 3 2 3 2" xfId="223"/>
    <cellStyle name="20% - Accent1 11 2 3 2 4" xfId="224"/>
    <cellStyle name="20% - Accent1 11 2 3 3" xfId="225"/>
    <cellStyle name="20% - Accent1 11 2 3 3 2" xfId="226"/>
    <cellStyle name="20% - Accent1 11 2 3 3 2 2" xfId="227"/>
    <cellStyle name="20% - Accent1 11 2 3 3 3" xfId="228"/>
    <cellStyle name="20% - Accent1 11 2 3 4" xfId="229"/>
    <cellStyle name="20% - Accent1 11 2 3 4 2" xfId="230"/>
    <cellStyle name="20% - Accent1 11 2 3 5" xfId="231"/>
    <cellStyle name="20% - Accent1 11 2 4" xfId="232"/>
    <cellStyle name="20% - Accent1 11 2 4 2" xfId="233"/>
    <cellStyle name="20% - Accent1 11 2 4 2 2" xfId="234"/>
    <cellStyle name="20% - Accent1 11 2 4 2 2 2" xfId="235"/>
    <cellStyle name="20% - Accent1 11 2 4 2 2 2 2" xfId="236"/>
    <cellStyle name="20% - Accent1 11 2 4 2 2 3" xfId="237"/>
    <cellStyle name="20% - Accent1 11 2 4 2 3" xfId="238"/>
    <cellStyle name="20% - Accent1 11 2 4 2 3 2" xfId="239"/>
    <cellStyle name="20% - Accent1 11 2 4 2 4" xfId="240"/>
    <cellStyle name="20% - Accent1 11 2 4 3" xfId="241"/>
    <cellStyle name="20% - Accent1 11 2 4 3 2" xfId="242"/>
    <cellStyle name="20% - Accent1 11 2 4 3 2 2" xfId="243"/>
    <cellStyle name="20% - Accent1 11 2 4 3 3" xfId="244"/>
    <cellStyle name="20% - Accent1 11 2 4 4" xfId="245"/>
    <cellStyle name="20% - Accent1 11 2 4 4 2" xfId="246"/>
    <cellStyle name="20% - Accent1 11 2 4 5" xfId="247"/>
    <cellStyle name="20% - Accent1 11 2 5" xfId="248"/>
    <cellStyle name="20% - Accent1 11 2 5 2" xfId="249"/>
    <cellStyle name="20% - Accent1 11 2 5 2 2" xfId="250"/>
    <cellStyle name="20% - Accent1 11 2 5 2 2 2" xfId="251"/>
    <cellStyle name="20% - Accent1 11 2 5 2 2 2 2" xfId="252"/>
    <cellStyle name="20% - Accent1 11 2 5 2 2 3" xfId="253"/>
    <cellStyle name="20% - Accent1 11 2 5 2 3" xfId="254"/>
    <cellStyle name="20% - Accent1 11 2 5 2 3 2" xfId="255"/>
    <cellStyle name="20% - Accent1 11 2 5 2 4" xfId="256"/>
    <cellStyle name="20% - Accent1 11 2 5 3" xfId="257"/>
    <cellStyle name="20% - Accent1 11 2 5 3 2" xfId="258"/>
    <cellStyle name="20% - Accent1 11 2 5 3 2 2" xfId="259"/>
    <cellStyle name="20% - Accent1 11 2 5 3 3" xfId="260"/>
    <cellStyle name="20% - Accent1 11 2 5 4" xfId="261"/>
    <cellStyle name="20% - Accent1 11 2 5 4 2" xfId="262"/>
    <cellStyle name="20% - Accent1 11 2 5 5" xfId="263"/>
    <cellStyle name="20% - Accent1 11 2 6" xfId="264"/>
    <cellStyle name="20% - Accent1 11 2 6 2" xfId="265"/>
    <cellStyle name="20% - Accent1 11 2 6 2 2" xfId="266"/>
    <cellStyle name="20% - Accent1 11 2 6 2 2 2" xfId="267"/>
    <cellStyle name="20% - Accent1 11 2 6 2 2 2 2" xfId="268"/>
    <cellStyle name="20% - Accent1 11 2 6 2 2 3" xfId="269"/>
    <cellStyle name="20% - Accent1 11 2 6 2 3" xfId="270"/>
    <cellStyle name="20% - Accent1 11 2 6 2 3 2" xfId="271"/>
    <cellStyle name="20% - Accent1 11 2 6 2 4" xfId="272"/>
    <cellStyle name="20% - Accent1 11 2 6 3" xfId="273"/>
    <cellStyle name="20% - Accent1 11 2 6 3 2" xfId="274"/>
    <cellStyle name="20% - Accent1 11 2 6 3 2 2" xfId="275"/>
    <cellStyle name="20% - Accent1 11 2 6 3 3" xfId="276"/>
    <cellStyle name="20% - Accent1 11 2 6 4" xfId="277"/>
    <cellStyle name="20% - Accent1 11 2 6 4 2" xfId="278"/>
    <cellStyle name="20% - Accent1 11 2 6 5" xfId="279"/>
    <cellStyle name="20% - Accent1 11 2 7" xfId="280"/>
    <cellStyle name="20% - Accent1 11 2 7 2" xfId="281"/>
    <cellStyle name="20% - Accent1 11 2 7 2 2" xfId="282"/>
    <cellStyle name="20% - Accent1 11 2 7 2 2 2" xfId="283"/>
    <cellStyle name="20% - Accent1 11 2 7 2 3" xfId="284"/>
    <cellStyle name="20% - Accent1 11 2 7 3" xfId="285"/>
    <cellStyle name="20% - Accent1 11 2 7 3 2" xfId="286"/>
    <cellStyle name="20% - Accent1 11 2 7 4" xfId="287"/>
    <cellStyle name="20% - Accent1 11 2 8" xfId="288"/>
    <cellStyle name="20% - Accent1 11 2 8 2" xfId="289"/>
    <cellStyle name="20% - Accent1 11 2 8 2 2" xfId="290"/>
    <cellStyle name="20% - Accent1 11 2 8 3" xfId="291"/>
    <cellStyle name="20% - Accent1 11 2 9" xfId="292"/>
    <cellStyle name="20% - Accent1 11 2 9 2" xfId="293"/>
    <cellStyle name="20% - Accent1 11 3" xfId="294"/>
    <cellStyle name="20% - Accent1 11 3 2" xfId="295"/>
    <cellStyle name="20% - Accent1 11 3 2 2" xfId="296"/>
    <cellStyle name="20% - Accent1 11 3 2 2 2" xfId="297"/>
    <cellStyle name="20% - Accent1 11 3 2 2 2 2" xfId="298"/>
    <cellStyle name="20% - Accent1 11 3 2 2 3" xfId="299"/>
    <cellStyle name="20% - Accent1 11 3 2 3" xfId="300"/>
    <cellStyle name="20% - Accent1 11 3 2 3 2" xfId="301"/>
    <cellStyle name="20% - Accent1 11 3 2 4" xfId="302"/>
    <cellStyle name="20% - Accent1 11 3 3" xfId="303"/>
    <cellStyle name="20% - Accent1 11 3 3 2" xfId="304"/>
    <cellStyle name="20% - Accent1 11 3 3 2 2" xfId="305"/>
    <cellStyle name="20% - Accent1 11 3 3 3" xfId="306"/>
    <cellStyle name="20% - Accent1 11 3 4" xfId="307"/>
    <cellStyle name="20% - Accent1 11 3 4 2" xfId="308"/>
    <cellStyle name="20% - Accent1 11 3 5" xfId="309"/>
    <cellStyle name="20% - Accent1 11 4" xfId="310"/>
    <cellStyle name="20% - Accent1 11 4 2" xfId="311"/>
    <cellStyle name="20% - Accent1 11 4 2 2" xfId="312"/>
    <cellStyle name="20% - Accent1 11 4 2 2 2" xfId="313"/>
    <cellStyle name="20% - Accent1 11 4 2 2 2 2" xfId="314"/>
    <cellStyle name="20% - Accent1 11 4 2 2 3" xfId="315"/>
    <cellStyle name="20% - Accent1 11 4 2 3" xfId="316"/>
    <cellStyle name="20% - Accent1 11 4 2 3 2" xfId="317"/>
    <cellStyle name="20% - Accent1 11 4 2 4" xfId="318"/>
    <cellStyle name="20% - Accent1 11 4 3" xfId="319"/>
    <cellStyle name="20% - Accent1 11 4 3 2" xfId="320"/>
    <cellStyle name="20% - Accent1 11 4 3 2 2" xfId="321"/>
    <cellStyle name="20% - Accent1 11 4 3 3" xfId="322"/>
    <cellStyle name="20% - Accent1 11 4 4" xfId="323"/>
    <cellStyle name="20% - Accent1 11 4 4 2" xfId="324"/>
    <cellStyle name="20% - Accent1 11 4 5" xfId="325"/>
    <cellStyle name="20% - Accent1 11 5" xfId="326"/>
    <cellStyle name="20% - Accent1 11 5 2" xfId="327"/>
    <cellStyle name="20% - Accent1 11 5 2 2" xfId="328"/>
    <cellStyle name="20% - Accent1 11 5 2 2 2" xfId="329"/>
    <cellStyle name="20% - Accent1 11 5 2 2 2 2" xfId="330"/>
    <cellStyle name="20% - Accent1 11 5 2 2 3" xfId="331"/>
    <cellStyle name="20% - Accent1 11 5 2 3" xfId="332"/>
    <cellStyle name="20% - Accent1 11 5 2 3 2" xfId="333"/>
    <cellStyle name="20% - Accent1 11 5 2 4" xfId="334"/>
    <cellStyle name="20% - Accent1 11 5 3" xfId="335"/>
    <cellStyle name="20% - Accent1 11 5 3 2" xfId="336"/>
    <cellStyle name="20% - Accent1 11 5 3 2 2" xfId="337"/>
    <cellStyle name="20% - Accent1 11 5 3 3" xfId="338"/>
    <cellStyle name="20% - Accent1 11 5 4" xfId="339"/>
    <cellStyle name="20% - Accent1 11 5 4 2" xfId="340"/>
    <cellStyle name="20% - Accent1 11 5 5" xfId="341"/>
    <cellStyle name="20% - Accent1 11 6" xfId="342"/>
    <cellStyle name="20% - Accent1 11 6 2" xfId="343"/>
    <cellStyle name="20% - Accent1 11 6 2 2" xfId="344"/>
    <cellStyle name="20% - Accent1 11 6 2 2 2" xfId="345"/>
    <cellStyle name="20% - Accent1 11 6 2 2 2 2" xfId="346"/>
    <cellStyle name="20% - Accent1 11 6 2 2 3" xfId="347"/>
    <cellStyle name="20% - Accent1 11 6 2 3" xfId="348"/>
    <cellStyle name="20% - Accent1 11 6 2 3 2" xfId="349"/>
    <cellStyle name="20% - Accent1 11 6 2 4" xfId="350"/>
    <cellStyle name="20% - Accent1 11 6 3" xfId="351"/>
    <cellStyle name="20% - Accent1 11 6 3 2" xfId="352"/>
    <cellStyle name="20% - Accent1 11 6 3 2 2" xfId="353"/>
    <cellStyle name="20% - Accent1 11 6 3 3" xfId="354"/>
    <cellStyle name="20% - Accent1 11 6 4" xfId="355"/>
    <cellStyle name="20% - Accent1 11 6 4 2" xfId="356"/>
    <cellStyle name="20% - Accent1 11 6 5" xfId="357"/>
    <cellStyle name="20% - Accent1 11 7" xfId="358"/>
    <cellStyle name="20% - Accent1 11 7 2" xfId="359"/>
    <cellStyle name="20% - Accent1 11 7 2 2" xfId="360"/>
    <cellStyle name="20% - Accent1 11 7 2 2 2" xfId="361"/>
    <cellStyle name="20% - Accent1 11 7 2 2 2 2" xfId="362"/>
    <cellStyle name="20% - Accent1 11 7 2 2 3" xfId="363"/>
    <cellStyle name="20% - Accent1 11 7 2 3" xfId="364"/>
    <cellStyle name="20% - Accent1 11 7 2 3 2" xfId="365"/>
    <cellStyle name="20% - Accent1 11 7 2 4" xfId="366"/>
    <cellStyle name="20% - Accent1 11 7 3" xfId="367"/>
    <cellStyle name="20% - Accent1 11 7 3 2" xfId="368"/>
    <cellStyle name="20% - Accent1 11 7 3 2 2" xfId="369"/>
    <cellStyle name="20% - Accent1 11 7 3 3" xfId="370"/>
    <cellStyle name="20% - Accent1 11 7 4" xfId="371"/>
    <cellStyle name="20% - Accent1 11 7 4 2" xfId="372"/>
    <cellStyle name="20% - Accent1 11 7 5" xfId="373"/>
    <cellStyle name="20% - Accent1 11 8" xfId="374"/>
    <cellStyle name="20% - Accent1 11 8 2" xfId="375"/>
    <cellStyle name="20% - Accent1 11 8 2 2" xfId="376"/>
    <cellStyle name="20% - Accent1 11 8 2 2 2" xfId="377"/>
    <cellStyle name="20% - Accent1 11 8 2 3" xfId="378"/>
    <cellStyle name="20% - Accent1 11 8 3" xfId="379"/>
    <cellStyle name="20% - Accent1 11 8 3 2" xfId="380"/>
    <cellStyle name="20% - Accent1 11 8 4" xfId="381"/>
    <cellStyle name="20% - Accent1 11 9" xfId="382"/>
    <cellStyle name="20% - Accent1 11 9 2" xfId="383"/>
    <cellStyle name="20% - Accent1 11 9 2 2" xfId="384"/>
    <cellStyle name="20% - Accent1 11 9 3" xfId="385"/>
    <cellStyle name="20% - Accent1 12" xfId="386"/>
    <cellStyle name="20% - Accent1 12 10" xfId="387"/>
    <cellStyle name="20% - Accent1 12 2" xfId="388"/>
    <cellStyle name="20% - Accent1 12 2 2" xfId="389"/>
    <cellStyle name="20% - Accent1 12 2 2 2" xfId="390"/>
    <cellStyle name="20% - Accent1 12 2 2 2 2" xfId="391"/>
    <cellStyle name="20% - Accent1 12 2 2 2 2 2" xfId="392"/>
    <cellStyle name="20% - Accent1 12 2 2 2 3" xfId="393"/>
    <cellStyle name="20% - Accent1 12 2 2 3" xfId="394"/>
    <cellStyle name="20% - Accent1 12 2 2 3 2" xfId="395"/>
    <cellStyle name="20% - Accent1 12 2 2 4" xfId="396"/>
    <cellStyle name="20% - Accent1 12 2 3" xfId="397"/>
    <cellStyle name="20% - Accent1 12 2 3 2" xfId="398"/>
    <cellStyle name="20% - Accent1 12 2 3 2 2" xfId="399"/>
    <cellStyle name="20% - Accent1 12 2 3 3" xfId="400"/>
    <cellStyle name="20% - Accent1 12 2 4" xfId="401"/>
    <cellStyle name="20% - Accent1 12 2 4 2" xfId="402"/>
    <cellStyle name="20% - Accent1 12 2 5" xfId="403"/>
    <cellStyle name="20% - Accent1 12 3" xfId="404"/>
    <cellStyle name="20% - Accent1 12 3 2" xfId="405"/>
    <cellStyle name="20% - Accent1 12 3 2 2" xfId="406"/>
    <cellStyle name="20% - Accent1 12 3 2 2 2" xfId="407"/>
    <cellStyle name="20% - Accent1 12 3 2 2 2 2" xfId="408"/>
    <cellStyle name="20% - Accent1 12 3 2 2 3" xfId="409"/>
    <cellStyle name="20% - Accent1 12 3 2 3" xfId="410"/>
    <cellStyle name="20% - Accent1 12 3 2 3 2" xfId="411"/>
    <cellStyle name="20% - Accent1 12 3 2 4" xfId="412"/>
    <cellStyle name="20% - Accent1 12 3 3" xfId="413"/>
    <cellStyle name="20% - Accent1 12 3 3 2" xfId="414"/>
    <cellStyle name="20% - Accent1 12 3 3 2 2" xfId="415"/>
    <cellStyle name="20% - Accent1 12 3 3 3" xfId="416"/>
    <cellStyle name="20% - Accent1 12 3 4" xfId="417"/>
    <cellStyle name="20% - Accent1 12 3 4 2" xfId="418"/>
    <cellStyle name="20% - Accent1 12 3 5" xfId="419"/>
    <cellStyle name="20% - Accent1 12 4" xfId="420"/>
    <cellStyle name="20% - Accent1 12 4 2" xfId="421"/>
    <cellStyle name="20% - Accent1 12 4 2 2" xfId="422"/>
    <cellStyle name="20% - Accent1 12 4 2 2 2" xfId="423"/>
    <cellStyle name="20% - Accent1 12 4 2 2 2 2" xfId="424"/>
    <cellStyle name="20% - Accent1 12 4 2 2 3" xfId="425"/>
    <cellStyle name="20% - Accent1 12 4 2 3" xfId="426"/>
    <cellStyle name="20% - Accent1 12 4 2 3 2" xfId="427"/>
    <cellStyle name="20% - Accent1 12 4 2 4" xfId="428"/>
    <cellStyle name="20% - Accent1 12 4 3" xfId="429"/>
    <cellStyle name="20% - Accent1 12 4 3 2" xfId="430"/>
    <cellStyle name="20% - Accent1 12 4 3 2 2" xfId="431"/>
    <cellStyle name="20% - Accent1 12 4 3 3" xfId="432"/>
    <cellStyle name="20% - Accent1 12 4 4" xfId="433"/>
    <cellStyle name="20% - Accent1 12 4 4 2" xfId="434"/>
    <cellStyle name="20% - Accent1 12 4 5" xfId="435"/>
    <cellStyle name="20% - Accent1 12 5" xfId="436"/>
    <cellStyle name="20% - Accent1 12 5 2" xfId="437"/>
    <cellStyle name="20% - Accent1 12 5 2 2" xfId="438"/>
    <cellStyle name="20% - Accent1 12 5 2 2 2" xfId="439"/>
    <cellStyle name="20% - Accent1 12 5 2 2 2 2" xfId="440"/>
    <cellStyle name="20% - Accent1 12 5 2 2 3" xfId="441"/>
    <cellStyle name="20% - Accent1 12 5 2 3" xfId="442"/>
    <cellStyle name="20% - Accent1 12 5 2 3 2" xfId="443"/>
    <cellStyle name="20% - Accent1 12 5 2 4" xfId="444"/>
    <cellStyle name="20% - Accent1 12 5 3" xfId="445"/>
    <cellStyle name="20% - Accent1 12 5 3 2" xfId="446"/>
    <cellStyle name="20% - Accent1 12 5 3 2 2" xfId="447"/>
    <cellStyle name="20% - Accent1 12 5 3 3" xfId="448"/>
    <cellStyle name="20% - Accent1 12 5 4" xfId="449"/>
    <cellStyle name="20% - Accent1 12 5 4 2" xfId="450"/>
    <cellStyle name="20% - Accent1 12 5 5" xfId="451"/>
    <cellStyle name="20% - Accent1 12 6" xfId="452"/>
    <cellStyle name="20% - Accent1 12 6 2" xfId="453"/>
    <cellStyle name="20% - Accent1 12 6 2 2" xfId="454"/>
    <cellStyle name="20% - Accent1 12 6 2 2 2" xfId="455"/>
    <cellStyle name="20% - Accent1 12 6 2 2 2 2" xfId="456"/>
    <cellStyle name="20% - Accent1 12 6 2 2 3" xfId="457"/>
    <cellStyle name="20% - Accent1 12 6 2 3" xfId="458"/>
    <cellStyle name="20% - Accent1 12 6 2 3 2" xfId="459"/>
    <cellStyle name="20% - Accent1 12 6 2 4" xfId="460"/>
    <cellStyle name="20% - Accent1 12 6 3" xfId="461"/>
    <cellStyle name="20% - Accent1 12 6 3 2" xfId="462"/>
    <cellStyle name="20% - Accent1 12 6 3 2 2" xfId="463"/>
    <cellStyle name="20% - Accent1 12 6 3 3" xfId="464"/>
    <cellStyle name="20% - Accent1 12 6 4" xfId="465"/>
    <cellStyle name="20% - Accent1 12 6 4 2" xfId="466"/>
    <cellStyle name="20% - Accent1 12 6 5" xfId="467"/>
    <cellStyle name="20% - Accent1 12 7" xfId="468"/>
    <cellStyle name="20% - Accent1 12 7 2" xfId="469"/>
    <cellStyle name="20% - Accent1 12 7 2 2" xfId="470"/>
    <cellStyle name="20% - Accent1 12 7 2 2 2" xfId="471"/>
    <cellStyle name="20% - Accent1 12 7 2 3" xfId="472"/>
    <cellStyle name="20% - Accent1 12 7 3" xfId="473"/>
    <cellStyle name="20% - Accent1 12 7 3 2" xfId="474"/>
    <cellStyle name="20% - Accent1 12 7 4" xfId="475"/>
    <cellStyle name="20% - Accent1 12 8" xfId="476"/>
    <cellStyle name="20% - Accent1 12 8 2" xfId="477"/>
    <cellStyle name="20% - Accent1 12 8 2 2" xfId="478"/>
    <cellStyle name="20% - Accent1 12 8 3" xfId="479"/>
    <cellStyle name="20% - Accent1 12 9" xfId="480"/>
    <cellStyle name="20% - Accent1 12 9 2" xfId="481"/>
    <cellStyle name="20% - Accent1 13" xfId="482"/>
    <cellStyle name="20% - Accent1 13 10" xfId="483"/>
    <cellStyle name="20% - Accent1 13 2" xfId="484"/>
    <cellStyle name="20% - Accent1 13 2 2" xfId="485"/>
    <cellStyle name="20% - Accent1 13 2 2 2" xfId="486"/>
    <cellStyle name="20% - Accent1 13 2 2 2 2" xfId="487"/>
    <cellStyle name="20% - Accent1 13 2 2 2 2 2" xfId="488"/>
    <cellStyle name="20% - Accent1 13 2 2 2 3" xfId="489"/>
    <cellStyle name="20% - Accent1 13 2 2 3" xfId="490"/>
    <cellStyle name="20% - Accent1 13 2 2 3 2" xfId="491"/>
    <cellStyle name="20% - Accent1 13 2 2 4" xfId="492"/>
    <cellStyle name="20% - Accent1 13 2 3" xfId="493"/>
    <cellStyle name="20% - Accent1 13 2 3 2" xfId="494"/>
    <cellStyle name="20% - Accent1 13 2 3 2 2" xfId="495"/>
    <cellStyle name="20% - Accent1 13 2 3 3" xfId="496"/>
    <cellStyle name="20% - Accent1 13 2 4" xfId="497"/>
    <cellStyle name="20% - Accent1 13 2 4 2" xfId="498"/>
    <cellStyle name="20% - Accent1 13 2 5" xfId="499"/>
    <cellStyle name="20% - Accent1 13 3" xfId="500"/>
    <cellStyle name="20% - Accent1 13 3 2" xfId="501"/>
    <cellStyle name="20% - Accent1 13 3 2 2" xfId="502"/>
    <cellStyle name="20% - Accent1 13 3 2 2 2" xfId="503"/>
    <cellStyle name="20% - Accent1 13 3 2 2 2 2" xfId="504"/>
    <cellStyle name="20% - Accent1 13 3 2 2 3" xfId="505"/>
    <cellStyle name="20% - Accent1 13 3 2 3" xfId="506"/>
    <cellStyle name="20% - Accent1 13 3 2 3 2" xfId="507"/>
    <cellStyle name="20% - Accent1 13 3 2 4" xfId="508"/>
    <cellStyle name="20% - Accent1 13 3 3" xfId="509"/>
    <cellStyle name="20% - Accent1 13 3 3 2" xfId="510"/>
    <cellStyle name="20% - Accent1 13 3 3 2 2" xfId="511"/>
    <cellStyle name="20% - Accent1 13 3 3 3" xfId="512"/>
    <cellStyle name="20% - Accent1 13 3 4" xfId="513"/>
    <cellStyle name="20% - Accent1 13 3 4 2" xfId="514"/>
    <cellStyle name="20% - Accent1 13 3 5" xfId="515"/>
    <cellStyle name="20% - Accent1 13 4" xfId="516"/>
    <cellStyle name="20% - Accent1 13 4 2" xfId="517"/>
    <cellStyle name="20% - Accent1 13 4 2 2" xfId="518"/>
    <cellStyle name="20% - Accent1 13 4 2 2 2" xfId="519"/>
    <cellStyle name="20% - Accent1 13 4 2 2 2 2" xfId="520"/>
    <cellStyle name="20% - Accent1 13 4 2 2 3" xfId="521"/>
    <cellStyle name="20% - Accent1 13 4 2 3" xfId="522"/>
    <cellStyle name="20% - Accent1 13 4 2 3 2" xfId="523"/>
    <cellStyle name="20% - Accent1 13 4 2 4" xfId="524"/>
    <cellStyle name="20% - Accent1 13 4 3" xfId="525"/>
    <cellStyle name="20% - Accent1 13 4 3 2" xfId="526"/>
    <cellStyle name="20% - Accent1 13 4 3 2 2" xfId="527"/>
    <cellStyle name="20% - Accent1 13 4 3 3" xfId="528"/>
    <cellStyle name="20% - Accent1 13 4 4" xfId="529"/>
    <cellStyle name="20% - Accent1 13 4 4 2" xfId="530"/>
    <cellStyle name="20% - Accent1 13 4 5" xfId="531"/>
    <cellStyle name="20% - Accent1 13 5" xfId="532"/>
    <cellStyle name="20% - Accent1 13 5 2" xfId="533"/>
    <cellStyle name="20% - Accent1 13 5 2 2" xfId="534"/>
    <cellStyle name="20% - Accent1 13 5 2 2 2" xfId="535"/>
    <cellStyle name="20% - Accent1 13 5 2 2 2 2" xfId="536"/>
    <cellStyle name="20% - Accent1 13 5 2 2 3" xfId="537"/>
    <cellStyle name="20% - Accent1 13 5 2 3" xfId="538"/>
    <cellStyle name="20% - Accent1 13 5 2 3 2" xfId="539"/>
    <cellStyle name="20% - Accent1 13 5 2 4" xfId="540"/>
    <cellStyle name="20% - Accent1 13 5 3" xfId="541"/>
    <cellStyle name="20% - Accent1 13 5 3 2" xfId="542"/>
    <cellStyle name="20% - Accent1 13 5 3 2 2" xfId="543"/>
    <cellStyle name="20% - Accent1 13 5 3 3" xfId="544"/>
    <cellStyle name="20% - Accent1 13 5 4" xfId="545"/>
    <cellStyle name="20% - Accent1 13 5 4 2" xfId="546"/>
    <cellStyle name="20% - Accent1 13 5 5" xfId="547"/>
    <cellStyle name="20% - Accent1 13 6" xfId="548"/>
    <cellStyle name="20% - Accent1 13 6 2" xfId="549"/>
    <cellStyle name="20% - Accent1 13 6 2 2" xfId="550"/>
    <cellStyle name="20% - Accent1 13 6 2 2 2" xfId="551"/>
    <cellStyle name="20% - Accent1 13 6 2 2 2 2" xfId="552"/>
    <cellStyle name="20% - Accent1 13 6 2 2 3" xfId="553"/>
    <cellStyle name="20% - Accent1 13 6 2 3" xfId="554"/>
    <cellStyle name="20% - Accent1 13 6 2 3 2" xfId="555"/>
    <cellStyle name="20% - Accent1 13 6 2 4" xfId="556"/>
    <cellStyle name="20% - Accent1 13 6 3" xfId="557"/>
    <cellStyle name="20% - Accent1 13 6 3 2" xfId="558"/>
    <cellStyle name="20% - Accent1 13 6 3 2 2" xfId="559"/>
    <cellStyle name="20% - Accent1 13 6 3 3" xfId="560"/>
    <cellStyle name="20% - Accent1 13 6 4" xfId="561"/>
    <cellStyle name="20% - Accent1 13 6 4 2" xfId="562"/>
    <cellStyle name="20% - Accent1 13 6 5" xfId="563"/>
    <cellStyle name="20% - Accent1 13 7" xfId="564"/>
    <cellStyle name="20% - Accent1 13 7 2" xfId="565"/>
    <cellStyle name="20% - Accent1 13 7 2 2" xfId="566"/>
    <cellStyle name="20% - Accent1 13 7 2 2 2" xfId="567"/>
    <cellStyle name="20% - Accent1 13 7 2 3" xfId="568"/>
    <cellStyle name="20% - Accent1 13 7 3" xfId="569"/>
    <cellStyle name="20% - Accent1 13 7 3 2" xfId="570"/>
    <cellStyle name="20% - Accent1 13 7 4" xfId="571"/>
    <cellStyle name="20% - Accent1 13 8" xfId="572"/>
    <cellStyle name="20% - Accent1 13 8 2" xfId="573"/>
    <cellStyle name="20% - Accent1 13 8 2 2" xfId="574"/>
    <cellStyle name="20% - Accent1 13 8 3" xfId="575"/>
    <cellStyle name="20% - Accent1 13 9" xfId="576"/>
    <cellStyle name="20% - Accent1 13 9 2" xfId="577"/>
    <cellStyle name="20% - Accent1 14" xfId="578"/>
    <cellStyle name="20% - Accent1 14 2" xfId="579"/>
    <cellStyle name="20% - Accent1 14 2 2" xfId="580"/>
    <cellStyle name="20% - Accent1 14 2 2 2" xfId="581"/>
    <cellStyle name="20% - Accent1 14 2 2 2 2" xfId="582"/>
    <cellStyle name="20% - Accent1 14 2 2 3" xfId="583"/>
    <cellStyle name="20% - Accent1 14 2 3" xfId="584"/>
    <cellStyle name="20% - Accent1 14 2 3 2" xfId="585"/>
    <cellStyle name="20% - Accent1 14 2 4" xfId="586"/>
    <cellStyle name="20% - Accent1 14 3" xfId="587"/>
    <cellStyle name="20% - Accent1 14 3 2" xfId="588"/>
    <cellStyle name="20% - Accent1 14 3 2 2" xfId="589"/>
    <cellStyle name="20% - Accent1 14 3 3" xfId="590"/>
    <cellStyle name="20% - Accent1 14 4" xfId="591"/>
    <cellStyle name="20% - Accent1 14 4 2" xfId="592"/>
    <cellStyle name="20% - Accent1 14 5" xfId="593"/>
    <cellStyle name="20% - Accent1 15" xfId="594"/>
    <cellStyle name="20% - Accent1 15 2" xfId="595"/>
    <cellStyle name="20% - Accent1 15 2 2" xfId="596"/>
    <cellStyle name="20% - Accent1 15 2 2 2" xfId="597"/>
    <cellStyle name="20% - Accent1 15 2 2 2 2" xfId="598"/>
    <cellStyle name="20% - Accent1 15 2 2 3" xfId="599"/>
    <cellStyle name="20% - Accent1 15 2 3" xfId="600"/>
    <cellStyle name="20% - Accent1 15 2 3 2" xfId="601"/>
    <cellStyle name="20% - Accent1 15 2 4" xfId="602"/>
    <cellStyle name="20% - Accent1 15 3" xfId="603"/>
    <cellStyle name="20% - Accent1 15 3 2" xfId="604"/>
    <cellStyle name="20% - Accent1 15 3 2 2" xfId="605"/>
    <cellStyle name="20% - Accent1 15 3 3" xfId="606"/>
    <cellStyle name="20% - Accent1 15 4" xfId="607"/>
    <cellStyle name="20% - Accent1 15 4 2" xfId="608"/>
    <cellStyle name="20% - Accent1 15 5" xfId="609"/>
    <cellStyle name="20% - Accent1 16" xfId="610"/>
    <cellStyle name="20% - Accent1 16 2" xfId="611"/>
    <cellStyle name="20% - Accent1 16 2 2" xfId="612"/>
    <cellStyle name="20% - Accent1 16 2 2 2" xfId="613"/>
    <cellStyle name="20% - Accent1 16 2 2 2 2" xfId="614"/>
    <cellStyle name="20% - Accent1 16 2 2 3" xfId="615"/>
    <cellStyle name="20% - Accent1 16 2 3" xfId="616"/>
    <cellStyle name="20% - Accent1 16 2 3 2" xfId="617"/>
    <cellStyle name="20% - Accent1 16 2 4" xfId="618"/>
    <cellStyle name="20% - Accent1 16 3" xfId="619"/>
    <cellStyle name="20% - Accent1 16 3 2" xfId="620"/>
    <cellStyle name="20% - Accent1 16 3 2 2" xfId="621"/>
    <cellStyle name="20% - Accent1 16 3 3" xfId="622"/>
    <cellStyle name="20% - Accent1 16 4" xfId="623"/>
    <cellStyle name="20% - Accent1 16 4 2" xfId="624"/>
    <cellStyle name="20% - Accent1 16 5" xfId="625"/>
    <cellStyle name="20% - Accent1 17" xfId="626"/>
    <cellStyle name="20% - Accent1 17 2" xfId="627"/>
    <cellStyle name="20% - Accent1 17 2 2" xfId="628"/>
    <cellStyle name="20% - Accent1 17 2 2 2" xfId="629"/>
    <cellStyle name="20% - Accent1 17 2 2 2 2" xfId="630"/>
    <cellStyle name="20% - Accent1 17 2 2 3" xfId="631"/>
    <cellStyle name="20% - Accent1 17 2 3" xfId="632"/>
    <cellStyle name="20% - Accent1 17 2 3 2" xfId="633"/>
    <cellStyle name="20% - Accent1 17 2 4" xfId="634"/>
    <cellStyle name="20% - Accent1 17 3" xfId="635"/>
    <cellStyle name="20% - Accent1 17 3 2" xfId="636"/>
    <cellStyle name="20% - Accent1 17 3 2 2" xfId="637"/>
    <cellStyle name="20% - Accent1 17 3 3" xfId="638"/>
    <cellStyle name="20% - Accent1 17 4" xfId="639"/>
    <cellStyle name="20% - Accent1 17 4 2" xfId="640"/>
    <cellStyle name="20% - Accent1 17 5" xfId="641"/>
    <cellStyle name="20% - Accent1 18" xfId="642"/>
    <cellStyle name="20% - Accent1 18 2" xfId="643"/>
    <cellStyle name="20% - Accent1 18 2 2" xfId="644"/>
    <cellStyle name="20% - Accent1 18 2 2 2" xfId="645"/>
    <cellStyle name="20% - Accent1 18 2 2 2 2" xfId="646"/>
    <cellStyle name="20% - Accent1 18 2 2 3" xfId="647"/>
    <cellStyle name="20% - Accent1 18 2 3" xfId="648"/>
    <cellStyle name="20% - Accent1 18 2 3 2" xfId="649"/>
    <cellStyle name="20% - Accent1 18 2 4" xfId="650"/>
    <cellStyle name="20% - Accent1 18 3" xfId="651"/>
    <cellStyle name="20% - Accent1 18 3 2" xfId="652"/>
    <cellStyle name="20% - Accent1 18 3 2 2" xfId="653"/>
    <cellStyle name="20% - Accent1 18 3 3" xfId="654"/>
    <cellStyle name="20% - Accent1 18 4" xfId="655"/>
    <cellStyle name="20% - Accent1 18 4 2" xfId="656"/>
    <cellStyle name="20% - Accent1 18 5" xfId="657"/>
    <cellStyle name="20% - Accent1 19" xfId="658"/>
    <cellStyle name="20% - Accent1 19 2" xfId="659"/>
    <cellStyle name="20% - Accent1 19 2 2" xfId="660"/>
    <cellStyle name="20% - Accent1 19 2 2 2" xfId="661"/>
    <cellStyle name="20% - Accent1 19 2 2 2 2" xfId="662"/>
    <cellStyle name="20% - Accent1 19 2 2 3" xfId="663"/>
    <cellStyle name="20% - Accent1 19 2 3" xfId="664"/>
    <cellStyle name="20% - Accent1 19 2 3 2" xfId="665"/>
    <cellStyle name="20% - Accent1 19 2 4" xfId="666"/>
    <cellStyle name="20% - Accent1 19 3" xfId="667"/>
    <cellStyle name="20% - Accent1 19 3 2" xfId="668"/>
    <cellStyle name="20% - Accent1 19 3 2 2" xfId="669"/>
    <cellStyle name="20% - Accent1 19 3 3" xfId="670"/>
    <cellStyle name="20% - Accent1 19 4" xfId="671"/>
    <cellStyle name="20% - Accent1 19 4 2" xfId="672"/>
    <cellStyle name="20% - Accent1 19 5" xfId="673"/>
    <cellStyle name="20% - Accent1 2" xfId="674"/>
    <cellStyle name="20% - Accent1 2 10" xfId="675"/>
    <cellStyle name="20% - Accent1 2 10 10" xfId="676"/>
    <cellStyle name="20% - Accent1 2 10 2" xfId="677"/>
    <cellStyle name="20% - Accent1 2 10 2 2" xfId="678"/>
    <cellStyle name="20% - Accent1 2 10 2 2 2" xfId="679"/>
    <cellStyle name="20% - Accent1 2 10 2 2 2 2" xfId="680"/>
    <cellStyle name="20% - Accent1 2 10 2 2 2 2 2" xfId="681"/>
    <cellStyle name="20% - Accent1 2 10 2 2 2 3" xfId="682"/>
    <cellStyle name="20% - Accent1 2 10 2 2 3" xfId="683"/>
    <cellStyle name="20% - Accent1 2 10 2 2 3 2" xfId="684"/>
    <cellStyle name="20% - Accent1 2 10 2 2 4" xfId="685"/>
    <cellStyle name="20% - Accent1 2 10 2 3" xfId="686"/>
    <cellStyle name="20% - Accent1 2 10 2 3 2" xfId="687"/>
    <cellStyle name="20% - Accent1 2 10 2 3 2 2" xfId="688"/>
    <cellStyle name="20% - Accent1 2 10 2 3 3" xfId="689"/>
    <cellStyle name="20% - Accent1 2 10 2 4" xfId="690"/>
    <cellStyle name="20% - Accent1 2 10 2 4 2" xfId="691"/>
    <cellStyle name="20% - Accent1 2 10 2 5" xfId="692"/>
    <cellStyle name="20% - Accent1 2 10 3" xfId="693"/>
    <cellStyle name="20% - Accent1 2 10 3 2" xfId="694"/>
    <cellStyle name="20% - Accent1 2 10 3 2 2" xfId="695"/>
    <cellStyle name="20% - Accent1 2 10 3 2 2 2" xfId="696"/>
    <cellStyle name="20% - Accent1 2 10 3 2 2 2 2" xfId="697"/>
    <cellStyle name="20% - Accent1 2 10 3 2 2 3" xfId="698"/>
    <cellStyle name="20% - Accent1 2 10 3 2 3" xfId="699"/>
    <cellStyle name="20% - Accent1 2 10 3 2 3 2" xfId="700"/>
    <cellStyle name="20% - Accent1 2 10 3 2 4" xfId="701"/>
    <cellStyle name="20% - Accent1 2 10 3 3" xfId="702"/>
    <cellStyle name="20% - Accent1 2 10 3 3 2" xfId="703"/>
    <cellStyle name="20% - Accent1 2 10 3 3 2 2" xfId="704"/>
    <cellStyle name="20% - Accent1 2 10 3 3 3" xfId="705"/>
    <cellStyle name="20% - Accent1 2 10 3 4" xfId="706"/>
    <cellStyle name="20% - Accent1 2 10 3 4 2" xfId="707"/>
    <cellStyle name="20% - Accent1 2 10 3 5" xfId="708"/>
    <cellStyle name="20% - Accent1 2 10 4" xfId="709"/>
    <cellStyle name="20% - Accent1 2 10 4 2" xfId="710"/>
    <cellStyle name="20% - Accent1 2 10 4 2 2" xfId="711"/>
    <cellStyle name="20% - Accent1 2 10 4 2 2 2" xfId="712"/>
    <cellStyle name="20% - Accent1 2 10 4 2 2 2 2" xfId="713"/>
    <cellStyle name="20% - Accent1 2 10 4 2 2 3" xfId="714"/>
    <cellStyle name="20% - Accent1 2 10 4 2 3" xfId="715"/>
    <cellStyle name="20% - Accent1 2 10 4 2 3 2" xfId="716"/>
    <cellStyle name="20% - Accent1 2 10 4 2 4" xfId="717"/>
    <cellStyle name="20% - Accent1 2 10 4 3" xfId="718"/>
    <cellStyle name="20% - Accent1 2 10 4 3 2" xfId="719"/>
    <cellStyle name="20% - Accent1 2 10 4 3 2 2" xfId="720"/>
    <cellStyle name="20% - Accent1 2 10 4 3 3" xfId="721"/>
    <cellStyle name="20% - Accent1 2 10 4 4" xfId="722"/>
    <cellStyle name="20% - Accent1 2 10 4 4 2" xfId="723"/>
    <cellStyle name="20% - Accent1 2 10 4 5" xfId="724"/>
    <cellStyle name="20% - Accent1 2 10 5" xfId="725"/>
    <cellStyle name="20% - Accent1 2 10 5 2" xfId="726"/>
    <cellStyle name="20% - Accent1 2 10 5 2 2" xfId="727"/>
    <cellStyle name="20% - Accent1 2 10 5 2 2 2" xfId="728"/>
    <cellStyle name="20% - Accent1 2 10 5 2 2 2 2" xfId="729"/>
    <cellStyle name="20% - Accent1 2 10 5 2 2 3" xfId="730"/>
    <cellStyle name="20% - Accent1 2 10 5 2 3" xfId="731"/>
    <cellStyle name="20% - Accent1 2 10 5 2 3 2" xfId="732"/>
    <cellStyle name="20% - Accent1 2 10 5 2 4" xfId="733"/>
    <cellStyle name="20% - Accent1 2 10 5 3" xfId="734"/>
    <cellStyle name="20% - Accent1 2 10 5 3 2" xfId="735"/>
    <cellStyle name="20% - Accent1 2 10 5 3 2 2" xfId="736"/>
    <cellStyle name="20% - Accent1 2 10 5 3 3" xfId="737"/>
    <cellStyle name="20% - Accent1 2 10 5 4" xfId="738"/>
    <cellStyle name="20% - Accent1 2 10 5 4 2" xfId="739"/>
    <cellStyle name="20% - Accent1 2 10 5 5" xfId="740"/>
    <cellStyle name="20% - Accent1 2 10 6" xfId="741"/>
    <cellStyle name="20% - Accent1 2 10 6 2" xfId="742"/>
    <cellStyle name="20% - Accent1 2 10 6 2 2" xfId="743"/>
    <cellStyle name="20% - Accent1 2 10 6 2 2 2" xfId="744"/>
    <cellStyle name="20% - Accent1 2 10 6 2 2 2 2" xfId="745"/>
    <cellStyle name="20% - Accent1 2 10 6 2 2 3" xfId="746"/>
    <cellStyle name="20% - Accent1 2 10 6 2 3" xfId="747"/>
    <cellStyle name="20% - Accent1 2 10 6 2 3 2" xfId="748"/>
    <cellStyle name="20% - Accent1 2 10 6 2 4" xfId="749"/>
    <cellStyle name="20% - Accent1 2 10 6 3" xfId="750"/>
    <cellStyle name="20% - Accent1 2 10 6 3 2" xfId="751"/>
    <cellStyle name="20% - Accent1 2 10 6 3 2 2" xfId="752"/>
    <cellStyle name="20% - Accent1 2 10 6 3 3" xfId="753"/>
    <cellStyle name="20% - Accent1 2 10 6 4" xfId="754"/>
    <cellStyle name="20% - Accent1 2 10 6 4 2" xfId="755"/>
    <cellStyle name="20% - Accent1 2 10 6 5" xfId="756"/>
    <cellStyle name="20% - Accent1 2 10 7" xfId="757"/>
    <cellStyle name="20% - Accent1 2 10 7 2" xfId="758"/>
    <cellStyle name="20% - Accent1 2 10 7 2 2" xfId="759"/>
    <cellStyle name="20% - Accent1 2 10 7 2 2 2" xfId="760"/>
    <cellStyle name="20% - Accent1 2 10 7 2 3" xfId="761"/>
    <cellStyle name="20% - Accent1 2 10 7 3" xfId="762"/>
    <cellStyle name="20% - Accent1 2 10 7 3 2" xfId="763"/>
    <cellStyle name="20% - Accent1 2 10 7 4" xfId="764"/>
    <cellStyle name="20% - Accent1 2 10 8" xfId="765"/>
    <cellStyle name="20% - Accent1 2 10 8 2" xfId="766"/>
    <cellStyle name="20% - Accent1 2 10 8 2 2" xfId="767"/>
    <cellStyle name="20% - Accent1 2 10 8 3" xfId="768"/>
    <cellStyle name="20% - Accent1 2 10 9" xfId="769"/>
    <cellStyle name="20% - Accent1 2 10 9 2" xfId="770"/>
    <cellStyle name="20% - Accent1 2 11" xfId="771"/>
    <cellStyle name="20% - Accent1 2 11 2" xfId="772"/>
    <cellStyle name="20% - Accent1 2 11 2 2" xfId="773"/>
    <cellStyle name="20% - Accent1 2 11 2 2 2" xfId="774"/>
    <cellStyle name="20% - Accent1 2 11 2 2 2 2" xfId="775"/>
    <cellStyle name="20% - Accent1 2 11 2 2 3" xfId="776"/>
    <cellStyle name="20% - Accent1 2 11 2 3" xfId="777"/>
    <cellStyle name="20% - Accent1 2 11 2 3 2" xfId="778"/>
    <cellStyle name="20% - Accent1 2 11 2 4" xfId="779"/>
    <cellStyle name="20% - Accent1 2 11 3" xfId="780"/>
    <cellStyle name="20% - Accent1 2 11 3 2" xfId="781"/>
    <cellStyle name="20% - Accent1 2 11 3 2 2" xfId="782"/>
    <cellStyle name="20% - Accent1 2 11 3 3" xfId="783"/>
    <cellStyle name="20% - Accent1 2 11 4" xfId="784"/>
    <cellStyle name="20% - Accent1 2 11 4 2" xfId="785"/>
    <cellStyle name="20% - Accent1 2 11 5" xfId="786"/>
    <cellStyle name="20% - Accent1 2 12" xfId="787"/>
    <cellStyle name="20% - Accent1 2 12 2" xfId="788"/>
    <cellStyle name="20% - Accent1 2 12 2 2" xfId="789"/>
    <cellStyle name="20% - Accent1 2 12 2 2 2" xfId="790"/>
    <cellStyle name="20% - Accent1 2 12 2 2 2 2" xfId="791"/>
    <cellStyle name="20% - Accent1 2 12 2 2 3" xfId="792"/>
    <cellStyle name="20% - Accent1 2 12 2 3" xfId="793"/>
    <cellStyle name="20% - Accent1 2 12 2 3 2" xfId="794"/>
    <cellStyle name="20% - Accent1 2 12 2 4" xfId="795"/>
    <cellStyle name="20% - Accent1 2 12 3" xfId="796"/>
    <cellStyle name="20% - Accent1 2 12 3 2" xfId="797"/>
    <cellStyle name="20% - Accent1 2 12 3 2 2" xfId="798"/>
    <cellStyle name="20% - Accent1 2 12 3 3" xfId="799"/>
    <cellStyle name="20% - Accent1 2 12 4" xfId="800"/>
    <cellStyle name="20% - Accent1 2 12 4 2" xfId="801"/>
    <cellStyle name="20% - Accent1 2 12 5" xfId="802"/>
    <cellStyle name="20% - Accent1 2 13" xfId="803"/>
    <cellStyle name="20% - Accent1 2 13 2" xfId="804"/>
    <cellStyle name="20% - Accent1 2 13 2 2" xfId="805"/>
    <cellStyle name="20% - Accent1 2 13 2 2 2" xfId="806"/>
    <cellStyle name="20% - Accent1 2 13 2 2 2 2" xfId="807"/>
    <cellStyle name="20% - Accent1 2 13 2 2 3" xfId="808"/>
    <cellStyle name="20% - Accent1 2 13 2 3" xfId="809"/>
    <cellStyle name="20% - Accent1 2 13 2 3 2" xfId="810"/>
    <cellStyle name="20% - Accent1 2 13 2 4" xfId="811"/>
    <cellStyle name="20% - Accent1 2 13 3" xfId="812"/>
    <cellStyle name="20% - Accent1 2 13 3 2" xfId="813"/>
    <cellStyle name="20% - Accent1 2 13 3 2 2" xfId="814"/>
    <cellStyle name="20% - Accent1 2 13 3 3" xfId="815"/>
    <cellStyle name="20% - Accent1 2 13 4" xfId="816"/>
    <cellStyle name="20% - Accent1 2 13 4 2" xfId="817"/>
    <cellStyle name="20% - Accent1 2 13 5" xfId="818"/>
    <cellStyle name="20% - Accent1 2 14" xfId="819"/>
    <cellStyle name="20% - Accent1 2 14 2" xfId="820"/>
    <cellStyle name="20% - Accent1 2 14 2 2" xfId="821"/>
    <cellStyle name="20% - Accent1 2 14 2 2 2" xfId="822"/>
    <cellStyle name="20% - Accent1 2 14 2 2 2 2" xfId="823"/>
    <cellStyle name="20% - Accent1 2 14 2 2 3" xfId="824"/>
    <cellStyle name="20% - Accent1 2 14 2 3" xfId="825"/>
    <cellStyle name="20% - Accent1 2 14 2 3 2" xfId="826"/>
    <cellStyle name="20% - Accent1 2 14 2 4" xfId="827"/>
    <cellStyle name="20% - Accent1 2 14 3" xfId="828"/>
    <cellStyle name="20% - Accent1 2 14 3 2" xfId="829"/>
    <cellStyle name="20% - Accent1 2 14 3 2 2" xfId="830"/>
    <cellStyle name="20% - Accent1 2 14 3 3" xfId="831"/>
    <cellStyle name="20% - Accent1 2 14 4" xfId="832"/>
    <cellStyle name="20% - Accent1 2 14 4 2" xfId="833"/>
    <cellStyle name="20% - Accent1 2 14 5" xfId="834"/>
    <cellStyle name="20% - Accent1 2 15" xfId="835"/>
    <cellStyle name="20% - Accent1 2 15 2" xfId="836"/>
    <cellStyle name="20% - Accent1 2 15 2 2" xfId="837"/>
    <cellStyle name="20% - Accent1 2 15 2 2 2" xfId="838"/>
    <cellStyle name="20% - Accent1 2 15 2 2 2 2" xfId="839"/>
    <cellStyle name="20% - Accent1 2 15 2 2 3" xfId="840"/>
    <cellStyle name="20% - Accent1 2 15 2 3" xfId="841"/>
    <cellStyle name="20% - Accent1 2 15 2 3 2" xfId="842"/>
    <cellStyle name="20% - Accent1 2 15 2 4" xfId="843"/>
    <cellStyle name="20% - Accent1 2 15 3" xfId="844"/>
    <cellStyle name="20% - Accent1 2 15 3 2" xfId="845"/>
    <cellStyle name="20% - Accent1 2 15 3 2 2" xfId="846"/>
    <cellStyle name="20% - Accent1 2 15 3 3" xfId="847"/>
    <cellStyle name="20% - Accent1 2 15 4" xfId="848"/>
    <cellStyle name="20% - Accent1 2 15 4 2" xfId="849"/>
    <cellStyle name="20% - Accent1 2 15 5" xfId="850"/>
    <cellStyle name="20% - Accent1 2 16" xfId="851"/>
    <cellStyle name="20% - Accent1 2 16 2" xfId="852"/>
    <cellStyle name="20% - Accent1 2 16 2 2" xfId="853"/>
    <cellStyle name="20% - Accent1 2 16 2 2 2" xfId="854"/>
    <cellStyle name="20% - Accent1 2 16 2 3" xfId="855"/>
    <cellStyle name="20% - Accent1 2 16 3" xfId="856"/>
    <cellStyle name="20% - Accent1 2 16 3 2" xfId="857"/>
    <cellStyle name="20% - Accent1 2 16 4" xfId="858"/>
    <cellStyle name="20% - Accent1 2 17" xfId="859"/>
    <cellStyle name="20% - Accent1 2 17 2" xfId="860"/>
    <cellStyle name="20% - Accent1 2 17 2 2" xfId="861"/>
    <cellStyle name="20% - Accent1 2 17 3" xfId="862"/>
    <cellStyle name="20% - Accent1 2 18" xfId="863"/>
    <cellStyle name="20% - Accent1 2 18 2" xfId="864"/>
    <cellStyle name="20% - Accent1 2 19" xfId="865"/>
    <cellStyle name="20% - Accent1 2 2" xfId="866"/>
    <cellStyle name="20% - Accent1 2 2 10" xfId="867"/>
    <cellStyle name="20% - Accent1 2 2 10 2" xfId="868"/>
    <cellStyle name="20% - Accent1 2 2 11" xfId="869"/>
    <cellStyle name="20% - Accent1 2 2 2" xfId="870"/>
    <cellStyle name="20% - Accent1 2 2 2 10" xfId="871"/>
    <cellStyle name="20% - Accent1 2 2 2 2" xfId="872"/>
    <cellStyle name="20% - Accent1 2 2 2 2 2" xfId="873"/>
    <cellStyle name="20% - Accent1 2 2 2 2 2 2" xfId="874"/>
    <cellStyle name="20% - Accent1 2 2 2 2 2 2 2" xfId="875"/>
    <cellStyle name="20% - Accent1 2 2 2 2 2 2 2 2" xfId="876"/>
    <cellStyle name="20% - Accent1 2 2 2 2 2 2 3" xfId="877"/>
    <cellStyle name="20% - Accent1 2 2 2 2 2 3" xfId="878"/>
    <cellStyle name="20% - Accent1 2 2 2 2 2 3 2" xfId="879"/>
    <cellStyle name="20% - Accent1 2 2 2 2 2 4" xfId="880"/>
    <cellStyle name="20% - Accent1 2 2 2 2 3" xfId="881"/>
    <cellStyle name="20% - Accent1 2 2 2 2 3 2" xfId="882"/>
    <cellStyle name="20% - Accent1 2 2 2 2 3 2 2" xfId="883"/>
    <cellStyle name="20% - Accent1 2 2 2 2 3 3" xfId="884"/>
    <cellStyle name="20% - Accent1 2 2 2 2 4" xfId="885"/>
    <cellStyle name="20% - Accent1 2 2 2 2 4 2" xfId="886"/>
    <cellStyle name="20% - Accent1 2 2 2 2 5" xfId="887"/>
    <cellStyle name="20% - Accent1 2 2 2 3" xfId="888"/>
    <cellStyle name="20% - Accent1 2 2 2 3 2" xfId="889"/>
    <cellStyle name="20% - Accent1 2 2 2 3 2 2" xfId="890"/>
    <cellStyle name="20% - Accent1 2 2 2 3 2 2 2" xfId="891"/>
    <cellStyle name="20% - Accent1 2 2 2 3 2 2 2 2" xfId="892"/>
    <cellStyle name="20% - Accent1 2 2 2 3 2 2 3" xfId="893"/>
    <cellStyle name="20% - Accent1 2 2 2 3 2 3" xfId="894"/>
    <cellStyle name="20% - Accent1 2 2 2 3 2 3 2" xfId="895"/>
    <cellStyle name="20% - Accent1 2 2 2 3 2 4" xfId="896"/>
    <cellStyle name="20% - Accent1 2 2 2 3 3" xfId="897"/>
    <cellStyle name="20% - Accent1 2 2 2 3 3 2" xfId="898"/>
    <cellStyle name="20% - Accent1 2 2 2 3 3 2 2" xfId="899"/>
    <cellStyle name="20% - Accent1 2 2 2 3 3 3" xfId="900"/>
    <cellStyle name="20% - Accent1 2 2 2 3 4" xfId="901"/>
    <cellStyle name="20% - Accent1 2 2 2 3 4 2" xfId="902"/>
    <cellStyle name="20% - Accent1 2 2 2 3 5" xfId="903"/>
    <cellStyle name="20% - Accent1 2 2 2 4" xfId="904"/>
    <cellStyle name="20% - Accent1 2 2 2 4 2" xfId="905"/>
    <cellStyle name="20% - Accent1 2 2 2 4 2 2" xfId="906"/>
    <cellStyle name="20% - Accent1 2 2 2 4 2 2 2" xfId="907"/>
    <cellStyle name="20% - Accent1 2 2 2 4 2 2 2 2" xfId="908"/>
    <cellStyle name="20% - Accent1 2 2 2 4 2 2 3" xfId="909"/>
    <cellStyle name="20% - Accent1 2 2 2 4 2 3" xfId="910"/>
    <cellStyle name="20% - Accent1 2 2 2 4 2 3 2" xfId="911"/>
    <cellStyle name="20% - Accent1 2 2 2 4 2 4" xfId="912"/>
    <cellStyle name="20% - Accent1 2 2 2 4 3" xfId="913"/>
    <cellStyle name="20% - Accent1 2 2 2 4 3 2" xfId="914"/>
    <cellStyle name="20% - Accent1 2 2 2 4 3 2 2" xfId="915"/>
    <cellStyle name="20% - Accent1 2 2 2 4 3 3" xfId="916"/>
    <cellStyle name="20% - Accent1 2 2 2 4 4" xfId="917"/>
    <cellStyle name="20% - Accent1 2 2 2 4 4 2" xfId="918"/>
    <cellStyle name="20% - Accent1 2 2 2 4 5" xfId="919"/>
    <cellStyle name="20% - Accent1 2 2 2 5" xfId="920"/>
    <cellStyle name="20% - Accent1 2 2 2 5 2" xfId="921"/>
    <cellStyle name="20% - Accent1 2 2 2 5 2 2" xfId="922"/>
    <cellStyle name="20% - Accent1 2 2 2 5 2 2 2" xfId="923"/>
    <cellStyle name="20% - Accent1 2 2 2 5 2 2 2 2" xfId="924"/>
    <cellStyle name="20% - Accent1 2 2 2 5 2 2 3" xfId="925"/>
    <cellStyle name="20% - Accent1 2 2 2 5 2 3" xfId="926"/>
    <cellStyle name="20% - Accent1 2 2 2 5 2 3 2" xfId="927"/>
    <cellStyle name="20% - Accent1 2 2 2 5 2 4" xfId="928"/>
    <cellStyle name="20% - Accent1 2 2 2 5 3" xfId="929"/>
    <cellStyle name="20% - Accent1 2 2 2 5 3 2" xfId="930"/>
    <cellStyle name="20% - Accent1 2 2 2 5 3 2 2" xfId="931"/>
    <cellStyle name="20% - Accent1 2 2 2 5 3 3" xfId="932"/>
    <cellStyle name="20% - Accent1 2 2 2 5 4" xfId="933"/>
    <cellStyle name="20% - Accent1 2 2 2 5 4 2" xfId="934"/>
    <cellStyle name="20% - Accent1 2 2 2 5 5" xfId="935"/>
    <cellStyle name="20% - Accent1 2 2 2 6" xfId="936"/>
    <cellStyle name="20% - Accent1 2 2 2 6 2" xfId="937"/>
    <cellStyle name="20% - Accent1 2 2 2 6 2 2" xfId="938"/>
    <cellStyle name="20% - Accent1 2 2 2 6 2 2 2" xfId="939"/>
    <cellStyle name="20% - Accent1 2 2 2 6 2 2 2 2" xfId="940"/>
    <cellStyle name="20% - Accent1 2 2 2 6 2 2 3" xfId="941"/>
    <cellStyle name="20% - Accent1 2 2 2 6 2 3" xfId="942"/>
    <cellStyle name="20% - Accent1 2 2 2 6 2 3 2" xfId="943"/>
    <cellStyle name="20% - Accent1 2 2 2 6 2 4" xfId="944"/>
    <cellStyle name="20% - Accent1 2 2 2 6 3" xfId="945"/>
    <cellStyle name="20% - Accent1 2 2 2 6 3 2" xfId="946"/>
    <cellStyle name="20% - Accent1 2 2 2 6 3 2 2" xfId="947"/>
    <cellStyle name="20% - Accent1 2 2 2 6 3 3" xfId="948"/>
    <cellStyle name="20% - Accent1 2 2 2 6 4" xfId="949"/>
    <cellStyle name="20% - Accent1 2 2 2 6 4 2" xfId="950"/>
    <cellStyle name="20% - Accent1 2 2 2 6 5" xfId="951"/>
    <cellStyle name="20% - Accent1 2 2 2 7" xfId="952"/>
    <cellStyle name="20% - Accent1 2 2 2 7 2" xfId="953"/>
    <cellStyle name="20% - Accent1 2 2 2 7 2 2" xfId="954"/>
    <cellStyle name="20% - Accent1 2 2 2 7 2 2 2" xfId="955"/>
    <cellStyle name="20% - Accent1 2 2 2 7 2 3" xfId="956"/>
    <cellStyle name="20% - Accent1 2 2 2 7 3" xfId="957"/>
    <cellStyle name="20% - Accent1 2 2 2 7 3 2" xfId="958"/>
    <cellStyle name="20% - Accent1 2 2 2 7 4" xfId="959"/>
    <cellStyle name="20% - Accent1 2 2 2 8" xfId="960"/>
    <cellStyle name="20% - Accent1 2 2 2 8 2" xfId="961"/>
    <cellStyle name="20% - Accent1 2 2 2 8 2 2" xfId="962"/>
    <cellStyle name="20% - Accent1 2 2 2 8 3" xfId="963"/>
    <cellStyle name="20% - Accent1 2 2 2 9" xfId="964"/>
    <cellStyle name="20% - Accent1 2 2 2 9 2" xfId="965"/>
    <cellStyle name="20% - Accent1 2 2 3" xfId="966"/>
    <cellStyle name="20% - Accent1 2 2 3 2" xfId="967"/>
    <cellStyle name="20% - Accent1 2 2 3 2 2" xfId="968"/>
    <cellStyle name="20% - Accent1 2 2 3 2 2 2" xfId="969"/>
    <cellStyle name="20% - Accent1 2 2 3 2 2 2 2" xfId="970"/>
    <cellStyle name="20% - Accent1 2 2 3 2 2 3" xfId="971"/>
    <cellStyle name="20% - Accent1 2 2 3 2 3" xfId="972"/>
    <cellStyle name="20% - Accent1 2 2 3 2 3 2" xfId="973"/>
    <cellStyle name="20% - Accent1 2 2 3 2 4" xfId="974"/>
    <cellStyle name="20% - Accent1 2 2 3 3" xfId="975"/>
    <cellStyle name="20% - Accent1 2 2 3 3 2" xfId="976"/>
    <cellStyle name="20% - Accent1 2 2 3 3 2 2" xfId="977"/>
    <cellStyle name="20% - Accent1 2 2 3 3 3" xfId="978"/>
    <cellStyle name="20% - Accent1 2 2 3 4" xfId="979"/>
    <cellStyle name="20% - Accent1 2 2 3 4 2" xfId="980"/>
    <cellStyle name="20% - Accent1 2 2 3 5" xfId="981"/>
    <cellStyle name="20% - Accent1 2 2 4" xfId="982"/>
    <cellStyle name="20% - Accent1 2 2 4 2" xfId="983"/>
    <cellStyle name="20% - Accent1 2 2 4 2 2" xfId="984"/>
    <cellStyle name="20% - Accent1 2 2 4 2 2 2" xfId="985"/>
    <cellStyle name="20% - Accent1 2 2 4 2 2 2 2" xfId="986"/>
    <cellStyle name="20% - Accent1 2 2 4 2 2 3" xfId="987"/>
    <cellStyle name="20% - Accent1 2 2 4 2 3" xfId="988"/>
    <cellStyle name="20% - Accent1 2 2 4 2 3 2" xfId="989"/>
    <cellStyle name="20% - Accent1 2 2 4 2 4" xfId="990"/>
    <cellStyle name="20% - Accent1 2 2 4 3" xfId="991"/>
    <cellStyle name="20% - Accent1 2 2 4 3 2" xfId="992"/>
    <cellStyle name="20% - Accent1 2 2 4 3 2 2" xfId="993"/>
    <cellStyle name="20% - Accent1 2 2 4 3 3" xfId="994"/>
    <cellStyle name="20% - Accent1 2 2 4 4" xfId="995"/>
    <cellStyle name="20% - Accent1 2 2 4 4 2" xfId="996"/>
    <cellStyle name="20% - Accent1 2 2 4 5" xfId="997"/>
    <cellStyle name="20% - Accent1 2 2 5" xfId="998"/>
    <cellStyle name="20% - Accent1 2 2 5 2" xfId="999"/>
    <cellStyle name="20% - Accent1 2 2 5 2 2" xfId="1000"/>
    <cellStyle name="20% - Accent1 2 2 5 2 2 2" xfId="1001"/>
    <cellStyle name="20% - Accent1 2 2 5 2 2 2 2" xfId="1002"/>
    <cellStyle name="20% - Accent1 2 2 5 2 2 3" xfId="1003"/>
    <cellStyle name="20% - Accent1 2 2 5 2 3" xfId="1004"/>
    <cellStyle name="20% - Accent1 2 2 5 2 3 2" xfId="1005"/>
    <cellStyle name="20% - Accent1 2 2 5 2 4" xfId="1006"/>
    <cellStyle name="20% - Accent1 2 2 5 3" xfId="1007"/>
    <cellStyle name="20% - Accent1 2 2 5 3 2" xfId="1008"/>
    <cellStyle name="20% - Accent1 2 2 5 3 2 2" xfId="1009"/>
    <cellStyle name="20% - Accent1 2 2 5 3 3" xfId="1010"/>
    <cellStyle name="20% - Accent1 2 2 5 4" xfId="1011"/>
    <cellStyle name="20% - Accent1 2 2 5 4 2" xfId="1012"/>
    <cellStyle name="20% - Accent1 2 2 5 5" xfId="1013"/>
    <cellStyle name="20% - Accent1 2 2 6" xfId="1014"/>
    <cellStyle name="20% - Accent1 2 2 6 2" xfId="1015"/>
    <cellStyle name="20% - Accent1 2 2 6 2 2" xfId="1016"/>
    <cellStyle name="20% - Accent1 2 2 6 2 2 2" xfId="1017"/>
    <cellStyle name="20% - Accent1 2 2 6 2 2 2 2" xfId="1018"/>
    <cellStyle name="20% - Accent1 2 2 6 2 2 3" xfId="1019"/>
    <cellStyle name="20% - Accent1 2 2 6 2 3" xfId="1020"/>
    <cellStyle name="20% - Accent1 2 2 6 2 3 2" xfId="1021"/>
    <cellStyle name="20% - Accent1 2 2 6 2 4" xfId="1022"/>
    <cellStyle name="20% - Accent1 2 2 6 3" xfId="1023"/>
    <cellStyle name="20% - Accent1 2 2 6 3 2" xfId="1024"/>
    <cellStyle name="20% - Accent1 2 2 6 3 2 2" xfId="1025"/>
    <cellStyle name="20% - Accent1 2 2 6 3 3" xfId="1026"/>
    <cellStyle name="20% - Accent1 2 2 6 4" xfId="1027"/>
    <cellStyle name="20% - Accent1 2 2 6 4 2" xfId="1028"/>
    <cellStyle name="20% - Accent1 2 2 6 5" xfId="1029"/>
    <cellStyle name="20% - Accent1 2 2 7" xfId="1030"/>
    <cellStyle name="20% - Accent1 2 2 7 2" xfId="1031"/>
    <cellStyle name="20% - Accent1 2 2 7 2 2" xfId="1032"/>
    <cellStyle name="20% - Accent1 2 2 7 2 2 2" xfId="1033"/>
    <cellStyle name="20% - Accent1 2 2 7 2 2 2 2" xfId="1034"/>
    <cellStyle name="20% - Accent1 2 2 7 2 2 3" xfId="1035"/>
    <cellStyle name="20% - Accent1 2 2 7 2 3" xfId="1036"/>
    <cellStyle name="20% - Accent1 2 2 7 2 3 2" xfId="1037"/>
    <cellStyle name="20% - Accent1 2 2 7 2 4" xfId="1038"/>
    <cellStyle name="20% - Accent1 2 2 7 3" xfId="1039"/>
    <cellStyle name="20% - Accent1 2 2 7 3 2" xfId="1040"/>
    <cellStyle name="20% - Accent1 2 2 7 3 2 2" xfId="1041"/>
    <cellStyle name="20% - Accent1 2 2 7 3 3" xfId="1042"/>
    <cellStyle name="20% - Accent1 2 2 7 4" xfId="1043"/>
    <cellStyle name="20% - Accent1 2 2 7 4 2" xfId="1044"/>
    <cellStyle name="20% - Accent1 2 2 7 5" xfId="1045"/>
    <cellStyle name="20% - Accent1 2 2 8" xfId="1046"/>
    <cellStyle name="20% - Accent1 2 2 8 2" xfId="1047"/>
    <cellStyle name="20% - Accent1 2 2 8 2 2" xfId="1048"/>
    <cellStyle name="20% - Accent1 2 2 8 2 2 2" xfId="1049"/>
    <cellStyle name="20% - Accent1 2 2 8 2 3" xfId="1050"/>
    <cellStyle name="20% - Accent1 2 2 8 3" xfId="1051"/>
    <cellStyle name="20% - Accent1 2 2 8 3 2" xfId="1052"/>
    <cellStyle name="20% - Accent1 2 2 8 4" xfId="1053"/>
    <cellStyle name="20% - Accent1 2 2 9" xfId="1054"/>
    <cellStyle name="20% - Accent1 2 2 9 2" xfId="1055"/>
    <cellStyle name="20% - Accent1 2 2 9 2 2" xfId="1056"/>
    <cellStyle name="20% - Accent1 2 2 9 3" xfId="1057"/>
    <cellStyle name="20% - Accent1 2 3" xfId="1058"/>
    <cellStyle name="20% - Accent1 2 3 10" xfId="1059"/>
    <cellStyle name="20% - Accent1 2 3 10 2" xfId="1060"/>
    <cellStyle name="20% - Accent1 2 3 11" xfId="1061"/>
    <cellStyle name="20% - Accent1 2 3 2" xfId="1062"/>
    <cellStyle name="20% - Accent1 2 3 2 10" xfId="1063"/>
    <cellStyle name="20% - Accent1 2 3 2 2" xfId="1064"/>
    <cellStyle name="20% - Accent1 2 3 2 2 2" xfId="1065"/>
    <cellStyle name="20% - Accent1 2 3 2 2 2 2" xfId="1066"/>
    <cellStyle name="20% - Accent1 2 3 2 2 2 2 2" xfId="1067"/>
    <cellStyle name="20% - Accent1 2 3 2 2 2 2 2 2" xfId="1068"/>
    <cellStyle name="20% - Accent1 2 3 2 2 2 2 3" xfId="1069"/>
    <cellStyle name="20% - Accent1 2 3 2 2 2 3" xfId="1070"/>
    <cellStyle name="20% - Accent1 2 3 2 2 2 3 2" xfId="1071"/>
    <cellStyle name="20% - Accent1 2 3 2 2 2 4" xfId="1072"/>
    <cellStyle name="20% - Accent1 2 3 2 2 3" xfId="1073"/>
    <cellStyle name="20% - Accent1 2 3 2 2 3 2" xfId="1074"/>
    <cellStyle name="20% - Accent1 2 3 2 2 3 2 2" xfId="1075"/>
    <cellStyle name="20% - Accent1 2 3 2 2 3 3" xfId="1076"/>
    <cellStyle name="20% - Accent1 2 3 2 2 4" xfId="1077"/>
    <cellStyle name="20% - Accent1 2 3 2 2 4 2" xfId="1078"/>
    <cellStyle name="20% - Accent1 2 3 2 2 5" xfId="1079"/>
    <cellStyle name="20% - Accent1 2 3 2 3" xfId="1080"/>
    <cellStyle name="20% - Accent1 2 3 2 3 2" xfId="1081"/>
    <cellStyle name="20% - Accent1 2 3 2 3 2 2" xfId="1082"/>
    <cellStyle name="20% - Accent1 2 3 2 3 2 2 2" xfId="1083"/>
    <cellStyle name="20% - Accent1 2 3 2 3 2 2 2 2" xfId="1084"/>
    <cellStyle name="20% - Accent1 2 3 2 3 2 2 3" xfId="1085"/>
    <cellStyle name="20% - Accent1 2 3 2 3 2 3" xfId="1086"/>
    <cellStyle name="20% - Accent1 2 3 2 3 2 3 2" xfId="1087"/>
    <cellStyle name="20% - Accent1 2 3 2 3 2 4" xfId="1088"/>
    <cellStyle name="20% - Accent1 2 3 2 3 3" xfId="1089"/>
    <cellStyle name="20% - Accent1 2 3 2 3 3 2" xfId="1090"/>
    <cellStyle name="20% - Accent1 2 3 2 3 3 2 2" xfId="1091"/>
    <cellStyle name="20% - Accent1 2 3 2 3 3 3" xfId="1092"/>
    <cellStyle name="20% - Accent1 2 3 2 3 4" xfId="1093"/>
    <cellStyle name="20% - Accent1 2 3 2 3 4 2" xfId="1094"/>
    <cellStyle name="20% - Accent1 2 3 2 3 5" xfId="1095"/>
    <cellStyle name="20% - Accent1 2 3 2 4" xfId="1096"/>
    <cellStyle name="20% - Accent1 2 3 2 4 2" xfId="1097"/>
    <cellStyle name="20% - Accent1 2 3 2 4 2 2" xfId="1098"/>
    <cellStyle name="20% - Accent1 2 3 2 4 2 2 2" xfId="1099"/>
    <cellStyle name="20% - Accent1 2 3 2 4 2 2 2 2" xfId="1100"/>
    <cellStyle name="20% - Accent1 2 3 2 4 2 2 3" xfId="1101"/>
    <cellStyle name="20% - Accent1 2 3 2 4 2 3" xfId="1102"/>
    <cellStyle name="20% - Accent1 2 3 2 4 2 3 2" xfId="1103"/>
    <cellStyle name="20% - Accent1 2 3 2 4 2 4" xfId="1104"/>
    <cellStyle name="20% - Accent1 2 3 2 4 3" xfId="1105"/>
    <cellStyle name="20% - Accent1 2 3 2 4 3 2" xfId="1106"/>
    <cellStyle name="20% - Accent1 2 3 2 4 3 2 2" xfId="1107"/>
    <cellStyle name="20% - Accent1 2 3 2 4 3 3" xfId="1108"/>
    <cellStyle name="20% - Accent1 2 3 2 4 4" xfId="1109"/>
    <cellStyle name="20% - Accent1 2 3 2 4 4 2" xfId="1110"/>
    <cellStyle name="20% - Accent1 2 3 2 4 5" xfId="1111"/>
    <cellStyle name="20% - Accent1 2 3 2 5" xfId="1112"/>
    <cellStyle name="20% - Accent1 2 3 2 5 2" xfId="1113"/>
    <cellStyle name="20% - Accent1 2 3 2 5 2 2" xfId="1114"/>
    <cellStyle name="20% - Accent1 2 3 2 5 2 2 2" xfId="1115"/>
    <cellStyle name="20% - Accent1 2 3 2 5 2 2 2 2" xfId="1116"/>
    <cellStyle name="20% - Accent1 2 3 2 5 2 2 3" xfId="1117"/>
    <cellStyle name="20% - Accent1 2 3 2 5 2 3" xfId="1118"/>
    <cellStyle name="20% - Accent1 2 3 2 5 2 3 2" xfId="1119"/>
    <cellStyle name="20% - Accent1 2 3 2 5 2 4" xfId="1120"/>
    <cellStyle name="20% - Accent1 2 3 2 5 3" xfId="1121"/>
    <cellStyle name="20% - Accent1 2 3 2 5 3 2" xfId="1122"/>
    <cellStyle name="20% - Accent1 2 3 2 5 3 2 2" xfId="1123"/>
    <cellStyle name="20% - Accent1 2 3 2 5 3 3" xfId="1124"/>
    <cellStyle name="20% - Accent1 2 3 2 5 4" xfId="1125"/>
    <cellStyle name="20% - Accent1 2 3 2 5 4 2" xfId="1126"/>
    <cellStyle name="20% - Accent1 2 3 2 5 5" xfId="1127"/>
    <cellStyle name="20% - Accent1 2 3 2 6" xfId="1128"/>
    <cellStyle name="20% - Accent1 2 3 2 6 2" xfId="1129"/>
    <cellStyle name="20% - Accent1 2 3 2 6 2 2" xfId="1130"/>
    <cellStyle name="20% - Accent1 2 3 2 6 2 2 2" xfId="1131"/>
    <cellStyle name="20% - Accent1 2 3 2 6 2 2 2 2" xfId="1132"/>
    <cellStyle name="20% - Accent1 2 3 2 6 2 2 3" xfId="1133"/>
    <cellStyle name="20% - Accent1 2 3 2 6 2 3" xfId="1134"/>
    <cellStyle name="20% - Accent1 2 3 2 6 2 3 2" xfId="1135"/>
    <cellStyle name="20% - Accent1 2 3 2 6 2 4" xfId="1136"/>
    <cellStyle name="20% - Accent1 2 3 2 6 3" xfId="1137"/>
    <cellStyle name="20% - Accent1 2 3 2 6 3 2" xfId="1138"/>
    <cellStyle name="20% - Accent1 2 3 2 6 3 2 2" xfId="1139"/>
    <cellStyle name="20% - Accent1 2 3 2 6 3 3" xfId="1140"/>
    <cellStyle name="20% - Accent1 2 3 2 6 4" xfId="1141"/>
    <cellStyle name="20% - Accent1 2 3 2 6 4 2" xfId="1142"/>
    <cellStyle name="20% - Accent1 2 3 2 6 5" xfId="1143"/>
    <cellStyle name="20% - Accent1 2 3 2 7" xfId="1144"/>
    <cellStyle name="20% - Accent1 2 3 2 7 2" xfId="1145"/>
    <cellStyle name="20% - Accent1 2 3 2 7 2 2" xfId="1146"/>
    <cellStyle name="20% - Accent1 2 3 2 7 2 2 2" xfId="1147"/>
    <cellStyle name="20% - Accent1 2 3 2 7 2 3" xfId="1148"/>
    <cellStyle name="20% - Accent1 2 3 2 7 3" xfId="1149"/>
    <cellStyle name="20% - Accent1 2 3 2 7 3 2" xfId="1150"/>
    <cellStyle name="20% - Accent1 2 3 2 7 4" xfId="1151"/>
    <cellStyle name="20% - Accent1 2 3 2 8" xfId="1152"/>
    <cellStyle name="20% - Accent1 2 3 2 8 2" xfId="1153"/>
    <cellStyle name="20% - Accent1 2 3 2 8 2 2" xfId="1154"/>
    <cellStyle name="20% - Accent1 2 3 2 8 3" xfId="1155"/>
    <cellStyle name="20% - Accent1 2 3 2 9" xfId="1156"/>
    <cellStyle name="20% - Accent1 2 3 2 9 2" xfId="1157"/>
    <cellStyle name="20% - Accent1 2 3 3" xfId="1158"/>
    <cellStyle name="20% - Accent1 2 3 3 2" xfId="1159"/>
    <cellStyle name="20% - Accent1 2 3 3 2 2" xfId="1160"/>
    <cellStyle name="20% - Accent1 2 3 3 2 2 2" xfId="1161"/>
    <cellStyle name="20% - Accent1 2 3 3 2 2 2 2" xfId="1162"/>
    <cellStyle name="20% - Accent1 2 3 3 2 2 3" xfId="1163"/>
    <cellStyle name="20% - Accent1 2 3 3 2 3" xfId="1164"/>
    <cellStyle name="20% - Accent1 2 3 3 2 3 2" xfId="1165"/>
    <cellStyle name="20% - Accent1 2 3 3 2 4" xfId="1166"/>
    <cellStyle name="20% - Accent1 2 3 3 3" xfId="1167"/>
    <cellStyle name="20% - Accent1 2 3 3 3 2" xfId="1168"/>
    <cellStyle name="20% - Accent1 2 3 3 3 2 2" xfId="1169"/>
    <cellStyle name="20% - Accent1 2 3 3 3 3" xfId="1170"/>
    <cellStyle name="20% - Accent1 2 3 3 4" xfId="1171"/>
    <cellStyle name="20% - Accent1 2 3 3 4 2" xfId="1172"/>
    <cellStyle name="20% - Accent1 2 3 3 5" xfId="1173"/>
    <cellStyle name="20% - Accent1 2 3 4" xfId="1174"/>
    <cellStyle name="20% - Accent1 2 3 4 2" xfId="1175"/>
    <cellStyle name="20% - Accent1 2 3 4 2 2" xfId="1176"/>
    <cellStyle name="20% - Accent1 2 3 4 2 2 2" xfId="1177"/>
    <cellStyle name="20% - Accent1 2 3 4 2 2 2 2" xfId="1178"/>
    <cellStyle name="20% - Accent1 2 3 4 2 2 3" xfId="1179"/>
    <cellStyle name="20% - Accent1 2 3 4 2 3" xfId="1180"/>
    <cellStyle name="20% - Accent1 2 3 4 2 3 2" xfId="1181"/>
    <cellStyle name="20% - Accent1 2 3 4 2 4" xfId="1182"/>
    <cellStyle name="20% - Accent1 2 3 4 3" xfId="1183"/>
    <cellStyle name="20% - Accent1 2 3 4 3 2" xfId="1184"/>
    <cellStyle name="20% - Accent1 2 3 4 3 2 2" xfId="1185"/>
    <cellStyle name="20% - Accent1 2 3 4 3 3" xfId="1186"/>
    <cellStyle name="20% - Accent1 2 3 4 4" xfId="1187"/>
    <cellStyle name="20% - Accent1 2 3 4 4 2" xfId="1188"/>
    <cellStyle name="20% - Accent1 2 3 4 5" xfId="1189"/>
    <cellStyle name="20% - Accent1 2 3 5" xfId="1190"/>
    <cellStyle name="20% - Accent1 2 3 5 2" xfId="1191"/>
    <cellStyle name="20% - Accent1 2 3 5 2 2" xfId="1192"/>
    <cellStyle name="20% - Accent1 2 3 5 2 2 2" xfId="1193"/>
    <cellStyle name="20% - Accent1 2 3 5 2 2 2 2" xfId="1194"/>
    <cellStyle name="20% - Accent1 2 3 5 2 2 3" xfId="1195"/>
    <cellStyle name="20% - Accent1 2 3 5 2 3" xfId="1196"/>
    <cellStyle name="20% - Accent1 2 3 5 2 3 2" xfId="1197"/>
    <cellStyle name="20% - Accent1 2 3 5 2 4" xfId="1198"/>
    <cellStyle name="20% - Accent1 2 3 5 3" xfId="1199"/>
    <cellStyle name="20% - Accent1 2 3 5 3 2" xfId="1200"/>
    <cellStyle name="20% - Accent1 2 3 5 3 2 2" xfId="1201"/>
    <cellStyle name="20% - Accent1 2 3 5 3 3" xfId="1202"/>
    <cellStyle name="20% - Accent1 2 3 5 4" xfId="1203"/>
    <cellStyle name="20% - Accent1 2 3 5 4 2" xfId="1204"/>
    <cellStyle name="20% - Accent1 2 3 5 5" xfId="1205"/>
    <cellStyle name="20% - Accent1 2 3 6" xfId="1206"/>
    <cellStyle name="20% - Accent1 2 3 6 2" xfId="1207"/>
    <cellStyle name="20% - Accent1 2 3 6 2 2" xfId="1208"/>
    <cellStyle name="20% - Accent1 2 3 6 2 2 2" xfId="1209"/>
    <cellStyle name="20% - Accent1 2 3 6 2 2 2 2" xfId="1210"/>
    <cellStyle name="20% - Accent1 2 3 6 2 2 3" xfId="1211"/>
    <cellStyle name="20% - Accent1 2 3 6 2 3" xfId="1212"/>
    <cellStyle name="20% - Accent1 2 3 6 2 3 2" xfId="1213"/>
    <cellStyle name="20% - Accent1 2 3 6 2 4" xfId="1214"/>
    <cellStyle name="20% - Accent1 2 3 6 3" xfId="1215"/>
    <cellStyle name="20% - Accent1 2 3 6 3 2" xfId="1216"/>
    <cellStyle name="20% - Accent1 2 3 6 3 2 2" xfId="1217"/>
    <cellStyle name="20% - Accent1 2 3 6 3 3" xfId="1218"/>
    <cellStyle name="20% - Accent1 2 3 6 4" xfId="1219"/>
    <cellStyle name="20% - Accent1 2 3 6 4 2" xfId="1220"/>
    <cellStyle name="20% - Accent1 2 3 6 5" xfId="1221"/>
    <cellStyle name="20% - Accent1 2 3 7" xfId="1222"/>
    <cellStyle name="20% - Accent1 2 3 7 2" xfId="1223"/>
    <cellStyle name="20% - Accent1 2 3 7 2 2" xfId="1224"/>
    <cellStyle name="20% - Accent1 2 3 7 2 2 2" xfId="1225"/>
    <cellStyle name="20% - Accent1 2 3 7 2 2 2 2" xfId="1226"/>
    <cellStyle name="20% - Accent1 2 3 7 2 2 3" xfId="1227"/>
    <cellStyle name="20% - Accent1 2 3 7 2 3" xfId="1228"/>
    <cellStyle name="20% - Accent1 2 3 7 2 3 2" xfId="1229"/>
    <cellStyle name="20% - Accent1 2 3 7 2 4" xfId="1230"/>
    <cellStyle name="20% - Accent1 2 3 7 3" xfId="1231"/>
    <cellStyle name="20% - Accent1 2 3 7 3 2" xfId="1232"/>
    <cellStyle name="20% - Accent1 2 3 7 3 2 2" xfId="1233"/>
    <cellStyle name="20% - Accent1 2 3 7 3 3" xfId="1234"/>
    <cellStyle name="20% - Accent1 2 3 7 4" xfId="1235"/>
    <cellStyle name="20% - Accent1 2 3 7 4 2" xfId="1236"/>
    <cellStyle name="20% - Accent1 2 3 7 5" xfId="1237"/>
    <cellStyle name="20% - Accent1 2 3 8" xfId="1238"/>
    <cellStyle name="20% - Accent1 2 3 8 2" xfId="1239"/>
    <cellStyle name="20% - Accent1 2 3 8 2 2" xfId="1240"/>
    <cellStyle name="20% - Accent1 2 3 8 2 2 2" xfId="1241"/>
    <cellStyle name="20% - Accent1 2 3 8 2 3" xfId="1242"/>
    <cellStyle name="20% - Accent1 2 3 8 3" xfId="1243"/>
    <cellStyle name="20% - Accent1 2 3 8 3 2" xfId="1244"/>
    <cellStyle name="20% - Accent1 2 3 8 4" xfId="1245"/>
    <cellStyle name="20% - Accent1 2 3 9" xfId="1246"/>
    <cellStyle name="20% - Accent1 2 3 9 2" xfId="1247"/>
    <cellStyle name="20% - Accent1 2 3 9 2 2" xfId="1248"/>
    <cellStyle name="20% - Accent1 2 3 9 3" xfId="1249"/>
    <cellStyle name="20% - Accent1 2 4" xfId="1250"/>
    <cellStyle name="20% - Accent1 2 4 10" xfId="1251"/>
    <cellStyle name="20% - Accent1 2 4 10 2" xfId="1252"/>
    <cellStyle name="20% - Accent1 2 4 11" xfId="1253"/>
    <cellStyle name="20% - Accent1 2 4 2" xfId="1254"/>
    <cellStyle name="20% - Accent1 2 4 2 10" xfId="1255"/>
    <cellStyle name="20% - Accent1 2 4 2 2" xfId="1256"/>
    <cellStyle name="20% - Accent1 2 4 2 2 2" xfId="1257"/>
    <cellStyle name="20% - Accent1 2 4 2 2 2 2" xfId="1258"/>
    <cellStyle name="20% - Accent1 2 4 2 2 2 2 2" xfId="1259"/>
    <cellStyle name="20% - Accent1 2 4 2 2 2 2 2 2" xfId="1260"/>
    <cellStyle name="20% - Accent1 2 4 2 2 2 2 3" xfId="1261"/>
    <cellStyle name="20% - Accent1 2 4 2 2 2 3" xfId="1262"/>
    <cellStyle name="20% - Accent1 2 4 2 2 2 3 2" xfId="1263"/>
    <cellStyle name="20% - Accent1 2 4 2 2 2 4" xfId="1264"/>
    <cellStyle name="20% - Accent1 2 4 2 2 3" xfId="1265"/>
    <cellStyle name="20% - Accent1 2 4 2 2 3 2" xfId="1266"/>
    <cellStyle name="20% - Accent1 2 4 2 2 3 2 2" xfId="1267"/>
    <cellStyle name="20% - Accent1 2 4 2 2 3 3" xfId="1268"/>
    <cellStyle name="20% - Accent1 2 4 2 2 4" xfId="1269"/>
    <cellStyle name="20% - Accent1 2 4 2 2 4 2" xfId="1270"/>
    <cellStyle name="20% - Accent1 2 4 2 2 5" xfId="1271"/>
    <cellStyle name="20% - Accent1 2 4 2 3" xfId="1272"/>
    <cellStyle name="20% - Accent1 2 4 2 3 2" xfId="1273"/>
    <cellStyle name="20% - Accent1 2 4 2 3 2 2" xfId="1274"/>
    <cellStyle name="20% - Accent1 2 4 2 3 2 2 2" xfId="1275"/>
    <cellStyle name="20% - Accent1 2 4 2 3 2 2 2 2" xfId="1276"/>
    <cellStyle name="20% - Accent1 2 4 2 3 2 2 3" xfId="1277"/>
    <cellStyle name="20% - Accent1 2 4 2 3 2 3" xfId="1278"/>
    <cellStyle name="20% - Accent1 2 4 2 3 2 3 2" xfId="1279"/>
    <cellStyle name="20% - Accent1 2 4 2 3 2 4" xfId="1280"/>
    <cellStyle name="20% - Accent1 2 4 2 3 3" xfId="1281"/>
    <cellStyle name="20% - Accent1 2 4 2 3 3 2" xfId="1282"/>
    <cellStyle name="20% - Accent1 2 4 2 3 3 2 2" xfId="1283"/>
    <cellStyle name="20% - Accent1 2 4 2 3 3 3" xfId="1284"/>
    <cellStyle name="20% - Accent1 2 4 2 3 4" xfId="1285"/>
    <cellStyle name="20% - Accent1 2 4 2 3 4 2" xfId="1286"/>
    <cellStyle name="20% - Accent1 2 4 2 3 5" xfId="1287"/>
    <cellStyle name="20% - Accent1 2 4 2 4" xfId="1288"/>
    <cellStyle name="20% - Accent1 2 4 2 4 2" xfId="1289"/>
    <cellStyle name="20% - Accent1 2 4 2 4 2 2" xfId="1290"/>
    <cellStyle name="20% - Accent1 2 4 2 4 2 2 2" xfId="1291"/>
    <cellStyle name="20% - Accent1 2 4 2 4 2 2 2 2" xfId="1292"/>
    <cellStyle name="20% - Accent1 2 4 2 4 2 2 3" xfId="1293"/>
    <cellStyle name="20% - Accent1 2 4 2 4 2 3" xfId="1294"/>
    <cellStyle name="20% - Accent1 2 4 2 4 2 3 2" xfId="1295"/>
    <cellStyle name="20% - Accent1 2 4 2 4 2 4" xfId="1296"/>
    <cellStyle name="20% - Accent1 2 4 2 4 3" xfId="1297"/>
    <cellStyle name="20% - Accent1 2 4 2 4 3 2" xfId="1298"/>
    <cellStyle name="20% - Accent1 2 4 2 4 3 2 2" xfId="1299"/>
    <cellStyle name="20% - Accent1 2 4 2 4 3 3" xfId="1300"/>
    <cellStyle name="20% - Accent1 2 4 2 4 4" xfId="1301"/>
    <cellStyle name="20% - Accent1 2 4 2 4 4 2" xfId="1302"/>
    <cellStyle name="20% - Accent1 2 4 2 4 5" xfId="1303"/>
    <cellStyle name="20% - Accent1 2 4 2 5" xfId="1304"/>
    <cellStyle name="20% - Accent1 2 4 2 5 2" xfId="1305"/>
    <cellStyle name="20% - Accent1 2 4 2 5 2 2" xfId="1306"/>
    <cellStyle name="20% - Accent1 2 4 2 5 2 2 2" xfId="1307"/>
    <cellStyle name="20% - Accent1 2 4 2 5 2 2 2 2" xfId="1308"/>
    <cellStyle name="20% - Accent1 2 4 2 5 2 2 3" xfId="1309"/>
    <cellStyle name="20% - Accent1 2 4 2 5 2 3" xfId="1310"/>
    <cellStyle name="20% - Accent1 2 4 2 5 2 3 2" xfId="1311"/>
    <cellStyle name="20% - Accent1 2 4 2 5 2 4" xfId="1312"/>
    <cellStyle name="20% - Accent1 2 4 2 5 3" xfId="1313"/>
    <cellStyle name="20% - Accent1 2 4 2 5 3 2" xfId="1314"/>
    <cellStyle name="20% - Accent1 2 4 2 5 3 2 2" xfId="1315"/>
    <cellStyle name="20% - Accent1 2 4 2 5 3 3" xfId="1316"/>
    <cellStyle name="20% - Accent1 2 4 2 5 4" xfId="1317"/>
    <cellStyle name="20% - Accent1 2 4 2 5 4 2" xfId="1318"/>
    <cellStyle name="20% - Accent1 2 4 2 5 5" xfId="1319"/>
    <cellStyle name="20% - Accent1 2 4 2 6" xfId="1320"/>
    <cellStyle name="20% - Accent1 2 4 2 6 2" xfId="1321"/>
    <cellStyle name="20% - Accent1 2 4 2 6 2 2" xfId="1322"/>
    <cellStyle name="20% - Accent1 2 4 2 6 2 2 2" xfId="1323"/>
    <cellStyle name="20% - Accent1 2 4 2 6 2 2 2 2" xfId="1324"/>
    <cellStyle name="20% - Accent1 2 4 2 6 2 2 3" xfId="1325"/>
    <cellStyle name="20% - Accent1 2 4 2 6 2 3" xfId="1326"/>
    <cellStyle name="20% - Accent1 2 4 2 6 2 3 2" xfId="1327"/>
    <cellStyle name="20% - Accent1 2 4 2 6 2 4" xfId="1328"/>
    <cellStyle name="20% - Accent1 2 4 2 6 3" xfId="1329"/>
    <cellStyle name="20% - Accent1 2 4 2 6 3 2" xfId="1330"/>
    <cellStyle name="20% - Accent1 2 4 2 6 3 2 2" xfId="1331"/>
    <cellStyle name="20% - Accent1 2 4 2 6 3 3" xfId="1332"/>
    <cellStyle name="20% - Accent1 2 4 2 6 4" xfId="1333"/>
    <cellStyle name="20% - Accent1 2 4 2 6 4 2" xfId="1334"/>
    <cellStyle name="20% - Accent1 2 4 2 6 5" xfId="1335"/>
    <cellStyle name="20% - Accent1 2 4 2 7" xfId="1336"/>
    <cellStyle name="20% - Accent1 2 4 2 7 2" xfId="1337"/>
    <cellStyle name="20% - Accent1 2 4 2 7 2 2" xfId="1338"/>
    <cellStyle name="20% - Accent1 2 4 2 7 2 2 2" xfId="1339"/>
    <cellStyle name="20% - Accent1 2 4 2 7 2 3" xfId="1340"/>
    <cellStyle name="20% - Accent1 2 4 2 7 3" xfId="1341"/>
    <cellStyle name="20% - Accent1 2 4 2 7 3 2" xfId="1342"/>
    <cellStyle name="20% - Accent1 2 4 2 7 4" xfId="1343"/>
    <cellStyle name="20% - Accent1 2 4 2 8" xfId="1344"/>
    <cellStyle name="20% - Accent1 2 4 2 8 2" xfId="1345"/>
    <cellStyle name="20% - Accent1 2 4 2 8 2 2" xfId="1346"/>
    <cellStyle name="20% - Accent1 2 4 2 8 3" xfId="1347"/>
    <cellStyle name="20% - Accent1 2 4 2 9" xfId="1348"/>
    <cellStyle name="20% - Accent1 2 4 2 9 2" xfId="1349"/>
    <cellStyle name="20% - Accent1 2 4 3" xfId="1350"/>
    <cellStyle name="20% - Accent1 2 4 3 2" xfId="1351"/>
    <cellStyle name="20% - Accent1 2 4 3 2 2" xfId="1352"/>
    <cellStyle name="20% - Accent1 2 4 3 2 2 2" xfId="1353"/>
    <cellStyle name="20% - Accent1 2 4 3 2 2 2 2" xfId="1354"/>
    <cellStyle name="20% - Accent1 2 4 3 2 2 3" xfId="1355"/>
    <cellStyle name="20% - Accent1 2 4 3 2 3" xfId="1356"/>
    <cellStyle name="20% - Accent1 2 4 3 2 3 2" xfId="1357"/>
    <cellStyle name="20% - Accent1 2 4 3 2 4" xfId="1358"/>
    <cellStyle name="20% - Accent1 2 4 3 3" xfId="1359"/>
    <cellStyle name="20% - Accent1 2 4 3 3 2" xfId="1360"/>
    <cellStyle name="20% - Accent1 2 4 3 3 2 2" xfId="1361"/>
    <cellStyle name="20% - Accent1 2 4 3 3 3" xfId="1362"/>
    <cellStyle name="20% - Accent1 2 4 3 4" xfId="1363"/>
    <cellStyle name="20% - Accent1 2 4 3 4 2" xfId="1364"/>
    <cellStyle name="20% - Accent1 2 4 3 5" xfId="1365"/>
    <cellStyle name="20% - Accent1 2 4 4" xfId="1366"/>
    <cellStyle name="20% - Accent1 2 4 4 2" xfId="1367"/>
    <cellStyle name="20% - Accent1 2 4 4 2 2" xfId="1368"/>
    <cellStyle name="20% - Accent1 2 4 4 2 2 2" xfId="1369"/>
    <cellStyle name="20% - Accent1 2 4 4 2 2 2 2" xfId="1370"/>
    <cellStyle name="20% - Accent1 2 4 4 2 2 3" xfId="1371"/>
    <cellStyle name="20% - Accent1 2 4 4 2 3" xfId="1372"/>
    <cellStyle name="20% - Accent1 2 4 4 2 3 2" xfId="1373"/>
    <cellStyle name="20% - Accent1 2 4 4 2 4" xfId="1374"/>
    <cellStyle name="20% - Accent1 2 4 4 3" xfId="1375"/>
    <cellStyle name="20% - Accent1 2 4 4 3 2" xfId="1376"/>
    <cellStyle name="20% - Accent1 2 4 4 3 2 2" xfId="1377"/>
    <cellStyle name="20% - Accent1 2 4 4 3 3" xfId="1378"/>
    <cellStyle name="20% - Accent1 2 4 4 4" xfId="1379"/>
    <cellStyle name="20% - Accent1 2 4 4 4 2" xfId="1380"/>
    <cellStyle name="20% - Accent1 2 4 4 5" xfId="1381"/>
    <cellStyle name="20% - Accent1 2 4 5" xfId="1382"/>
    <cellStyle name="20% - Accent1 2 4 5 2" xfId="1383"/>
    <cellStyle name="20% - Accent1 2 4 5 2 2" xfId="1384"/>
    <cellStyle name="20% - Accent1 2 4 5 2 2 2" xfId="1385"/>
    <cellStyle name="20% - Accent1 2 4 5 2 2 2 2" xfId="1386"/>
    <cellStyle name="20% - Accent1 2 4 5 2 2 3" xfId="1387"/>
    <cellStyle name="20% - Accent1 2 4 5 2 3" xfId="1388"/>
    <cellStyle name="20% - Accent1 2 4 5 2 3 2" xfId="1389"/>
    <cellStyle name="20% - Accent1 2 4 5 2 4" xfId="1390"/>
    <cellStyle name="20% - Accent1 2 4 5 3" xfId="1391"/>
    <cellStyle name="20% - Accent1 2 4 5 3 2" xfId="1392"/>
    <cellStyle name="20% - Accent1 2 4 5 3 2 2" xfId="1393"/>
    <cellStyle name="20% - Accent1 2 4 5 3 3" xfId="1394"/>
    <cellStyle name="20% - Accent1 2 4 5 4" xfId="1395"/>
    <cellStyle name="20% - Accent1 2 4 5 4 2" xfId="1396"/>
    <cellStyle name="20% - Accent1 2 4 5 5" xfId="1397"/>
    <cellStyle name="20% - Accent1 2 4 6" xfId="1398"/>
    <cellStyle name="20% - Accent1 2 4 6 2" xfId="1399"/>
    <cellStyle name="20% - Accent1 2 4 6 2 2" xfId="1400"/>
    <cellStyle name="20% - Accent1 2 4 6 2 2 2" xfId="1401"/>
    <cellStyle name="20% - Accent1 2 4 6 2 2 2 2" xfId="1402"/>
    <cellStyle name="20% - Accent1 2 4 6 2 2 3" xfId="1403"/>
    <cellStyle name="20% - Accent1 2 4 6 2 3" xfId="1404"/>
    <cellStyle name="20% - Accent1 2 4 6 2 3 2" xfId="1405"/>
    <cellStyle name="20% - Accent1 2 4 6 2 4" xfId="1406"/>
    <cellStyle name="20% - Accent1 2 4 6 3" xfId="1407"/>
    <cellStyle name="20% - Accent1 2 4 6 3 2" xfId="1408"/>
    <cellStyle name="20% - Accent1 2 4 6 3 2 2" xfId="1409"/>
    <cellStyle name="20% - Accent1 2 4 6 3 3" xfId="1410"/>
    <cellStyle name="20% - Accent1 2 4 6 4" xfId="1411"/>
    <cellStyle name="20% - Accent1 2 4 6 4 2" xfId="1412"/>
    <cellStyle name="20% - Accent1 2 4 6 5" xfId="1413"/>
    <cellStyle name="20% - Accent1 2 4 7" xfId="1414"/>
    <cellStyle name="20% - Accent1 2 4 7 2" xfId="1415"/>
    <cellStyle name="20% - Accent1 2 4 7 2 2" xfId="1416"/>
    <cellStyle name="20% - Accent1 2 4 7 2 2 2" xfId="1417"/>
    <cellStyle name="20% - Accent1 2 4 7 2 2 2 2" xfId="1418"/>
    <cellStyle name="20% - Accent1 2 4 7 2 2 3" xfId="1419"/>
    <cellStyle name="20% - Accent1 2 4 7 2 3" xfId="1420"/>
    <cellStyle name="20% - Accent1 2 4 7 2 3 2" xfId="1421"/>
    <cellStyle name="20% - Accent1 2 4 7 2 4" xfId="1422"/>
    <cellStyle name="20% - Accent1 2 4 7 3" xfId="1423"/>
    <cellStyle name="20% - Accent1 2 4 7 3 2" xfId="1424"/>
    <cellStyle name="20% - Accent1 2 4 7 3 2 2" xfId="1425"/>
    <cellStyle name="20% - Accent1 2 4 7 3 3" xfId="1426"/>
    <cellStyle name="20% - Accent1 2 4 7 4" xfId="1427"/>
    <cellStyle name="20% - Accent1 2 4 7 4 2" xfId="1428"/>
    <cellStyle name="20% - Accent1 2 4 7 5" xfId="1429"/>
    <cellStyle name="20% - Accent1 2 4 8" xfId="1430"/>
    <cellStyle name="20% - Accent1 2 4 8 2" xfId="1431"/>
    <cellStyle name="20% - Accent1 2 4 8 2 2" xfId="1432"/>
    <cellStyle name="20% - Accent1 2 4 8 2 2 2" xfId="1433"/>
    <cellStyle name="20% - Accent1 2 4 8 2 3" xfId="1434"/>
    <cellStyle name="20% - Accent1 2 4 8 3" xfId="1435"/>
    <cellStyle name="20% - Accent1 2 4 8 3 2" xfId="1436"/>
    <cellStyle name="20% - Accent1 2 4 8 4" xfId="1437"/>
    <cellStyle name="20% - Accent1 2 4 9" xfId="1438"/>
    <cellStyle name="20% - Accent1 2 4 9 2" xfId="1439"/>
    <cellStyle name="20% - Accent1 2 4 9 2 2" xfId="1440"/>
    <cellStyle name="20% - Accent1 2 4 9 3" xfId="1441"/>
    <cellStyle name="20% - Accent1 2 5" xfId="1442"/>
    <cellStyle name="20% - Accent1 2 5 10" xfId="1443"/>
    <cellStyle name="20% - Accent1 2 5 10 2" xfId="1444"/>
    <cellStyle name="20% - Accent1 2 5 11" xfId="1445"/>
    <cellStyle name="20% - Accent1 2 5 2" xfId="1446"/>
    <cellStyle name="20% - Accent1 2 5 2 10" xfId="1447"/>
    <cellStyle name="20% - Accent1 2 5 2 2" xfId="1448"/>
    <cellStyle name="20% - Accent1 2 5 2 2 2" xfId="1449"/>
    <cellStyle name="20% - Accent1 2 5 2 2 2 2" xfId="1450"/>
    <cellStyle name="20% - Accent1 2 5 2 2 2 2 2" xfId="1451"/>
    <cellStyle name="20% - Accent1 2 5 2 2 2 2 2 2" xfId="1452"/>
    <cellStyle name="20% - Accent1 2 5 2 2 2 2 3" xfId="1453"/>
    <cellStyle name="20% - Accent1 2 5 2 2 2 3" xfId="1454"/>
    <cellStyle name="20% - Accent1 2 5 2 2 2 3 2" xfId="1455"/>
    <cellStyle name="20% - Accent1 2 5 2 2 2 4" xfId="1456"/>
    <cellStyle name="20% - Accent1 2 5 2 2 3" xfId="1457"/>
    <cellStyle name="20% - Accent1 2 5 2 2 3 2" xfId="1458"/>
    <cellStyle name="20% - Accent1 2 5 2 2 3 2 2" xfId="1459"/>
    <cellStyle name="20% - Accent1 2 5 2 2 3 3" xfId="1460"/>
    <cellStyle name="20% - Accent1 2 5 2 2 4" xfId="1461"/>
    <cellStyle name="20% - Accent1 2 5 2 2 4 2" xfId="1462"/>
    <cellStyle name="20% - Accent1 2 5 2 2 5" xfId="1463"/>
    <cellStyle name="20% - Accent1 2 5 2 3" xfId="1464"/>
    <cellStyle name="20% - Accent1 2 5 2 3 2" xfId="1465"/>
    <cellStyle name="20% - Accent1 2 5 2 3 2 2" xfId="1466"/>
    <cellStyle name="20% - Accent1 2 5 2 3 2 2 2" xfId="1467"/>
    <cellStyle name="20% - Accent1 2 5 2 3 2 2 2 2" xfId="1468"/>
    <cellStyle name="20% - Accent1 2 5 2 3 2 2 3" xfId="1469"/>
    <cellStyle name="20% - Accent1 2 5 2 3 2 3" xfId="1470"/>
    <cellStyle name="20% - Accent1 2 5 2 3 2 3 2" xfId="1471"/>
    <cellStyle name="20% - Accent1 2 5 2 3 2 4" xfId="1472"/>
    <cellStyle name="20% - Accent1 2 5 2 3 3" xfId="1473"/>
    <cellStyle name="20% - Accent1 2 5 2 3 3 2" xfId="1474"/>
    <cellStyle name="20% - Accent1 2 5 2 3 3 2 2" xfId="1475"/>
    <cellStyle name="20% - Accent1 2 5 2 3 3 3" xfId="1476"/>
    <cellStyle name="20% - Accent1 2 5 2 3 4" xfId="1477"/>
    <cellStyle name="20% - Accent1 2 5 2 3 4 2" xfId="1478"/>
    <cellStyle name="20% - Accent1 2 5 2 3 5" xfId="1479"/>
    <cellStyle name="20% - Accent1 2 5 2 4" xfId="1480"/>
    <cellStyle name="20% - Accent1 2 5 2 4 2" xfId="1481"/>
    <cellStyle name="20% - Accent1 2 5 2 4 2 2" xfId="1482"/>
    <cellStyle name="20% - Accent1 2 5 2 4 2 2 2" xfId="1483"/>
    <cellStyle name="20% - Accent1 2 5 2 4 2 2 2 2" xfId="1484"/>
    <cellStyle name="20% - Accent1 2 5 2 4 2 2 3" xfId="1485"/>
    <cellStyle name="20% - Accent1 2 5 2 4 2 3" xfId="1486"/>
    <cellStyle name="20% - Accent1 2 5 2 4 2 3 2" xfId="1487"/>
    <cellStyle name="20% - Accent1 2 5 2 4 2 4" xfId="1488"/>
    <cellStyle name="20% - Accent1 2 5 2 4 3" xfId="1489"/>
    <cellStyle name="20% - Accent1 2 5 2 4 3 2" xfId="1490"/>
    <cellStyle name="20% - Accent1 2 5 2 4 3 2 2" xfId="1491"/>
    <cellStyle name="20% - Accent1 2 5 2 4 3 3" xfId="1492"/>
    <cellStyle name="20% - Accent1 2 5 2 4 4" xfId="1493"/>
    <cellStyle name="20% - Accent1 2 5 2 4 4 2" xfId="1494"/>
    <cellStyle name="20% - Accent1 2 5 2 4 5" xfId="1495"/>
    <cellStyle name="20% - Accent1 2 5 2 5" xfId="1496"/>
    <cellStyle name="20% - Accent1 2 5 2 5 2" xfId="1497"/>
    <cellStyle name="20% - Accent1 2 5 2 5 2 2" xfId="1498"/>
    <cellStyle name="20% - Accent1 2 5 2 5 2 2 2" xfId="1499"/>
    <cellStyle name="20% - Accent1 2 5 2 5 2 2 2 2" xfId="1500"/>
    <cellStyle name="20% - Accent1 2 5 2 5 2 2 3" xfId="1501"/>
    <cellStyle name="20% - Accent1 2 5 2 5 2 3" xfId="1502"/>
    <cellStyle name="20% - Accent1 2 5 2 5 2 3 2" xfId="1503"/>
    <cellStyle name="20% - Accent1 2 5 2 5 2 4" xfId="1504"/>
    <cellStyle name="20% - Accent1 2 5 2 5 3" xfId="1505"/>
    <cellStyle name="20% - Accent1 2 5 2 5 3 2" xfId="1506"/>
    <cellStyle name="20% - Accent1 2 5 2 5 3 2 2" xfId="1507"/>
    <cellStyle name="20% - Accent1 2 5 2 5 3 3" xfId="1508"/>
    <cellStyle name="20% - Accent1 2 5 2 5 4" xfId="1509"/>
    <cellStyle name="20% - Accent1 2 5 2 5 4 2" xfId="1510"/>
    <cellStyle name="20% - Accent1 2 5 2 5 5" xfId="1511"/>
    <cellStyle name="20% - Accent1 2 5 2 6" xfId="1512"/>
    <cellStyle name="20% - Accent1 2 5 2 6 2" xfId="1513"/>
    <cellStyle name="20% - Accent1 2 5 2 6 2 2" xfId="1514"/>
    <cellStyle name="20% - Accent1 2 5 2 6 2 2 2" xfId="1515"/>
    <cellStyle name="20% - Accent1 2 5 2 6 2 2 2 2" xfId="1516"/>
    <cellStyle name="20% - Accent1 2 5 2 6 2 2 3" xfId="1517"/>
    <cellStyle name="20% - Accent1 2 5 2 6 2 3" xfId="1518"/>
    <cellStyle name="20% - Accent1 2 5 2 6 2 3 2" xfId="1519"/>
    <cellStyle name="20% - Accent1 2 5 2 6 2 4" xfId="1520"/>
    <cellStyle name="20% - Accent1 2 5 2 6 3" xfId="1521"/>
    <cellStyle name="20% - Accent1 2 5 2 6 3 2" xfId="1522"/>
    <cellStyle name="20% - Accent1 2 5 2 6 3 2 2" xfId="1523"/>
    <cellStyle name="20% - Accent1 2 5 2 6 3 3" xfId="1524"/>
    <cellStyle name="20% - Accent1 2 5 2 6 4" xfId="1525"/>
    <cellStyle name="20% - Accent1 2 5 2 6 4 2" xfId="1526"/>
    <cellStyle name="20% - Accent1 2 5 2 6 5" xfId="1527"/>
    <cellStyle name="20% - Accent1 2 5 2 7" xfId="1528"/>
    <cellStyle name="20% - Accent1 2 5 2 7 2" xfId="1529"/>
    <cellStyle name="20% - Accent1 2 5 2 7 2 2" xfId="1530"/>
    <cellStyle name="20% - Accent1 2 5 2 7 2 2 2" xfId="1531"/>
    <cellStyle name="20% - Accent1 2 5 2 7 2 3" xfId="1532"/>
    <cellStyle name="20% - Accent1 2 5 2 7 3" xfId="1533"/>
    <cellStyle name="20% - Accent1 2 5 2 7 3 2" xfId="1534"/>
    <cellStyle name="20% - Accent1 2 5 2 7 4" xfId="1535"/>
    <cellStyle name="20% - Accent1 2 5 2 8" xfId="1536"/>
    <cellStyle name="20% - Accent1 2 5 2 8 2" xfId="1537"/>
    <cellStyle name="20% - Accent1 2 5 2 8 2 2" xfId="1538"/>
    <cellStyle name="20% - Accent1 2 5 2 8 3" xfId="1539"/>
    <cellStyle name="20% - Accent1 2 5 2 9" xfId="1540"/>
    <cellStyle name="20% - Accent1 2 5 2 9 2" xfId="1541"/>
    <cellStyle name="20% - Accent1 2 5 3" xfId="1542"/>
    <cellStyle name="20% - Accent1 2 5 3 2" xfId="1543"/>
    <cellStyle name="20% - Accent1 2 5 3 2 2" xfId="1544"/>
    <cellStyle name="20% - Accent1 2 5 3 2 2 2" xfId="1545"/>
    <cellStyle name="20% - Accent1 2 5 3 2 2 2 2" xfId="1546"/>
    <cellStyle name="20% - Accent1 2 5 3 2 2 3" xfId="1547"/>
    <cellStyle name="20% - Accent1 2 5 3 2 3" xfId="1548"/>
    <cellStyle name="20% - Accent1 2 5 3 2 3 2" xfId="1549"/>
    <cellStyle name="20% - Accent1 2 5 3 2 4" xfId="1550"/>
    <cellStyle name="20% - Accent1 2 5 3 3" xfId="1551"/>
    <cellStyle name="20% - Accent1 2 5 3 3 2" xfId="1552"/>
    <cellStyle name="20% - Accent1 2 5 3 3 2 2" xfId="1553"/>
    <cellStyle name="20% - Accent1 2 5 3 3 3" xfId="1554"/>
    <cellStyle name="20% - Accent1 2 5 3 4" xfId="1555"/>
    <cellStyle name="20% - Accent1 2 5 3 4 2" xfId="1556"/>
    <cellStyle name="20% - Accent1 2 5 3 5" xfId="1557"/>
    <cellStyle name="20% - Accent1 2 5 4" xfId="1558"/>
    <cellStyle name="20% - Accent1 2 5 4 2" xfId="1559"/>
    <cellStyle name="20% - Accent1 2 5 4 2 2" xfId="1560"/>
    <cellStyle name="20% - Accent1 2 5 4 2 2 2" xfId="1561"/>
    <cellStyle name="20% - Accent1 2 5 4 2 2 2 2" xfId="1562"/>
    <cellStyle name="20% - Accent1 2 5 4 2 2 3" xfId="1563"/>
    <cellStyle name="20% - Accent1 2 5 4 2 3" xfId="1564"/>
    <cellStyle name="20% - Accent1 2 5 4 2 3 2" xfId="1565"/>
    <cellStyle name="20% - Accent1 2 5 4 2 4" xfId="1566"/>
    <cellStyle name="20% - Accent1 2 5 4 3" xfId="1567"/>
    <cellStyle name="20% - Accent1 2 5 4 3 2" xfId="1568"/>
    <cellStyle name="20% - Accent1 2 5 4 3 2 2" xfId="1569"/>
    <cellStyle name="20% - Accent1 2 5 4 3 3" xfId="1570"/>
    <cellStyle name="20% - Accent1 2 5 4 4" xfId="1571"/>
    <cellStyle name="20% - Accent1 2 5 4 4 2" xfId="1572"/>
    <cellStyle name="20% - Accent1 2 5 4 5" xfId="1573"/>
    <cellStyle name="20% - Accent1 2 5 5" xfId="1574"/>
    <cellStyle name="20% - Accent1 2 5 5 2" xfId="1575"/>
    <cellStyle name="20% - Accent1 2 5 5 2 2" xfId="1576"/>
    <cellStyle name="20% - Accent1 2 5 5 2 2 2" xfId="1577"/>
    <cellStyle name="20% - Accent1 2 5 5 2 2 2 2" xfId="1578"/>
    <cellStyle name="20% - Accent1 2 5 5 2 2 3" xfId="1579"/>
    <cellStyle name="20% - Accent1 2 5 5 2 3" xfId="1580"/>
    <cellStyle name="20% - Accent1 2 5 5 2 3 2" xfId="1581"/>
    <cellStyle name="20% - Accent1 2 5 5 2 4" xfId="1582"/>
    <cellStyle name="20% - Accent1 2 5 5 3" xfId="1583"/>
    <cellStyle name="20% - Accent1 2 5 5 3 2" xfId="1584"/>
    <cellStyle name="20% - Accent1 2 5 5 3 2 2" xfId="1585"/>
    <cellStyle name="20% - Accent1 2 5 5 3 3" xfId="1586"/>
    <cellStyle name="20% - Accent1 2 5 5 4" xfId="1587"/>
    <cellStyle name="20% - Accent1 2 5 5 4 2" xfId="1588"/>
    <cellStyle name="20% - Accent1 2 5 5 5" xfId="1589"/>
    <cellStyle name="20% - Accent1 2 5 6" xfId="1590"/>
    <cellStyle name="20% - Accent1 2 5 6 2" xfId="1591"/>
    <cellStyle name="20% - Accent1 2 5 6 2 2" xfId="1592"/>
    <cellStyle name="20% - Accent1 2 5 6 2 2 2" xfId="1593"/>
    <cellStyle name="20% - Accent1 2 5 6 2 2 2 2" xfId="1594"/>
    <cellStyle name="20% - Accent1 2 5 6 2 2 3" xfId="1595"/>
    <cellStyle name="20% - Accent1 2 5 6 2 3" xfId="1596"/>
    <cellStyle name="20% - Accent1 2 5 6 2 3 2" xfId="1597"/>
    <cellStyle name="20% - Accent1 2 5 6 2 4" xfId="1598"/>
    <cellStyle name="20% - Accent1 2 5 6 3" xfId="1599"/>
    <cellStyle name="20% - Accent1 2 5 6 3 2" xfId="1600"/>
    <cellStyle name="20% - Accent1 2 5 6 3 2 2" xfId="1601"/>
    <cellStyle name="20% - Accent1 2 5 6 3 3" xfId="1602"/>
    <cellStyle name="20% - Accent1 2 5 6 4" xfId="1603"/>
    <cellStyle name="20% - Accent1 2 5 6 4 2" xfId="1604"/>
    <cellStyle name="20% - Accent1 2 5 6 5" xfId="1605"/>
    <cellStyle name="20% - Accent1 2 5 7" xfId="1606"/>
    <cellStyle name="20% - Accent1 2 5 7 2" xfId="1607"/>
    <cellStyle name="20% - Accent1 2 5 7 2 2" xfId="1608"/>
    <cellStyle name="20% - Accent1 2 5 7 2 2 2" xfId="1609"/>
    <cellStyle name="20% - Accent1 2 5 7 2 2 2 2" xfId="1610"/>
    <cellStyle name="20% - Accent1 2 5 7 2 2 3" xfId="1611"/>
    <cellStyle name="20% - Accent1 2 5 7 2 3" xfId="1612"/>
    <cellStyle name="20% - Accent1 2 5 7 2 3 2" xfId="1613"/>
    <cellStyle name="20% - Accent1 2 5 7 2 4" xfId="1614"/>
    <cellStyle name="20% - Accent1 2 5 7 3" xfId="1615"/>
    <cellStyle name="20% - Accent1 2 5 7 3 2" xfId="1616"/>
    <cellStyle name="20% - Accent1 2 5 7 3 2 2" xfId="1617"/>
    <cellStyle name="20% - Accent1 2 5 7 3 3" xfId="1618"/>
    <cellStyle name="20% - Accent1 2 5 7 4" xfId="1619"/>
    <cellStyle name="20% - Accent1 2 5 7 4 2" xfId="1620"/>
    <cellStyle name="20% - Accent1 2 5 7 5" xfId="1621"/>
    <cellStyle name="20% - Accent1 2 5 8" xfId="1622"/>
    <cellStyle name="20% - Accent1 2 5 8 2" xfId="1623"/>
    <cellStyle name="20% - Accent1 2 5 8 2 2" xfId="1624"/>
    <cellStyle name="20% - Accent1 2 5 8 2 2 2" xfId="1625"/>
    <cellStyle name="20% - Accent1 2 5 8 2 3" xfId="1626"/>
    <cellStyle name="20% - Accent1 2 5 8 3" xfId="1627"/>
    <cellStyle name="20% - Accent1 2 5 8 3 2" xfId="1628"/>
    <cellStyle name="20% - Accent1 2 5 8 4" xfId="1629"/>
    <cellStyle name="20% - Accent1 2 5 9" xfId="1630"/>
    <cellStyle name="20% - Accent1 2 5 9 2" xfId="1631"/>
    <cellStyle name="20% - Accent1 2 5 9 2 2" xfId="1632"/>
    <cellStyle name="20% - Accent1 2 5 9 3" xfId="1633"/>
    <cellStyle name="20% - Accent1 2 6" xfId="1634"/>
    <cellStyle name="20% - Accent1 2 6 10" xfId="1635"/>
    <cellStyle name="20% - Accent1 2 6 10 2" xfId="1636"/>
    <cellStyle name="20% - Accent1 2 6 11" xfId="1637"/>
    <cellStyle name="20% - Accent1 2 6 2" xfId="1638"/>
    <cellStyle name="20% - Accent1 2 6 2 10" xfId="1639"/>
    <cellStyle name="20% - Accent1 2 6 2 2" xfId="1640"/>
    <cellStyle name="20% - Accent1 2 6 2 2 2" xfId="1641"/>
    <cellStyle name="20% - Accent1 2 6 2 2 2 2" xfId="1642"/>
    <cellStyle name="20% - Accent1 2 6 2 2 2 2 2" xfId="1643"/>
    <cellStyle name="20% - Accent1 2 6 2 2 2 2 2 2" xfId="1644"/>
    <cellStyle name="20% - Accent1 2 6 2 2 2 2 3" xfId="1645"/>
    <cellStyle name="20% - Accent1 2 6 2 2 2 3" xfId="1646"/>
    <cellStyle name="20% - Accent1 2 6 2 2 2 3 2" xfId="1647"/>
    <cellStyle name="20% - Accent1 2 6 2 2 2 4" xfId="1648"/>
    <cellStyle name="20% - Accent1 2 6 2 2 3" xfId="1649"/>
    <cellStyle name="20% - Accent1 2 6 2 2 3 2" xfId="1650"/>
    <cellStyle name="20% - Accent1 2 6 2 2 3 2 2" xfId="1651"/>
    <cellStyle name="20% - Accent1 2 6 2 2 3 3" xfId="1652"/>
    <cellStyle name="20% - Accent1 2 6 2 2 4" xfId="1653"/>
    <cellStyle name="20% - Accent1 2 6 2 2 4 2" xfId="1654"/>
    <cellStyle name="20% - Accent1 2 6 2 2 5" xfId="1655"/>
    <cellStyle name="20% - Accent1 2 6 2 3" xfId="1656"/>
    <cellStyle name="20% - Accent1 2 6 2 3 2" xfId="1657"/>
    <cellStyle name="20% - Accent1 2 6 2 3 2 2" xfId="1658"/>
    <cellStyle name="20% - Accent1 2 6 2 3 2 2 2" xfId="1659"/>
    <cellStyle name="20% - Accent1 2 6 2 3 2 2 2 2" xfId="1660"/>
    <cellStyle name="20% - Accent1 2 6 2 3 2 2 3" xfId="1661"/>
    <cellStyle name="20% - Accent1 2 6 2 3 2 3" xfId="1662"/>
    <cellStyle name="20% - Accent1 2 6 2 3 2 3 2" xfId="1663"/>
    <cellStyle name="20% - Accent1 2 6 2 3 2 4" xfId="1664"/>
    <cellStyle name="20% - Accent1 2 6 2 3 3" xfId="1665"/>
    <cellStyle name="20% - Accent1 2 6 2 3 3 2" xfId="1666"/>
    <cellStyle name="20% - Accent1 2 6 2 3 3 2 2" xfId="1667"/>
    <cellStyle name="20% - Accent1 2 6 2 3 3 3" xfId="1668"/>
    <cellStyle name="20% - Accent1 2 6 2 3 4" xfId="1669"/>
    <cellStyle name="20% - Accent1 2 6 2 3 4 2" xfId="1670"/>
    <cellStyle name="20% - Accent1 2 6 2 3 5" xfId="1671"/>
    <cellStyle name="20% - Accent1 2 6 2 4" xfId="1672"/>
    <cellStyle name="20% - Accent1 2 6 2 4 2" xfId="1673"/>
    <cellStyle name="20% - Accent1 2 6 2 4 2 2" xfId="1674"/>
    <cellStyle name="20% - Accent1 2 6 2 4 2 2 2" xfId="1675"/>
    <cellStyle name="20% - Accent1 2 6 2 4 2 2 2 2" xfId="1676"/>
    <cellStyle name="20% - Accent1 2 6 2 4 2 2 3" xfId="1677"/>
    <cellStyle name="20% - Accent1 2 6 2 4 2 3" xfId="1678"/>
    <cellStyle name="20% - Accent1 2 6 2 4 2 3 2" xfId="1679"/>
    <cellStyle name="20% - Accent1 2 6 2 4 2 4" xfId="1680"/>
    <cellStyle name="20% - Accent1 2 6 2 4 3" xfId="1681"/>
    <cellStyle name="20% - Accent1 2 6 2 4 3 2" xfId="1682"/>
    <cellStyle name="20% - Accent1 2 6 2 4 3 2 2" xfId="1683"/>
    <cellStyle name="20% - Accent1 2 6 2 4 3 3" xfId="1684"/>
    <cellStyle name="20% - Accent1 2 6 2 4 4" xfId="1685"/>
    <cellStyle name="20% - Accent1 2 6 2 4 4 2" xfId="1686"/>
    <cellStyle name="20% - Accent1 2 6 2 4 5" xfId="1687"/>
    <cellStyle name="20% - Accent1 2 6 2 5" xfId="1688"/>
    <cellStyle name="20% - Accent1 2 6 2 5 2" xfId="1689"/>
    <cellStyle name="20% - Accent1 2 6 2 5 2 2" xfId="1690"/>
    <cellStyle name="20% - Accent1 2 6 2 5 2 2 2" xfId="1691"/>
    <cellStyle name="20% - Accent1 2 6 2 5 2 2 2 2" xfId="1692"/>
    <cellStyle name="20% - Accent1 2 6 2 5 2 2 3" xfId="1693"/>
    <cellStyle name="20% - Accent1 2 6 2 5 2 3" xfId="1694"/>
    <cellStyle name="20% - Accent1 2 6 2 5 2 3 2" xfId="1695"/>
    <cellStyle name="20% - Accent1 2 6 2 5 2 4" xfId="1696"/>
    <cellStyle name="20% - Accent1 2 6 2 5 3" xfId="1697"/>
    <cellStyle name="20% - Accent1 2 6 2 5 3 2" xfId="1698"/>
    <cellStyle name="20% - Accent1 2 6 2 5 3 2 2" xfId="1699"/>
    <cellStyle name="20% - Accent1 2 6 2 5 3 3" xfId="1700"/>
    <cellStyle name="20% - Accent1 2 6 2 5 4" xfId="1701"/>
    <cellStyle name="20% - Accent1 2 6 2 5 4 2" xfId="1702"/>
    <cellStyle name="20% - Accent1 2 6 2 5 5" xfId="1703"/>
    <cellStyle name="20% - Accent1 2 6 2 6" xfId="1704"/>
    <cellStyle name="20% - Accent1 2 6 2 6 2" xfId="1705"/>
    <cellStyle name="20% - Accent1 2 6 2 6 2 2" xfId="1706"/>
    <cellStyle name="20% - Accent1 2 6 2 6 2 2 2" xfId="1707"/>
    <cellStyle name="20% - Accent1 2 6 2 6 2 2 2 2" xfId="1708"/>
    <cellStyle name="20% - Accent1 2 6 2 6 2 2 3" xfId="1709"/>
    <cellStyle name="20% - Accent1 2 6 2 6 2 3" xfId="1710"/>
    <cellStyle name="20% - Accent1 2 6 2 6 2 3 2" xfId="1711"/>
    <cellStyle name="20% - Accent1 2 6 2 6 2 4" xfId="1712"/>
    <cellStyle name="20% - Accent1 2 6 2 6 3" xfId="1713"/>
    <cellStyle name="20% - Accent1 2 6 2 6 3 2" xfId="1714"/>
    <cellStyle name="20% - Accent1 2 6 2 6 3 2 2" xfId="1715"/>
    <cellStyle name="20% - Accent1 2 6 2 6 3 3" xfId="1716"/>
    <cellStyle name="20% - Accent1 2 6 2 6 4" xfId="1717"/>
    <cellStyle name="20% - Accent1 2 6 2 6 4 2" xfId="1718"/>
    <cellStyle name="20% - Accent1 2 6 2 6 5" xfId="1719"/>
    <cellStyle name="20% - Accent1 2 6 2 7" xfId="1720"/>
    <cellStyle name="20% - Accent1 2 6 2 7 2" xfId="1721"/>
    <cellStyle name="20% - Accent1 2 6 2 7 2 2" xfId="1722"/>
    <cellStyle name="20% - Accent1 2 6 2 7 2 2 2" xfId="1723"/>
    <cellStyle name="20% - Accent1 2 6 2 7 2 3" xfId="1724"/>
    <cellStyle name="20% - Accent1 2 6 2 7 3" xfId="1725"/>
    <cellStyle name="20% - Accent1 2 6 2 7 3 2" xfId="1726"/>
    <cellStyle name="20% - Accent1 2 6 2 7 4" xfId="1727"/>
    <cellStyle name="20% - Accent1 2 6 2 8" xfId="1728"/>
    <cellStyle name="20% - Accent1 2 6 2 8 2" xfId="1729"/>
    <cellStyle name="20% - Accent1 2 6 2 8 2 2" xfId="1730"/>
    <cellStyle name="20% - Accent1 2 6 2 8 3" xfId="1731"/>
    <cellStyle name="20% - Accent1 2 6 2 9" xfId="1732"/>
    <cellStyle name="20% - Accent1 2 6 2 9 2" xfId="1733"/>
    <cellStyle name="20% - Accent1 2 6 3" xfId="1734"/>
    <cellStyle name="20% - Accent1 2 6 3 2" xfId="1735"/>
    <cellStyle name="20% - Accent1 2 6 3 2 2" xfId="1736"/>
    <cellStyle name="20% - Accent1 2 6 3 2 2 2" xfId="1737"/>
    <cellStyle name="20% - Accent1 2 6 3 2 2 2 2" xfId="1738"/>
    <cellStyle name="20% - Accent1 2 6 3 2 2 3" xfId="1739"/>
    <cellStyle name="20% - Accent1 2 6 3 2 3" xfId="1740"/>
    <cellStyle name="20% - Accent1 2 6 3 2 3 2" xfId="1741"/>
    <cellStyle name="20% - Accent1 2 6 3 2 4" xfId="1742"/>
    <cellStyle name="20% - Accent1 2 6 3 3" xfId="1743"/>
    <cellStyle name="20% - Accent1 2 6 3 3 2" xfId="1744"/>
    <cellStyle name="20% - Accent1 2 6 3 3 2 2" xfId="1745"/>
    <cellStyle name="20% - Accent1 2 6 3 3 3" xfId="1746"/>
    <cellStyle name="20% - Accent1 2 6 3 4" xfId="1747"/>
    <cellStyle name="20% - Accent1 2 6 3 4 2" xfId="1748"/>
    <cellStyle name="20% - Accent1 2 6 3 5" xfId="1749"/>
    <cellStyle name="20% - Accent1 2 6 4" xfId="1750"/>
    <cellStyle name="20% - Accent1 2 6 4 2" xfId="1751"/>
    <cellStyle name="20% - Accent1 2 6 4 2 2" xfId="1752"/>
    <cellStyle name="20% - Accent1 2 6 4 2 2 2" xfId="1753"/>
    <cellStyle name="20% - Accent1 2 6 4 2 2 2 2" xfId="1754"/>
    <cellStyle name="20% - Accent1 2 6 4 2 2 3" xfId="1755"/>
    <cellStyle name="20% - Accent1 2 6 4 2 3" xfId="1756"/>
    <cellStyle name="20% - Accent1 2 6 4 2 3 2" xfId="1757"/>
    <cellStyle name="20% - Accent1 2 6 4 2 4" xfId="1758"/>
    <cellStyle name="20% - Accent1 2 6 4 3" xfId="1759"/>
    <cellStyle name="20% - Accent1 2 6 4 3 2" xfId="1760"/>
    <cellStyle name="20% - Accent1 2 6 4 3 2 2" xfId="1761"/>
    <cellStyle name="20% - Accent1 2 6 4 3 3" xfId="1762"/>
    <cellStyle name="20% - Accent1 2 6 4 4" xfId="1763"/>
    <cellStyle name="20% - Accent1 2 6 4 4 2" xfId="1764"/>
    <cellStyle name="20% - Accent1 2 6 4 5" xfId="1765"/>
    <cellStyle name="20% - Accent1 2 6 5" xfId="1766"/>
    <cellStyle name="20% - Accent1 2 6 5 2" xfId="1767"/>
    <cellStyle name="20% - Accent1 2 6 5 2 2" xfId="1768"/>
    <cellStyle name="20% - Accent1 2 6 5 2 2 2" xfId="1769"/>
    <cellStyle name="20% - Accent1 2 6 5 2 2 2 2" xfId="1770"/>
    <cellStyle name="20% - Accent1 2 6 5 2 2 3" xfId="1771"/>
    <cellStyle name="20% - Accent1 2 6 5 2 3" xfId="1772"/>
    <cellStyle name="20% - Accent1 2 6 5 2 3 2" xfId="1773"/>
    <cellStyle name="20% - Accent1 2 6 5 2 4" xfId="1774"/>
    <cellStyle name="20% - Accent1 2 6 5 3" xfId="1775"/>
    <cellStyle name="20% - Accent1 2 6 5 3 2" xfId="1776"/>
    <cellStyle name="20% - Accent1 2 6 5 3 2 2" xfId="1777"/>
    <cellStyle name="20% - Accent1 2 6 5 3 3" xfId="1778"/>
    <cellStyle name="20% - Accent1 2 6 5 4" xfId="1779"/>
    <cellStyle name="20% - Accent1 2 6 5 4 2" xfId="1780"/>
    <cellStyle name="20% - Accent1 2 6 5 5" xfId="1781"/>
    <cellStyle name="20% - Accent1 2 6 6" xfId="1782"/>
    <cellStyle name="20% - Accent1 2 6 6 2" xfId="1783"/>
    <cellStyle name="20% - Accent1 2 6 6 2 2" xfId="1784"/>
    <cellStyle name="20% - Accent1 2 6 6 2 2 2" xfId="1785"/>
    <cellStyle name="20% - Accent1 2 6 6 2 2 2 2" xfId="1786"/>
    <cellStyle name="20% - Accent1 2 6 6 2 2 3" xfId="1787"/>
    <cellStyle name="20% - Accent1 2 6 6 2 3" xfId="1788"/>
    <cellStyle name="20% - Accent1 2 6 6 2 3 2" xfId="1789"/>
    <cellStyle name="20% - Accent1 2 6 6 2 4" xfId="1790"/>
    <cellStyle name="20% - Accent1 2 6 6 3" xfId="1791"/>
    <cellStyle name="20% - Accent1 2 6 6 3 2" xfId="1792"/>
    <cellStyle name="20% - Accent1 2 6 6 3 2 2" xfId="1793"/>
    <cellStyle name="20% - Accent1 2 6 6 3 3" xfId="1794"/>
    <cellStyle name="20% - Accent1 2 6 6 4" xfId="1795"/>
    <cellStyle name="20% - Accent1 2 6 6 4 2" xfId="1796"/>
    <cellStyle name="20% - Accent1 2 6 6 5" xfId="1797"/>
    <cellStyle name="20% - Accent1 2 6 7" xfId="1798"/>
    <cellStyle name="20% - Accent1 2 6 7 2" xfId="1799"/>
    <cellStyle name="20% - Accent1 2 6 7 2 2" xfId="1800"/>
    <cellStyle name="20% - Accent1 2 6 7 2 2 2" xfId="1801"/>
    <cellStyle name="20% - Accent1 2 6 7 2 2 2 2" xfId="1802"/>
    <cellStyle name="20% - Accent1 2 6 7 2 2 3" xfId="1803"/>
    <cellStyle name="20% - Accent1 2 6 7 2 3" xfId="1804"/>
    <cellStyle name="20% - Accent1 2 6 7 2 3 2" xfId="1805"/>
    <cellStyle name="20% - Accent1 2 6 7 2 4" xfId="1806"/>
    <cellStyle name="20% - Accent1 2 6 7 3" xfId="1807"/>
    <cellStyle name="20% - Accent1 2 6 7 3 2" xfId="1808"/>
    <cellStyle name="20% - Accent1 2 6 7 3 2 2" xfId="1809"/>
    <cellStyle name="20% - Accent1 2 6 7 3 3" xfId="1810"/>
    <cellStyle name="20% - Accent1 2 6 7 4" xfId="1811"/>
    <cellStyle name="20% - Accent1 2 6 7 4 2" xfId="1812"/>
    <cellStyle name="20% - Accent1 2 6 7 5" xfId="1813"/>
    <cellStyle name="20% - Accent1 2 6 8" xfId="1814"/>
    <cellStyle name="20% - Accent1 2 6 8 2" xfId="1815"/>
    <cellStyle name="20% - Accent1 2 6 8 2 2" xfId="1816"/>
    <cellStyle name="20% - Accent1 2 6 8 2 2 2" xfId="1817"/>
    <cellStyle name="20% - Accent1 2 6 8 2 3" xfId="1818"/>
    <cellStyle name="20% - Accent1 2 6 8 3" xfId="1819"/>
    <cellStyle name="20% - Accent1 2 6 8 3 2" xfId="1820"/>
    <cellStyle name="20% - Accent1 2 6 8 4" xfId="1821"/>
    <cellStyle name="20% - Accent1 2 6 9" xfId="1822"/>
    <cellStyle name="20% - Accent1 2 6 9 2" xfId="1823"/>
    <cellStyle name="20% - Accent1 2 6 9 2 2" xfId="1824"/>
    <cellStyle name="20% - Accent1 2 6 9 3" xfId="1825"/>
    <cellStyle name="20% - Accent1 2 7" xfId="1826"/>
    <cellStyle name="20% - Accent1 2 7 10" xfId="1827"/>
    <cellStyle name="20% - Accent1 2 7 10 2" xfId="1828"/>
    <cellStyle name="20% - Accent1 2 7 11" xfId="1829"/>
    <cellStyle name="20% - Accent1 2 7 2" xfId="1830"/>
    <cellStyle name="20% - Accent1 2 7 2 10" xfId="1831"/>
    <cellStyle name="20% - Accent1 2 7 2 2" xfId="1832"/>
    <cellStyle name="20% - Accent1 2 7 2 2 2" xfId="1833"/>
    <cellStyle name="20% - Accent1 2 7 2 2 2 2" xfId="1834"/>
    <cellStyle name="20% - Accent1 2 7 2 2 2 2 2" xfId="1835"/>
    <cellStyle name="20% - Accent1 2 7 2 2 2 2 2 2" xfId="1836"/>
    <cellStyle name="20% - Accent1 2 7 2 2 2 2 3" xfId="1837"/>
    <cellStyle name="20% - Accent1 2 7 2 2 2 3" xfId="1838"/>
    <cellStyle name="20% - Accent1 2 7 2 2 2 3 2" xfId="1839"/>
    <cellStyle name="20% - Accent1 2 7 2 2 2 4" xfId="1840"/>
    <cellStyle name="20% - Accent1 2 7 2 2 3" xfId="1841"/>
    <cellStyle name="20% - Accent1 2 7 2 2 3 2" xfId="1842"/>
    <cellStyle name="20% - Accent1 2 7 2 2 3 2 2" xfId="1843"/>
    <cellStyle name="20% - Accent1 2 7 2 2 3 3" xfId="1844"/>
    <cellStyle name="20% - Accent1 2 7 2 2 4" xfId="1845"/>
    <cellStyle name="20% - Accent1 2 7 2 2 4 2" xfId="1846"/>
    <cellStyle name="20% - Accent1 2 7 2 2 5" xfId="1847"/>
    <cellStyle name="20% - Accent1 2 7 2 3" xfId="1848"/>
    <cellStyle name="20% - Accent1 2 7 2 3 2" xfId="1849"/>
    <cellStyle name="20% - Accent1 2 7 2 3 2 2" xfId="1850"/>
    <cellStyle name="20% - Accent1 2 7 2 3 2 2 2" xfId="1851"/>
    <cellStyle name="20% - Accent1 2 7 2 3 2 2 2 2" xfId="1852"/>
    <cellStyle name="20% - Accent1 2 7 2 3 2 2 3" xfId="1853"/>
    <cellStyle name="20% - Accent1 2 7 2 3 2 3" xfId="1854"/>
    <cellStyle name="20% - Accent1 2 7 2 3 2 3 2" xfId="1855"/>
    <cellStyle name="20% - Accent1 2 7 2 3 2 4" xfId="1856"/>
    <cellStyle name="20% - Accent1 2 7 2 3 3" xfId="1857"/>
    <cellStyle name="20% - Accent1 2 7 2 3 3 2" xfId="1858"/>
    <cellStyle name="20% - Accent1 2 7 2 3 3 2 2" xfId="1859"/>
    <cellStyle name="20% - Accent1 2 7 2 3 3 3" xfId="1860"/>
    <cellStyle name="20% - Accent1 2 7 2 3 4" xfId="1861"/>
    <cellStyle name="20% - Accent1 2 7 2 3 4 2" xfId="1862"/>
    <cellStyle name="20% - Accent1 2 7 2 3 5" xfId="1863"/>
    <cellStyle name="20% - Accent1 2 7 2 4" xfId="1864"/>
    <cellStyle name="20% - Accent1 2 7 2 4 2" xfId="1865"/>
    <cellStyle name="20% - Accent1 2 7 2 4 2 2" xfId="1866"/>
    <cellStyle name="20% - Accent1 2 7 2 4 2 2 2" xfId="1867"/>
    <cellStyle name="20% - Accent1 2 7 2 4 2 2 2 2" xfId="1868"/>
    <cellStyle name="20% - Accent1 2 7 2 4 2 2 3" xfId="1869"/>
    <cellStyle name="20% - Accent1 2 7 2 4 2 3" xfId="1870"/>
    <cellStyle name="20% - Accent1 2 7 2 4 2 3 2" xfId="1871"/>
    <cellStyle name="20% - Accent1 2 7 2 4 2 4" xfId="1872"/>
    <cellStyle name="20% - Accent1 2 7 2 4 3" xfId="1873"/>
    <cellStyle name="20% - Accent1 2 7 2 4 3 2" xfId="1874"/>
    <cellStyle name="20% - Accent1 2 7 2 4 3 2 2" xfId="1875"/>
    <cellStyle name="20% - Accent1 2 7 2 4 3 3" xfId="1876"/>
    <cellStyle name="20% - Accent1 2 7 2 4 4" xfId="1877"/>
    <cellStyle name="20% - Accent1 2 7 2 4 4 2" xfId="1878"/>
    <cellStyle name="20% - Accent1 2 7 2 4 5" xfId="1879"/>
    <cellStyle name="20% - Accent1 2 7 2 5" xfId="1880"/>
    <cellStyle name="20% - Accent1 2 7 2 5 2" xfId="1881"/>
    <cellStyle name="20% - Accent1 2 7 2 5 2 2" xfId="1882"/>
    <cellStyle name="20% - Accent1 2 7 2 5 2 2 2" xfId="1883"/>
    <cellStyle name="20% - Accent1 2 7 2 5 2 2 2 2" xfId="1884"/>
    <cellStyle name="20% - Accent1 2 7 2 5 2 2 3" xfId="1885"/>
    <cellStyle name="20% - Accent1 2 7 2 5 2 3" xfId="1886"/>
    <cellStyle name="20% - Accent1 2 7 2 5 2 3 2" xfId="1887"/>
    <cellStyle name="20% - Accent1 2 7 2 5 2 4" xfId="1888"/>
    <cellStyle name="20% - Accent1 2 7 2 5 3" xfId="1889"/>
    <cellStyle name="20% - Accent1 2 7 2 5 3 2" xfId="1890"/>
    <cellStyle name="20% - Accent1 2 7 2 5 3 2 2" xfId="1891"/>
    <cellStyle name="20% - Accent1 2 7 2 5 3 3" xfId="1892"/>
    <cellStyle name="20% - Accent1 2 7 2 5 4" xfId="1893"/>
    <cellStyle name="20% - Accent1 2 7 2 5 4 2" xfId="1894"/>
    <cellStyle name="20% - Accent1 2 7 2 5 5" xfId="1895"/>
    <cellStyle name="20% - Accent1 2 7 2 6" xfId="1896"/>
    <cellStyle name="20% - Accent1 2 7 2 6 2" xfId="1897"/>
    <cellStyle name="20% - Accent1 2 7 2 6 2 2" xfId="1898"/>
    <cellStyle name="20% - Accent1 2 7 2 6 2 2 2" xfId="1899"/>
    <cellStyle name="20% - Accent1 2 7 2 6 2 2 2 2" xfId="1900"/>
    <cellStyle name="20% - Accent1 2 7 2 6 2 2 3" xfId="1901"/>
    <cellStyle name="20% - Accent1 2 7 2 6 2 3" xfId="1902"/>
    <cellStyle name="20% - Accent1 2 7 2 6 2 3 2" xfId="1903"/>
    <cellStyle name="20% - Accent1 2 7 2 6 2 4" xfId="1904"/>
    <cellStyle name="20% - Accent1 2 7 2 6 3" xfId="1905"/>
    <cellStyle name="20% - Accent1 2 7 2 6 3 2" xfId="1906"/>
    <cellStyle name="20% - Accent1 2 7 2 6 3 2 2" xfId="1907"/>
    <cellStyle name="20% - Accent1 2 7 2 6 3 3" xfId="1908"/>
    <cellStyle name="20% - Accent1 2 7 2 6 4" xfId="1909"/>
    <cellStyle name="20% - Accent1 2 7 2 6 4 2" xfId="1910"/>
    <cellStyle name="20% - Accent1 2 7 2 6 5" xfId="1911"/>
    <cellStyle name="20% - Accent1 2 7 2 7" xfId="1912"/>
    <cellStyle name="20% - Accent1 2 7 2 7 2" xfId="1913"/>
    <cellStyle name="20% - Accent1 2 7 2 7 2 2" xfId="1914"/>
    <cellStyle name="20% - Accent1 2 7 2 7 2 2 2" xfId="1915"/>
    <cellStyle name="20% - Accent1 2 7 2 7 2 3" xfId="1916"/>
    <cellStyle name="20% - Accent1 2 7 2 7 3" xfId="1917"/>
    <cellStyle name="20% - Accent1 2 7 2 7 3 2" xfId="1918"/>
    <cellStyle name="20% - Accent1 2 7 2 7 4" xfId="1919"/>
    <cellStyle name="20% - Accent1 2 7 2 8" xfId="1920"/>
    <cellStyle name="20% - Accent1 2 7 2 8 2" xfId="1921"/>
    <cellStyle name="20% - Accent1 2 7 2 8 2 2" xfId="1922"/>
    <cellStyle name="20% - Accent1 2 7 2 8 3" xfId="1923"/>
    <cellStyle name="20% - Accent1 2 7 2 9" xfId="1924"/>
    <cellStyle name="20% - Accent1 2 7 2 9 2" xfId="1925"/>
    <cellStyle name="20% - Accent1 2 7 3" xfId="1926"/>
    <cellStyle name="20% - Accent1 2 7 3 2" xfId="1927"/>
    <cellStyle name="20% - Accent1 2 7 3 2 2" xfId="1928"/>
    <cellStyle name="20% - Accent1 2 7 3 2 2 2" xfId="1929"/>
    <cellStyle name="20% - Accent1 2 7 3 2 2 2 2" xfId="1930"/>
    <cellStyle name="20% - Accent1 2 7 3 2 2 3" xfId="1931"/>
    <cellStyle name="20% - Accent1 2 7 3 2 3" xfId="1932"/>
    <cellStyle name="20% - Accent1 2 7 3 2 3 2" xfId="1933"/>
    <cellStyle name="20% - Accent1 2 7 3 2 4" xfId="1934"/>
    <cellStyle name="20% - Accent1 2 7 3 3" xfId="1935"/>
    <cellStyle name="20% - Accent1 2 7 3 3 2" xfId="1936"/>
    <cellStyle name="20% - Accent1 2 7 3 3 2 2" xfId="1937"/>
    <cellStyle name="20% - Accent1 2 7 3 3 3" xfId="1938"/>
    <cellStyle name="20% - Accent1 2 7 3 4" xfId="1939"/>
    <cellStyle name="20% - Accent1 2 7 3 4 2" xfId="1940"/>
    <cellStyle name="20% - Accent1 2 7 3 5" xfId="1941"/>
    <cellStyle name="20% - Accent1 2 7 4" xfId="1942"/>
    <cellStyle name="20% - Accent1 2 7 4 2" xfId="1943"/>
    <cellStyle name="20% - Accent1 2 7 4 2 2" xfId="1944"/>
    <cellStyle name="20% - Accent1 2 7 4 2 2 2" xfId="1945"/>
    <cellStyle name="20% - Accent1 2 7 4 2 2 2 2" xfId="1946"/>
    <cellStyle name="20% - Accent1 2 7 4 2 2 3" xfId="1947"/>
    <cellStyle name="20% - Accent1 2 7 4 2 3" xfId="1948"/>
    <cellStyle name="20% - Accent1 2 7 4 2 3 2" xfId="1949"/>
    <cellStyle name="20% - Accent1 2 7 4 2 4" xfId="1950"/>
    <cellStyle name="20% - Accent1 2 7 4 3" xfId="1951"/>
    <cellStyle name="20% - Accent1 2 7 4 3 2" xfId="1952"/>
    <cellStyle name="20% - Accent1 2 7 4 3 2 2" xfId="1953"/>
    <cellStyle name="20% - Accent1 2 7 4 3 3" xfId="1954"/>
    <cellStyle name="20% - Accent1 2 7 4 4" xfId="1955"/>
    <cellStyle name="20% - Accent1 2 7 4 4 2" xfId="1956"/>
    <cellStyle name="20% - Accent1 2 7 4 5" xfId="1957"/>
    <cellStyle name="20% - Accent1 2 7 5" xfId="1958"/>
    <cellStyle name="20% - Accent1 2 7 5 2" xfId="1959"/>
    <cellStyle name="20% - Accent1 2 7 5 2 2" xfId="1960"/>
    <cellStyle name="20% - Accent1 2 7 5 2 2 2" xfId="1961"/>
    <cellStyle name="20% - Accent1 2 7 5 2 2 2 2" xfId="1962"/>
    <cellStyle name="20% - Accent1 2 7 5 2 2 3" xfId="1963"/>
    <cellStyle name="20% - Accent1 2 7 5 2 3" xfId="1964"/>
    <cellStyle name="20% - Accent1 2 7 5 2 3 2" xfId="1965"/>
    <cellStyle name="20% - Accent1 2 7 5 2 4" xfId="1966"/>
    <cellStyle name="20% - Accent1 2 7 5 3" xfId="1967"/>
    <cellStyle name="20% - Accent1 2 7 5 3 2" xfId="1968"/>
    <cellStyle name="20% - Accent1 2 7 5 3 2 2" xfId="1969"/>
    <cellStyle name="20% - Accent1 2 7 5 3 3" xfId="1970"/>
    <cellStyle name="20% - Accent1 2 7 5 4" xfId="1971"/>
    <cellStyle name="20% - Accent1 2 7 5 4 2" xfId="1972"/>
    <cellStyle name="20% - Accent1 2 7 5 5" xfId="1973"/>
    <cellStyle name="20% - Accent1 2 7 6" xfId="1974"/>
    <cellStyle name="20% - Accent1 2 7 6 2" xfId="1975"/>
    <cellStyle name="20% - Accent1 2 7 6 2 2" xfId="1976"/>
    <cellStyle name="20% - Accent1 2 7 6 2 2 2" xfId="1977"/>
    <cellStyle name="20% - Accent1 2 7 6 2 2 2 2" xfId="1978"/>
    <cellStyle name="20% - Accent1 2 7 6 2 2 3" xfId="1979"/>
    <cellStyle name="20% - Accent1 2 7 6 2 3" xfId="1980"/>
    <cellStyle name="20% - Accent1 2 7 6 2 3 2" xfId="1981"/>
    <cellStyle name="20% - Accent1 2 7 6 2 4" xfId="1982"/>
    <cellStyle name="20% - Accent1 2 7 6 3" xfId="1983"/>
    <cellStyle name="20% - Accent1 2 7 6 3 2" xfId="1984"/>
    <cellStyle name="20% - Accent1 2 7 6 3 2 2" xfId="1985"/>
    <cellStyle name="20% - Accent1 2 7 6 3 3" xfId="1986"/>
    <cellStyle name="20% - Accent1 2 7 6 4" xfId="1987"/>
    <cellStyle name="20% - Accent1 2 7 6 4 2" xfId="1988"/>
    <cellStyle name="20% - Accent1 2 7 6 5" xfId="1989"/>
    <cellStyle name="20% - Accent1 2 7 7" xfId="1990"/>
    <cellStyle name="20% - Accent1 2 7 7 2" xfId="1991"/>
    <cellStyle name="20% - Accent1 2 7 7 2 2" xfId="1992"/>
    <cellStyle name="20% - Accent1 2 7 7 2 2 2" xfId="1993"/>
    <cellStyle name="20% - Accent1 2 7 7 2 2 2 2" xfId="1994"/>
    <cellStyle name="20% - Accent1 2 7 7 2 2 3" xfId="1995"/>
    <cellStyle name="20% - Accent1 2 7 7 2 3" xfId="1996"/>
    <cellStyle name="20% - Accent1 2 7 7 2 3 2" xfId="1997"/>
    <cellStyle name="20% - Accent1 2 7 7 2 4" xfId="1998"/>
    <cellStyle name="20% - Accent1 2 7 7 3" xfId="1999"/>
    <cellStyle name="20% - Accent1 2 7 7 3 2" xfId="2000"/>
    <cellStyle name="20% - Accent1 2 7 7 3 2 2" xfId="2001"/>
    <cellStyle name="20% - Accent1 2 7 7 3 3" xfId="2002"/>
    <cellStyle name="20% - Accent1 2 7 7 4" xfId="2003"/>
    <cellStyle name="20% - Accent1 2 7 7 4 2" xfId="2004"/>
    <cellStyle name="20% - Accent1 2 7 7 5" xfId="2005"/>
    <cellStyle name="20% - Accent1 2 7 8" xfId="2006"/>
    <cellStyle name="20% - Accent1 2 7 8 2" xfId="2007"/>
    <cellStyle name="20% - Accent1 2 7 8 2 2" xfId="2008"/>
    <cellStyle name="20% - Accent1 2 7 8 2 2 2" xfId="2009"/>
    <cellStyle name="20% - Accent1 2 7 8 2 3" xfId="2010"/>
    <cellStyle name="20% - Accent1 2 7 8 3" xfId="2011"/>
    <cellStyle name="20% - Accent1 2 7 8 3 2" xfId="2012"/>
    <cellStyle name="20% - Accent1 2 7 8 4" xfId="2013"/>
    <cellStyle name="20% - Accent1 2 7 9" xfId="2014"/>
    <cellStyle name="20% - Accent1 2 7 9 2" xfId="2015"/>
    <cellStyle name="20% - Accent1 2 7 9 2 2" xfId="2016"/>
    <cellStyle name="20% - Accent1 2 7 9 3" xfId="2017"/>
    <cellStyle name="20% - Accent1 2 8" xfId="2018"/>
    <cellStyle name="20% - Accent1 2 8 10" xfId="2019"/>
    <cellStyle name="20% - Accent1 2 8 10 2" xfId="2020"/>
    <cellStyle name="20% - Accent1 2 8 11" xfId="2021"/>
    <cellStyle name="20% - Accent1 2 8 2" xfId="2022"/>
    <cellStyle name="20% - Accent1 2 8 2 10" xfId="2023"/>
    <cellStyle name="20% - Accent1 2 8 2 2" xfId="2024"/>
    <cellStyle name="20% - Accent1 2 8 2 2 2" xfId="2025"/>
    <cellStyle name="20% - Accent1 2 8 2 2 2 2" xfId="2026"/>
    <cellStyle name="20% - Accent1 2 8 2 2 2 2 2" xfId="2027"/>
    <cellStyle name="20% - Accent1 2 8 2 2 2 2 2 2" xfId="2028"/>
    <cellStyle name="20% - Accent1 2 8 2 2 2 2 3" xfId="2029"/>
    <cellStyle name="20% - Accent1 2 8 2 2 2 3" xfId="2030"/>
    <cellStyle name="20% - Accent1 2 8 2 2 2 3 2" xfId="2031"/>
    <cellStyle name="20% - Accent1 2 8 2 2 2 4" xfId="2032"/>
    <cellStyle name="20% - Accent1 2 8 2 2 3" xfId="2033"/>
    <cellStyle name="20% - Accent1 2 8 2 2 3 2" xfId="2034"/>
    <cellStyle name="20% - Accent1 2 8 2 2 3 2 2" xfId="2035"/>
    <cellStyle name="20% - Accent1 2 8 2 2 3 3" xfId="2036"/>
    <cellStyle name="20% - Accent1 2 8 2 2 4" xfId="2037"/>
    <cellStyle name="20% - Accent1 2 8 2 2 4 2" xfId="2038"/>
    <cellStyle name="20% - Accent1 2 8 2 2 5" xfId="2039"/>
    <cellStyle name="20% - Accent1 2 8 2 3" xfId="2040"/>
    <cellStyle name="20% - Accent1 2 8 2 3 2" xfId="2041"/>
    <cellStyle name="20% - Accent1 2 8 2 3 2 2" xfId="2042"/>
    <cellStyle name="20% - Accent1 2 8 2 3 2 2 2" xfId="2043"/>
    <cellStyle name="20% - Accent1 2 8 2 3 2 2 2 2" xfId="2044"/>
    <cellStyle name="20% - Accent1 2 8 2 3 2 2 3" xfId="2045"/>
    <cellStyle name="20% - Accent1 2 8 2 3 2 3" xfId="2046"/>
    <cellStyle name="20% - Accent1 2 8 2 3 2 3 2" xfId="2047"/>
    <cellStyle name="20% - Accent1 2 8 2 3 2 4" xfId="2048"/>
    <cellStyle name="20% - Accent1 2 8 2 3 3" xfId="2049"/>
    <cellStyle name="20% - Accent1 2 8 2 3 3 2" xfId="2050"/>
    <cellStyle name="20% - Accent1 2 8 2 3 3 2 2" xfId="2051"/>
    <cellStyle name="20% - Accent1 2 8 2 3 3 3" xfId="2052"/>
    <cellStyle name="20% - Accent1 2 8 2 3 4" xfId="2053"/>
    <cellStyle name="20% - Accent1 2 8 2 3 4 2" xfId="2054"/>
    <cellStyle name="20% - Accent1 2 8 2 3 5" xfId="2055"/>
    <cellStyle name="20% - Accent1 2 8 2 4" xfId="2056"/>
    <cellStyle name="20% - Accent1 2 8 2 4 2" xfId="2057"/>
    <cellStyle name="20% - Accent1 2 8 2 4 2 2" xfId="2058"/>
    <cellStyle name="20% - Accent1 2 8 2 4 2 2 2" xfId="2059"/>
    <cellStyle name="20% - Accent1 2 8 2 4 2 2 2 2" xfId="2060"/>
    <cellStyle name="20% - Accent1 2 8 2 4 2 2 3" xfId="2061"/>
    <cellStyle name="20% - Accent1 2 8 2 4 2 3" xfId="2062"/>
    <cellStyle name="20% - Accent1 2 8 2 4 2 3 2" xfId="2063"/>
    <cellStyle name="20% - Accent1 2 8 2 4 2 4" xfId="2064"/>
    <cellStyle name="20% - Accent1 2 8 2 4 3" xfId="2065"/>
    <cellStyle name="20% - Accent1 2 8 2 4 3 2" xfId="2066"/>
    <cellStyle name="20% - Accent1 2 8 2 4 3 2 2" xfId="2067"/>
    <cellStyle name="20% - Accent1 2 8 2 4 3 3" xfId="2068"/>
    <cellStyle name="20% - Accent1 2 8 2 4 4" xfId="2069"/>
    <cellStyle name="20% - Accent1 2 8 2 4 4 2" xfId="2070"/>
    <cellStyle name="20% - Accent1 2 8 2 4 5" xfId="2071"/>
    <cellStyle name="20% - Accent1 2 8 2 5" xfId="2072"/>
    <cellStyle name="20% - Accent1 2 8 2 5 2" xfId="2073"/>
    <cellStyle name="20% - Accent1 2 8 2 5 2 2" xfId="2074"/>
    <cellStyle name="20% - Accent1 2 8 2 5 2 2 2" xfId="2075"/>
    <cellStyle name="20% - Accent1 2 8 2 5 2 2 2 2" xfId="2076"/>
    <cellStyle name="20% - Accent1 2 8 2 5 2 2 3" xfId="2077"/>
    <cellStyle name="20% - Accent1 2 8 2 5 2 3" xfId="2078"/>
    <cellStyle name="20% - Accent1 2 8 2 5 2 3 2" xfId="2079"/>
    <cellStyle name="20% - Accent1 2 8 2 5 2 4" xfId="2080"/>
    <cellStyle name="20% - Accent1 2 8 2 5 3" xfId="2081"/>
    <cellStyle name="20% - Accent1 2 8 2 5 3 2" xfId="2082"/>
    <cellStyle name="20% - Accent1 2 8 2 5 3 2 2" xfId="2083"/>
    <cellStyle name="20% - Accent1 2 8 2 5 3 3" xfId="2084"/>
    <cellStyle name="20% - Accent1 2 8 2 5 4" xfId="2085"/>
    <cellStyle name="20% - Accent1 2 8 2 5 4 2" xfId="2086"/>
    <cellStyle name="20% - Accent1 2 8 2 5 5" xfId="2087"/>
    <cellStyle name="20% - Accent1 2 8 2 6" xfId="2088"/>
    <cellStyle name="20% - Accent1 2 8 2 6 2" xfId="2089"/>
    <cellStyle name="20% - Accent1 2 8 2 6 2 2" xfId="2090"/>
    <cellStyle name="20% - Accent1 2 8 2 6 2 2 2" xfId="2091"/>
    <cellStyle name="20% - Accent1 2 8 2 6 2 2 2 2" xfId="2092"/>
    <cellStyle name="20% - Accent1 2 8 2 6 2 2 3" xfId="2093"/>
    <cellStyle name="20% - Accent1 2 8 2 6 2 3" xfId="2094"/>
    <cellStyle name="20% - Accent1 2 8 2 6 2 3 2" xfId="2095"/>
    <cellStyle name="20% - Accent1 2 8 2 6 2 4" xfId="2096"/>
    <cellStyle name="20% - Accent1 2 8 2 6 3" xfId="2097"/>
    <cellStyle name="20% - Accent1 2 8 2 6 3 2" xfId="2098"/>
    <cellStyle name="20% - Accent1 2 8 2 6 3 2 2" xfId="2099"/>
    <cellStyle name="20% - Accent1 2 8 2 6 3 3" xfId="2100"/>
    <cellStyle name="20% - Accent1 2 8 2 6 4" xfId="2101"/>
    <cellStyle name="20% - Accent1 2 8 2 6 4 2" xfId="2102"/>
    <cellStyle name="20% - Accent1 2 8 2 6 5" xfId="2103"/>
    <cellStyle name="20% - Accent1 2 8 2 7" xfId="2104"/>
    <cellStyle name="20% - Accent1 2 8 2 7 2" xfId="2105"/>
    <cellStyle name="20% - Accent1 2 8 2 7 2 2" xfId="2106"/>
    <cellStyle name="20% - Accent1 2 8 2 7 2 2 2" xfId="2107"/>
    <cellStyle name="20% - Accent1 2 8 2 7 2 3" xfId="2108"/>
    <cellStyle name="20% - Accent1 2 8 2 7 3" xfId="2109"/>
    <cellStyle name="20% - Accent1 2 8 2 7 3 2" xfId="2110"/>
    <cellStyle name="20% - Accent1 2 8 2 7 4" xfId="2111"/>
    <cellStyle name="20% - Accent1 2 8 2 8" xfId="2112"/>
    <cellStyle name="20% - Accent1 2 8 2 8 2" xfId="2113"/>
    <cellStyle name="20% - Accent1 2 8 2 8 2 2" xfId="2114"/>
    <cellStyle name="20% - Accent1 2 8 2 8 3" xfId="2115"/>
    <cellStyle name="20% - Accent1 2 8 2 9" xfId="2116"/>
    <cellStyle name="20% - Accent1 2 8 2 9 2" xfId="2117"/>
    <cellStyle name="20% - Accent1 2 8 3" xfId="2118"/>
    <cellStyle name="20% - Accent1 2 8 3 2" xfId="2119"/>
    <cellStyle name="20% - Accent1 2 8 3 2 2" xfId="2120"/>
    <cellStyle name="20% - Accent1 2 8 3 2 2 2" xfId="2121"/>
    <cellStyle name="20% - Accent1 2 8 3 2 2 2 2" xfId="2122"/>
    <cellStyle name="20% - Accent1 2 8 3 2 2 3" xfId="2123"/>
    <cellStyle name="20% - Accent1 2 8 3 2 3" xfId="2124"/>
    <cellStyle name="20% - Accent1 2 8 3 2 3 2" xfId="2125"/>
    <cellStyle name="20% - Accent1 2 8 3 2 4" xfId="2126"/>
    <cellStyle name="20% - Accent1 2 8 3 3" xfId="2127"/>
    <cellStyle name="20% - Accent1 2 8 3 3 2" xfId="2128"/>
    <cellStyle name="20% - Accent1 2 8 3 3 2 2" xfId="2129"/>
    <cellStyle name="20% - Accent1 2 8 3 3 3" xfId="2130"/>
    <cellStyle name="20% - Accent1 2 8 3 4" xfId="2131"/>
    <cellStyle name="20% - Accent1 2 8 3 4 2" xfId="2132"/>
    <cellStyle name="20% - Accent1 2 8 3 5" xfId="2133"/>
    <cellStyle name="20% - Accent1 2 8 4" xfId="2134"/>
    <cellStyle name="20% - Accent1 2 8 4 2" xfId="2135"/>
    <cellStyle name="20% - Accent1 2 8 4 2 2" xfId="2136"/>
    <cellStyle name="20% - Accent1 2 8 4 2 2 2" xfId="2137"/>
    <cellStyle name="20% - Accent1 2 8 4 2 2 2 2" xfId="2138"/>
    <cellStyle name="20% - Accent1 2 8 4 2 2 3" xfId="2139"/>
    <cellStyle name="20% - Accent1 2 8 4 2 3" xfId="2140"/>
    <cellStyle name="20% - Accent1 2 8 4 2 3 2" xfId="2141"/>
    <cellStyle name="20% - Accent1 2 8 4 2 4" xfId="2142"/>
    <cellStyle name="20% - Accent1 2 8 4 3" xfId="2143"/>
    <cellStyle name="20% - Accent1 2 8 4 3 2" xfId="2144"/>
    <cellStyle name="20% - Accent1 2 8 4 3 2 2" xfId="2145"/>
    <cellStyle name="20% - Accent1 2 8 4 3 3" xfId="2146"/>
    <cellStyle name="20% - Accent1 2 8 4 4" xfId="2147"/>
    <cellStyle name="20% - Accent1 2 8 4 4 2" xfId="2148"/>
    <cellStyle name="20% - Accent1 2 8 4 5" xfId="2149"/>
    <cellStyle name="20% - Accent1 2 8 5" xfId="2150"/>
    <cellStyle name="20% - Accent1 2 8 5 2" xfId="2151"/>
    <cellStyle name="20% - Accent1 2 8 5 2 2" xfId="2152"/>
    <cellStyle name="20% - Accent1 2 8 5 2 2 2" xfId="2153"/>
    <cellStyle name="20% - Accent1 2 8 5 2 2 2 2" xfId="2154"/>
    <cellStyle name="20% - Accent1 2 8 5 2 2 3" xfId="2155"/>
    <cellStyle name="20% - Accent1 2 8 5 2 3" xfId="2156"/>
    <cellStyle name="20% - Accent1 2 8 5 2 3 2" xfId="2157"/>
    <cellStyle name="20% - Accent1 2 8 5 2 4" xfId="2158"/>
    <cellStyle name="20% - Accent1 2 8 5 3" xfId="2159"/>
    <cellStyle name="20% - Accent1 2 8 5 3 2" xfId="2160"/>
    <cellStyle name="20% - Accent1 2 8 5 3 2 2" xfId="2161"/>
    <cellStyle name="20% - Accent1 2 8 5 3 3" xfId="2162"/>
    <cellStyle name="20% - Accent1 2 8 5 4" xfId="2163"/>
    <cellStyle name="20% - Accent1 2 8 5 4 2" xfId="2164"/>
    <cellStyle name="20% - Accent1 2 8 5 5" xfId="2165"/>
    <cellStyle name="20% - Accent1 2 8 6" xfId="2166"/>
    <cellStyle name="20% - Accent1 2 8 6 2" xfId="2167"/>
    <cellStyle name="20% - Accent1 2 8 6 2 2" xfId="2168"/>
    <cellStyle name="20% - Accent1 2 8 6 2 2 2" xfId="2169"/>
    <cellStyle name="20% - Accent1 2 8 6 2 2 2 2" xfId="2170"/>
    <cellStyle name="20% - Accent1 2 8 6 2 2 3" xfId="2171"/>
    <cellStyle name="20% - Accent1 2 8 6 2 3" xfId="2172"/>
    <cellStyle name="20% - Accent1 2 8 6 2 3 2" xfId="2173"/>
    <cellStyle name="20% - Accent1 2 8 6 2 4" xfId="2174"/>
    <cellStyle name="20% - Accent1 2 8 6 3" xfId="2175"/>
    <cellStyle name="20% - Accent1 2 8 6 3 2" xfId="2176"/>
    <cellStyle name="20% - Accent1 2 8 6 3 2 2" xfId="2177"/>
    <cellStyle name="20% - Accent1 2 8 6 3 3" xfId="2178"/>
    <cellStyle name="20% - Accent1 2 8 6 4" xfId="2179"/>
    <cellStyle name="20% - Accent1 2 8 6 4 2" xfId="2180"/>
    <cellStyle name="20% - Accent1 2 8 6 5" xfId="2181"/>
    <cellStyle name="20% - Accent1 2 8 7" xfId="2182"/>
    <cellStyle name="20% - Accent1 2 8 7 2" xfId="2183"/>
    <cellStyle name="20% - Accent1 2 8 7 2 2" xfId="2184"/>
    <cellStyle name="20% - Accent1 2 8 7 2 2 2" xfId="2185"/>
    <cellStyle name="20% - Accent1 2 8 7 2 2 2 2" xfId="2186"/>
    <cellStyle name="20% - Accent1 2 8 7 2 2 3" xfId="2187"/>
    <cellStyle name="20% - Accent1 2 8 7 2 3" xfId="2188"/>
    <cellStyle name="20% - Accent1 2 8 7 2 3 2" xfId="2189"/>
    <cellStyle name="20% - Accent1 2 8 7 2 4" xfId="2190"/>
    <cellStyle name="20% - Accent1 2 8 7 3" xfId="2191"/>
    <cellStyle name="20% - Accent1 2 8 7 3 2" xfId="2192"/>
    <cellStyle name="20% - Accent1 2 8 7 3 2 2" xfId="2193"/>
    <cellStyle name="20% - Accent1 2 8 7 3 3" xfId="2194"/>
    <cellStyle name="20% - Accent1 2 8 7 4" xfId="2195"/>
    <cellStyle name="20% - Accent1 2 8 7 4 2" xfId="2196"/>
    <cellStyle name="20% - Accent1 2 8 7 5" xfId="2197"/>
    <cellStyle name="20% - Accent1 2 8 8" xfId="2198"/>
    <cellStyle name="20% - Accent1 2 8 8 2" xfId="2199"/>
    <cellStyle name="20% - Accent1 2 8 8 2 2" xfId="2200"/>
    <cellStyle name="20% - Accent1 2 8 8 2 2 2" xfId="2201"/>
    <cellStyle name="20% - Accent1 2 8 8 2 3" xfId="2202"/>
    <cellStyle name="20% - Accent1 2 8 8 3" xfId="2203"/>
    <cellStyle name="20% - Accent1 2 8 8 3 2" xfId="2204"/>
    <cellStyle name="20% - Accent1 2 8 8 4" xfId="2205"/>
    <cellStyle name="20% - Accent1 2 8 9" xfId="2206"/>
    <cellStyle name="20% - Accent1 2 8 9 2" xfId="2207"/>
    <cellStyle name="20% - Accent1 2 8 9 2 2" xfId="2208"/>
    <cellStyle name="20% - Accent1 2 8 9 3" xfId="2209"/>
    <cellStyle name="20% - Accent1 2 9" xfId="2210"/>
    <cellStyle name="20% - Accent1 2 9 10" xfId="2211"/>
    <cellStyle name="20% - Accent1 2 9 10 2" xfId="2212"/>
    <cellStyle name="20% - Accent1 2 9 11" xfId="2213"/>
    <cellStyle name="20% - Accent1 2 9 2" xfId="2214"/>
    <cellStyle name="20% - Accent1 2 9 2 10" xfId="2215"/>
    <cellStyle name="20% - Accent1 2 9 2 2" xfId="2216"/>
    <cellStyle name="20% - Accent1 2 9 2 2 2" xfId="2217"/>
    <cellStyle name="20% - Accent1 2 9 2 2 2 2" xfId="2218"/>
    <cellStyle name="20% - Accent1 2 9 2 2 2 2 2" xfId="2219"/>
    <cellStyle name="20% - Accent1 2 9 2 2 2 2 2 2" xfId="2220"/>
    <cellStyle name="20% - Accent1 2 9 2 2 2 2 3" xfId="2221"/>
    <cellStyle name="20% - Accent1 2 9 2 2 2 3" xfId="2222"/>
    <cellStyle name="20% - Accent1 2 9 2 2 2 3 2" xfId="2223"/>
    <cellStyle name="20% - Accent1 2 9 2 2 2 4" xfId="2224"/>
    <cellStyle name="20% - Accent1 2 9 2 2 3" xfId="2225"/>
    <cellStyle name="20% - Accent1 2 9 2 2 3 2" xfId="2226"/>
    <cellStyle name="20% - Accent1 2 9 2 2 3 2 2" xfId="2227"/>
    <cellStyle name="20% - Accent1 2 9 2 2 3 3" xfId="2228"/>
    <cellStyle name="20% - Accent1 2 9 2 2 4" xfId="2229"/>
    <cellStyle name="20% - Accent1 2 9 2 2 4 2" xfId="2230"/>
    <cellStyle name="20% - Accent1 2 9 2 2 5" xfId="2231"/>
    <cellStyle name="20% - Accent1 2 9 2 3" xfId="2232"/>
    <cellStyle name="20% - Accent1 2 9 2 3 2" xfId="2233"/>
    <cellStyle name="20% - Accent1 2 9 2 3 2 2" xfId="2234"/>
    <cellStyle name="20% - Accent1 2 9 2 3 2 2 2" xfId="2235"/>
    <cellStyle name="20% - Accent1 2 9 2 3 2 2 2 2" xfId="2236"/>
    <cellStyle name="20% - Accent1 2 9 2 3 2 2 3" xfId="2237"/>
    <cellStyle name="20% - Accent1 2 9 2 3 2 3" xfId="2238"/>
    <cellStyle name="20% - Accent1 2 9 2 3 2 3 2" xfId="2239"/>
    <cellStyle name="20% - Accent1 2 9 2 3 2 4" xfId="2240"/>
    <cellStyle name="20% - Accent1 2 9 2 3 3" xfId="2241"/>
    <cellStyle name="20% - Accent1 2 9 2 3 3 2" xfId="2242"/>
    <cellStyle name="20% - Accent1 2 9 2 3 3 2 2" xfId="2243"/>
    <cellStyle name="20% - Accent1 2 9 2 3 3 3" xfId="2244"/>
    <cellStyle name="20% - Accent1 2 9 2 3 4" xfId="2245"/>
    <cellStyle name="20% - Accent1 2 9 2 3 4 2" xfId="2246"/>
    <cellStyle name="20% - Accent1 2 9 2 3 5" xfId="2247"/>
    <cellStyle name="20% - Accent1 2 9 2 4" xfId="2248"/>
    <cellStyle name="20% - Accent1 2 9 2 4 2" xfId="2249"/>
    <cellStyle name="20% - Accent1 2 9 2 4 2 2" xfId="2250"/>
    <cellStyle name="20% - Accent1 2 9 2 4 2 2 2" xfId="2251"/>
    <cellStyle name="20% - Accent1 2 9 2 4 2 2 2 2" xfId="2252"/>
    <cellStyle name="20% - Accent1 2 9 2 4 2 2 3" xfId="2253"/>
    <cellStyle name="20% - Accent1 2 9 2 4 2 3" xfId="2254"/>
    <cellStyle name="20% - Accent1 2 9 2 4 2 3 2" xfId="2255"/>
    <cellStyle name="20% - Accent1 2 9 2 4 2 4" xfId="2256"/>
    <cellStyle name="20% - Accent1 2 9 2 4 3" xfId="2257"/>
    <cellStyle name="20% - Accent1 2 9 2 4 3 2" xfId="2258"/>
    <cellStyle name="20% - Accent1 2 9 2 4 3 2 2" xfId="2259"/>
    <cellStyle name="20% - Accent1 2 9 2 4 3 3" xfId="2260"/>
    <cellStyle name="20% - Accent1 2 9 2 4 4" xfId="2261"/>
    <cellStyle name="20% - Accent1 2 9 2 4 4 2" xfId="2262"/>
    <cellStyle name="20% - Accent1 2 9 2 4 5" xfId="2263"/>
    <cellStyle name="20% - Accent1 2 9 2 5" xfId="2264"/>
    <cellStyle name="20% - Accent1 2 9 2 5 2" xfId="2265"/>
    <cellStyle name="20% - Accent1 2 9 2 5 2 2" xfId="2266"/>
    <cellStyle name="20% - Accent1 2 9 2 5 2 2 2" xfId="2267"/>
    <cellStyle name="20% - Accent1 2 9 2 5 2 2 2 2" xfId="2268"/>
    <cellStyle name="20% - Accent1 2 9 2 5 2 2 3" xfId="2269"/>
    <cellStyle name="20% - Accent1 2 9 2 5 2 3" xfId="2270"/>
    <cellStyle name="20% - Accent1 2 9 2 5 2 3 2" xfId="2271"/>
    <cellStyle name="20% - Accent1 2 9 2 5 2 4" xfId="2272"/>
    <cellStyle name="20% - Accent1 2 9 2 5 3" xfId="2273"/>
    <cellStyle name="20% - Accent1 2 9 2 5 3 2" xfId="2274"/>
    <cellStyle name="20% - Accent1 2 9 2 5 3 2 2" xfId="2275"/>
    <cellStyle name="20% - Accent1 2 9 2 5 3 3" xfId="2276"/>
    <cellStyle name="20% - Accent1 2 9 2 5 4" xfId="2277"/>
    <cellStyle name="20% - Accent1 2 9 2 5 4 2" xfId="2278"/>
    <cellStyle name="20% - Accent1 2 9 2 5 5" xfId="2279"/>
    <cellStyle name="20% - Accent1 2 9 2 6" xfId="2280"/>
    <cellStyle name="20% - Accent1 2 9 2 6 2" xfId="2281"/>
    <cellStyle name="20% - Accent1 2 9 2 6 2 2" xfId="2282"/>
    <cellStyle name="20% - Accent1 2 9 2 6 2 2 2" xfId="2283"/>
    <cellStyle name="20% - Accent1 2 9 2 6 2 2 2 2" xfId="2284"/>
    <cellStyle name="20% - Accent1 2 9 2 6 2 2 3" xfId="2285"/>
    <cellStyle name="20% - Accent1 2 9 2 6 2 3" xfId="2286"/>
    <cellStyle name="20% - Accent1 2 9 2 6 2 3 2" xfId="2287"/>
    <cellStyle name="20% - Accent1 2 9 2 6 2 4" xfId="2288"/>
    <cellStyle name="20% - Accent1 2 9 2 6 3" xfId="2289"/>
    <cellStyle name="20% - Accent1 2 9 2 6 3 2" xfId="2290"/>
    <cellStyle name="20% - Accent1 2 9 2 6 3 2 2" xfId="2291"/>
    <cellStyle name="20% - Accent1 2 9 2 6 3 3" xfId="2292"/>
    <cellStyle name="20% - Accent1 2 9 2 6 4" xfId="2293"/>
    <cellStyle name="20% - Accent1 2 9 2 6 4 2" xfId="2294"/>
    <cellStyle name="20% - Accent1 2 9 2 6 5" xfId="2295"/>
    <cellStyle name="20% - Accent1 2 9 2 7" xfId="2296"/>
    <cellStyle name="20% - Accent1 2 9 2 7 2" xfId="2297"/>
    <cellStyle name="20% - Accent1 2 9 2 7 2 2" xfId="2298"/>
    <cellStyle name="20% - Accent1 2 9 2 7 2 2 2" xfId="2299"/>
    <cellStyle name="20% - Accent1 2 9 2 7 2 3" xfId="2300"/>
    <cellStyle name="20% - Accent1 2 9 2 7 3" xfId="2301"/>
    <cellStyle name="20% - Accent1 2 9 2 7 3 2" xfId="2302"/>
    <cellStyle name="20% - Accent1 2 9 2 7 4" xfId="2303"/>
    <cellStyle name="20% - Accent1 2 9 2 8" xfId="2304"/>
    <cellStyle name="20% - Accent1 2 9 2 8 2" xfId="2305"/>
    <cellStyle name="20% - Accent1 2 9 2 8 2 2" xfId="2306"/>
    <cellStyle name="20% - Accent1 2 9 2 8 3" xfId="2307"/>
    <cellStyle name="20% - Accent1 2 9 2 9" xfId="2308"/>
    <cellStyle name="20% - Accent1 2 9 2 9 2" xfId="2309"/>
    <cellStyle name="20% - Accent1 2 9 3" xfId="2310"/>
    <cellStyle name="20% - Accent1 2 9 3 2" xfId="2311"/>
    <cellStyle name="20% - Accent1 2 9 3 2 2" xfId="2312"/>
    <cellStyle name="20% - Accent1 2 9 3 2 2 2" xfId="2313"/>
    <cellStyle name="20% - Accent1 2 9 3 2 2 2 2" xfId="2314"/>
    <cellStyle name="20% - Accent1 2 9 3 2 2 3" xfId="2315"/>
    <cellStyle name="20% - Accent1 2 9 3 2 3" xfId="2316"/>
    <cellStyle name="20% - Accent1 2 9 3 2 3 2" xfId="2317"/>
    <cellStyle name="20% - Accent1 2 9 3 2 4" xfId="2318"/>
    <cellStyle name="20% - Accent1 2 9 3 3" xfId="2319"/>
    <cellStyle name="20% - Accent1 2 9 3 3 2" xfId="2320"/>
    <cellStyle name="20% - Accent1 2 9 3 3 2 2" xfId="2321"/>
    <cellStyle name="20% - Accent1 2 9 3 3 3" xfId="2322"/>
    <cellStyle name="20% - Accent1 2 9 3 4" xfId="2323"/>
    <cellStyle name="20% - Accent1 2 9 3 4 2" xfId="2324"/>
    <cellStyle name="20% - Accent1 2 9 3 5" xfId="2325"/>
    <cellStyle name="20% - Accent1 2 9 4" xfId="2326"/>
    <cellStyle name="20% - Accent1 2 9 4 2" xfId="2327"/>
    <cellStyle name="20% - Accent1 2 9 4 2 2" xfId="2328"/>
    <cellStyle name="20% - Accent1 2 9 4 2 2 2" xfId="2329"/>
    <cellStyle name="20% - Accent1 2 9 4 2 2 2 2" xfId="2330"/>
    <cellStyle name="20% - Accent1 2 9 4 2 2 3" xfId="2331"/>
    <cellStyle name="20% - Accent1 2 9 4 2 3" xfId="2332"/>
    <cellStyle name="20% - Accent1 2 9 4 2 3 2" xfId="2333"/>
    <cellStyle name="20% - Accent1 2 9 4 2 4" xfId="2334"/>
    <cellStyle name="20% - Accent1 2 9 4 3" xfId="2335"/>
    <cellStyle name="20% - Accent1 2 9 4 3 2" xfId="2336"/>
    <cellStyle name="20% - Accent1 2 9 4 3 2 2" xfId="2337"/>
    <cellStyle name="20% - Accent1 2 9 4 3 3" xfId="2338"/>
    <cellStyle name="20% - Accent1 2 9 4 4" xfId="2339"/>
    <cellStyle name="20% - Accent1 2 9 4 4 2" xfId="2340"/>
    <cellStyle name="20% - Accent1 2 9 4 5" xfId="2341"/>
    <cellStyle name="20% - Accent1 2 9 5" xfId="2342"/>
    <cellStyle name="20% - Accent1 2 9 5 2" xfId="2343"/>
    <cellStyle name="20% - Accent1 2 9 5 2 2" xfId="2344"/>
    <cellStyle name="20% - Accent1 2 9 5 2 2 2" xfId="2345"/>
    <cellStyle name="20% - Accent1 2 9 5 2 2 2 2" xfId="2346"/>
    <cellStyle name="20% - Accent1 2 9 5 2 2 3" xfId="2347"/>
    <cellStyle name="20% - Accent1 2 9 5 2 3" xfId="2348"/>
    <cellStyle name="20% - Accent1 2 9 5 2 3 2" xfId="2349"/>
    <cellStyle name="20% - Accent1 2 9 5 2 4" xfId="2350"/>
    <cellStyle name="20% - Accent1 2 9 5 3" xfId="2351"/>
    <cellStyle name="20% - Accent1 2 9 5 3 2" xfId="2352"/>
    <cellStyle name="20% - Accent1 2 9 5 3 2 2" xfId="2353"/>
    <cellStyle name="20% - Accent1 2 9 5 3 3" xfId="2354"/>
    <cellStyle name="20% - Accent1 2 9 5 4" xfId="2355"/>
    <cellStyle name="20% - Accent1 2 9 5 4 2" xfId="2356"/>
    <cellStyle name="20% - Accent1 2 9 5 5" xfId="2357"/>
    <cellStyle name="20% - Accent1 2 9 6" xfId="2358"/>
    <cellStyle name="20% - Accent1 2 9 6 2" xfId="2359"/>
    <cellStyle name="20% - Accent1 2 9 6 2 2" xfId="2360"/>
    <cellStyle name="20% - Accent1 2 9 6 2 2 2" xfId="2361"/>
    <cellStyle name="20% - Accent1 2 9 6 2 2 2 2" xfId="2362"/>
    <cellStyle name="20% - Accent1 2 9 6 2 2 3" xfId="2363"/>
    <cellStyle name="20% - Accent1 2 9 6 2 3" xfId="2364"/>
    <cellStyle name="20% - Accent1 2 9 6 2 3 2" xfId="2365"/>
    <cellStyle name="20% - Accent1 2 9 6 2 4" xfId="2366"/>
    <cellStyle name="20% - Accent1 2 9 6 3" xfId="2367"/>
    <cellStyle name="20% - Accent1 2 9 6 3 2" xfId="2368"/>
    <cellStyle name="20% - Accent1 2 9 6 3 2 2" xfId="2369"/>
    <cellStyle name="20% - Accent1 2 9 6 3 3" xfId="2370"/>
    <cellStyle name="20% - Accent1 2 9 6 4" xfId="2371"/>
    <cellStyle name="20% - Accent1 2 9 6 4 2" xfId="2372"/>
    <cellStyle name="20% - Accent1 2 9 6 5" xfId="2373"/>
    <cellStyle name="20% - Accent1 2 9 7" xfId="2374"/>
    <cellStyle name="20% - Accent1 2 9 7 2" xfId="2375"/>
    <cellStyle name="20% - Accent1 2 9 7 2 2" xfId="2376"/>
    <cellStyle name="20% - Accent1 2 9 7 2 2 2" xfId="2377"/>
    <cellStyle name="20% - Accent1 2 9 7 2 2 2 2" xfId="2378"/>
    <cellStyle name="20% - Accent1 2 9 7 2 2 3" xfId="2379"/>
    <cellStyle name="20% - Accent1 2 9 7 2 3" xfId="2380"/>
    <cellStyle name="20% - Accent1 2 9 7 2 3 2" xfId="2381"/>
    <cellStyle name="20% - Accent1 2 9 7 2 4" xfId="2382"/>
    <cellStyle name="20% - Accent1 2 9 7 3" xfId="2383"/>
    <cellStyle name="20% - Accent1 2 9 7 3 2" xfId="2384"/>
    <cellStyle name="20% - Accent1 2 9 7 3 2 2" xfId="2385"/>
    <cellStyle name="20% - Accent1 2 9 7 3 3" xfId="2386"/>
    <cellStyle name="20% - Accent1 2 9 7 4" xfId="2387"/>
    <cellStyle name="20% - Accent1 2 9 7 4 2" xfId="2388"/>
    <cellStyle name="20% - Accent1 2 9 7 5" xfId="2389"/>
    <cellStyle name="20% - Accent1 2 9 8" xfId="2390"/>
    <cellStyle name="20% - Accent1 2 9 8 2" xfId="2391"/>
    <cellStyle name="20% - Accent1 2 9 8 2 2" xfId="2392"/>
    <cellStyle name="20% - Accent1 2 9 8 2 2 2" xfId="2393"/>
    <cellStyle name="20% - Accent1 2 9 8 2 3" xfId="2394"/>
    <cellStyle name="20% - Accent1 2 9 8 3" xfId="2395"/>
    <cellStyle name="20% - Accent1 2 9 8 3 2" xfId="2396"/>
    <cellStyle name="20% - Accent1 2 9 8 4" xfId="2397"/>
    <cellStyle name="20% - Accent1 2 9 9" xfId="2398"/>
    <cellStyle name="20% - Accent1 2 9 9 2" xfId="2399"/>
    <cellStyle name="20% - Accent1 2 9 9 2 2" xfId="2400"/>
    <cellStyle name="20% - Accent1 2 9 9 3" xfId="2401"/>
    <cellStyle name="20% - Accent1 20" xfId="2402"/>
    <cellStyle name="20% - Accent1 20 2" xfId="2403"/>
    <cellStyle name="20% - Accent1 20 2 2" xfId="2404"/>
    <cellStyle name="20% - Accent1 20 2 2 2" xfId="2405"/>
    <cellStyle name="20% - Accent1 20 2 2 2 2" xfId="2406"/>
    <cellStyle name="20% - Accent1 20 2 2 3" xfId="2407"/>
    <cellStyle name="20% - Accent1 20 2 3" xfId="2408"/>
    <cellStyle name="20% - Accent1 20 2 3 2" xfId="2409"/>
    <cellStyle name="20% - Accent1 20 2 4" xfId="2410"/>
    <cellStyle name="20% - Accent1 20 3" xfId="2411"/>
    <cellStyle name="20% - Accent1 20 3 2" xfId="2412"/>
    <cellStyle name="20% - Accent1 20 3 2 2" xfId="2413"/>
    <cellStyle name="20% - Accent1 20 3 3" xfId="2414"/>
    <cellStyle name="20% - Accent1 20 4" xfId="2415"/>
    <cellStyle name="20% - Accent1 20 4 2" xfId="2416"/>
    <cellStyle name="20% - Accent1 20 5" xfId="2417"/>
    <cellStyle name="20% - Accent1 21" xfId="2418"/>
    <cellStyle name="20% - Accent1 21 2" xfId="2419"/>
    <cellStyle name="20% - Accent1 21 2 2" xfId="2420"/>
    <cellStyle name="20% - Accent1 21 2 2 2" xfId="2421"/>
    <cellStyle name="20% - Accent1 21 2 3" xfId="2422"/>
    <cellStyle name="20% - Accent1 21 3" xfId="2423"/>
    <cellStyle name="20% - Accent1 21 3 2" xfId="2424"/>
    <cellStyle name="20% - Accent1 21 4" xfId="2425"/>
    <cellStyle name="20% - Accent1 22" xfId="2426"/>
    <cellStyle name="20% - Accent1 22 2" xfId="2427"/>
    <cellStyle name="20% - Accent1 22 2 2" xfId="2428"/>
    <cellStyle name="20% - Accent1 22 3" xfId="2429"/>
    <cellStyle name="20% - Accent1 23" xfId="2430"/>
    <cellStyle name="20% - Accent1 23 2" xfId="2431"/>
    <cellStyle name="20% - Accent1 24" xfId="2432"/>
    <cellStyle name="20% - Accent1 3" xfId="2433"/>
    <cellStyle name="20% - Accent1 3 10" xfId="2434"/>
    <cellStyle name="20% - Accent1 3 10 2" xfId="2435"/>
    <cellStyle name="20% - Accent1 3 11" xfId="2436"/>
    <cellStyle name="20% - Accent1 3 2" xfId="2437"/>
    <cellStyle name="20% - Accent1 3 2 10" xfId="2438"/>
    <cellStyle name="20% - Accent1 3 2 2" xfId="2439"/>
    <cellStyle name="20% - Accent1 3 2 2 2" xfId="2440"/>
    <cellStyle name="20% - Accent1 3 2 2 2 2" xfId="2441"/>
    <cellStyle name="20% - Accent1 3 2 2 2 2 2" xfId="2442"/>
    <cellStyle name="20% - Accent1 3 2 2 2 2 2 2" xfId="2443"/>
    <cellStyle name="20% - Accent1 3 2 2 2 2 3" xfId="2444"/>
    <cellStyle name="20% - Accent1 3 2 2 2 3" xfId="2445"/>
    <cellStyle name="20% - Accent1 3 2 2 2 3 2" xfId="2446"/>
    <cellStyle name="20% - Accent1 3 2 2 2 4" xfId="2447"/>
    <cellStyle name="20% - Accent1 3 2 2 3" xfId="2448"/>
    <cellStyle name="20% - Accent1 3 2 2 3 2" xfId="2449"/>
    <cellStyle name="20% - Accent1 3 2 2 3 2 2" xfId="2450"/>
    <cellStyle name="20% - Accent1 3 2 2 3 3" xfId="2451"/>
    <cellStyle name="20% - Accent1 3 2 2 4" xfId="2452"/>
    <cellStyle name="20% - Accent1 3 2 2 4 2" xfId="2453"/>
    <cellStyle name="20% - Accent1 3 2 2 5" xfId="2454"/>
    <cellStyle name="20% - Accent1 3 2 3" xfId="2455"/>
    <cellStyle name="20% - Accent1 3 2 3 2" xfId="2456"/>
    <cellStyle name="20% - Accent1 3 2 3 2 2" xfId="2457"/>
    <cellStyle name="20% - Accent1 3 2 3 2 2 2" xfId="2458"/>
    <cellStyle name="20% - Accent1 3 2 3 2 2 2 2" xfId="2459"/>
    <cellStyle name="20% - Accent1 3 2 3 2 2 3" xfId="2460"/>
    <cellStyle name="20% - Accent1 3 2 3 2 3" xfId="2461"/>
    <cellStyle name="20% - Accent1 3 2 3 2 3 2" xfId="2462"/>
    <cellStyle name="20% - Accent1 3 2 3 2 4" xfId="2463"/>
    <cellStyle name="20% - Accent1 3 2 3 3" xfId="2464"/>
    <cellStyle name="20% - Accent1 3 2 3 3 2" xfId="2465"/>
    <cellStyle name="20% - Accent1 3 2 3 3 2 2" xfId="2466"/>
    <cellStyle name="20% - Accent1 3 2 3 3 3" xfId="2467"/>
    <cellStyle name="20% - Accent1 3 2 3 4" xfId="2468"/>
    <cellStyle name="20% - Accent1 3 2 3 4 2" xfId="2469"/>
    <cellStyle name="20% - Accent1 3 2 3 5" xfId="2470"/>
    <cellStyle name="20% - Accent1 3 2 4" xfId="2471"/>
    <cellStyle name="20% - Accent1 3 2 4 2" xfId="2472"/>
    <cellStyle name="20% - Accent1 3 2 4 2 2" xfId="2473"/>
    <cellStyle name="20% - Accent1 3 2 4 2 2 2" xfId="2474"/>
    <cellStyle name="20% - Accent1 3 2 4 2 2 2 2" xfId="2475"/>
    <cellStyle name="20% - Accent1 3 2 4 2 2 3" xfId="2476"/>
    <cellStyle name="20% - Accent1 3 2 4 2 3" xfId="2477"/>
    <cellStyle name="20% - Accent1 3 2 4 2 3 2" xfId="2478"/>
    <cellStyle name="20% - Accent1 3 2 4 2 4" xfId="2479"/>
    <cellStyle name="20% - Accent1 3 2 4 3" xfId="2480"/>
    <cellStyle name="20% - Accent1 3 2 4 3 2" xfId="2481"/>
    <cellStyle name="20% - Accent1 3 2 4 3 2 2" xfId="2482"/>
    <cellStyle name="20% - Accent1 3 2 4 3 3" xfId="2483"/>
    <cellStyle name="20% - Accent1 3 2 4 4" xfId="2484"/>
    <cellStyle name="20% - Accent1 3 2 4 4 2" xfId="2485"/>
    <cellStyle name="20% - Accent1 3 2 4 5" xfId="2486"/>
    <cellStyle name="20% - Accent1 3 2 5" xfId="2487"/>
    <cellStyle name="20% - Accent1 3 2 5 2" xfId="2488"/>
    <cellStyle name="20% - Accent1 3 2 5 2 2" xfId="2489"/>
    <cellStyle name="20% - Accent1 3 2 5 2 2 2" xfId="2490"/>
    <cellStyle name="20% - Accent1 3 2 5 2 2 2 2" xfId="2491"/>
    <cellStyle name="20% - Accent1 3 2 5 2 2 3" xfId="2492"/>
    <cellStyle name="20% - Accent1 3 2 5 2 3" xfId="2493"/>
    <cellStyle name="20% - Accent1 3 2 5 2 3 2" xfId="2494"/>
    <cellStyle name="20% - Accent1 3 2 5 2 4" xfId="2495"/>
    <cellStyle name="20% - Accent1 3 2 5 3" xfId="2496"/>
    <cellStyle name="20% - Accent1 3 2 5 3 2" xfId="2497"/>
    <cellStyle name="20% - Accent1 3 2 5 3 2 2" xfId="2498"/>
    <cellStyle name="20% - Accent1 3 2 5 3 3" xfId="2499"/>
    <cellStyle name="20% - Accent1 3 2 5 4" xfId="2500"/>
    <cellStyle name="20% - Accent1 3 2 5 4 2" xfId="2501"/>
    <cellStyle name="20% - Accent1 3 2 5 5" xfId="2502"/>
    <cellStyle name="20% - Accent1 3 2 6" xfId="2503"/>
    <cellStyle name="20% - Accent1 3 2 6 2" xfId="2504"/>
    <cellStyle name="20% - Accent1 3 2 6 2 2" xfId="2505"/>
    <cellStyle name="20% - Accent1 3 2 6 2 2 2" xfId="2506"/>
    <cellStyle name="20% - Accent1 3 2 6 2 2 2 2" xfId="2507"/>
    <cellStyle name="20% - Accent1 3 2 6 2 2 3" xfId="2508"/>
    <cellStyle name="20% - Accent1 3 2 6 2 3" xfId="2509"/>
    <cellStyle name="20% - Accent1 3 2 6 2 3 2" xfId="2510"/>
    <cellStyle name="20% - Accent1 3 2 6 2 4" xfId="2511"/>
    <cellStyle name="20% - Accent1 3 2 6 3" xfId="2512"/>
    <cellStyle name="20% - Accent1 3 2 6 3 2" xfId="2513"/>
    <cellStyle name="20% - Accent1 3 2 6 3 2 2" xfId="2514"/>
    <cellStyle name="20% - Accent1 3 2 6 3 3" xfId="2515"/>
    <cellStyle name="20% - Accent1 3 2 6 4" xfId="2516"/>
    <cellStyle name="20% - Accent1 3 2 6 4 2" xfId="2517"/>
    <cellStyle name="20% - Accent1 3 2 6 5" xfId="2518"/>
    <cellStyle name="20% - Accent1 3 2 7" xfId="2519"/>
    <cellStyle name="20% - Accent1 3 2 7 2" xfId="2520"/>
    <cellStyle name="20% - Accent1 3 2 7 2 2" xfId="2521"/>
    <cellStyle name="20% - Accent1 3 2 7 2 2 2" xfId="2522"/>
    <cellStyle name="20% - Accent1 3 2 7 2 3" xfId="2523"/>
    <cellStyle name="20% - Accent1 3 2 7 3" xfId="2524"/>
    <cellStyle name="20% - Accent1 3 2 7 3 2" xfId="2525"/>
    <cellStyle name="20% - Accent1 3 2 7 4" xfId="2526"/>
    <cellStyle name="20% - Accent1 3 2 8" xfId="2527"/>
    <cellStyle name="20% - Accent1 3 2 8 2" xfId="2528"/>
    <cellStyle name="20% - Accent1 3 2 8 2 2" xfId="2529"/>
    <cellStyle name="20% - Accent1 3 2 8 3" xfId="2530"/>
    <cellStyle name="20% - Accent1 3 2 9" xfId="2531"/>
    <cellStyle name="20% - Accent1 3 2 9 2" xfId="2532"/>
    <cellStyle name="20% - Accent1 3 3" xfId="2533"/>
    <cellStyle name="20% - Accent1 3 3 2" xfId="2534"/>
    <cellStyle name="20% - Accent1 3 3 2 2" xfId="2535"/>
    <cellStyle name="20% - Accent1 3 3 2 2 2" xfId="2536"/>
    <cellStyle name="20% - Accent1 3 3 2 2 2 2" xfId="2537"/>
    <cellStyle name="20% - Accent1 3 3 2 2 3" xfId="2538"/>
    <cellStyle name="20% - Accent1 3 3 2 3" xfId="2539"/>
    <cellStyle name="20% - Accent1 3 3 2 3 2" xfId="2540"/>
    <cellStyle name="20% - Accent1 3 3 2 4" xfId="2541"/>
    <cellStyle name="20% - Accent1 3 3 3" xfId="2542"/>
    <cellStyle name="20% - Accent1 3 3 3 2" xfId="2543"/>
    <cellStyle name="20% - Accent1 3 3 3 2 2" xfId="2544"/>
    <cellStyle name="20% - Accent1 3 3 3 3" xfId="2545"/>
    <cellStyle name="20% - Accent1 3 3 4" xfId="2546"/>
    <cellStyle name="20% - Accent1 3 3 4 2" xfId="2547"/>
    <cellStyle name="20% - Accent1 3 3 5" xfId="2548"/>
    <cellStyle name="20% - Accent1 3 4" xfId="2549"/>
    <cellStyle name="20% - Accent1 3 4 2" xfId="2550"/>
    <cellStyle name="20% - Accent1 3 4 2 2" xfId="2551"/>
    <cellStyle name="20% - Accent1 3 4 2 2 2" xfId="2552"/>
    <cellStyle name="20% - Accent1 3 4 2 2 2 2" xfId="2553"/>
    <cellStyle name="20% - Accent1 3 4 2 2 3" xfId="2554"/>
    <cellStyle name="20% - Accent1 3 4 2 3" xfId="2555"/>
    <cellStyle name="20% - Accent1 3 4 2 3 2" xfId="2556"/>
    <cellStyle name="20% - Accent1 3 4 2 4" xfId="2557"/>
    <cellStyle name="20% - Accent1 3 4 3" xfId="2558"/>
    <cellStyle name="20% - Accent1 3 4 3 2" xfId="2559"/>
    <cellStyle name="20% - Accent1 3 4 3 2 2" xfId="2560"/>
    <cellStyle name="20% - Accent1 3 4 3 3" xfId="2561"/>
    <cellStyle name="20% - Accent1 3 4 4" xfId="2562"/>
    <cellStyle name="20% - Accent1 3 4 4 2" xfId="2563"/>
    <cellStyle name="20% - Accent1 3 4 5" xfId="2564"/>
    <cellStyle name="20% - Accent1 3 5" xfId="2565"/>
    <cellStyle name="20% - Accent1 3 5 2" xfId="2566"/>
    <cellStyle name="20% - Accent1 3 5 2 2" xfId="2567"/>
    <cellStyle name="20% - Accent1 3 5 2 2 2" xfId="2568"/>
    <cellStyle name="20% - Accent1 3 5 2 2 2 2" xfId="2569"/>
    <cellStyle name="20% - Accent1 3 5 2 2 3" xfId="2570"/>
    <cellStyle name="20% - Accent1 3 5 2 3" xfId="2571"/>
    <cellStyle name="20% - Accent1 3 5 2 3 2" xfId="2572"/>
    <cellStyle name="20% - Accent1 3 5 2 4" xfId="2573"/>
    <cellStyle name="20% - Accent1 3 5 3" xfId="2574"/>
    <cellStyle name="20% - Accent1 3 5 3 2" xfId="2575"/>
    <cellStyle name="20% - Accent1 3 5 3 2 2" xfId="2576"/>
    <cellStyle name="20% - Accent1 3 5 3 3" xfId="2577"/>
    <cellStyle name="20% - Accent1 3 5 4" xfId="2578"/>
    <cellStyle name="20% - Accent1 3 5 4 2" xfId="2579"/>
    <cellStyle name="20% - Accent1 3 5 5" xfId="2580"/>
    <cellStyle name="20% - Accent1 3 6" xfId="2581"/>
    <cellStyle name="20% - Accent1 3 6 2" xfId="2582"/>
    <cellStyle name="20% - Accent1 3 6 2 2" xfId="2583"/>
    <cellStyle name="20% - Accent1 3 6 2 2 2" xfId="2584"/>
    <cellStyle name="20% - Accent1 3 6 2 2 2 2" xfId="2585"/>
    <cellStyle name="20% - Accent1 3 6 2 2 3" xfId="2586"/>
    <cellStyle name="20% - Accent1 3 6 2 3" xfId="2587"/>
    <cellStyle name="20% - Accent1 3 6 2 3 2" xfId="2588"/>
    <cellStyle name="20% - Accent1 3 6 2 4" xfId="2589"/>
    <cellStyle name="20% - Accent1 3 6 3" xfId="2590"/>
    <cellStyle name="20% - Accent1 3 6 3 2" xfId="2591"/>
    <cellStyle name="20% - Accent1 3 6 3 2 2" xfId="2592"/>
    <cellStyle name="20% - Accent1 3 6 3 3" xfId="2593"/>
    <cellStyle name="20% - Accent1 3 6 4" xfId="2594"/>
    <cellStyle name="20% - Accent1 3 6 4 2" xfId="2595"/>
    <cellStyle name="20% - Accent1 3 6 5" xfId="2596"/>
    <cellStyle name="20% - Accent1 3 7" xfId="2597"/>
    <cellStyle name="20% - Accent1 3 7 2" xfId="2598"/>
    <cellStyle name="20% - Accent1 3 7 2 2" xfId="2599"/>
    <cellStyle name="20% - Accent1 3 7 2 2 2" xfId="2600"/>
    <cellStyle name="20% - Accent1 3 7 2 2 2 2" xfId="2601"/>
    <cellStyle name="20% - Accent1 3 7 2 2 3" xfId="2602"/>
    <cellStyle name="20% - Accent1 3 7 2 3" xfId="2603"/>
    <cellStyle name="20% - Accent1 3 7 2 3 2" xfId="2604"/>
    <cellStyle name="20% - Accent1 3 7 2 4" xfId="2605"/>
    <cellStyle name="20% - Accent1 3 7 3" xfId="2606"/>
    <cellStyle name="20% - Accent1 3 7 3 2" xfId="2607"/>
    <cellStyle name="20% - Accent1 3 7 3 2 2" xfId="2608"/>
    <cellStyle name="20% - Accent1 3 7 3 3" xfId="2609"/>
    <cellStyle name="20% - Accent1 3 7 4" xfId="2610"/>
    <cellStyle name="20% - Accent1 3 7 4 2" xfId="2611"/>
    <cellStyle name="20% - Accent1 3 7 5" xfId="2612"/>
    <cellStyle name="20% - Accent1 3 8" xfId="2613"/>
    <cellStyle name="20% - Accent1 3 8 2" xfId="2614"/>
    <cellStyle name="20% - Accent1 3 8 2 2" xfId="2615"/>
    <cellStyle name="20% - Accent1 3 8 2 2 2" xfId="2616"/>
    <cellStyle name="20% - Accent1 3 8 2 3" xfId="2617"/>
    <cellStyle name="20% - Accent1 3 8 3" xfId="2618"/>
    <cellStyle name="20% - Accent1 3 8 3 2" xfId="2619"/>
    <cellStyle name="20% - Accent1 3 8 4" xfId="2620"/>
    <cellStyle name="20% - Accent1 3 9" xfId="2621"/>
    <cellStyle name="20% - Accent1 3 9 2" xfId="2622"/>
    <cellStyle name="20% - Accent1 3 9 2 2" xfId="2623"/>
    <cellStyle name="20% - Accent1 3 9 3" xfId="2624"/>
    <cellStyle name="20% - Accent1 4" xfId="2625"/>
    <cellStyle name="20% - Accent1 4 10" xfId="2626"/>
    <cellStyle name="20% - Accent1 4 10 2" xfId="2627"/>
    <cellStyle name="20% - Accent1 4 11" xfId="2628"/>
    <cellStyle name="20% - Accent1 4 2" xfId="2629"/>
    <cellStyle name="20% - Accent1 4 2 10" xfId="2630"/>
    <cellStyle name="20% - Accent1 4 2 2" xfId="2631"/>
    <cellStyle name="20% - Accent1 4 2 2 2" xfId="2632"/>
    <cellStyle name="20% - Accent1 4 2 2 2 2" xfId="2633"/>
    <cellStyle name="20% - Accent1 4 2 2 2 2 2" xfId="2634"/>
    <cellStyle name="20% - Accent1 4 2 2 2 2 2 2" xfId="2635"/>
    <cellStyle name="20% - Accent1 4 2 2 2 2 3" xfId="2636"/>
    <cellStyle name="20% - Accent1 4 2 2 2 3" xfId="2637"/>
    <cellStyle name="20% - Accent1 4 2 2 2 3 2" xfId="2638"/>
    <cellStyle name="20% - Accent1 4 2 2 2 4" xfId="2639"/>
    <cellStyle name="20% - Accent1 4 2 2 3" xfId="2640"/>
    <cellStyle name="20% - Accent1 4 2 2 3 2" xfId="2641"/>
    <cellStyle name="20% - Accent1 4 2 2 3 2 2" xfId="2642"/>
    <cellStyle name="20% - Accent1 4 2 2 3 3" xfId="2643"/>
    <cellStyle name="20% - Accent1 4 2 2 4" xfId="2644"/>
    <cellStyle name="20% - Accent1 4 2 2 4 2" xfId="2645"/>
    <cellStyle name="20% - Accent1 4 2 2 5" xfId="2646"/>
    <cellStyle name="20% - Accent1 4 2 3" xfId="2647"/>
    <cellStyle name="20% - Accent1 4 2 3 2" xfId="2648"/>
    <cellStyle name="20% - Accent1 4 2 3 2 2" xfId="2649"/>
    <cellStyle name="20% - Accent1 4 2 3 2 2 2" xfId="2650"/>
    <cellStyle name="20% - Accent1 4 2 3 2 2 2 2" xfId="2651"/>
    <cellStyle name="20% - Accent1 4 2 3 2 2 3" xfId="2652"/>
    <cellStyle name="20% - Accent1 4 2 3 2 3" xfId="2653"/>
    <cellStyle name="20% - Accent1 4 2 3 2 3 2" xfId="2654"/>
    <cellStyle name="20% - Accent1 4 2 3 2 4" xfId="2655"/>
    <cellStyle name="20% - Accent1 4 2 3 3" xfId="2656"/>
    <cellStyle name="20% - Accent1 4 2 3 3 2" xfId="2657"/>
    <cellStyle name="20% - Accent1 4 2 3 3 2 2" xfId="2658"/>
    <cellStyle name="20% - Accent1 4 2 3 3 3" xfId="2659"/>
    <cellStyle name="20% - Accent1 4 2 3 4" xfId="2660"/>
    <cellStyle name="20% - Accent1 4 2 3 4 2" xfId="2661"/>
    <cellStyle name="20% - Accent1 4 2 3 5" xfId="2662"/>
    <cellStyle name="20% - Accent1 4 2 4" xfId="2663"/>
    <cellStyle name="20% - Accent1 4 2 4 2" xfId="2664"/>
    <cellStyle name="20% - Accent1 4 2 4 2 2" xfId="2665"/>
    <cellStyle name="20% - Accent1 4 2 4 2 2 2" xfId="2666"/>
    <cellStyle name="20% - Accent1 4 2 4 2 2 2 2" xfId="2667"/>
    <cellStyle name="20% - Accent1 4 2 4 2 2 3" xfId="2668"/>
    <cellStyle name="20% - Accent1 4 2 4 2 3" xfId="2669"/>
    <cellStyle name="20% - Accent1 4 2 4 2 3 2" xfId="2670"/>
    <cellStyle name="20% - Accent1 4 2 4 2 4" xfId="2671"/>
    <cellStyle name="20% - Accent1 4 2 4 3" xfId="2672"/>
    <cellStyle name="20% - Accent1 4 2 4 3 2" xfId="2673"/>
    <cellStyle name="20% - Accent1 4 2 4 3 2 2" xfId="2674"/>
    <cellStyle name="20% - Accent1 4 2 4 3 3" xfId="2675"/>
    <cellStyle name="20% - Accent1 4 2 4 4" xfId="2676"/>
    <cellStyle name="20% - Accent1 4 2 4 4 2" xfId="2677"/>
    <cellStyle name="20% - Accent1 4 2 4 5" xfId="2678"/>
    <cellStyle name="20% - Accent1 4 2 5" xfId="2679"/>
    <cellStyle name="20% - Accent1 4 2 5 2" xfId="2680"/>
    <cellStyle name="20% - Accent1 4 2 5 2 2" xfId="2681"/>
    <cellStyle name="20% - Accent1 4 2 5 2 2 2" xfId="2682"/>
    <cellStyle name="20% - Accent1 4 2 5 2 2 2 2" xfId="2683"/>
    <cellStyle name="20% - Accent1 4 2 5 2 2 3" xfId="2684"/>
    <cellStyle name="20% - Accent1 4 2 5 2 3" xfId="2685"/>
    <cellStyle name="20% - Accent1 4 2 5 2 3 2" xfId="2686"/>
    <cellStyle name="20% - Accent1 4 2 5 2 4" xfId="2687"/>
    <cellStyle name="20% - Accent1 4 2 5 3" xfId="2688"/>
    <cellStyle name="20% - Accent1 4 2 5 3 2" xfId="2689"/>
    <cellStyle name="20% - Accent1 4 2 5 3 2 2" xfId="2690"/>
    <cellStyle name="20% - Accent1 4 2 5 3 3" xfId="2691"/>
    <cellStyle name="20% - Accent1 4 2 5 4" xfId="2692"/>
    <cellStyle name="20% - Accent1 4 2 5 4 2" xfId="2693"/>
    <cellStyle name="20% - Accent1 4 2 5 5" xfId="2694"/>
    <cellStyle name="20% - Accent1 4 2 6" xfId="2695"/>
    <cellStyle name="20% - Accent1 4 2 6 2" xfId="2696"/>
    <cellStyle name="20% - Accent1 4 2 6 2 2" xfId="2697"/>
    <cellStyle name="20% - Accent1 4 2 6 2 2 2" xfId="2698"/>
    <cellStyle name="20% - Accent1 4 2 6 2 2 2 2" xfId="2699"/>
    <cellStyle name="20% - Accent1 4 2 6 2 2 3" xfId="2700"/>
    <cellStyle name="20% - Accent1 4 2 6 2 3" xfId="2701"/>
    <cellStyle name="20% - Accent1 4 2 6 2 3 2" xfId="2702"/>
    <cellStyle name="20% - Accent1 4 2 6 2 4" xfId="2703"/>
    <cellStyle name="20% - Accent1 4 2 6 3" xfId="2704"/>
    <cellStyle name="20% - Accent1 4 2 6 3 2" xfId="2705"/>
    <cellStyle name="20% - Accent1 4 2 6 3 2 2" xfId="2706"/>
    <cellStyle name="20% - Accent1 4 2 6 3 3" xfId="2707"/>
    <cellStyle name="20% - Accent1 4 2 6 4" xfId="2708"/>
    <cellStyle name="20% - Accent1 4 2 6 4 2" xfId="2709"/>
    <cellStyle name="20% - Accent1 4 2 6 5" xfId="2710"/>
    <cellStyle name="20% - Accent1 4 2 7" xfId="2711"/>
    <cellStyle name="20% - Accent1 4 2 7 2" xfId="2712"/>
    <cellStyle name="20% - Accent1 4 2 7 2 2" xfId="2713"/>
    <cellStyle name="20% - Accent1 4 2 7 2 2 2" xfId="2714"/>
    <cellStyle name="20% - Accent1 4 2 7 2 3" xfId="2715"/>
    <cellStyle name="20% - Accent1 4 2 7 3" xfId="2716"/>
    <cellStyle name="20% - Accent1 4 2 7 3 2" xfId="2717"/>
    <cellStyle name="20% - Accent1 4 2 7 4" xfId="2718"/>
    <cellStyle name="20% - Accent1 4 2 8" xfId="2719"/>
    <cellStyle name="20% - Accent1 4 2 8 2" xfId="2720"/>
    <cellStyle name="20% - Accent1 4 2 8 2 2" xfId="2721"/>
    <cellStyle name="20% - Accent1 4 2 8 3" xfId="2722"/>
    <cellStyle name="20% - Accent1 4 2 9" xfId="2723"/>
    <cellStyle name="20% - Accent1 4 2 9 2" xfId="2724"/>
    <cellStyle name="20% - Accent1 4 3" xfId="2725"/>
    <cellStyle name="20% - Accent1 4 3 2" xfId="2726"/>
    <cellStyle name="20% - Accent1 4 3 2 2" xfId="2727"/>
    <cellStyle name="20% - Accent1 4 3 2 2 2" xfId="2728"/>
    <cellStyle name="20% - Accent1 4 3 2 2 2 2" xfId="2729"/>
    <cellStyle name="20% - Accent1 4 3 2 2 3" xfId="2730"/>
    <cellStyle name="20% - Accent1 4 3 2 3" xfId="2731"/>
    <cellStyle name="20% - Accent1 4 3 2 3 2" xfId="2732"/>
    <cellStyle name="20% - Accent1 4 3 2 4" xfId="2733"/>
    <cellStyle name="20% - Accent1 4 3 3" xfId="2734"/>
    <cellStyle name="20% - Accent1 4 3 3 2" xfId="2735"/>
    <cellStyle name="20% - Accent1 4 3 3 2 2" xfId="2736"/>
    <cellStyle name="20% - Accent1 4 3 3 3" xfId="2737"/>
    <cellStyle name="20% - Accent1 4 3 4" xfId="2738"/>
    <cellStyle name="20% - Accent1 4 3 4 2" xfId="2739"/>
    <cellStyle name="20% - Accent1 4 3 5" xfId="2740"/>
    <cellStyle name="20% - Accent1 4 4" xfId="2741"/>
    <cellStyle name="20% - Accent1 4 4 2" xfId="2742"/>
    <cellStyle name="20% - Accent1 4 4 2 2" xfId="2743"/>
    <cellStyle name="20% - Accent1 4 4 2 2 2" xfId="2744"/>
    <cellStyle name="20% - Accent1 4 4 2 2 2 2" xfId="2745"/>
    <cellStyle name="20% - Accent1 4 4 2 2 3" xfId="2746"/>
    <cellStyle name="20% - Accent1 4 4 2 3" xfId="2747"/>
    <cellStyle name="20% - Accent1 4 4 2 3 2" xfId="2748"/>
    <cellStyle name="20% - Accent1 4 4 2 4" xfId="2749"/>
    <cellStyle name="20% - Accent1 4 4 3" xfId="2750"/>
    <cellStyle name="20% - Accent1 4 4 3 2" xfId="2751"/>
    <cellStyle name="20% - Accent1 4 4 3 2 2" xfId="2752"/>
    <cellStyle name="20% - Accent1 4 4 3 3" xfId="2753"/>
    <cellStyle name="20% - Accent1 4 4 4" xfId="2754"/>
    <cellStyle name="20% - Accent1 4 4 4 2" xfId="2755"/>
    <cellStyle name="20% - Accent1 4 4 5" xfId="2756"/>
    <cellStyle name="20% - Accent1 4 5" xfId="2757"/>
    <cellStyle name="20% - Accent1 4 5 2" xfId="2758"/>
    <cellStyle name="20% - Accent1 4 5 2 2" xfId="2759"/>
    <cellStyle name="20% - Accent1 4 5 2 2 2" xfId="2760"/>
    <cellStyle name="20% - Accent1 4 5 2 2 2 2" xfId="2761"/>
    <cellStyle name="20% - Accent1 4 5 2 2 3" xfId="2762"/>
    <cellStyle name="20% - Accent1 4 5 2 3" xfId="2763"/>
    <cellStyle name="20% - Accent1 4 5 2 3 2" xfId="2764"/>
    <cellStyle name="20% - Accent1 4 5 2 4" xfId="2765"/>
    <cellStyle name="20% - Accent1 4 5 3" xfId="2766"/>
    <cellStyle name="20% - Accent1 4 5 3 2" xfId="2767"/>
    <cellStyle name="20% - Accent1 4 5 3 2 2" xfId="2768"/>
    <cellStyle name="20% - Accent1 4 5 3 3" xfId="2769"/>
    <cellStyle name="20% - Accent1 4 5 4" xfId="2770"/>
    <cellStyle name="20% - Accent1 4 5 4 2" xfId="2771"/>
    <cellStyle name="20% - Accent1 4 5 5" xfId="2772"/>
    <cellStyle name="20% - Accent1 4 6" xfId="2773"/>
    <cellStyle name="20% - Accent1 4 6 2" xfId="2774"/>
    <cellStyle name="20% - Accent1 4 6 2 2" xfId="2775"/>
    <cellStyle name="20% - Accent1 4 6 2 2 2" xfId="2776"/>
    <cellStyle name="20% - Accent1 4 6 2 2 2 2" xfId="2777"/>
    <cellStyle name="20% - Accent1 4 6 2 2 3" xfId="2778"/>
    <cellStyle name="20% - Accent1 4 6 2 3" xfId="2779"/>
    <cellStyle name="20% - Accent1 4 6 2 3 2" xfId="2780"/>
    <cellStyle name="20% - Accent1 4 6 2 4" xfId="2781"/>
    <cellStyle name="20% - Accent1 4 6 3" xfId="2782"/>
    <cellStyle name="20% - Accent1 4 6 3 2" xfId="2783"/>
    <cellStyle name="20% - Accent1 4 6 3 2 2" xfId="2784"/>
    <cellStyle name="20% - Accent1 4 6 3 3" xfId="2785"/>
    <cellStyle name="20% - Accent1 4 6 4" xfId="2786"/>
    <cellStyle name="20% - Accent1 4 6 4 2" xfId="2787"/>
    <cellStyle name="20% - Accent1 4 6 5" xfId="2788"/>
    <cellStyle name="20% - Accent1 4 7" xfId="2789"/>
    <cellStyle name="20% - Accent1 4 7 2" xfId="2790"/>
    <cellStyle name="20% - Accent1 4 7 2 2" xfId="2791"/>
    <cellStyle name="20% - Accent1 4 7 2 2 2" xfId="2792"/>
    <cellStyle name="20% - Accent1 4 7 2 2 2 2" xfId="2793"/>
    <cellStyle name="20% - Accent1 4 7 2 2 3" xfId="2794"/>
    <cellStyle name="20% - Accent1 4 7 2 3" xfId="2795"/>
    <cellStyle name="20% - Accent1 4 7 2 3 2" xfId="2796"/>
    <cellStyle name="20% - Accent1 4 7 2 4" xfId="2797"/>
    <cellStyle name="20% - Accent1 4 7 3" xfId="2798"/>
    <cellStyle name="20% - Accent1 4 7 3 2" xfId="2799"/>
    <cellStyle name="20% - Accent1 4 7 3 2 2" xfId="2800"/>
    <cellStyle name="20% - Accent1 4 7 3 3" xfId="2801"/>
    <cellStyle name="20% - Accent1 4 7 4" xfId="2802"/>
    <cellStyle name="20% - Accent1 4 7 4 2" xfId="2803"/>
    <cellStyle name="20% - Accent1 4 7 5" xfId="2804"/>
    <cellStyle name="20% - Accent1 4 8" xfId="2805"/>
    <cellStyle name="20% - Accent1 4 8 2" xfId="2806"/>
    <cellStyle name="20% - Accent1 4 8 2 2" xfId="2807"/>
    <cellStyle name="20% - Accent1 4 8 2 2 2" xfId="2808"/>
    <cellStyle name="20% - Accent1 4 8 2 3" xfId="2809"/>
    <cellStyle name="20% - Accent1 4 8 3" xfId="2810"/>
    <cellStyle name="20% - Accent1 4 8 3 2" xfId="2811"/>
    <cellStyle name="20% - Accent1 4 8 4" xfId="2812"/>
    <cellStyle name="20% - Accent1 4 9" xfId="2813"/>
    <cellStyle name="20% - Accent1 4 9 2" xfId="2814"/>
    <cellStyle name="20% - Accent1 4 9 2 2" xfId="2815"/>
    <cellStyle name="20% - Accent1 4 9 3" xfId="2816"/>
    <cellStyle name="20% - Accent1 5" xfId="2817"/>
    <cellStyle name="20% - Accent1 5 10" xfId="2818"/>
    <cellStyle name="20% - Accent1 5 10 2" xfId="2819"/>
    <cellStyle name="20% - Accent1 5 11" xfId="2820"/>
    <cellStyle name="20% - Accent1 5 2" xfId="2821"/>
    <cellStyle name="20% - Accent1 5 2 10" xfId="2822"/>
    <cellStyle name="20% - Accent1 5 2 2" xfId="2823"/>
    <cellStyle name="20% - Accent1 5 2 2 2" xfId="2824"/>
    <cellStyle name="20% - Accent1 5 2 2 2 2" xfId="2825"/>
    <cellStyle name="20% - Accent1 5 2 2 2 2 2" xfId="2826"/>
    <cellStyle name="20% - Accent1 5 2 2 2 2 2 2" xfId="2827"/>
    <cellStyle name="20% - Accent1 5 2 2 2 2 3" xfId="2828"/>
    <cellStyle name="20% - Accent1 5 2 2 2 3" xfId="2829"/>
    <cellStyle name="20% - Accent1 5 2 2 2 3 2" xfId="2830"/>
    <cellStyle name="20% - Accent1 5 2 2 2 4" xfId="2831"/>
    <cellStyle name="20% - Accent1 5 2 2 3" xfId="2832"/>
    <cellStyle name="20% - Accent1 5 2 2 3 2" xfId="2833"/>
    <cellStyle name="20% - Accent1 5 2 2 3 2 2" xfId="2834"/>
    <cellStyle name="20% - Accent1 5 2 2 3 3" xfId="2835"/>
    <cellStyle name="20% - Accent1 5 2 2 4" xfId="2836"/>
    <cellStyle name="20% - Accent1 5 2 2 4 2" xfId="2837"/>
    <cellStyle name="20% - Accent1 5 2 2 5" xfId="2838"/>
    <cellStyle name="20% - Accent1 5 2 3" xfId="2839"/>
    <cellStyle name="20% - Accent1 5 2 3 2" xfId="2840"/>
    <cellStyle name="20% - Accent1 5 2 3 2 2" xfId="2841"/>
    <cellStyle name="20% - Accent1 5 2 3 2 2 2" xfId="2842"/>
    <cellStyle name="20% - Accent1 5 2 3 2 2 2 2" xfId="2843"/>
    <cellStyle name="20% - Accent1 5 2 3 2 2 3" xfId="2844"/>
    <cellStyle name="20% - Accent1 5 2 3 2 3" xfId="2845"/>
    <cellStyle name="20% - Accent1 5 2 3 2 3 2" xfId="2846"/>
    <cellStyle name="20% - Accent1 5 2 3 2 4" xfId="2847"/>
    <cellStyle name="20% - Accent1 5 2 3 3" xfId="2848"/>
    <cellStyle name="20% - Accent1 5 2 3 3 2" xfId="2849"/>
    <cellStyle name="20% - Accent1 5 2 3 3 2 2" xfId="2850"/>
    <cellStyle name="20% - Accent1 5 2 3 3 3" xfId="2851"/>
    <cellStyle name="20% - Accent1 5 2 3 4" xfId="2852"/>
    <cellStyle name="20% - Accent1 5 2 3 4 2" xfId="2853"/>
    <cellStyle name="20% - Accent1 5 2 3 5" xfId="2854"/>
    <cellStyle name="20% - Accent1 5 2 4" xfId="2855"/>
    <cellStyle name="20% - Accent1 5 2 4 2" xfId="2856"/>
    <cellStyle name="20% - Accent1 5 2 4 2 2" xfId="2857"/>
    <cellStyle name="20% - Accent1 5 2 4 2 2 2" xfId="2858"/>
    <cellStyle name="20% - Accent1 5 2 4 2 2 2 2" xfId="2859"/>
    <cellStyle name="20% - Accent1 5 2 4 2 2 3" xfId="2860"/>
    <cellStyle name="20% - Accent1 5 2 4 2 3" xfId="2861"/>
    <cellStyle name="20% - Accent1 5 2 4 2 3 2" xfId="2862"/>
    <cellStyle name="20% - Accent1 5 2 4 2 4" xfId="2863"/>
    <cellStyle name="20% - Accent1 5 2 4 3" xfId="2864"/>
    <cellStyle name="20% - Accent1 5 2 4 3 2" xfId="2865"/>
    <cellStyle name="20% - Accent1 5 2 4 3 2 2" xfId="2866"/>
    <cellStyle name="20% - Accent1 5 2 4 3 3" xfId="2867"/>
    <cellStyle name="20% - Accent1 5 2 4 4" xfId="2868"/>
    <cellStyle name="20% - Accent1 5 2 4 4 2" xfId="2869"/>
    <cellStyle name="20% - Accent1 5 2 4 5" xfId="2870"/>
    <cellStyle name="20% - Accent1 5 2 5" xfId="2871"/>
    <cellStyle name="20% - Accent1 5 2 5 2" xfId="2872"/>
    <cellStyle name="20% - Accent1 5 2 5 2 2" xfId="2873"/>
    <cellStyle name="20% - Accent1 5 2 5 2 2 2" xfId="2874"/>
    <cellStyle name="20% - Accent1 5 2 5 2 2 2 2" xfId="2875"/>
    <cellStyle name="20% - Accent1 5 2 5 2 2 3" xfId="2876"/>
    <cellStyle name="20% - Accent1 5 2 5 2 3" xfId="2877"/>
    <cellStyle name="20% - Accent1 5 2 5 2 3 2" xfId="2878"/>
    <cellStyle name="20% - Accent1 5 2 5 2 4" xfId="2879"/>
    <cellStyle name="20% - Accent1 5 2 5 3" xfId="2880"/>
    <cellStyle name="20% - Accent1 5 2 5 3 2" xfId="2881"/>
    <cellStyle name="20% - Accent1 5 2 5 3 2 2" xfId="2882"/>
    <cellStyle name="20% - Accent1 5 2 5 3 3" xfId="2883"/>
    <cellStyle name="20% - Accent1 5 2 5 4" xfId="2884"/>
    <cellStyle name="20% - Accent1 5 2 5 4 2" xfId="2885"/>
    <cellStyle name="20% - Accent1 5 2 5 5" xfId="2886"/>
    <cellStyle name="20% - Accent1 5 2 6" xfId="2887"/>
    <cellStyle name="20% - Accent1 5 2 6 2" xfId="2888"/>
    <cellStyle name="20% - Accent1 5 2 6 2 2" xfId="2889"/>
    <cellStyle name="20% - Accent1 5 2 6 2 2 2" xfId="2890"/>
    <cellStyle name="20% - Accent1 5 2 6 2 2 2 2" xfId="2891"/>
    <cellStyle name="20% - Accent1 5 2 6 2 2 3" xfId="2892"/>
    <cellStyle name="20% - Accent1 5 2 6 2 3" xfId="2893"/>
    <cellStyle name="20% - Accent1 5 2 6 2 3 2" xfId="2894"/>
    <cellStyle name="20% - Accent1 5 2 6 2 4" xfId="2895"/>
    <cellStyle name="20% - Accent1 5 2 6 3" xfId="2896"/>
    <cellStyle name="20% - Accent1 5 2 6 3 2" xfId="2897"/>
    <cellStyle name="20% - Accent1 5 2 6 3 2 2" xfId="2898"/>
    <cellStyle name="20% - Accent1 5 2 6 3 3" xfId="2899"/>
    <cellStyle name="20% - Accent1 5 2 6 4" xfId="2900"/>
    <cellStyle name="20% - Accent1 5 2 6 4 2" xfId="2901"/>
    <cellStyle name="20% - Accent1 5 2 6 5" xfId="2902"/>
    <cellStyle name="20% - Accent1 5 2 7" xfId="2903"/>
    <cellStyle name="20% - Accent1 5 2 7 2" xfId="2904"/>
    <cellStyle name="20% - Accent1 5 2 7 2 2" xfId="2905"/>
    <cellStyle name="20% - Accent1 5 2 7 2 2 2" xfId="2906"/>
    <cellStyle name="20% - Accent1 5 2 7 2 3" xfId="2907"/>
    <cellStyle name="20% - Accent1 5 2 7 3" xfId="2908"/>
    <cellStyle name="20% - Accent1 5 2 7 3 2" xfId="2909"/>
    <cellStyle name="20% - Accent1 5 2 7 4" xfId="2910"/>
    <cellStyle name="20% - Accent1 5 2 8" xfId="2911"/>
    <cellStyle name="20% - Accent1 5 2 8 2" xfId="2912"/>
    <cellStyle name="20% - Accent1 5 2 8 2 2" xfId="2913"/>
    <cellStyle name="20% - Accent1 5 2 8 3" xfId="2914"/>
    <cellStyle name="20% - Accent1 5 2 9" xfId="2915"/>
    <cellStyle name="20% - Accent1 5 2 9 2" xfId="2916"/>
    <cellStyle name="20% - Accent1 5 3" xfId="2917"/>
    <cellStyle name="20% - Accent1 5 3 2" xfId="2918"/>
    <cellStyle name="20% - Accent1 5 3 2 2" xfId="2919"/>
    <cellStyle name="20% - Accent1 5 3 2 2 2" xfId="2920"/>
    <cellStyle name="20% - Accent1 5 3 2 2 2 2" xfId="2921"/>
    <cellStyle name="20% - Accent1 5 3 2 2 3" xfId="2922"/>
    <cellStyle name="20% - Accent1 5 3 2 3" xfId="2923"/>
    <cellStyle name="20% - Accent1 5 3 2 3 2" xfId="2924"/>
    <cellStyle name="20% - Accent1 5 3 2 4" xfId="2925"/>
    <cellStyle name="20% - Accent1 5 3 3" xfId="2926"/>
    <cellStyle name="20% - Accent1 5 3 3 2" xfId="2927"/>
    <cellStyle name="20% - Accent1 5 3 3 2 2" xfId="2928"/>
    <cellStyle name="20% - Accent1 5 3 3 3" xfId="2929"/>
    <cellStyle name="20% - Accent1 5 3 4" xfId="2930"/>
    <cellStyle name="20% - Accent1 5 3 4 2" xfId="2931"/>
    <cellStyle name="20% - Accent1 5 3 5" xfId="2932"/>
    <cellStyle name="20% - Accent1 5 4" xfId="2933"/>
    <cellStyle name="20% - Accent1 5 4 2" xfId="2934"/>
    <cellStyle name="20% - Accent1 5 4 2 2" xfId="2935"/>
    <cellStyle name="20% - Accent1 5 4 2 2 2" xfId="2936"/>
    <cellStyle name="20% - Accent1 5 4 2 2 2 2" xfId="2937"/>
    <cellStyle name="20% - Accent1 5 4 2 2 3" xfId="2938"/>
    <cellStyle name="20% - Accent1 5 4 2 3" xfId="2939"/>
    <cellStyle name="20% - Accent1 5 4 2 3 2" xfId="2940"/>
    <cellStyle name="20% - Accent1 5 4 2 4" xfId="2941"/>
    <cellStyle name="20% - Accent1 5 4 3" xfId="2942"/>
    <cellStyle name="20% - Accent1 5 4 3 2" xfId="2943"/>
    <cellStyle name="20% - Accent1 5 4 3 2 2" xfId="2944"/>
    <cellStyle name="20% - Accent1 5 4 3 3" xfId="2945"/>
    <cellStyle name="20% - Accent1 5 4 4" xfId="2946"/>
    <cellStyle name="20% - Accent1 5 4 4 2" xfId="2947"/>
    <cellStyle name="20% - Accent1 5 4 5" xfId="2948"/>
    <cellStyle name="20% - Accent1 5 5" xfId="2949"/>
    <cellStyle name="20% - Accent1 5 5 2" xfId="2950"/>
    <cellStyle name="20% - Accent1 5 5 2 2" xfId="2951"/>
    <cellStyle name="20% - Accent1 5 5 2 2 2" xfId="2952"/>
    <cellStyle name="20% - Accent1 5 5 2 2 2 2" xfId="2953"/>
    <cellStyle name="20% - Accent1 5 5 2 2 3" xfId="2954"/>
    <cellStyle name="20% - Accent1 5 5 2 3" xfId="2955"/>
    <cellStyle name="20% - Accent1 5 5 2 3 2" xfId="2956"/>
    <cellStyle name="20% - Accent1 5 5 2 4" xfId="2957"/>
    <cellStyle name="20% - Accent1 5 5 3" xfId="2958"/>
    <cellStyle name="20% - Accent1 5 5 3 2" xfId="2959"/>
    <cellStyle name="20% - Accent1 5 5 3 2 2" xfId="2960"/>
    <cellStyle name="20% - Accent1 5 5 3 3" xfId="2961"/>
    <cellStyle name="20% - Accent1 5 5 4" xfId="2962"/>
    <cellStyle name="20% - Accent1 5 5 4 2" xfId="2963"/>
    <cellStyle name="20% - Accent1 5 5 5" xfId="2964"/>
    <cellStyle name="20% - Accent1 5 6" xfId="2965"/>
    <cellStyle name="20% - Accent1 5 6 2" xfId="2966"/>
    <cellStyle name="20% - Accent1 5 6 2 2" xfId="2967"/>
    <cellStyle name="20% - Accent1 5 6 2 2 2" xfId="2968"/>
    <cellStyle name="20% - Accent1 5 6 2 2 2 2" xfId="2969"/>
    <cellStyle name="20% - Accent1 5 6 2 2 3" xfId="2970"/>
    <cellStyle name="20% - Accent1 5 6 2 3" xfId="2971"/>
    <cellStyle name="20% - Accent1 5 6 2 3 2" xfId="2972"/>
    <cellStyle name="20% - Accent1 5 6 2 4" xfId="2973"/>
    <cellStyle name="20% - Accent1 5 6 3" xfId="2974"/>
    <cellStyle name="20% - Accent1 5 6 3 2" xfId="2975"/>
    <cellStyle name="20% - Accent1 5 6 3 2 2" xfId="2976"/>
    <cellStyle name="20% - Accent1 5 6 3 3" xfId="2977"/>
    <cellStyle name="20% - Accent1 5 6 4" xfId="2978"/>
    <cellStyle name="20% - Accent1 5 6 4 2" xfId="2979"/>
    <cellStyle name="20% - Accent1 5 6 5" xfId="2980"/>
    <cellStyle name="20% - Accent1 5 7" xfId="2981"/>
    <cellStyle name="20% - Accent1 5 7 2" xfId="2982"/>
    <cellStyle name="20% - Accent1 5 7 2 2" xfId="2983"/>
    <cellStyle name="20% - Accent1 5 7 2 2 2" xfId="2984"/>
    <cellStyle name="20% - Accent1 5 7 2 2 2 2" xfId="2985"/>
    <cellStyle name="20% - Accent1 5 7 2 2 3" xfId="2986"/>
    <cellStyle name="20% - Accent1 5 7 2 3" xfId="2987"/>
    <cellStyle name="20% - Accent1 5 7 2 3 2" xfId="2988"/>
    <cellStyle name="20% - Accent1 5 7 2 4" xfId="2989"/>
    <cellStyle name="20% - Accent1 5 7 3" xfId="2990"/>
    <cellStyle name="20% - Accent1 5 7 3 2" xfId="2991"/>
    <cellStyle name="20% - Accent1 5 7 3 2 2" xfId="2992"/>
    <cellStyle name="20% - Accent1 5 7 3 3" xfId="2993"/>
    <cellStyle name="20% - Accent1 5 7 4" xfId="2994"/>
    <cellStyle name="20% - Accent1 5 7 4 2" xfId="2995"/>
    <cellStyle name="20% - Accent1 5 7 5" xfId="2996"/>
    <cellStyle name="20% - Accent1 5 8" xfId="2997"/>
    <cellStyle name="20% - Accent1 5 8 2" xfId="2998"/>
    <cellStyle name="20% - Accent1 5 8 2 2" xfId="2999"/>
    <cellStyle name="20% - Accent1 5 8 2 2 2" xfId="3000"/>
    <cellStyle name="20% - Accent1 5 8 2 3" xfId="3001"/>
    <cellStyle name="20% - Accent1 5 8 3" xfId="3002"/>
    <cellStyle name="20% - Accent1 5 8 3 2" xfId="3003"/>
    <cellStyle name="20% - Accent1 5 8 4" xfId="3004"/>
    <cellStyle name="20% - Accent1 5 9" xfId="3005"/>
    <cellStyle name="20% - Accent1 5 9 2" xfId="3006"/>
    <cellStyle name="20% - Accent1 5 9 2 2" xfId="3007"/>
    <cellStyle name="20% - Accent1 5 9 3" xfId="3008"/>
    <cellStyle name="20% - Accent1 6" xfId="3009"/>
    <cellStyle name="20% - Accent1 6 10" xfId="3010"/>
    <cellStyle name="20% - Accent1 6 10 2" xfId="3011"/>
    <cellStyle name="20% - Accent1 6 11" xfId="3012"/>
    <cellStyle name="20% - Accent1 6 2" xfId="3013"/>
    <cellStyle name="20% - Accent1 6 2 10" xfId="3014"/>
    <cellStyle name="20% - Accent1 6 2 2" xfId="3015"/>
    <cellStyle name="20% - Accent1 6 2 2 2" xfId="3016"/>
    <cellStyle name="20% - Accent1 6 2 2 2 2" xfId="3017"/>
    <cellStyle name="20% - Accent1 6 2 2 2 2 2" xfId="3018"/>
    <cellStyle name="20% - Accent1 6 2 2 2 2 2 2" xfId="3019"/>
    <cellStyle name="20% - Accent1 6 2 2 2 2 3" xfId="3020"/>
    <cellStyle name="20% - Accent1 6 2 2 2 3" xfId="3021"/>
    <cellStyle name="20% - Accent1 6 2 2 2 3 2" xfId="3022"/>
    <cellStyle name="20% - Accent1 6 2 2 2 4" xfId="3023"/>
    <cellStyle name="20% - Accent1 6 2 2 3" xfId="3024"/>
    <cellStyle name="20% - Accent1 6 2 2 3 2" xfId="3025"/>
    <cellStyle name="20% - Accent1 6 2 2 3 2 2" xfId="3026"/>
    <cellStyle name="20% - Accent1 6 2 2 3 3" xfId="3027"/>
    <cellStyle name="20% - Accent1 6 2 2 4" xfId="3028"/>
    <cellStyle name="20% - Accent1 6 2 2 4 2" xfId="3029"/>
    <cellStyle name="20% - Accent1 6 2 2 5" xfId="3030"/>
    <cellStyle name="20% - Accent1 6 2 3" xfId="3031"/>
    <cellStyle name="20% - Accent1 6 2 3 2" xfId="3032"/>
    <cellStyle name="20% - Accent1 6 2 3 2 2" xfId="3033"/>
    <cellStyle name="20% - Accent1 6 2 3 2 2 2" xfId="3034"/>
    <cellStyle name="20% - Accent1 6 2 3 2 2 2 2" xfId="3035"/>
    <cellStyle name="20% - Accent1 6 2 3 2 2 3" xfId="3036"/>
    <cellStyle name="20% - Accent1 6 2 3 2 3" xfId="3037"/>
    <cellStyle name="20% - Accent1 6 2 3 2 3 2" xfId="3038"/>
    <cellStyle name="20% - Accent1 6 2 3 2 4" xfId="3039"/>
    <cellStyle name="20% - Accent1 6 2 3 3" xfId="3040"/>
    <cellStyle name="20% - Accent1 6 2 3 3 2" xfId="3041"/>
    <cellStyle name="20% - Accent1 6 2 3 3 2 2" xfId="3042"/>
    <cellStyle name="20% - Accent1 6 2 3 3 3" xfId="3043"/>
    <cellStyle name="20% - Accent1 6 2 3 4" xfId="3044"/>
    <cellStyle name="20% - Accent1 6 2 3 4 2" xfId="3045"/>
    <cellStyle name="20% - Accent1 6 2 3 5" xfId="3046"/>
    <cellStyle name="20% - Accent1 6 2 4" xfId="3047"/>
    <cellStyle name="20% - Accent1 6 2 4 2" xfId="3048"/>
    <cellStyle name="20% - Accent1 6 2 4 2 2" xfId="3049"/>
    <cellStyle name="20% - Accent1 6 2 4 2 2 2" xfId="3050"/>
    <cellStyle name="20% - Accent1 6 2 4 2 2 2 2" xfId="3051"/>
    <cellStyle name="20% - Accent1 6 2 4 2 2 3" xfId="3052"/>
    <cellStyle name="20% - Accent1 6 2 4 2 3" xfId="3053"/>
    <cellStyle name="20% - Accent1 6 2 4 2 3 2" xfId="3054"/>
    <cellStyle name="20% - Accent1 6 2 4 2 4" xfId="3055"/>
    <cellStyle name="20% - Accent1 6 2 4 3" xfId="3056"/>
    <cellStyle name="20% - Accent1 6 2 4 3 2" xfId="3057"/>
    <cellStyle name="20% - Accent1 6 2 4 3 2 2" xfId="3058"/>
    <cellStyle name="20% - Accent1 6 2 4 3 3" xfId="3059"/>
    <cellStyle name="20% - Accent1 6 2 4 4" xfId="3060"/>
    <cellStyle name="20% - Accent1 6 2 4 4 2" xfId="3061"/>
    <cellStyle name="20% - Accent1 6 2 4 5" xfId="3062"/>
    <cellStyle name="20% - Accent1 6 2 5" xfId="3063"/>
    <cellStyle name="20% - Accent1 6 2 5 2" xfId="3064"/>
    <cellStyle name="20% - Accent1 6 2 5 2 2" xfId="3065"/>
    <cellStyle name="20% - Accent1 6 2 5 2 2 2" xfId="3066"/>
    <cellStyle name="20% - Accent1 6 2 5 2 2 2 2" xfId="3067"/>
    <cellStyle name="20% - Accent1 6 2 5 2 2 3" xfId="3068"/>
    <cellStyle name="20% - Accent1 6 2 5 2 3" xfId="3069"/>
    <cellStyle name="20% - Accent1 6 2 5 2 3 2" xfId="3070"/>
    <cellStyle name="20% - Accent1 6 2 5 2 4" xfId="3071"/>
    <cellStyle name="20% - Accent1 6 2 5 3" xfId="3072"/>
    <cellStyle name="20% - Accent1 6 2 5 3 2" xfId="3073"/>
    <cellStyle name="20% - Accent1 6 2 5 3 2 2" xfId="3074"/>
    <cellStyle name="20% - Accent1 6 2 5 3 3" xfId="3075"/>
    <cellStyle name="20% - Accent1 6 2 5 4" xfId="3076"/>
    <cellStyle name="20% - Accent1 6 2 5 4 2" xfId="3077"/>
    <cellStyle name="20% - Accent1 6 2 5 5" xfId="3078"/>
    <cellStyle name="20% - Accent1 6 2 6" xfId="3079"/>
    <cellStyle name="20% - Accent1 6 2 6 2" xfId="3080"/>
    <cellStyle name="20% - Accent1 6 2 6 2 2" xfId="3081"/>
    <cellStyle name="20% - Accent1 6 2 6 2 2 2" xfId="3082"/>
    <cellStyle name="20% - Accent1 6 2 6 2 2 2 2" xfId="3083"/>
    <cellStyle name="20% - Accent1 6 2 6 2 2 3" xfId="3084"/>
    <cellStyle name="20% - Accent1 6 2 6 2 3" xfId="3085"/>
    <cellStyle name="20% - Accent1 6 2 6 2 3 2" xfId="3086"/>
    <cellStyle name="20% - Accent1 6 2 6 2 4" xfId="3087"/>
    <cellStyle name="20% - Accent1 6 2 6 3" xfId="3088"/>
    <cellStyle name="20% - Accent1 6 2 6 3 2" xfId="3089"/>
    <cellStyle name="20% - Accent1 6 2 6 3 2 2" xfId="3090"/>
    <cellStyle name="20% - Accent1 6 2 6 3 3" xfId="3091"/>
    <cellStyle name="20% - Accent1 6 2 6 4" xfId="3092"/>
    <cellStyle name="20% - Accent1 6 2 6 4 2" xfId="3093"/>
    <cellStyle name="20% - Accent1 6 2 6 5" xfId="3094"/>
    <cellStyle name="20% - Accent1 6 2 7" xfId="3095"/>
    <cellStyle name="20% - Accent1 6 2 7 2" xfId="3096"/>
    <cellStyle name="20% - Accent1 6 2 7 2 2" xfId="3097"/>
    <cellStyle name="20% - Accent1 6 2 7 2 2 2" xfId="3098"/>
    <cellStyle name="20% - Accent1 6 2 7 2 3" xfId="3099"/>
    <cellStyle name="20% - Accent1 6 2 7 3" xfId="3100"/>
    <cellStyle name="20% - Accent1 6 2 7 3 2" xfId="3101"/>
    <cellStyle name="20% - Accent1 6 2 7 4" xfId="3102"/>
    <cellStyle name="20% - Accent1 6 2 8" xfId="3103"/>
    <cellStyle name="20% - Accent1 6 2 8 2" xfId="3104"/>
    <cellStyle name="20% - Accent1 6 2 8 2 2" xfId="3105"/>
    <cellStyle name="20% - Accent1 6 2 8 3" xfId="3106"/>
    <cellStyle name="20% - Accent1 6 2 9" xfId="3107"/>
    <cellStyle name="20% - Accent1 6 2 9 2" xfId="3108"/>
    <cellStyle name="20% - Accent1 6 3" xfId="3109"/>
    <cellStyle name="20% - Accent1 6 3 2" xfId="3110"/>
    <cellStyle name="20% - Accent1 6 3 2 2" xfId="3111"/>
    <cellStyle name="20% - Accent1 6 3 2 2 2" xfId="3112"/>
    <cellStyle name="20% - Accent1 6 3 2 2 2 2" xfId="3113"/>
    <cellStyle name="20% - Accent1 6 3 2 2 3" xfId="3114"/>
    <cellStyle name="20% - Accent1 6 3 2 3" xfId="3115"/>
    <cellStyle name="20% - Accent1 6 3 2 3 2" xfId="3116"/>
    <cellStyle name="20% - Accent1 6 3 2 4" xfId="3117"/>
    <cellStyle name="20% - Accent1 6 3 3" xfId="3118"/>
    <cellStyle name="20% - Accent1 6 3 3 2" xfId="3119"/>
    <cellStyle name="20% - Accent1 6 3 3 2 2" xfId="3120"/>
    <cellStyle name="20% - Accent1 6 3 3 3" xfId="3121"/>
    <cellStyle name="20% - Accent1 6 3 4" xfId="3122"/>
    <cellStyle name="20% - Accent1 6 3 4 2" xfId="3123"/>
    <cellStyle name="20% - Accent1 6 3 5" xfId="3124"/>
    <cellStyle name="20% - Accent1 6 4" xfId="3125"/>
    <cellStyle name="20% - Accent1 6 4 2" xfId="3126"/>
    <cellStyle name="20% - Accent1 6 4 2 2" xfId="3127"/>
    <cellStyle name="20% - Accent1 6 4 2 2 2" xfId="3128"/>
    <cellStyle name="20% - Accent1 6 4 2 2 2 2" xfId="3129"/>
    <cellStyle name="20% - Accent1 6 4 2 2 3" xfId="3130"/>
    <cellStyle name="20% - Accent1 6 4 2 3" xfId="3131"/>
    <cellStyle name="20% - Accent1 6 4 2 3 2" xfId="3132"/>
    <cellStyle name="20% - Accent1 6 4 2 4" xfId="3133"/>
    <cellStyle name="20% - Accent1 6 4 3" xfId="3134"/>
    <cellStyle name="20% - Accent1 6 4 3 2" xfId="3135"/>
    <cellStyle name="20% - Accent1 6 4 3 2 2" xfId="3136"/>
    <cellStyle name="20% - Accent1 6 4 3 3" xfId="3137"/>
    <cellStyle name="20% - Accent1 6 4 4" xfId="3138"/>
    <cellStyle name="20% - Accent1 6 4 4 2" xfId="3139"/>
    <cellStyle name="20% - Accent1 6 4 5" xfId="3140"/>
    <cellStyle name="20% - Accent1 6 5" xfId="3141"/>
    <cellStyle name="20% - Accent1 6 5 2" xfId="3142"/>
    <cellStyle name="20% - Accent1 6 5 2 2" xfId="3143"/>
    <cellStyle name="20% - Accent1 6 5 2 2 2" xfId="3144"/>
    <cellStyle name="20% - Accent1 6 5 2 2 2 2" xfId="3145"/>
    <cellStyle name="20% - Accent1 6 5 2 2 3" xfId="3146"/>
    <cellStyle name="20% - Accent1 6 5 2 3" xfId="3147"/>
    <cellStyle name="20% - Accent1 6 5 2 3 2" xfId="3148"/>
    <cellStyle name="20% - Accent1 6 5 2 4" xfId="3149"/>
    <cellStyle name="20% - Accent1 6 5 3" xfId="3150"/>
    <cellStyle name="20% - Accent1 6 5 3 2" xfId="3151"/>
    <cellStyle name="20% - Accent1 6 5 3 2 2" xfId="3152"/>
    <cellStyle name="20% - Accent1 6 5 3 3" xfId="3153"/>
    <cellStyle name="20% - Accent1 6 5 4" xfId="3154"/>
    <cellStyle name="20% - Accent1 6 5 4 2" xfId="3155"/>
    <cellStyle name="20% - Accent1 6 5 5" xfId="3156"/>
    <cellStyle name="20% - Accent1 6 6" xfId="3157"/>
    <cellStyle name="20% - Accent1 6 6 2" xfId="3158"/>
    <cellStyle name="20% - Accent1 6 6 2 2" xfId="3159"/>
    <cellStyle name="20% - Accent1 6 6 2 2 2" xfId="3160"/>
    <cellStyle name="20% - Accent1 6 6 2 2 2 2" xfId="3161"/>
    <cellStyle name="20% - Accent1 6 6 2 2 3" xfId="3162"/>
    <cellStyle name="20% - Accent1 6 6 2 3" xfId="3163"/>
    <cellStyle name="20% - Accent1 6 6 2 3 2" xfId="3164"/>
    <cellStyle name="20% - Accent1 6 6 2 4" xfId="3165"/>
    <cellStyle name="20% - Accent1 6 6 3" xfId="3166"/>
    <cellStyle name="20% - Accent1 6 6 3 2" xfId="3167"/>
    <cellStyle name="20% - Accent1 6 6 3 2 2" xfId="3168"/>
    <cellStyle name="20% - Accent1 6 6 3 3" xfId="3169"/>
    <cellStyle name="20% - Accent1 6 6 4" xfId="3170"/>
    <cellStyle name="20% - Accent1 6 6 4 2" xfId="3171"/>
    <cellStyle name="20% - Accent1 6 6 5" xfId="3172"/>
    <cellStyle name="20% - Accent1 6 7" xfId="3173"/>
    <cellStyle name="20% - Accent1 6 7 2" xfId="3174"/>
    <cellStyle name="20% - Accent1 6 7 2 2" xfId="3175"/>
    <cellStyle name="20% - Accent1 6 7 2 2 2" xfId="3176"/>
    <cellStyle name="20% - Accent1 6 7 2 2 2 2" xfId="3177"/>
    <cellStyle name="20% - Accent1 6 7 2 2 3" xfId="3178"/>
    <cellStyle name="20% - Accent1 6 7 2 3" xfId="3179"/>
    <cellStyle name="20% - Accent1 6 7 2 3 2" xfId="3180"/>
    <cellStyle name="20% - Accent1 6 7 2 4" xfId="3181"/>
    <cellStyle name="20% - Accent1 6 7 3" xfId="3182"/>
    <cellStyle name="20% - Accent1 6 7 3 2" xfId="3183"/>
    <cellStyle name="20% - Accent1 6 7 3 2 2" xfId="3184"/>
    <cellStyle name="20% - Accent1 6 7 3 3" xfId="3185"/>
    <cellStyle name="20% - Accent1 6 7 4" xfId="3186"/>
    <cellStyle name="20% - Accent1 6 7 4 2" xfId="3187"/>
    <cellStyle name="20% - Accent1 6 7 5" xfId="3188"/>
    <cellStyle name="20% - Accent1 6 8" xfId="3189"/>
    <cellStyle name="20% - Accent1 6 8 2" xfId="3190"/>
    <cellStyle name="20% - Accent1 6 8 2 2" xfId="3191"/>
    <cellStyle name="20% - Accent1 6 8 2 2 2" xfId="3192"/>
    <cellStyle name="20% - Accent1 6 8 2 3" xfId="3193"/>
    <cellStyle name="20% - Accent1 6 8 3" xfId="3194"/>
    <cellStyle name="20% - Accent1 6 8 3 2" xfId="3195"/>
    <cellStyle name="20% - Accent1 6 8 4" xfId="3196"/>
    <cellStyle name="20% - Accent1 6 9" xfId="3197"/>
    <cellStyle name="20% - Accent1 6 9 2" xfId="3198"/>
    <cellStyle name="20% - Accent1 6 9 2 2" xfId="3199"/>
    <cellStyle name="20% - Accent1 6 9 3" xfId="3200"/>
    <cellStyle name="20% - Accent1 7" xfId="3201"/>
    <cellStyle name="20% - Accent1 7 10" xfId="3202"/>
    <cellStyle name="20% - Accent1 7 10 2" xfId="3203"/>
    <cellStyle name="20% - Accent1 7 11" xfId="3204"/>
    <cellStyle name="20% - Accent1 7 2" xfId="3205"/>
    <cellStyle name="20% - Accent1 7 2 10" xfId="3206"/>
    <cellStyle name="20% - Accent1 7 2 2" xfId="3207"/>
    <cellStyle name="20% - Accent1 7 2 2 2" xfId="3208"/>
    <cellStyle name="20% - Accent1 7 2 2 2 2" xfId="3209"/>
    <cellStyle name="20% - Accent1 7 2 2 2 2 2" xfId="3210"/>
    <cellStyle name="20% - Accent1 7 2 2 2 2 2 2" xfId="3211"/>
    <cellStyle name="20% - Accent1 7 2 2 2 2 3" xfId="3212"/>
    <cellStyle name="20% - Accent1 7 2 2 2 3" xfId="3213"/>
    <cellStyle name="20% - Accent1 7 2 2 2 3 2" xfId="3214"/>
    <cellStyle name="20% - Accent1 7 2 2 2 4" xfId="3215"/>
    <cellStyle name="20% - Accent1 7 2 2 3" xfId="3216"/>
    <cellStyle name="20% - Accent1 7 2 2 3 2" xfId="3217"/>
    <cellStyle name="20% - Accent1 7 2 2 3 2 2" xfId="3218"/>
    <cellStyle name="20% - Accent1 7 2 2 3 3" xfId="3219"/>
    <cellStyle name="20% - Accent1 7 2 2 4" xfId="3220"/>
    <cellStyle name="20% - Accent1 7 2 2 4 2" xfId="3221"/>
    <cellStyle name="20% - Accent1 7 2 2 5" xfId="3222"/>
    <cellStyle name="20% - Accent1 7 2 3" xfId="3223"/>
    <cellStyle name="20% - Accent1 7 2 3 2" xfId="3224"/>
    <cellStyle name="20% - Accent1 7 2 3 2 2" xfId="3225"/>
    <cellStyle name="20% - Accent1 7 2 3 2 2 2" xfId="3226"/>
    <cellStyle name="20% - Accent1 7 2 3 2 2 2 2" xfId="3227"/>
    <cellStyle name="20% - Accent1 7 2 3 2 2 3" xfId="3228"/>
    <cellStyle name="20% - Accent1 7 2 3 2 3" xfId="3229"/>
    <cellStyle name="20% - Accent1 7 2 3 2 3 2" xfId="3230"/>
    <cellStyle name="20% - Accent1 7 2 3 2 4" xfId="3231"/>
    <cellStyle name="20% - Accent1 7 2 3 3" xfId="3232"/>
    <cellStyle name="20% - Accent1 7 2 3 3 2" xfId="3233"/>
    <cellStyle name="20% - Accent1 7 2 3 3 2 2" xfId="3234"/>
    <cellStyle name="20% - Accent1 7 2 3 3 3" xfId="3235"/>
    <cellStyle name="20% - Accent1 7 2 3 4" xfId="3236"/>
    <cellStyle name="20% - Accent1 7 2 3 4 2" xfId="3237"/>
    <cellStyle name="20% - Accent1 7 2 3 5" xfId="3238"/>
    <cellStyle name="20% - Accent1 7 2 4" xfId="3239"/>
    <cellStyle name="20% - Accent1 7 2 4 2" xfId="3240"/>
    <cellStyle name="20% - Accent1 7 2 4 2 2" xfId="3241"/>
    <cellStyle name="20% - Accent1 7 2 4 2 2 2" xfId="3242"/>
    <cellStyle name="20% - Accent1 7 2 4 2 2 2 2" xfId="3243"/>
    <cellStyle name="20% - Accent1 7 2 4 2 2 3" xfId="3244"/>
    <cellStyle name="20% - Accent1 7 2 4 2 3" xfId="3245"/>
    <cellStyle name="20% - Accent1 7 2 4 2 3 2" xfId="3246"/>
    <cellStyle name="20% - Accent1 7 2 4 2 4" xfId="3247"/>
    <cellStyle name="20% - Accent1 7 2 4 3" xfId="3248"/>
    <cellStyle name="20% - Accent1 7 2 4 3 2" xfId="3249"/>
    <cellStyle name="20% - Accent1 7 2 4 3 2 2" xfId="3250"/>
    <cellStyle name="20% - Accent1 7 2 4 3 3" xfId="3251"/>
    <cellStyle name="20% - Accent1 7 2 4 4" xfId="3252"/>
    <cellStyle name="20% - Accent1 7 2 4 4 2" xfId="3253"/>
    <cellStyle name="20% - Accent1 7 2 4 5" xfId="3254"/>
    <cellStyle name="20% - Accent1 7 2 5" xfId="3255"/>
    <cellStyle name="20% - Accent1 7 2 5 2" xfId="3256"/>
    <cellStyle name="20% - Accent1 7 2 5 2 2" xfId="3257"/>
    <cellStyle name="20% - Accent1 7 2 5 2 2 2" xfId="3258"/>
    <cellStyle name="20% - Accent1 7 2 5 2 2 2 2" xfId="3259"/>
    <cellStyle name="20% - Accent1 7 2 5 2 2 3" xfId="3260"/>
    <cellStyle name="20% - Accent1 7 2 5 2 3" xfId="3261"/>
    <cellStyle name="20% - Accent1 7 2 5 2 3 2" xfId="3262"/>
    <cellStyle name="20% - Accent1 7 2 5 2 4" xfId="3263"/>
    <cellStyle name="20% - Accent1 7 2 5 3" xfId="3264"/>
    <cellStyle name="20% - Accent1 7 2 5 3 2" xfId="3265"/>
    <cellStyle name="20% - Accent1 7 2 5 3 2 2" xfId="3266"/>
    <cellStyle name="20% - Accent1 7 2 5 3 3" xfId="3267"/>
    <cellStyle name="20% - Accent1 7 2 5 4" xfId="3268"/>
    <cellStyle name="20% - Accent1 7 2 5 4 2" xfId="3269"/>
    <cellStyle name="20% - Accent1 7 2 5 5" xfId="3270"/>
    <cellStyle name="20% - Accent1 7 2 6" xfId="3271"/>
    <cellStyle name="20% - Accent1 7 2 6 2" xfId="3272"/>
    <cellStyle name="20% - Accent1 7 2 6 2 2" xfId="3273"/>
    <cellStyle name="20% - Accent1 7 2 6 2 2 2" xfId="3274"/>
    <cellStyle name="20% - Accent1 7 2 6 2 2 2 2" xfId="3275"/>
    <cellStyle name="20% - Accent1 7 2 6 2 2 3" xfId="3276"/>
    <cellStyle name="20% - Accent1 7 2 6 2 3" xfId="3277"/>
    <cellStyle name="20% - Accent1 7 2 6 2 3 2" xfId="3278"/>
    <cellStyle name="20% - Accent1 7 2 6 2 4" xfId="3279"/>
    <cellStyle name="20% - Accent1 7 2 6 3" xfId="3280"/>
    <cellStyle name="20% - Accent1 7 2 6 3 2" xfId="3281"/>
    <cellStyle name="20% - Accent1 7 2 6 3 2 2" xfId="3282"/>
    <cellStyle name="20% - Accent1 7 2 6 3 3" xfId="3283"/>
    <cellStyle name="20% - Accent1 7 2 6 4" xfId="3284"/>
    <cellStyle name="20% - Accent1 7 2 6 4 2" xfId="3285"/>
    <cellStyle name="20% - Accent1 7 2 6 5" xfId="3286"/>
    <cellStyle name="20% - Accent1 7 2 7" xfId="3287"/>
    <cellStyle name="20% - Accent1 7 2 7 2" xfId="3288"/>
    <cellStyle name="20% - Accent1 7 2 7 2 2" xfId="3289"/>
    <cellStyle name="20% - Accent1 7 2 7 2 2 2" xfId="3290"/>
    <cellStyle name="20% - Accent1 7 2 7 2 3" xfId="3291"/>
    <cellStyle name="20% - Accent1 7 2 7 3" xfId="3292"/>
    <cellStyle name="20% - Accent1 7 2 7 3 2" xfId="3293"/>
    <cellStyle name="20% - Accent1 7 2 7 4" xfId="3294"/>
    <cellStyle name="20% - Accent1 7 2 8" xfId="3295"/>
    <cellStyle name="20% - Accent1 7 2 8 2" xfId="3296"/>
    <cellStyle name="20% - Accent1 7 2 8 2 2" xfId="3297"/>
    <cellStyle name="20% - Accent1 7 2 8 3" xfId="3298"/>
    <cellStyle name="20% - Accent1 7 2 9" xfId="3299"/>
    <cellStyle name="20% - Accent1 7 2 9 2" xfId="3300"/>
    <cellStyle name="20% - Accent1 7 3" xfId="3301"/>
    <cellStyle name="20% - Accent1 7 3 2" xfId="3302"/>
    <cellStyle name="20% - Accent1 7 3 2 2" xfId="3303"/>
    <cellStyle name="20% - Accent1 7 3 2 2 2" xfId="3304"/>
    <cellStyle name="20% - Accent1 7 3 2 2 2 2" xfId="3305"/>
    <cellStyle name="20% - Accent1 7 3 2 2 3" xfId="3306"/>
    <cellStyle name="20% - Accent1 7 3 2 3" xfId="3307"/>
    <cellStyle name="20% - Accent1 7 3 2 3 2" xfId="3308"/>
    <cellStyle name="20% - Accent1 7 3 2 4" xfId="3309"/>
    <cellStyle name="20% - Accent1 7 3 3" xfId="3310"/>
    <cellStyle name="20% - Accent1 7 3 3 2" xfId="3311"/>
    <cellStyle name="20% - Accent1 7 3 3 2 2" xfId="3312"/>
    <cellStyle name="20% - Accent1 7 3 3 3" xfId="3313"/>
    <cellStyle name="20% - Accent1 7 3 4" xfId="3314"/>
    <cellStyle name="20% - Accent1 7 3 4 2" xfId="3315"/>
    <cellStyle name="20% - Accent1 7 3 5" xfId="3316"/>
    <cellStyle name="20% - Accent1 7 4" xfId="3317"/>
    <cellStyle name="20% - Accent1 7 4 2" xfId="3318"/>
    <cellStyle name="20% - Accent1 7 4 2 2" xfId="3319"/>
    <cellStyle name="20% - Accent1 7 4 2 2 2" xfId="3320"/>
    <cellStyle name="20% - Accent1 7 4 2 2 2 2" xfId="3321"/>
    <cellStyle name="20% - Accent1 7 4 2 2 3" xfId="3322"/>
    <cellStyle name="20% - Accent1 7 4 2 3" xfId="3323"/>
    <cellStyle name="20% - Accent1 7 4 2 3 2" xfId="3324"/>
    <cellStyle name="20% - Accent1 7 4 2 4" xfId="3325"/>
    <cellStyle name="20% - Accent1 7 4 3" xfId="3326"/>
    <cellStyle name="20% - Accent1 7 4 3 2" xfId="3327"/>
    <cellStyle name="20% - Accent1 7 4 3 2 2" xfId="3328"/>
    <cellStyle name="20% - Accent1 7 4 3 3" xfId="3329"/>
    <cellStyle name="20% - Accent1 7 4 4" xfId="3330"/>
    <cellStyle name="20% - Accent1 7 4 4 2" xfId="3331"/>
    <cellStyle name="20% - Accent1 7 4 5" xfId="3332"/>
    <cellStyle name="20% - Accent1 7 5" xfId="3333"/>
    <cellStyle name="20% - Accent1 7 5 2" xfId="3334"/>
    <cellStyle name="20% - Accent1 7 5 2 2" xfId="3335"/>
    <cellStyle name="20% - Accent1 7 5 2 2 2" xfId="3336"/>
    <cellStyle name="20% - Accent1 7 5 2 2 2 2" xfId="3337"/>
    <cellStyle name="20% - Accent1 7 5 2 2 3" xfId="3338"/>
    <cellStyle name="20% - Accent1 7 5 2 3" xfId="3339"/>
    <cellStyle name="20% - Accent1 7 5 2 3 2" xfId="3340"/>
    <cellStyle name="20% - Accent1 7 5 2 4" xfId="3341"/>
    <cellStyle name="20% - Accent1 7 5 3" xfId="3342"/>
    <cellStyle name="20% - Accent1 7 5 3 2" xfId="3343"/>
    <cellStyle name="20% - Accent1 7 5 3 2 2" xfId="3344"/>
    <cellStyle name="20% - Accent1 7 5 3 3" xfId="3345"/>
    <cellStyle name="20% - Accent1 7 5 4" xfId="3346"/>
    <cellStyle name="20% - Accent1 7 5 4 2" xfId="3347"/>
    <cellStyle name="20% - Accent1 7 5 5" xfId="3348"/>
    <cellStyle name="20% - Accent1 7 6" xfId="3349"/>
    <cellStyle name="20% - Accent1 7 6 2" xfId="3350"/>
    <cellStyle name="20% - Accent1 7 6 2 2" xfId="3351"/>
    <cellStyle name="20% - Accent1 7 6 2 2 2" xfId="3352"/>
    <cellStyle name="20% - Accent1 7 6 2 2 2 2" xfId="3353"/>
    <cellStyle name="20% - Accent1 7 6 2 2 3" xfId="3354"/>
    <cellStyle name="20% - Accent1 7 6 2 3" xfId="3355"/>
    <cellStyle name="20% - Accent1 7 6 2 3 2" xfId="3356"/>
    <cellStyle name="20% - Accent1 7 6 2 4" xfId="3357"/>
    <cellStyle name="20% - Accent1 7 6 3" xfId="3358"/>
    <cellStyle name="20% - Accent1 7 6 3 2" xfId="3359"/>
    <cellStyle name="20% - Accent1 7 6 3 2 2" xfId="3360"/>
    <cellStyle name="20% - Accent1 7 6 3 3" xfId="3361"/>
    <cellStyle name="20% - Accent1 7 6 4" xfId="3362"/>
    <cellStyle name="20% - Accent1 7 6 4 2" xfId="3363"/>
    <cellStyle name="20% - Accent1 7 6 5" xfId="3364"/>
    <cellStyle name="20% - Accent1 7 7" xfId="3365"/>
    <cellStyle name="20% - Accent1 7 7 2" xfId="3366"/>
    <cellStyle name="20% - Accent1 7 7 2 2" xfId="3367"/>
    <cellStyle name="20% - Accent1 7 7 2 2 2" xfId="3368"/>
    <cellStyle name="20% - Accent1 7 7 2 2 2 2" xfId="3369"/>
    <cellStyle name="20% - Accent1 7 7 2 2 3" xfId="3370"/>
    <cellStyle name="20% - Accent1 7 7 2 3" xfId="3371"/>
    <cellStyle name="20% - Accent1 7 7 2 3 2" xfId="3372"/>
    <cellStyle name="20% - Accent1 7 7 2 4" xfId="3373"/>
    <cellStyle name="20% - Accent1 7 7 3" xfId="3374"/>
    <cellStyle name="20% - Accent1 7 7 3 2" xfId="3375"/>
    <cellStyle name="20% - Accent1 7 7 3 2 2" xfId="3376"/>
    <cellStyle name="20% - Accent1 7 7 3 3" xfId="3377"/>
    <cellStyle name="20% - Accent1 7 7 4" xfId="3378"/>
    <cellStyle name="20% - Accent1 7 7 4 2" xfId="3379"/>
    <cellStyle name="20% - Accent1 7 7 5" xfId="3380"/>
    <cellStyle name="20% - Accent1 7 8" xfId="3381"/>
    <cellStyle name="20% - Accent1 7 8 2" xfId="3382"/>
    <cellStyle name="20% - Accent1 7 8 2 2" xfId="3383"/>
    <cellStyle name="20% - Accent1 7 8 2 2 2" xfId="3384"/>
    <cellStyle name="20% - Accent1 7 8 2 3" xfId="3385"/>
    <cellStyle name="20% - Accent1 7 8 3" xfId="3386"/>
    <cellStyle name="20% - Accent1 7 8 3 2" xfId="3387"/>
    <cellStyle name="20% - Accent1 7 8 4" xfId="3388"/>
    <cellStyle name="20% - Accent1 7 9" xfId="3389"/>
    <cellStyle name="20% - Accent1 7 9 2" xfId="3390"/>
    <cellStyle name="20% - Accent1 7 9 2 2" xfId="3391"/>
    <cellStyle name="20% - Accent1 7 9 3" xfId="3392"/>
    <cellStyle name="20% - Accent1 8" xfId="3393"/>
    <cellStyle name="20% - Accent1 8 10" xfId="3394"/>
    <cellStyle name="20% - Accent1 8 10 2" xfId="3395"/>
    <cellStyle name="20% - Accent1 8 11" xfId="3396"/>
    <cellStyle name="20% - Accent1 8 2" xfId="3397"/>
    <cellStyle name="20% - Accent1 8 2 10" xfId="3398"/>
    <cellStyle name="20% - Accent1 8 2 2" xfId="3399"/>
    <cellStyle name="20% - Accent1 8 2 2 2" xfId="3400"/>
    <cellStyle name="20% - Accent1 8 2 2 2 2" xfId="3401"/>
    <cellStyle name="20% - Accent1 8 2 2 2 2 2" xfId="3402"/>
    <cellStyle name="20% - Accent1 8 2 2 2 2 2 2" xfId="3403"/>
    <cellStyle name="20% - Accent1 8 2 2 2 2 3" xfId="3404"/>
    <cellStyle name="20% - Accent1 8 2 2 2 3" xfId="3405"/>
    <cellStyle name="20% - Accent1 8 2 2 2 3 2" xfId="3406"/>
    <cellStyle name="20% - Accent1 8 2 2 2 4" xfId="3407"/>
    <cellStyle name="20% - Accent1 8 2 2 3" xfId="3408"/>
    <cellStyle name="20% - Accent1 8 2 2 3 2" xfId="3409"/>
    <cellStyle name="20% - Accent1 8 2 2 3 2 2" xfId="3410"/>
    <cellStyle name="20% - Accent1 8 2 2 3 3" xfId="3411"/>
    <cellStyle name="20% - Accent1 8 2 2 4" xfId="3412"/>
    <cellStyle name="20% - Accent1 8 2 2 4 2" xfId="3413"/>
    <cellStyle name="20% - Accent1 8 2 2 5" xfId="3414"/>
    <cellStyle name="20% - Accent1 8 2 3" xfId="3415"/>
    <cellStyle name="20% - Accent1 8 2 3 2" xfId="3416"/>
    <cellStyle name="20% - Accent1 8 2 3 2 2" xfId="3417"/>
    <cellStyle name="20% - Accent1 8 2 3 2 2 2" xfId="3418"/>
    <cellStyle name="20% - Accent1 8 2 3 2 2 2 2" xfId="3419"/>
    <cellStyle name="20% - Accent1 8 2 3 2 2 3" xfId="3420"/>
    <cellStyle name="20% - Accent1 8 2 3 2 3" xfId="3421"/>
    <cellStyle name="20% - Accent1 8 2 3 2 3 2" xfId="3422"/>
    <cellStyle name="20% - Accent1 8 2 3 2 4" xfId="3423"/>
    <cellStyle name="20% - Accent1 8 2 3 3" xfId="3424"/>
    <cellStyle name="20% - Accent1 8 2 3 3 2" xfId="3425"/>
    <cellStyle name="20% - Accent1 8 2 3 3 2 2" xfId="3426"/>
    <cellStyle name="20% - Accent1 8 2 3 3 3" xfId="3427"/>
    <cellStyle name="20% - Accent1 8 2 3 4" xfId="3428"/>
    <cellStyle name="20% - Accent1 8 2 3 4 2" xfId="3429"/>
    <cellStyle name="20% - Accent1 8 2 3 5" xfId="3430"/>
    <cellStyle name="20% - Accent1 8 2 4" xfId="3431"/>
    <cellStyle name="20% - Accent1 8 2 4 2" xfId="3432"/>
    <cellStyle name="20% - Accent1 8 2 4 2 2" xfId="3433"/>
    <cellStyle name="20% - Accent1 8 2 4 2 2 2" xfId="3434"/>
    <cellStyle name="20% - Accent1 8 2 4 2 2 2 2" xfId="3435"/>
    <cellStyle name="20% - Accent1 8 2 4 2 2 3" xfId="3436"/>
    <cellStyle name="20% - Accent1 8 2 4 2 3" xfId="3437"/>
    <cellStyle name="20% - Accent1 8 2 4 2 3 2" xfId="3438"/>
    <cellStyle name="20% - Accent1 8 2 4 2 4" xfId="3439"/>
    <cellStyle name="20% - Accent1 8 2 4 3" xfId="3440"/>
    <cellStyle name="20% - Accent1 8 2 4 3 2" xfId="3441"/>
    <cellStyle name="20% - Accent1 8 2 4 3 2 2" xfId="3442"/>
    <cellStyle name="20% - Accent1 8 2 4 3 3" xfId="3443"/>
    <cellStyle name="20% - Accent1 8 2 4 4" xfId="3444"/>
    <cellStyle name="20% - Accent1 8 2 4 4 2" xfId="3445"/>
    <cellStyle name="20% - Accent1 8 2 4 5" xfId="3446"/>
    <cellStyle name="20% - Accent1 8 2 5" xfId="3447"/>
    <cellStyle name="20% - Accent1 8 2 5 2" xfId="3448"/>
    <cellStyle name="20% - Accent1 8 2 5 2 2" xfId="3449"/>
    <cellStyle name="20% - Accent1 8 2 5 2 2 2" xfId="3450"/>
    <cellStyle name="20% - Accent1 8 2 5 2 2 2 2" xfId="3451"/>
    <cellStyle name="20% - Accent1 8 2 5 2 2 3" xfId="3452"/>
    <cellStyle name="20% - Accent1 8 2 5 2 3" xfId="3453"/>
    <cellStyle name="20% - Accent1 8 2 5 2 3 2" xfId="3454"/>
    <cellStyle name="20% - Accent1 8 2 5 2 4" xfId="3455"/>
    <cellStyle name="20% - Accent1 8 2 5 3" xfId="3456"/>
    <cellStyle name="20% - Accent1 8 2 5 3 2" xfId="3457"/>
    <cellStyle name="20% - Accent1 8 2 5 3 2 2" xfId="3458"/>
    <cellStyle name="20% - Accent1 8 2 5 3 3" xfId="3459"/>
    <cellStyle name="20% - Accent1 8 2 5 4" xfId="3460"/>
    <cellStyle name="20% - Accent1 8 2 5 4 2" xfId="3461"/>
    <cellStyle name="20% - Accent1 8 2 5 5" xfId="3462"/>
    <cellStyle name="20% - Accent1 8 2 6" xfId="3463"/>
    <cellStyle name="20% - Accent1 8 2 6 2" xfId="3464"/>
    <cellStyle name="20% - Accent1 8 2 6 2 2" xfId="3465"/>
    <cellStyle name="20% - Accent1 8 2 6 2 2 2" xfId="3466"/>
    <cellStyle name="20% - Accent1 8 2 6 2 2 2 2" xfId="3467"/>
    <cellStyle name="20% - Accent1 8 2 6 2 2 3" xfId="3468"/>
    <cellStyle name="20% - Accent1 8 2 6 2 3" xfId="3469"/>
    <cellStyle name="20% - Accent1 8 2 6 2 3 2" xfId="3470"/>
    <cellStyle name="20% - Accent1 8 2 6 2 4" xfId="3471"/>
    <cellStyle name="20% - Accent1 8 2 6 3" xfId="3472"/>
    <cellStyle name="20% - Accent1 8 2 6 3 2" xfId="3473"/>
    <cellStyle name="20% - Accent1 8 2 6 3 2 2" xfId="3474"/>
    <cellStyle name="20% - Accent1 8 2 6 3 3" xfId="3475"/>
    <cellStyle name="20% - Accent1 8 2 6 4" xfId="3476"/>
    <cellStyle name="20% - Accent1 8 2 6 4 2" xfId="3477"/>
    <cellStyle name="20% - Accent1 8 2 6 5" xfId="3478"/>
    <cellStyle name="20% - Accent1 8 2 7" xfId="3479"/>
    <cellStyle name="20% - Accent1 8 2 7 2" xfId="3480"/>
    <cellStyle name="20% - Accent1 8 2 7 2 2" xfId="3481"/>
    <cellStyle name="20% - Accent1 8 2 7 2 2 2" xfId="3482"/>
    <cellStyle name="20% - Accent1 8 2 7 2 3" xfId="3483"/>
    <cellStyle name="20% - Accent1 8 2 7 3" xfId="3484"/>
    <cellStyle name="20% - Accent1 8 2 7 3 2" xfId="3485"/>
    <cellStyle name="20% - Accent1 8 2 7 4" xfId="3486"/>
    <cellStyle name="20% - Accent1 8 2 8" xfId="3487"/>
    <cellStyle name="20% - Accent1 8 2 8 2" xfId="3488"/>
    <cellStyle name="20% - Accent1 8 2 8 2 2" xfId="3489"/>
    <cellStyle name="20% - Accent1 8 2 8 3" xfId="3490"/>
    <cellStyle name="20% - Accent1 8 2 9" xfId="3491"/>
    <cellStyle name="20% - Accent1 8 2 9 2" xfId="3492"/>
    <cellStyle name="20% - Accent1 8 3" xfId="3493"/>
    <cellStyle name="20% - Accent1 8 3 2" xfId="3494"/>
    <cellStyle name="20% - Accent1 8 3 2 2" xfId="3495"/>
    <cellStyle name="20% - Accent1 8 3 2 2 2" xfId="3496"/>
    <cellStyle name="20% - Accent1 8 3 2 2 2 2" xfId="3497"/>
    <cellStyle name="20% - Accent1 8 3 2 2 3" xfId="3498"/>
    <cellStyle name="20% - Accent1 8 3 2 3" xfId="3499"/>
    <cellStyle name="20% - Accent1 8 3 2 3 2" xfId="3500"/>
    <cellStyle name="20% - Accent1 8 3 2 4" xfId="3501"/>
    <cellStyle name="20% - Accent1 8 3 3" xfId="3502"/>
    <cellStyle name="20% - Accent1 8 3 3 2" xfId="3503"/>
    <cellStyle name="20% - Accent1 8 3 3 2 2" xfId="3504"/>
    <cellStyle name="20% - Accent1 8 3 3 3" xfId="3505"/>
    <cellStyle name="20% - Accent1 8 3 4" xfId="3506"/>
    <cellStyle name="20% - Accent1 8 3 4 2" xfId="3507"/>
    <cellStyle name="20% - Accent1 8 3 5" xfId="3508"/>
    <cellStyle name="20% - Accent1 8 4" xfId="3509"/>
    <cellStyle name="20% - Accent1 8 4 2" xfId="3510"/>
    <cellStyle name="20% - Accent1 8 4 2 2" xfId="3511"/>
    <cellStyle name="20% - Accent1 8 4 2 2 2" xfId="3512"/>
    <cellStyle name="20% - Accent1 8 4 2 2 2 2" xfId="3513"/>
    <cellStyle name="20% - Accent1 8 4 2 2 3" xfId="3514"/>
    <cellStyle name="20% - Accent1 8 4 2 3" xfId="3515"/>
    <cellStyle name="20% - Accent1 8 4 2 3 2" xfId="3516"/>
    <cellStyle name="20% - Accent1 8 4 2 4" xfId="3517"/>
    <cellStyle name="20% - Accent1 8 4 3" xfId="3518"/>
    <cellStyle name="20% - Accent1 8 4 3 2" xfId="3519"/>
    <cellStyle name="20% - Accent1 8 4 3 2 2" xfId="3520"/>
    <cellStyle name="20% - Accent1 8 4 3 3" xfId="3521"/>
    <cellStyle name="20% - Accent1 8 4 4" xfId="3522"/>
    <cellStyle name="20% - Accent1 8 4 4 2" xfId="3523"/>
    <cellStyle name="20% - Accent1 8 4 5" xfId="3524"/>
    <cellStyle name="20% - Accent1 8 5" xfId="3525"/>
    <cellStyle name="20% - Accent1 8 5 2" xfId="3526"/>
    <cellStyle name="20% - Accent1 8 5 2 2" xfId="3527"/>
    <cellStyle name="20% - Accent1 8 5 2 2 2" xfId="3528"/>
    <cellStyle name="20% - Accent1 8 5 2 2 2 2" xfId="3529"/>
    <cellStyle name="20% - Accent1 8 5 2 2 3" xfId="3530"/>
    <cellStyle name="20% - Accent1 8 5 2 3" xfId="3531"/>
    <cellStyle name="20% - Accent1 8 5 2 3 2" xfId="3532"/>
    <cellStyle name="20% - Accent1 8 5 2 4" xfId="3533"/>
    <cellStyle name="20% - Accent1 8 5 3" xfId="3534"/>
    <cellStyle name="20% - Accent1 8 5 3 2" xfId="3535"/>
    <cellStyle name="20% - Accent1 8 5 3 2 2" xfId="3536"/>
    <cellStyle name="20% - Accent1 8 5 3 3" xfId="3537"/>
    <cellStyle name="20% - Accent1 8 5 4" xfId="3538"/>
    <cellStyle name="20% - Accent1 8 5 4 2" xfId="3539"/>
    <cellStyle name="20% - Accent1 8 5 5" xfId="3540"/>
    <cellStyle name="20% - Accent1 8 6" xfId="3541"/>
    <cellStyle name="20% - Accent1 8 6 2" xfId="3542"/>
    <cellStyle name="20% - Accent1 8 6 2 2" xfId="3543"/>
    <cellStyle name="20% - Accent1 8 6 2 2 2" xfId="3544"/>
    <cellStyle name="20% - Accent1 8 6 2 2 2 2" xfId="3545"/>
    <cellStyle name="20% - Accent1 8 6 2 2 3" xfId="3546"/>
    <cellStyle name="20% - Accent1 8 6 2 3" xfId="3547"/>
    <cellStyle name="20% - Accent1 8 6 2 3 2" xfId="3548"/>
    <cellStyle name="20% - Accent1 8 6 2 4" xfId="3549"/>
    <cellStyle name="20% - Accent1 8 6 3" xfId="3550"/>
    <cellStyle name="20% - Accent1 8 6 3 2" xfId="3551"/>
    <cellStyle name="20% - Accent1 8 6 3 2 2" xfId="3552"/>
    <cellStyle name="20% - Accent1 8 6 3 3" xfId="3553"/>
    <cellStyle name="20% - Accent1 8 6 4" xfId="3554"/>
    <cellStyle name="20% - Accent1 8 6 4 2" xfId="3555"/>
    <cellStyle name="20% - Accent1 8 6 5" xfId="3556"/>
    <cellStyle name="20% - Accent1 8 7" xfId="3557"/>
    <cellStyle name="20% - Accent1 8 7 2" xfId="3558"/>
    <cellStyle name="20% - Accent1 8 7 2 2" xfId="3559"/>
    <cellStyle name="20% - Accent1 8 7 2 2 2" xfId="3560"/>
    <cellStyle name="20% - Accent1 8 7 2 2 2 2" xfId="3561"/>
    <cellStyle name="20% - Accent1 8 7 2 2 3" xfId="3562"/>
    <cellStyle name="20% - Accent1 8 7 2 3" xfId="3563"/>
    <cellStyle name="20% - Accent1 8 7 2 3 2" xfId="3564"/>
    <cellStyle name="20% - Accent1 8 7 2 4" xfId="3565"/>
    <cellStyle name="20% - Accent1 8 7 3" xfId="3566"/>
    <cellStyle name="20% - Accent1 8 7 3 2" xfId="3567"/>
    <cellStyle name="20% - Accent1 8 7 3 2 2" xfId="3568"/>
    <cellStyle name="20% - Accent1 8 7 3 3" xfId="3569"/>
    <cellStyle name="20% - Accent1 8 7 4" xfId="3570"/>
    <cellStyle name="20% - Accent1 8 7 4 2" xfId="3571"/>
    <cellStyle name="20% - Accent1 8 7 5" xfId="3572"/>
    <cellStyle name="20% - Accent1 8 8" xfId="3573"/>
    <cellStyle name="20% - Accent1 8 8 2" xfId="3574"/>
    <cellStyle name="20% - Accent1 8 8 2 2" xfId="3575"/>
    <cellStyle name="20% - Accent1 8 8 2 2 2" xfId="3576"/>
    <cellStyle name="20% - Accent1 8 8 2 3" xfId="3577"/>
    <cellStyle name="20% - Accent1 8 8 3" xfId="3578"/>
    <cellStyle name="20% - Accent1 8 8 3 2" xfId="3579"/>
    <cellStyle name="20% - Accent1 8 8 4" xfId="3580"/>
    <cellStyle name="20% - Accent1 8 9" xfId="3581"/>
    <cellStyle name="20% - Accent1 8 9 2" xfId="3582"/>
    <cellStyle name="20% - Accent1 8 9 2 2" xfId="3583"/>
    <cellStyle name="20% - Accent1 8 9 3" xfId="3584"/>
    <cellStyle name="20% - Accent1 9" xfId="3585"/>
    <cellStyle name="20% - Accent1 9 10" xfId="3586"/>
    <cellStyle name="20% - Accent1 9 10 2" xfId="3587"/>
    <cellStyle name="20% - Accent1 9 11" xfId="3588"/>
    <cellStyle name="20% - Accent1 9 2" xfId="3589"/>
    <cellStyle name="20% - Accent1 9 2 10" xfId="3590"/>
    <cellStyle name="20% - Accent1 9 2 2" xfId="3591"/>
    <cellStyle name="20% - Accent1 9 2 2 2" xfId="3592"/>
    <cellStyle name="20% - Accent1 9 2 2 2 2" xfId="3593"/>
    <cellStyle name="20% - Accent1 9 2 2 2 2 2" xfId="3594"/>
    <cellStyle name="20% - Accent1 9 2 2 2 2 2 2" xfId="3595"/>
    <cellStyle name="20% - Accent1 9 2 2 2 2 3" xfId="3596"/>
    <cellStyle name="20% - Accent1 9 2 2 2 3" xfId="3597"/>
    <cellStyle name="20% - Accent1 9 2 2 2 3 2" xfId="3598"/>
    <cellStyle name="20% - Accent1 9 2 2 2 4" xfId="3599"/>
    <cellStyle name="20% - Accent1 9 2 2 3" xfId="3600"/>
    <cellStyle name="20% - Accent1 9 2 2 3 2" xfId="3601"/>
    <cellStyle name="20% - Accent1 9 2 2 3 2 2" xfId="3602"/>
    <cellStyle name="20% - Accent1 9 2 2 3 3" xfId="3603"/>
    <cellStyle name="20% - Accent1 9 2 2 4" xfId="3604"/>
    <cellStyle name="20% - Accent1 9 2 2 4 2" xfId="3605"/>
    <cellStyle name="20% - Accent1 9 2 2 5" xfId="3606"/>
    <cellStyle name="20% - Accent1 9 2 3" xfId="3607"/>
    <cellStyle name="20% - Accent1 9 2 3 2" xfId="3608"/>
    <cellStyle name="20% - Accent1 9 2 3 2 2" xfId="3609"/>
    <cellStyle name="20% - Accent1 9 2 3 2 2 2" xfId="3610"/>
    <cellStyle name="20% - Accent1 9 2 3 2 2 2 2" xfId="3611"/>
    <cellStyle name="20% - Accent1 9 2 3 2 2 3" xfId="3612"/>
    <cellStyle name="20% - Accent1 9 2 3 2 3" xfId="3613"/>
    <cellStyle name="20% - Accent1 9 2 3 2 3 2" xfId="3614"/>
    <cellStyle name="20% - Accent1 9 2 3 2 4" xfId="3615"/>
    <cellStyle name="20% - Accent1 9 2 3 3" xfId="3616"/>
    <cellStyle name="20% - Accent1 9 2 3 3 2" xfId="3617"/>
    <cellStyle name="20% - Accent1 9 2 3 3 2 2" xfId="3618"/>
    <cellStyle name="20% - Accent1 9 2 3 3 3" xfId="3619"/>
    <cellStyle name="20% - Accent1 9 2 3 4" xfId="3620"/>
    <cellStyle name="20% - Accent1 9 2 3 4 2" xfId="3621"/>
    <cellStyle name="20% - Accent1 9 2 3 5" xfId="3622"/>
    <cellStyle name="20% - Accent1 9 2 4" xfId="3623"/>
    <cellStyle name="20% - Accent1 9 2 4 2" xfId="3624"/>
    <cellStyle name="20% - Accent1 9 2 4 2 2" xfId="3625"/>
    <cellStyle name="20% - Accent1 9 2 4 2 2 2" xfId="3626"/>
    <cellStyle name="20% - Accent1 9 2 4 2 2 2 2" xfId="3627"/>
    <cellStyle name="20% - Accent1 9 2 4 2 2 3" xfId="3628"/>
    <cellStyle name="20% - Accent1 9 2 4 2 3" xfId="3629"/>
    <cellStyle name="20% - Accent1 9 2 4 2 3 2" xfId="3630"/>
    <cellStyle name="20% - Accent1 9 2 4 2 4" xfId="3631"/>
    <cellStyle name="20% - Accent1 9 2 4 3" xfId="3632"/>
    <cellStyle name="20% - Accent1 9 2 4 3 2" xfId="3633"/>
    <cellStyle name="20% - Accent1 9 2 4 3 2 2" xfId="3634"/>
    <cellStyle name="20% - Accent1 9 2 4 3 3" xfId="3635"/>
    <cellStyle name="20% - Accent1 9 2 4 4" xfId="3636"/>
    <cellStyle name="20% - Accent1 9 2 4 4 2" xfId="3637"/>
    <cellStyle name="20% - Accent1 9 2 4 5" xfId="3638"/>
    <cellStyle name="20% - Accent1 9 2 5" xfId="3639"/>
    <cellStyle name="20% - Accent1 9 2 5 2" xfId="3640"/>
    <cellStyle name="20% - Accent1 9 2 5 2 2" xfId="3641"/>
    <cellStyle name="20% - Accent1 9 2 5 2 2 2" xfId="3642"/>
    <cellStyle name="20% - Accent1 9 2 5 2 2 2 2" xfId="3643"/>
    <cellStyle name="20% - Accent1 9 2 5 2 2 3" xfId="3644"/>
    <cellStyle name="20% - Accent1 9 2 5 2 3" xfId="3645"/>
    <cellStyle name="20% - Accent1 9 2 5 2 3 2" xfId="3646"/>
    <cellStyle name="20% - Accent1 9 2 5 2 4" xfId="3647"/>
    <cellStyle name="20% - Accent1 9 2 5 3" xfId="3648"/>
    <cellStyle name="20% - Accent1 9 2 5 3 2" xfId="3649"/>
    <cellStyle name="20% - Accent1 9 2 5 3 2 2" xfId="3650"/>
    <cellStyle name="20% - Accent1 9 2 5 3 3" xfId="3651"/>
    <cellStyle name="20% - Accent1 9 2 5 4" xfId="3652"/>
    <cellStyle name="20% - Accent1 9 2 5 4 2" xfId="3653"/>
    <cellStyle name="20% - Accent1 9 2 5 5" xfId="3654"/>
    <cellStyle name="20% - Accent1 9 2 6" xfId="3655"/>
    <cellStyle name="20% - Accent1 9 2 6 2" xfId="3656"/>
    <cellStyle name="20% - Accent1 9 2 6 2 2" xfId="3657"/>
    <cellStyle name="20% - Accent1 9 2 6 2 2 2" xfId="3658"/>
    <cellStyle name="20% - Accent1 9 2 6 2 2 2 2" xfId="3659"/>
    <cellStyle name="20% - Accent1 9 2 6 2 2 3" xfId="3660"/>
    <cellStyle name="20% - Accent1 9 2 6 2 3" xfId="3661"/>
    <cellStyle name="20% - Accent1 9 2 6 2 3 2" xfId="3662"/>
    <cellStyle name="20% - Accent1 9 2 6 2 4" xfId="3663"/>
    <cellStyle name="20% - Accent1 9 2 6 3" xfId="3664"/>
    <cellStyle name="20% - Accent1 9 2 6 3 2" xfId="3665"/>
    <cellStyle name="20% - Accent1 9 2 6 3 2 2" xfId="3666"/>
    <cellStyle name="20% - Accent1 9 2 6 3 3" xfId="3667"/>
    <cellStyle name="20% - Accent1 9 2 6 4" xfId="3668"/>
    <cellStyle name="20% - Accent1 9 2 6 4 2" xfId="3669"/>
    <cellStyle name="20% - Accent1 9 2 6 5" xfId="3670"/>
    <cellStyle name="20% - Accent1 9 2 7" xfId="3671"/>
    <cellStyle name="20% - Accent1 9 2 7 2" xfId="3672"/>
    <cellStyle name="20% - Accent1 9 2 7 2 2" xfId="3673"/>
    <cellStyle name="20% - Accent1 9 2 7 2 2 2" xfId="3674"/>
    <cellStyle name="20% - Accent1 9 2 7 2 3" xfId="3675"/>
    <cellStyle name="20% - Accent1 9 2 7 3" xfId="3676"/>
    <cellStyle name="20% - Accent1 9 2 7 3 2" xfId="3677"/>
    <cellStyle name="20% - Accent1 9 2 7 4" xfId="3678"/>
    <cellStyle name="20% - Accent1 9 2 8" xfId="3679"/>
    <cellStyle name="20% - Accent1 9 2 8 2" xfId="3680"/>
    <cellStyle name="20% - Accent1 9 2 8 2 2" xfId="3681"/>
    <cellStyle name="20% - Accent1 9 2 8 3" xfId="3682"/>
    <cellStyle name="20% - Accent1 9 2 9" xfId="3683"/>
    <cellStyle name="20% - Accent1 9 2 9 2" xfId="3684"/>
    <cellStyle name="20% - Accent1 9 3" xfId="3685"/>
    <cellStyle name="20% - Accent1 9 3 2" xfId="3686"/>
    <cellStyle name="20% - Accent1 9 3 2 2" xfId="3687"/>
    <cellStyle name="20% - Accent1 9 3 2 2 2" xfId="3688"/>
    <cellStyle name="20% - Accent1 9 3 2 2 2 2" xfId="3689"/>
    <cellStyle name="20% - Accent1 9 3 2 2 3" xfId="3690"/>
    <cellStyle name="20% - Accent1 9 3 2 3" xfId="3691"/>
    <cellStyle name="20% - Accent1 9 3 2 3 2" xfId="3692"/>
    <cellStyle name="20% - Accent1 9 3 2 4" xfId="3693"/>
    <cellStyle name="20% - Accent1 9 3 3" xfId="3694"/>
    <cellStyle name="20% - Accent1 9 3 3 2" xfId="3695"/>
    <cellStyle name="20% - Accent1 9 3 3 2 2" xfId="3696"/>
    <cellStyle name="20% - Accent1 9 3 3 3" xfId="3697"/>
    <cellStyle name="20% - Accent1 9 3 4" xfId="3698"/>
    <cellStyle name="20% - Accent1 9 3 4 2" xfId="3699"/>
    <cellStyle name="20% - Accent1 9 3 5" xfId="3700"/>
    <cellStyle name="20% - Accent1 9 4" xfId="3701"/>
    <cellStyle name="20% - Accent1 9 4 2" xfId="3702"/>
    <cellStyle name="20% - Accent1 9 4 2 2" xfId="3703"/>
    <cellStyle name="20% - Accent1 9 4 2 2 2" xfId="3704"/>
    <cellStyle name="20% - Accent1 9 4 2 2 2 2" xfId="3705"/>
    <cellStyle name="20% - Accent1 9 4 2 2 3" xfId="3706"/>
    <cellStyle name="20% - Accent1 9 4 2 3" xfId="3707"/>
    <cellStyle name="20% - Accent1 9 4 2 3 2" xfId="3708"/>
    <cellStyle name="20% - Accent1 9 4 2 4" xfId="3709"/>
    <cellStyle name="20% - Accent1 9 4 3" xfId="3710"/>
    <cellStyle name="20% - Accent1 9 4 3 2" xfId="3711"/>
    <cellStyle name="20% - Accent1 9 4 3 2 2" xfId="3712"/>
    <cellStyle name="20% - Accent1 9 4 3 3" xfId="3713"/>
    <cellStyle name="20% - Accent1 9 4 4" xfId="3714"/>
    <cellStyle name="20% - Accent1 9 4 4 2" xfId="3715"/>
    <cellStyle name="20% - Accent1 9 4 5" xfId="3716"/>
    <cellStyle name="20% - Accent1 9 5" xfId="3717"/>
    <cellStyle name="20% - Accent1 9 5 2" xfId="3718"/>
    <cellStyle name="20% - Accent1 9 5 2 2" xfId="3719"/>
    <cellStyle name="20% - Accent1 9 5 2 2 2" xfId="3720"/>
    <cellStyle name="20% - Accent1 9 5 2 2 2 2" xfId="3721"/>
    <cellStyle name="20% - Accent1 9 5 2 2 3" xfId="3722"/>
    <cellStyle name="20% - Accent1 9 5 2 3" xfId="3723"/>
    <cellStyle name="20% - Accent1 9 5 2 3 2" xfId="3724"/>
    <cellStyle name="20% - Accent1 9 5 2 4" xfId="3725"/>
    <cellStyle name="20% - Accent1 9 5 3" xfId="3726"/>
    <cellStyle name="20% - Accent1 9 5 3 2" xfId="3727"/>
    <cellStyle name="20% - Accent1 9 5 3 2 2" xfId="3728"/>
    <cellStyle name="20% - Accent1 9 5 3 3" xfId="3729"/>
    <cellStyle name="20% - Accent1 9 5 4" xfId="3730"/>
    <cellStyle name="20% - Accent1 9 5 4 2" xfId="3731"/>
    <cellStyle name="20% - Accent1 9 5 5" xfId="3732"/>
    <cellStyle name="20% - Accent1 9 6" xfId="3733"/>
    <cellStyle name="20% - Accent1 9 6 2" xfId="3734"/>
    <cellStyle name="20% - Accent1 9 6 2 2" xfId="3735"/>
    <cellStyle name="20% - Accent1 9 6 2 2 2" xfId="3736"/>
    <cellStyle name="20% - Accent1 9 6 2 2 2 2" xfId="3737"/>
    <cellStyle name="20% - Accent1 9 6 2 2 3" xfId="3738"/>
    <cellStyle name="20% - Accent1 9 6 2 3" xfId="3739"/>
    <cellStyle name="20% - Accent1 9 6 2 3 2" xfId="3740"/>
    <cellStyle name="20% - Accent1 9 6 2 4" xfId="3741"/>
    <cellStyle name="20% - Accent1 9 6 3" xfId="3742"/>
    <cellStyle name="20% - Accent1 9 6 3 2" xfId="3743"/>
    <cellStyle name="20% - Accent1 9 6 3 2 2" xfId="3744"/>
    <cellStyle name="20% - Accent1 9 6 3 3" xfId="3745"/>
    <cellStyle name="20% - Accent1 9 6 4" xfId="3746"/>
    <cellStyle name="20% - Accent1 9 6 4 2" xfId="3747"/>
    <cellStyle name="20% - Accent1 9 6 5" xfId="3748"/>
    <cellStyle name="20% - Accent1 9 7" xfId="3749"/>
    <cellStyle name="20% - Accent1 9 7 2" xfId="3750"/>
    <cellStyle name="20% - Accent1 9 7 2 2" xfId="3751"/>
    <cellStyle name="20% - Accent1 9 7 2 2 2" xfId="3752"/>
    <cellStyle name="20% - Accent1 9 7 2 2 2 2" xfId="3753"/>
    <cellStyle name="20% - Accent1 9 7 2 2 3" xfId="3754"/>
    <cellStyle name="20% - Accent1 9 7 2 3" xfId="3755"/>
    <cellStyle name="20% - Accent1 9 7 2 3 2" xfId="3756"/>
    <cellStyle name="20% - Accent1 9 7 2 4" xfId="3757"/>
    <cellStyle name="20% - Accent1 9 7 3" xfId="3758"/>
    <cellStyle name="20% - Accent1 9 7 3 2" xfId="3759"/>
    <cellStyle name="20% - Accent1 9 7 3 2 2" xfId="3760"/>
    <cellStyle name="20% - Accent1 9 7 3 3" xfId="3761"/>
    <cellStyle name="20% - Accent1 9 7 4" xfId="3762"/>
    <cellStyle name="20% - Accent1 9 7 4 2" xfId="3763"/>
    <cellStyle name="20% - Accent1 9 7 5" xfId="3764"/>
    <cellStyle name="20% - Accent1 9 8" xfId="3765"/>
    <cellStyle name="20% - Accent1 9 8 2" xfId="3766"/>
    <cellStyle name="20% - Accent1 9 8 2 2" xfId="3767"/>
    <cellStyle name="20% - Accent1 9 8 2 2 2" xfId="3768"/>
    <cellStyle name="20% - Accent1 9 8 2 3" xfId="3769"/>
    <cellStyle name="20% - Accent1 9 8 3" xfId="3770"/>
    <cellStyle name="20% - Accent1 9 8 3 2" xfId="3771"/>
    <cellStyle name="20% - Accent1 9 8 4" xfId="3772"/>
    <cellStyle name="20% - Accent1 9 9" xfId="3773"/>
    <cellStyle name="20% - Accent1 9 9 2" xfId="3774"/>
    <cellStyle name="20% - Accent1 9 9 2 2" xfId="3775"/>
    <cellStyle name="20% - Accent1 9 9 3" xfId="3776"/>
    <cellStyle name="20% - Accent2 10" xfId="3777"/>
    <cellStyle name="20% - Accent2 10 10" xfId="3778"/>
    <cellStyle name="20% - Accent2 10 10 2" xfId="3779"/>
    <cellStyle name="20% - Accent2 10 11" xfId="3780"/>
    <cellStyle name="20% - Accent2 10 2" xfId="3781"/>
    <cellStyle name="20% - Accent2 10 2 10" xfId="3782"/>
    <cellStyle name="20% - Accent2 10 2 2" xfId="3783"/>
    <cellStyle name="20% - Accent2 10 2 2 2" xfId="3784"/>
    <cellStyle name="20% - Accent2 10 2 2 2 2" xfId="3785"/>
    <cellStyle name="20% - Accent2 10 2 2 2 2 2" xfId="3786"/>
    <cellStyle name="20% - Accent2 10 2 2 2 2 2 2" xfId="3787"/>
    <cellStyle name="20% - Accent2 10 2 2 2 2 3" xfId="3788"/>
    <cellStyle name="20% - Accent2 10 2 2 2 3" xfId="3789"/>
    <cellStyle name="20% - Accent2 10 2 2 2 3 2" xfId="3790"/>
    <cellStyle name="20% - Accent2 10 2 2 2 4" xfId="3791"/>
    <cellStyle name="20% - Accent2 10 2 2 3" xfId="3792"/>
    <cellStyle name="20% - Accent2 10 2 2 3 2" xfId="3793"/>
    <cellStyle name="20% - Accent2 10 2 2 3 2 2" xfId="3794"/>
    <cellStyle name="20% - Accent2 10 2 2 3 3" xfId="3795"/>
    <cellStyle name="20% - Accent2 10 2 2 4" xfId="3796"/>
    <cellStyle name="20% - Accent2 10 2 2 4 2" xfId="3797"/>
    <cellStyle name="20% - Accent2 10 2 2 5" xfId="3798"/>
    <cellStyle name="20% - Accent2 10 2 3" xfId="3799"/>
    <cellStyle name="20% - Accent2 10 2 3 2" xfId="3800"/>
    <cellStyle name="20% - Accent2 10 2 3 2 2" xfId="3801"/>
    <cellStyle name="20% - Accent2 10 2 3 2 2 2" xfId="3802"/>
    <cellStyle name="20% - Accent2 10 2 3 2 2 2 2" xfId="3803"/>
    <cellStyle name="20% - Accent2 10 2 3 2 2 3" xfId="3804"/>
    <cellStyle name="20% - Accent2 10 2 3 2 3" xfId="3805"/>
    <cellStyle name="20% - Accent2 10 2 3 2 3 2" xfId="3806"/>
    <cellStyle name="20% - Accent2 10 2 3 2 4" xfId="3807"/>
    <cellStyle name="20% - Accent2 10 2 3 3" xfId="3808"/>
    <cellStyle name="20% - Accent2 10 2 3 3 2" xfId="3809"/>
    <cellStyle name="20% - Accent2 10 2 3 3 2 2" xfId="3810"/>
    <cellStyle name="20% - Accent2 10 2 3 3 3" xfId="3811"/>
    <cellStyle name="20% - Accent2 10 2 3 4" xfId="3812"/>
    <cellStyle name="20% - Accent2 10 2 3 4 2" xfId="3813"/>
    <cellStyle name="20% - Accent2 10 2 3 5" xfId="3814"/>
    <cellStyle name="20% - Accent2 10 2 4" xfId="3815"/>
    <cellStyle name="20% - Accent2 10 2 4 2" xfId="3816"/>
    <cellStyle name="20% - Accent2 10 2 4 2 2" xfId="3817"/>
    <cellStyle name="20% - Accent2 10 2 4 2 2 2" xfId="3818"/>
    <cellStyle name="20% - Accent2 10 2 4 2 2 2 2" xfId="3819"/>
    <cellStyle name="20% - Accent2 10 2 4 2 2 3" xfId="3820"/>
    <cellStyle name="20% - Accent2 10 2 4 2 3" xfId="3821"/>
    <cellStyle name="20% - Accent2 10 2 4 2 3 2" xfId="3822"/>
    <cellStyle name="20% - Accent2 10 2 4 2 4" xfId="3823"/>
    <cellStyle name="20% - Accent2 10 2 4 3" xfId="3824"/>
    <cellStyle name="20% - Accent2 10 2 4 3 2" xfId="3825"/>
    <cellStyle name="20% - Accent2 10 2 4 3 2 2" xfId="3826"/>
    <cellStyle name="20% - Accent2 10 2 4 3 3" xfId="3827"/>
    <cellStyle name="20% - Accent2 10 2 4 4" xfId="3828"/>
    <cellStyle name="20% - Accent2 10 2 4 4 2" xfId="3829"/>
    <cellStyle name="20% - Accent2 10 2 4 5" xfId="3830"/>
    <cellStyle name="20% - Accent2 10 2 5" xfId="3831"/>
    <cellStyle name="20% - Accent2 10 2 5 2" xfId="3832"/>
    <cellStyle name="20% - Accent2 10 2 5 2 2" xfId="3833"/>
    <cellStyle name="20% - Accent2 10 2 5 2 2 2" xfId="3834"/>
    <cellStyle name="20% - Accent2 10 2 5 2 2 2 2" xfId="3835"/>
    <cellStyle name="20% - Accent2 10 2 5 2 2 3" xfId="3836"/>
    <cellStyle name="20% - Accent2 10 2 5 2 3" xfId="3837"/>
    <cellStyle name="20% - Accent2 10 2 5 2 3 2" xfId="3838"/>
    <cellStyle name="20% - Accent2 10 2 5 2 4" xfId="3839"/>
    <cellStyle name="20% - Accent2 10 2 5 3" xfId="3840"/>
    <cellStyle name="20% - Accent2 10 2 5 3 2" xfId="3841"/>
    <cellStyle name="20% - Accent2 10 2 5 3 2 2" xfId="3842"/>
    <cellStyle name="20% - Accent2 10 2 5 3 3" xfId="3843"/>
    <cellStyle name="20% - Accent2 10 2 5 4" xfId="3844"/>
    <cellStyle name="20% - Accent2 10 2 5 4 2" xfId="3845"/>
    <cellStyle name="20% - Accent2 10 2 5 5" xfId="3846"/>
    <cellStyle name="20% - Accent2 10 2 6" xfId="3847"/>
    <cellStyle name="20% - Accent2 10 2 6 2" xfId="3848"/>
    <cellStyle name="20% - Accent2 10 2 6 2 2" xfId="3849"/>
    <cellStyle name="20% - Accent2 10 2 6 2 2 2" xfId="3850"/>
    <cellStyle name="20% - Accent2 10 2 6 2 2 2 2" xfId="3851"/>
    <cellStyle name="20% - Accent2 10 2 6 2 2 3" xfId="3852"/>
    <cellStyle name="20% - Accent2 10 2 6 2 3" xfId="3853"/>
    <cellStyle name="20% - Accent2 10 2 6 2 3 2" xfId="3854"/>
    <cellStyle name="20% - Accent2 10 2 6 2 4" xfId="3855"/>
    <cellStyle name="20% - Accent2 10 2 6 3" xfId="3856"/>
    <cellStyle name="20% - Accent2 10 2 6 3 2" xfId="3857"/>
    <cellStyle name="20% - Accent2 10 2 6 3 2 2" xfId="3858"/>
    <cellStyle name="20% - Accent2 10 2 6 3 3" xfId="3859"/>
    <cellStyle name="20% - Accent2 10 2 6 4" xfId="3860"/>
    <cellStyle name="20% - Accent2 10 2 6 4 2" xfId="3861"/>
    <cellStyle name="20% - Accent2 10 2 6 5" xfId="3862"/>
    <cellStyle name="20% - Accent2 10 2 7" xfId="3863"/>
    <cellStyle name="20% - Accent2 10 2 7 2" xfId="3864"/>
    <cellStyle name="20% - Accent2 10 2 7 2 2" xfId="3865"/>
    <cellStyle name="20% - Accent2 10 2 7 2 2 2" xfId="3866"/>
    <cellStyle name="20% - Accent2 10 2 7 2 3" xfId="3867"/>
    <cellStyle name="20% - Accent2 10 2 7 3" xfId="3868"/>
    <cellStyle name="20% - Accent2 10 2 7 3 2" xfId="3869"/>
    <cellStyle name="20% - Accent2 10 2 7 4" xfId="3870"/>
    <cellStyle name="20% - Accent2 10 2 8" xfId="3871"/>
    <cellStyle name="20% - Accent2 10 2 8 2" xfId="3872"/>
    <cellStyle name="20% - Accent2 10 2 8 2 2" xfId="3873"/>
    <cellStyle name="20% - Accent2 10 2 8 3" xfId="3874"/>
    <cellStyle name="20% - Accent2 10 2 9" xfId="3875"/>
    <cellStyle name="20% - Accent2 10 2 9 2" xfId="3876"/>
    <cellStyle name="20% - Accent2 10 3" xfId="3877"/>
    <cellStyle name="20% - Accent2 10 3 2" xfId="3878"/>
    <cellStyle name="20% - Accent2 10 3 2 2" xfId="3879"/>
    <cellStyle name="20% - Accent2 10 3 2 2 2" xfId="3880"/>
    <cellStyle name="20% - Accent2 10 3 2 2 2 2" xfId="3881"/>
    <cellStyle name="20% - Accent2 10 3 2 2 3" xfId="3882"/>
    <cellStyle name="20% - Accent2 10 3 2 3" xfId="3883"/>
    <cellStyle name="20% - Accent2 10 3 2 3 2" xfId="3884"/>
    <cellStyle name="20% - Accent2 10 3 2 4" xfId="3885"/>
    <cellStyle name="20% - Accent2 10 3 3" xfId="3886"/>
    <cellStyle name="20% - Accent2 10 3 3 2" xfId="3887"/>
    <cellStyle name="20% - Accent2 10 3 3 2 2" xfId="3888"/>
    <cellStyle name="20% - Accent2 10 3 3 3" xfId="3889"/>
    <cellStyle name="20% - Accent2 10 3 4" xfId="3890"/>
    <cellStyle name="20% - Accent2 10 3 4 2" xfId="3891"/>
    <cellStyle name="20% - Accent2 10 3 5" xfId="3892"/>
    <cellStyle name="20% - Accent2 10 4" xfId="3893"/>
    <cellStyle name="20% - Accent2 10 4 2" xfId="3894"/>
    <cellStyle name="20% - Accent2 10 4 2 2" xfId="3895"/>
    <cellStyle name="20% - Accent2 10 4 2 2 2" xfId="3896"/>
    <cellStyle name="20% - Accent2 10 4 2 2 2 2" xfId="3897"/>
    <cellStyle name="20% - Accent2 10 4 2 2 3" xfId="3898"/>
    <cellStyle name="20% - Accent2 10 4 2 3" xfId="3899"/>
    <cellStyle name="20% - Accent2 10 4 2 3 2" xfId="3900"/>
    <cellStyle name="20% - Accent2 10 4 2 4" xfId="3901"/>
    <cellStyle name="20% - Accent2 10 4 3" xfId="3902"/>
    <cellStyle name="20% - Accent2 10 4 3 2" xfId="3903"/>
    <cellStyle name="20% - Accent2 10 4 3 2 2" xfId="3904"/>
    <cellStyle name="20% - Accent2 10 4 3 3" xfId="3905"/>
    <cellStyle name="20% - Accent2 10 4 4" xfId="3906"/>
    <cellStyle name="20% - Accent2 10 4 4 2" xfId="3907"/>
    <cellStyle name="20% - Accent2 10 4 5" xfId="3908"/>
    <cellStyle name="20% - Accent2 10 5" xfId="3909"/>
    <cellStyle name="20% - Accent2 10 5 2" xfId="3910"/>
    <cellStyle name="20% - Accent2 10 5 2 2" xfId="3911"/>
    <cellStyle name="20% - Accent2 10 5 2 2 2" xfId="3912"/>
    <cellStyle name="20% - Accent2 10 5 2 2 2 2" xfId="3913"/>
    <cellStyle name="20% - Accent2 10 5 2 2 3" xfId="3914"/>
    <cellStyle name="20% - Accent2 10 5 2 3" xfId="3915"/>
    <cellStyle name="20% - Accent2 10 5 2 3 2" xfId="3916"/>
    <cellStyle name="20% - Accent2 10 5 2 4" xfId="3917"/>
    <cellStyle name="20% - Accent2 10 5 3" xfId="3918"/>
    <cellStyle name="20% - Accent2 10 5 3 2" xfId="3919"/>
    <cellStyle name="20% - Accent2 10 5 3 2 2" xfId="3920"/>
    <cellStyle name="20% - Accent2 10 5 3 3" xfId="3921"/>
    <cellStyle name="20% - Accent2 10 5 4" xfId="3922"/>
    <cellStyle name="20% - Accent2 10 5 4 2" xfId="3923"/>
    <cellStyle name="20% - Accent2 10 5 5" xfId="3924"/>
    <cellStyle name="20% - Accent2 10 6" xfId="3925"/>
    <cellStyle name="20% - Accent2 10 6 2" xfId="3926"/>
    <cellStyle name="20% - Accent2 10 6 2 2" xfId="3927"/>
    <cellStyle name="20% - Accent2 10 6 2 2 2" xfId="3928"/>
    <cellStyle name="20% - Accent2 10 6 2 2 2 2" xfId="3929"/>
    <cellStyle name="20% - Accent2 10 6 2 2 3" xfId="3930"/>
    <cellStyle name="20% - Accent2 10 6 2 3" xfId="3931"/>
    <cellStyle name="20% - Accent2 10 6 2 3 2" xfId="3932"/>
    <cellStyle name="20% - Accent2 10 6 2 4" xfId="3933"/>
    <cellStyle name="20% - Accent2 10 6 3" xfId="3934"/>
    <cellStyle name="20% - Accent2 10 6 3 2" xfId="3935"/>
    <cellStyle name="20% - Accent2 10 6 3 2 2" xfId="3936"/>
    <cellStyle name="20% - Accent2 10 6 3 3" xfId="3937"/>
    <cellStyle name="20% - Accent2 10 6 4" xfId="3938"/>
    <cellStyle name="20% - Accent2 10 6 4 2" xfId="3939"/>
    <cellStyle name="20% - Accent2 10 6 5" xfId="3940"/>
    <cellStyle name="20% - Accent2 10 7" xfId="3941"/>
    <cellStyle name="20% - Accent2 10 7 2" xfId="3942"/>
    <cellStyle name="20% - Accent2 10 7 2 2" xfId="3943"/>
    <cellStyle name="20% - Accent2 10 7 2 2 2" xfId="3944"/>
    <cellStyle name="20% - Accent2 10 7 2 2 2 2" xfId="3945"/>
    <cellStyle name="20% - Accent2 10 7 2 2 3" xfId="3946"/>
    <cellStyle name="20% - Accent2 10 7 2 3" xfId="3947"/>
    <cellStyle name="20% - Accent2 10 7 2 3 2" xfId="3948"/>
    <cellStyle name="20% - Accent2 10 7 2 4" xfId="3949"/>
    <cellStyle name="20% - Accent2 10 7 3" xfId="3950"/>
    <cellStyle name="20% - Accent2 10 7 3 2" xfId="3951"/>
    <cellStyle name="20% - Accent2 10 7 3 2 2" xfId="3952"/>
    <cellStyle name="20% - Accent2 10 7 3 3" xfId="3953"/>
    <cellStyle name="20% - Accent2 10 7 4" xfId="3954"/>
    <cellStyle name="20% - Accent2 10 7 4 2" xfId="3955"/>
    <cellStyle name="20% - Accent2 10 7 5" xfId="3956"/>
    <cellStyle name="20% - Accent2 10 8" xfId="3957"/>
    <cellStyle name="20% - Accent2 10 8 2" xfId="3958"/>
    <cellStyle name="20% - Accent2 10 8 2 2" xfId="3959"/>
    <cellStyle name="20% - Accent2 10 8 2 2 2" xfId="3960"/>
    <cellStyle name="20% - Accent2 10 8 2 3" xfId="3961"/>
    <cellStyle name="20% - Accent2 10 8 3" xfId="3962"/>
    <cellStyle name="20% - Accent2 10 8 3 2" xfId="3963"/>
    <cellStyle name="20% - Accent2 10 8 4" xfId="3964"/>
    <cellStyle name="20% - Accent2 10 9" xfId="3965"/>
    <cellStyle name="20% - Accent2 10 9 2" xfId="3966"/>
    <cellStyle name="20% - Accent2 10 9 2 2" xfId="3967"/>
    <cellStyle name="20% - Accent2 10 9 3" xfId="3968"/>
    <cellStyle name="20% - Accent2 11" xfId="3969"/>
    <cellStyle name="20% - Accent2 11 10" xfId="3970"/>
    <cellStyle name="20% - Accent2 11 10 2" xfId="3971"/>
    <cellStyle name="20% - Accent2 11 11" xfId="3972"/>
    <cellStyle name="20% - Accent2 11 2" xfId="3973"/>
    <cellStyle name="20% - Accent2 11 2 10" xfId="3974"/>
    <cellStyle name="20% - Accent2 11 2 2" xfId="3975"/>
    <cellStyle name="20% - Accent2 11 2 2 2" xfId="3976"/>
    <cellStyle name="20% - Accent2 11 2 2 2 2" xfId="3977"/>
    <cellStyle name="20% - Accent2 11 2 2 2 2 2" xfId="3978"/>
    <cellStyle name="20% - Accent2 11 2 2 2 2 2 2" xfId="3979"/>
    <cellStyle name="20% - Accent2 11 2 2 2 2 3" xfId="3980"/>
    <cellStyle name="20% - Accent2 11 2 2 2 3" xfId="3981"/>
    <cellStyle name="20% - Accent2 11 2 2 2 3 2" xfId="3982"/>
    <cellStyle name="20% - Accent2 11 2 2 2 4" xfId="3983"/>
    <cellStyle name="20% - Accent2 11 2 2 3" xfId="3984"/>
    <cellStyle name="20% - Accent2 11 2 2 3 2" xfId="3985"/>
    <cellStyle name="20% - Accent2 11 2 2 3 2 2" xfId="3986"/>
    <cellStyle name="20% - Accent2 11 2 2 3 3" xfId="3987"/>
    <cellStyle name="20% - Accent2 11 2 2 4" xfId="3988"/>
    <cellStyle name="20% - Accent2 11 2 2 4 2" xfId="3989"/>
    <cellStyle name="20% - Accent2 11 2 2 5" xfId="3990"/>
    <cellStyle name="20% - Accent2 11 2 3" xfId="3991"/>
    <cellStyle name="20% - Accent2 11 2 3 2" xfId="3992"/>
    <cellStyle name="20% - Accent2 11 2 3 2 2" xfId="3993"/>
    <cellStyle name="20% - Accent2 11 2 3 2 2 2" xfId="3994"/>
    <cellStyle name="20% - Accent2 11 2 3 2 2 2 2" xfId="3995"/>
    <cellStyle name="20% - Accent2 11 2 3 2 2 3" xfId="3996"/>
    <cellStyle name="20% - Accent2 11 2 3 2 3" xfId="3997"/>
    <cellStyle name="20% - Accent2 11 2 3 2 3 2" xfId="3998"/>
    <cellStyle name="20% - Accent2 11 2 3 2 4" xfId="3999"/>
    <cellStyle name="20% - Accent2 11 2 3 3" xfId="4000"/>
    <cellStyle name="20% - Accent2 11 2 3 3 2" xfId="4001"/>
    <cellStyle name="20% - Accent2 11 2 3 3 2 2" xfId="4002"/>
    <cellStyle name="20% - Accent2 11 2 3 3 3" xfId="4003"/>
    <cellStyle name="20% - Accent2 11 2 3 4" xfId="4004"/>
    <cellStyle name="20% - Accent2 11 2 3 4 2" xfId="4005"/>
    <cellStyle name="20% - Accent2 11 2 3 5" xfId="4006"/>
    <cellStyle name="20% - Accent2 11 2 4" xfId="4007"/>
    <cellStyle name="20% - Accent2 11 2 4 2" xfId="4008"/>
    <cellStyle name="20% - Accent2 11 2 4 2 2" xfId="4009"/>
    <cellStyle name="20% - Accent2 11 2 4 2 2 2" xfId="4010"/>
    <cellStyle name="20% - Accent2 11 2 4 2 2 2 2" xfId="4011"/>
    <cellStyle name="20% - Accent2 11 2 4 2 2 3" xfId="4012"/>
    <cellStyle name="20% - Accent2 11 2 4 2 3" xfId="4013"/>
    <cellStyle name="20% - Accent2 11 2 4 2 3 2" xfId="4014"/>
    <cellStyle name="20% - Accent2 11 2 4 2 4" xfId="4015"/>
    <cellStyle name="20% - Accent2 11 2 4 3" xfId="4016"/>
    <cellStyle name="20% - Accent2 11 2 4 3 2" xfId="4017"/>
    <cellStyle name="20% - Accent2 11 2 4 3 2 2" xfId="4018"/>
    <cellStyle name="20% - Accent2 11 2 4 3 3" xfId="4019"/>
    <cellStyle name="20% - Accent2 11 2 4 4" xfId="4020"/>
    <cellStyle name="20% - Accent2 11 2 4 4 2" xfId="4021"/>
    <cellStyle name="20% - Accent2 11 2 4 5" xfId="4022"/>
    <cellStyle name="20% - Accent2 11 2 5" xfId="4023"/>
    <cellStyle name="20% - Accent2 11 2 5 2" xfId="4024"/>
    <cellStyle name="20% - Accent2 11 2 5 2 2" xfId="4025"/>
    <cellStyle name="20% - Accent2 11 2 5 2 2 2" xfId="4026"/>
    <cellStyle name="20% - Accent2 11 2 5 2 2 2 2" xfId="4027"/>
    <cellStyle name="20% - Accent2 11 2 5 2 2 3" xfId="4028"/>
    <cellStyle name="20% - Accent2 11 2 5 2 3" xfId="4029"/>
    <cellStyle name="20% - Accent2 11 2 5 2 3 2" xfId="4030"/>
    <cellStyle name="20% - Accent2 11 2 5 2 4" xfId="4031"/>
    <cellStyle name="20% - Accent2 11 2 5 3" xfId="4032"/>
    <cellStyle name="20% - Accent2 11 2 5 3 2" xfId="4033"/>
    <cellStyle name="20% - Accent2 11 2 5 3 2 2" xfId="4034"/>
    <cellStyle name="20% - Accent2 11 2 5 3 3" xfId="4035"/>
    <cellStyle name="20% - Accent2 11 2 5 4" xfId="4036"/>
    <cellStyle name="20% - Accent2 11 2 5 4 2" xfId="4037"/>
    <cellStyle name="20% - Accent2 11 2 5 5" xfId="4038"/>
    <cellStyle name="20% - Accent2 11 2 6" xfId="4039"/>
    <cellStyle name="20% - Accent2 11 2 6 2" xfId="4040"/>
    <cellStyle name="20% - Accent2 11 2 6 2 2" xfId="4041"/>
    <cellStyle name="20% - Accent2 11 2 6 2 2 2" xfId="4042"/>
    <cellStyle name="20% - Accent2 11 2 6 2 2 2 2" xfId="4043"/>
    <cellStyle name="20% - Accent2 11 2 6 2 2 3" xfId="4044"/>
    <cellStyle name="20% - Accent2 11 2 6 2 3" xfId="4045"/>
    <cellStyle name="20% - Accent2 11 2 6 2 3 2" xfId="4046"/>
    <cellStyle name="20% - Accent2 11 2 6 2 4" xfId="4047"/>
    <cellStyle name="20% - Accent2 11 2 6 3" xfId="4048"/>
    <cellStyle name="20% - Accent2 11 2 6 3 2" xfId="4049"/>
    <cellStyle name="20% - Accent2 11 2 6 3 2 2" xfId="4050"/>
    <cellStyle name="20% - Accent2 11 2 6 3 3" xfId="4051"/>
    <cellStyle name="20% - Accent2 11 2 6 4" xfId="4052"/>
    <cellStyle name="20% - Accent2 11 2 6 4 2" xfId="4053"/>
    <cellStyle name="20% - Accent2 11 2 6 5" xfId="4054"/>
    <cellStyle name="20% - Accent2 11 2 7" xfId="4055"/>
    <cellStyle name="20% - Accent2 11 2 7 2" xfId="4056"/>
    <cellStyle name="20% - Accent2 11 2 7 2 2" xfId="4057"/>
    <cellStyle name="20% - Accent2 11 2 7 2 2 2" xfId="4058"/>
    <cellStyle name="20% - Accent2 11 2 7 2 3" xfId="4059"/>
    <cellStyle name="20% - Accent2 11 2 7 3" xfId="4060"/>
    <cellStyle name="20% - Accent2 11 2 7 3 2" xfId="4061"/>
    <cellStyle name="20% - Accent2 11 2 7 4" xfId="4062"/>
    <cellStyle name="20% - Accent2 11 2 8" xfId="4063"/>
    <cellStyle name="20% - Accent2 11 2 8 2" xfId="4064"/>
    <cellStyle name="20% - Accent2 11 2 8 2 2" xfId="4065"/>
    <cellStyle name="20% - Accent2 11 2 8 3" xfId="4066"/>
    <cellStyle name="20% - Accent2 11 2 9" xfId="4067"/>
    <cellStyle name="20% - Accent2 11 2 9 2" xfId="4068"/>
    <cellStyle name="20% - Accent2 11 3" xfId="4069"/>
    <cellStyle name="20% - Accent2 11 3 2" xfId="4070"/>
    <cellStyle name="20% - Accent2 11 3 2 2" xfId="4071"/>
    <cellStyle name="20% - Accent2 11 3 2 2 2" xfId="4072"/>
    <cellStyle name="20% - Accent2 11 3 2 2 2 2" xfId="4073"/>
    <cellStyle name="20% - Accent2 11 3 2 2 3" xfId="4074"/>
    <cellStyle name="20% - Accent2 11 3 2 3" xfId="4075"/>
    <cellStyle name="20% - Accent2 11 3 2 3 2" xfId="4076"/>
    <cellStyle name="20% - Accent2 11 3 2 4" xfId="4077"/>
    <cellStyle name="20% - Accent2 11 3 3" xfId="4078"/>
    <cellStyle name="20% - Accent2 11 3 3 2" xfId="4079"/>
    <cellStyle name="20% - Accent2 11 3 3 2 2" xfId="4080"/>
    <cellStyle name="20% - Accent2 11 3 3 3" xfId="4081"/>
    <cellStyle name="20% - Accent2 11 3 4" xfId="4082"/>
    <cellStyle name="20% - Accent2 11 3 4 2" xfId="4083"/>
    <cellStyle name="20% - Accent2 11 3 5" xfId="4084"/>
    <cellStyle name="20% - Accent2 11 4" xfId="4085"/>
    <cellStyle name="20% - Accent2 11 4 2" xfId="4086"/>
    <cellStyle name="20% - Accent2 11 4 2 2" xfId="4087"/>
    <cellStyle name="20% - Accent2 11 4 2 2 2" xfId="4088"/>
    <cellStyle name="20% - Accent2 11 4 2 2 2 2" xfId="4089"/>
    <cellStyle name="20% - Accent2 11 4 2 2 3" xfId="4090"/>
    <cellStyle name="20% - Accent2 11 4 2 3" xfId="4091"/>
    <cellStyle name="20% - Accent2 11 4 2 3 2" xfId="4092"/>
    <cellStyle name="20% - Accent2 11 4 2 4" xfId="4093"/>
    <cellStyle name="20% - Accent2 11 4 3" xfId="4094"/>
    <cellStyle name="20% - Accent2 11 4 3 2" xfId="4095"/>
    <cellStyle name="20% - Accent2 11 4 3 2 2" xfId="4096"/>
    <cellStyle name="20% - Accent2 11 4 3 3" xfId="4097"/>
    <cellStyle name="20% - Accent2 11 4 4" xfId="4098"/>
    <cellStyle name="20% - Accent2 11 4 4 2" xfId="4099"/>
    <cellStyle name="20% - Accent2 11 4 5" xfId="4100"/>
    <cellStyle name="20% - Accent2 11 5" xfId="4101"/>
    <cellStyle name="20% - Accent2 11 5 2" xfId="4102"/>
    <cellStyle name="20% - Accent2 11 5 2 2" xfId="4103"/>
    <cellStyle name="20% - Accent2 11 5 2 2 2" xfId="4104"/>
    <cellStyle name="20% - Accent2 11 5 2 2 2 2" xfId="4105"/>
    <cellStyle name="20% - Accent2 11 5 2 2 3" xfId="4106"/>
    <cellStyle name="20% - Accent2 11 5 2 3" xfId="4107"/>
    <cellStyle name="20% - Accent2 11 5 2 3 2" xfId="4108"/>
    <cellStyle name="20% - Accent2 11 5 2 4" xfId="4109"/>
    <cellStyle name="20% - Accent2 11 5 3" xfId="4110"/>
    <cellStyle name="20% - Accent2 11 5 3 2" xfId="4111"/>
    <cellStyle name="20% - Accent2 11 5 3 2 2" xfId="4112"/>
    <cellStyle name="20% - Accent2 11 5 3 3" xfId="4113"/>
    <cellStyle name="20% - Accent2 11 5 4" xfId="4114"/>
    <cellStyle name="20% - Accent2 11 5 4 2" xfId="4115"/>
    <cellStyle name="20% - Accent2 11 5 5" xfId="4116"/>
    <cellStyle name="20% - Accent2 11 6" xfId="4117"/>
    <cellStyle name="20% - Accent2 11 6 2" xfId="4118"/>
    <cellStyle name="20% - Accent2 11 6 2 2" xfId="4119"/>
    <cellStyle name="20% - Accent2 11 6 2 2 2" xfId="4120"/>
    <cellStyle name="20% - Accent2 11 6 2 2 2 2" xfId="4121"/>
    <cellStyle name="20% - Accent2 11 6 2 2 3" xfId="4122"/>
    <cellStyle name="20% - Accent2 11 6 2 3" xfId="4123"/>
    <cellStyle name="20% - Accent2 11 6 2 3 2" xfId="4124"/>
    <cellStyle name="20% - Accent2 11 6 2 4" xfId="4125"/>
    <cellStyle name="20% - Accent2 11 6 3" xfId="4126"/>
    <cellStyle name="20% - Accent2 11 6 3 2" xfId="4127"/>
    <cellStyle name="20% - Accent2 11 6 3 2 2" xfId="4128"/>
    <cellStyle name="20% - Accent2 11 6 3 3" xfId="4129"/>
    <cellStyle name="20% - Accent2 11 6 4" xfId="4130"/>
    <cellStyle name="20% - Accent2 11 6 4 2" xfId="4131"/>
    <cellStyle name="20% - Accent2 11 6 5" xfId="4132"/>
    <cellStyle name="20% - Accent2 11 7" xfId="4133"/>
    <cellStyle name="20% - Accent2 11 7 2" xfId="4134"/>
    <cellStyle name="20% - Accent2 11 7 2 2" xfId="4135"/>
    <cellStyle name="20% - Accent2 11 7 2 2 2" xfId="4136"/>
    <cellStyle name="20% - Accent2 11 7 2 2 2 2" xfId="4137"/>
    <cellStyle name="20% - Accent2 11 7 2 2 3" xfId="4138"/>
    <cellStyle name="20% - Accent2 11 7 2 3" xfId="4139"/>
    <cellStyle name="20% - Accent2 11 7 2 3 2" xfId="4140"/>
    <cellStyle name="20% - Accent2 11 7 2 4" xfId="4141"/>
    <cellStyle name="20% - Accent2 11 7 3" xfId="4142"/>
    <cellStyle name="20% - Accent2 11 7 3 2" xfId="4143"/>
    <cellStyle name="20% - Accent2 11 7 3 2 2" xfId="4144"/>
    <cellStyle name="20% - Accent2 11 7 3 3" xfId="4145"/>
    <cellStyle name="20% - Accent2 11 7 4" xfId="4146"/>
    <cellStyle name="20% - Accent2 11 7 4 2" xfId="4147"/>
    <cellStyle name="20% - Accent2 11 7 5" xfId="4148"/>
    <cellStyle name="20% - Accent2 11 8" xfId="4149"/>
    <cellStyle name="20% - Accent2 11 8 2" xfId="4150"/>
    <cellStyle name="20% - Accent2 11 8 2 2" xfId="4151"/>
    <cellStyle name="20% - Accent2 11 8 2 2 2" xfId="4152"/>
    <cellStyle name="20% - Accent2 11 8 2 3" xfId="4153"/>
    <cellStyle name="20% - Accent2 11 8 3" xfId="4154"/>
    <cellStyle name="20% - Accent2 11 8 3 2" xfId="4155"/>
    <cellStyle name="20% - Accent2 11 8 4" xfId="4156"/>
    <cellStyle name="20% - Accent2 11 9" xfId="4157"/>
    <cellStyle name="20% - Accent2 11 9 2" xfId="4158"/>
    <cellStyle name="20% - Accent2 11 9 2 2" xfId="4159"/>
    <cellStyle name="20% - Accent2 11 9 3" xfId="4160"/>
    <cellStyle name="20% - Accent2 12" xfId="4161"/>
    <cellStyle name="20% - Accent2 12 10" xfId="4162"/>
    <cellStyle name="20% - Accent2 12 2" xfId="4163"/>
    <cellStyle name="20% - Accent2 12 2 2" xfId="4164"/>
    <cellStyle name="20% - Accent2 12 2 2 2" xfId="4165"/>
    <cellStyle name="20% - Accent2 12 2 2 2 2" xfId="4166"/>
    <cellStyle name="20% - Accent2 12 2 2 2 2 2" xfId="4167"/>
    <cellStyle name="20% - Accent2 12 2 2 2 3" xfId="4168"/>
    <cellStyle name="20% - Accent2 12 2 2 3" xfId="4169"/>
    <cellStyle name="20% - Accent2 12 2 2 3 2" xfId="4170"/>
    <cellStyle name="20% - Accent2 12 2 2 4" xfId="4171"/>
    <cellStyle name="20% - Accent2 12 2 3" xfId="4172"/>
    <cellStyle name="20% - Accent2 12 2 3 2" xfId="4173"/>
    <cellStyle name="20% - Accent2 12 2 3 2 2" xfId="4174"/>
    <cellStyle name="20% - Accent2 12 2 3 3" xfId="4175"/>
    <cellStyle name="20% - Accent2 12 2 4" xfId="4176"/>
    <cellStyle name="20% - Accent2 12 2 4 2" xfId="4177"/>
    <cellStyle name="20% - Accent2 12 2 5" xfId="4178"/>
    <cellStyle name="20% - Accent2 12 3" xfId="4179"/>
    <cellStyle name="20% - Accent2 12 3 2" xfId="4180"/>
    <cellStyle name="20% - Accent2 12 3 2 2" xfId="4181"/>
    <cellStyle name="20% - Accent2 12 3 2 2 2" xfId="4182"/>
    <cellStyle name="20% - Accent2 12 3 2 2 2 2" xfId="4183"/>
    <cellStyle name="20% - Accent2 12 3 2 2 3" xfId="4184"/>
    <cellStyle name="20% - Accent2 12 3 2 3" xfId="4185"/>
    <cellStyle name="20% - Accent2 12 3 2 3 2" xfId="4186"/>
    <cellStyle name="20% - Accent2 12 3 2 4" xfId="4187"/>
    <cellStyle name="20% - Accent2 12 3 3" xfId="4188"/>
    <cellStyle name="20% - Accent2 12 3 3 2" xfId="4189"/>
    <cellStyle name="20% - Accent2 12 3 3 2 2" xfId="4190"/>
    <cellStyle name="20% - Accent2 12 3 3 3" xfId="4191"/>
    <cellStyle name="20% - Accent2 12 3 4" xfId="4192"/>
    <cellStyle name="20% - Accent2 12 3 4 2" xfId="4193"/>
    <cellStyle name="20% - Accent2 12 3 5" xfId="4194"/>
    <cellStyle name="20% - Accent2 12 4" xfId="4195"/>
    <cellStyle name="20% - Accent2 12 4 2" xfId="4196"/>
    <cellStyle name="20% - Accent2 12 4 2 2" xfId="4197"/>
    <cellStyle name="20% - Accent2 12 4 2 2 2" xfId="4198"/>
    <cellStyle name="20% - Accent2 12 4 2 2 2 2" xfId="4199"/>
    <cellStyle name="20% - Accent2 12 4 2 2 3" xfId="4200"/>
    <cellStyle name="20% - Accent2 12 4 2 3" xfId="4201"/>
    <cellStyle name="20% - Accent2 12 4 2 3 2" xfId="4202"/>
    <cellStyle name="20% - Accent2 12 4 2 4" xfId="4203"/>
    <cellStyle name="20% - Accent2 12 4 3" xfId="4204"/>
    <cellStyle name="20% - Accent2 12 4 3 2" xfId="4205"/>
    <cellStyle name="20% - Accent2 12 4 3 2 2" xfId="4206"/>
    <cellStyle name="20% - Accent2 12 4 3 3" xfId="4207"/>
    <cellStyle name="20% - Accent2 12 4 4" xfId="4208"/>
    <cellStyle name="20% - Accent2 12 4 4 2" xfId="4209"/>
    <cellStyle name="20% - Accent2 12 4 5" xfId="4210"/>
    <cellStyle name="20% - Accent2 12 5" xfId="4211"/>
    <cellStyle name="20% - Accent2 12 5 2" xfId="4212"/>
    <cellStyle name="20% - Accent2 12 5 2 2" xfId="4213"/>
    <cellStyle name="20% - Accent2 12 5 2 2 2" xfId="4214"/>
    <cellStyle name="20% - Accent2 12 5 2 2 2 2" xfId="4215"/>
    <cellStyle name="20% - Accent2 12 5 2 2 3" xfId="4216"/>
    <cellStyle name="20% - Accent2 12 5 2 3" xfId="4217"/>
    <cellStyle name="20% - Accent2 12 5 2 3 2" xfId="4218"/>
    <cellStyle name="20% - Accent2 12 5 2 4" xfId="4219"/>
    <cellStyle name="20% - Accent2 12 5 3" xfId="4220"/>
    <cellStyle name="20% - Accent2 12 5 3 2" xfId="4221"/>
    <cellStyle name="20% - Accent2 12 5 3 2 2" xfId="4222"/>
    <cellStyle name="20% - Accent2 12 5 3 3" xfId="4223"/>
    <cellStyle name="20% - Accent2 12 5 4" xfId="4224"/>
    <cellStyle name="20% - Accent2 12 5 4 2" xfId="4225"/>
    <cellStyle name="20% - Accent2 12 5 5" xfId="4226"/>
    <cellStyle name="20% - Accent2 12 6" xfId="4227"/>
    <cellStyle name="20% - Accent2 12 6 2" xfId="4228"/>
    <cellStyle name="20% - Accent2 12 6 2 2" xfId="4229"/>
    <cellStyle name="20% - Accent2 12 6 2 2 2" xfId="4230"/>
    <cellStyle name="20% - Accent2 12 6 2 2 2 2" xfId="4231"/>
    <cellStyle name="20% - Accent2 12 6 2 2 3" xfId="4232"/>
    <cellStyle name="20% - Accent2 12 6 2 3" xfId="4233"/>
    <cellStyle name="20% - Accent2 12 6 2 3 2" xfId="4234"/>
    <cellStyle name="20% - Accent2 12 6 2 4" xfId="4235"/>
    <cellStyle name="20% - Accent2 12 6 3" xfId="4236"/>
    <cellStyle name="20% - Accent2 12 6 3 2" xfId="4237"/>
    <cellStyle name="20% - Accent2 12 6 3 2 2" xfId="4238"/>
    <cellStyle name="20% - Accent2 12 6 3 3" xfId="4239"/>
    <cellStyle name="20% - Accent2 12 6 4" xfId="4240"/>
    <cellStyle name="20% - Accent2 12 6 4 2" xfId="4241"/>
    <cellStyle name="20% - Accent2 12 6 5" xfId="4242"/>
    <cellStyle name="20% - Accent2 12 7" xfId="4243"/>
    <cellStyle name="20% - Accent2 12 7 2" xfId="4244"/>
    <cellStyle name="20% - Accent2 12 7 2 2" xfId="4245"/>
    <cellStyle name="20% - Accent2 12 7 2 2 2" xfId="4246"/>
    <cellStyle name="20% - Accent2 12 7 2 3" xfId="4247"/>
    <cellStyle name="20% - Accent2 12 7 3" xfId="4248"/>
    <cellStyle name="20% - Accent2 12 7 3 2" xfId="4249"/>
    <cellStyle name="20% - Accent2 12 7 4" xfId="4250"/>
    <cellStyle name="20% - Accent2 12 8" xfId="4251"/>
    <cellStyle name="20% - Accent2 12 8 2" xfId="4252"/>
    <cellStyle name="20% - Accent2 12 8 2 2" xfId="4253"/>
    <cellStyle name="20% - Accent2 12 8 3" xfId="4254"/>
    <cellStyle name="20% - Accent2 12 9" xfId="4255"/>
    <cellStyle name="20% - Accent2 12 9 2" xfId="4256"/>
    <cellStyle name="20% - Accent2 13" xfId="4257"/>
    <cellStyle name="20% - Accent2 13 10" xfId="4258"/>
    <cellStyle name="20% - Accent2 13 2" xfId="4259"/>
    <cellStyle name="20% - Accent2 13 2 2" xfId="4260"/>
    <cellStyle name="20% - Accent2 13 2 2 2" xfId="4261"/>
    <cellStyle name="20% - Accent2 13 2 2 2 2" xfId="4262"/>
    <cellStyle name="20% - Accent2 13 2 2 2 2 2" xfId="4263"/>
    <cellStyle name="20% - Accent2 13 2 2 2 3" xfId="4264"/>
    <cellStyle name="20% - Accent2 13 2 2 3" xfId="4265"/>
    <cellStyle name="20% - Accent2 13 2 2 3 2" xfId="4266"/>
    <cellStyle name="20% - Accent2 13 2 2 4" xfId="4267"/>
    <cellStyle name="20% - Accent2 13 2 3" xfId="4268"/>
    <cellStyle name="20% - Accent2 13 2 3 2" xfId="4269"/>
    <cellStyle name="20% - Accent2 13 2 3 2 2" xfId="4270"/>
    <cellStyle name="20% - Accent2 13 2 3 3" xfId="4271"/>
    <cellStyle name="20% - Accent2 13 2 4" xfId="4272"/>
    <cellStyle name="20% - Accent2 13 2 4 2" xfId="4273"/>
    <cellStyle name="20% - Accent2 13 2 5" xfId="4274"/>
    <cellStyle name="20% - Accent2 13 3" xfId="4275"/>
    <cellStyle name="20% - Accent2 13 3 2" xfId="4276"/>
    <cellStyle name="20% - Accent2 13 3 2 2" xfId="4277"/>
    <cellStyle name="20% - Accent2 13 3 2 2 2" xfId="4278"/>
    <cellStyle name="20% - Accent2 13 3 2 2 2 2" xfId="4279"/>
    <cellStyle name="20% - Accent2 13 3 2 2 3" xfId="4280"/>
    <cellStyle name="20% - Accent2 13 3 2 3" xfId="4281"/>
    <cellStyle name="20% - Accent2 13 3 2 3 2" xfId="4282"/>
    <cellStyle name="20% - Accent2 13 3 2 4" xfId="4283"/>
    <cellStyle name="20% - Accent2 13 3 3" xfId="4284"/>
    <cellStyle name="20% - Accent2 13 3 3 2" xfId="4285"/>
    <cellStyle name="20% - Accent2 13 3 3 2 2" xfId="4286"/>
    <cellStyle name="20% - Accent2 13 3 3 3" xfId="4287"/>
    <cellStyle name="20% - Accent2 13 3 4" xfId="4288"/>
    <cellStyle name="20% - Accent2 13 3 4 2" xfId="4289"/>
    <cellStyle name="20% - Accent2 13 3 5" xfId="4290"/>
    <cellStyle name="20% - Accent2 13 4" xfId="4291"/>
    <cellStyle name="20% - Accent2 13 4 2" xfId="4292"/>
    <cellStyle name="20% - Accent2 13 4 2 2" xfId="4293"/>
    <cellStyle name="20% - Accent2 13 4 2 2 2" xfId="4294"/>
    <cellStyle name="20% - Accent2 13 4 2 2 2 2" xfId="4295"/>
    <cellStyle name="20% - Accent2 13 4 2 2 3" xfId="4296"/>
    <cellStyle name="20% - Accent2 13 4 2 3" xfId="4297"/>
    <cellStyle name="20% - Accent2 13 4 2 3 2" xfId="4298"/>
    <cellStyle name="20% - Accent2 13 4 2 4" xfId="4299"/>
    <cellStyle name="20% - Accent2 13 4 3" xfId="4300"/>
    <cellStyle name="20% - Accent2 13 4 3 2" xfId="4301"/>
    <cellStyle name="20% - Accent2 13 4 3 2 2" xfId="4302"/>
    <cellStyle name="20% - Accent2 13 4 3 3" xfId="4303"/>
    <cellStyle name="20% - Accent2 13 4 4" xfId="4304"/>
    <cellStyle name="20% - Accent2 13 4 4 2" xfId="4305"/>
    <cellStyle name="20% - Accent2 13 4 5" xfId="4306"/>
    <cellStyle name="20% - Accent2 13 5" xfId="4307"/>
    <cellStyle name="20% - Accent2 13 5 2" xfId="4308"/>
    <cellStyle name="20% - Accent2 13 5 2 2" xfId="4309"/>
    <cellStyle name="20% - Accent2 13 5 2 2 2" xfId="4310"/>
    <cellStyle name="20% - Accent2 13 5 2 2 2 2" xfId="4311"/>
    <cellStyle name="20% - Accent2 13 5 2 2 3" xfId="4312"/>
    <cellStyle name="20% - Accent2 13 5 2 3" xfId="4313"/>
    <cellStyle name="20% - Accent2 13 5 2 3 2" xfId="4314"/>
    <cellStyle name="20% - Accent2 13 5 2 4" xfId="4315"/>
    <cellStyle name="20% - Accent2 13 5 3" xfId="4316"/>
    <cellStyle name="20% - Accent2 13 5 3 2" xfId="4317"/>
    <cellStyle name="20% - Accent2 13 5 3 2 2" xfId="4318"/>
    <cellStyle name="20% - Accent2 13 5 3 3" xfId="4319"/>
    <cellStyle name="20% - Accent2 13 5 4" xfId="4320"/>
    <cellStyle name="20% - Accent2 13 5 4 2" xfId="4321"/>
    <cellStyle name="20% - Accent2 13 5 5" xfId="4322"/>
    <cellStyle name="20% - Accent2 13 6" xfId="4323"/>
    <cellStyle name="20% - Accent2 13 6 2" xfId="4324"/>
    <cellStyle name="20% - Accent2 13 6 2 2" xfId="4325"/>
    <cellStyle name="20% - Accent2 13 6 2 2 2" xfId="4326"/>
    <cellStyle name="20% - Accent2 13 6 2 2 2 2" xfId="4327"/>
    <cellStyle name="20% - Accent2 13 6 2 2 3" xfId="4328"/>
    <cellStyle name="20% - Accent2 13 6 2 3" xfId="4329"/>
    <cellStyle name="20% - Accent2 13 6 2 3 2" xfId="4330"/>
    <cellStyle name="20% - Accent2 13 6 2 4" xfId="4331"/>
    <cellStyle name="20% - Accent2 13 6 3" xfId="4332"/>
    <cellStyle name="20% - Accent2 13 6 3 2" xfId="4333"/>
    <cellStyle name="20% - Accent2 13 6 3 2 2" xfId="4334"/>
    <cellStyle name="20% - Accent2 13 6 3 3" xfId="4335"/>
    <cellStyle name="20% - Accent2 13 6 4" xfId="4336"/>
    <cellStyle name="20% - Accent2 13 6 4 2" xfId="4337"/>
    <cellStyle name="20% - Accent2 13 6 5" xfId="4338"/>
    <cellStyle name="20% - Accent2 13 7" xfId="4339"/>
    <cellStyle name="20% - Accent2 13 7 2" xfId="4340"/>
    <cellStyle name="20% - Accent2 13 7 2 2" xfId="4341"/>
    <cellStyle name="20% - Accent2 13 7 2 2 2" xfId="4342"/>
    <cellStyle name="20% - Accent2 13 7 2 3" xfId="4343"/>
    <cellStyle name="20% - Accent2 13 7 3" xfId="4344"/>
    <cellStyle name="20% - Accent2 13 7 3 2" xfId="4345"/>
    <cellStyle name="20% - Accent2 13 7 4" xfId="4346"/>
    <cellStyle name="20% - Accent2 13 8" xfId="4347"/>
    <cellStyle name="20% - Accent2 13 8 2" xfId="4348"/>
    <cellStyle name="20% - Accent2 13 8 2 2" xfId="4349"/>
    <cellStyle name="20% - Accent2 13 8 3" xfId="4350"/>
    <cellStyle name="20% - Accent2 13 9" xfId="4351"/>
    <cellStyle name="20% - Accent2 13 9 2" xfId="4352"/>
    <cellStyle name="20% - Accent2 14" xfId="4353"/>
    <cellStyle name="20% - Accent2 14 2" xfId="4354"/>
    <cellStyle name="20% - Accent2 14 2 2" xfId="4355"/>
    <cellStyle name="20% - Accent2 14 2 2 2" xfId="4356"/>
    <cellStyle name="20% - Accent2 14 2 2 2 2" xfId="4357"/>
    <cellStyle name="20% - Accent2 14 2 2 3" xfId="4358"/>
    <cellStyle name="20% - Accent2 14 2 3" xfId="4359"/>
    <cellStyle name="20% - Accent2 14 2 3 2" xfId="4360"/>
    <cellStyle name="20% - Accent2 14 2 4" xfId="4361"/>
    <cellStyle name="20% - Accent2 14 3" xfId="4362"/>
    <cellStyle name="20% - Accent2 14 3 2" xfId="4363"/>
    <cellStyle name="20% - Accent2 14 3 2 2" xfId="4364"/>
    <cellStyle name="20% - Accent2 14 3 3" xfId="4365"/>
    <cellStyle name="20% - Accent2 14 4" xfId="4366"/>
    <cellStyle name="20% - Accent2 14 4 2" xfId="4367"/>
    <cellStyle name="20% - Accent2 14 5" xfId="4368"/>
    <cellStyle name="20% - Accent2 15" xfId="4369"/>
    <cellStyle name="20% - Accent2 15 2" xfId="4370"/>
    <cellStyle name="20% - Accent2 15 2 2" xfId="4371"/>
    <cellStyle name="20% - Accent2 15 2 2 2" xfId="4372"/>
    <cellStyle name="20% - Accent2 15 2 2 2 2" xfId="4373"/>
    <cellStyle name="20% - Accent2 15 2 2 3" xfId="4374"/>
    <cellStyle name="20% - Accent2 15 2 3" xfId="4375"/>
    <cellStyle name="20% - Accent2 15 2 3 2" xfId="4376"/>
    <cellStyle name="20% - Accent2 15 2 4" xfId="4377"/>
    <cellStyle name="20% - Accent2 15 3" xfId="4378"/>
    <cellStyle name="20% - Accent2 15 3 2" xfId="4379"/>
    <cellStyle name="20% - Accent2 15 3 2 2" xfId="4380"/>
    <cellStyle name="20% - Accent2 15 3 3" xfId="4381"/>
    <cellStyle name="20% - Accent2 15 4" xfId="4382"/>
    <cellStyle name="20% - Accent2 15 4 2" xfId="4383"/>
    <cellStyle name="20% - Accent2 15 5" xfId="4384"/>
    <cellStyle name="20% - Accent2 16" xfId="4385"/>
    <cellStyle name="20% - Accent2 16 2" xfId="4386"/>
    <cellStyle name="20% - Accent2 16 2 2" xfId="4387"/>
    <cellStyle name="20% - Accent2 16 2 2 2" xfId="4388"/>
    <cellStyle name="20% - Accent2 16 2 2 2 2" xfId="4389"/>
    <cellStyle name="20% - Accent2 16 2 2 3" xfId="4390"/>
    <cellStyle name="20% - Accent2 16 2 3" xfId="4391"/>
    <cellStyle name="20% - Accent2 16 2 3 2" xfId="4392"/>
    <cellStyle name="20% - Accent2 16 2 4" xfId="4393"/>
    <cellStyle name="20% - Accent2 16 3" xfId="4394"/>
    <cellStyle name="20% - Accent2 16 3 2" xfId="4395"/>
    <cellStyle name="20% - Accent2 16 3 2 2" xfId="4396"/>
    <cellStyle name="20% - Accent2 16 3 3" xfId="4397"/>
    <cellStyle name="20% - Accent2 16 4" xfId="4398"/>
    <cellStyle name="20% - Accent2 16 4 2" xfId="4399"/>
    <cellStyle name="20% - Accent2 16 5" xfId="4400"/>
    <cellStyle name="20% - Accent2 17" xfId="4401"/>
    <cellStyle name="20% - Accent2 17 2" xfId="4402"/>
    <cellStyle name="20% - Accent2 17 2 2" xfId="4403"/>
    <cellStyle name="20% - Accent2 17 2 2 2" xfId="4404"/>
    <cellStyle name="20% - Accent2 17 2 2 2 2" xfId="4405"/>
    <cellStyle name="20% - Accent2 17 2 2 3" xfId="4406"/>
    <cellStyle name="20% - Accent2 17 2 3" xfId="4407"/>
    <cellStyle name="20% - Accent2 17 2 3 2" xfId="4408"/>
    <cellStyle name="20% - Accent2 17 2 4" xfId="4409"/>
    <cellStyle name="20% - Accent2 17 3" xfId="4410"/>
    <cellStyle name="20% - Accent2 17 3 2" xfId="4411"/>
    <cellStyle name="20% - Accent2 17 3 2 2" xfId="4412"/>
    <cellStyle name="20% - Accent2 17 3 3" xfId="4413"/>
    <cellStyle name="20% - Accent2 17 4" xfId="4414"/>
    <cellStyle name="20% - Accent2 17 4 2" xfId="4415"/>
    <cellStyle name="20% - Accent2 17 5" xfId="4416"/>
    <cellStyle name="20% - Accent2 18" xfId="4417"/>
    <cellStyle name="20% - Accent2 18 2" xfId="4418"/>
    <cellStyle name="20% - Accent2 18 2 2" xfId="4419"/>
    <cellStyle name="20% - Accent2 18 2 2 2" xfId="4420"/>
    <cellStyle name="20% - Accent2 18 2 2 2 2" xfId="4421"/>
    <cellStyle name="20% - Accent2 18 2 2 3" xfId="4422"/>
    <cellStyle name="20% - Accent2 18 2 3" xfId="4423"/>
    <cellStyle name="20% - Accent2 18 2 3 2" xfId="4424"/>
    <cellStyle name="20% - Accent2 18 2 4" xfId="4425"/>
    <cellStyle name="20% - Accent2 18 3" xfId="4426"/>
    <cellStyle name="20% - Accent2 18 3 2" xfId="4427"/>
    <cellStyle name="20% - Accent2 18 3 2 2" xfId="4428"/>
    <cellStyle name="20% - Accent2 18 3 3" xfId="4429"/>
    <cellStyle name="20% - Accent2 18 4" xfId="4430"/>
    <cellStyle name="20% - Accent2 18 4 2" xfId="4431"/>
    <cellStyle name="20% - Accent2 18 5" xfId="4432"/>
    <cellStyle name="20% - Accent2 19" xfId="4433"/>
    <cellStyle name="20% - Accent2 19 2" xfId="4434"/>
    <cellStyle name="20% - Accent2 19 2 2" xfId="4435"/>
    <cellStyle name="20% - Accent2 19 2 2 2" xfId="4436"/>
    <cellStyle name="20% - Accent2 19 2 2 2 2" xfId="4437"/>
    <cellStyle name="20% - Accent2 19 2 2 3" xfId="4438"/>
    <cellStyle name="20% - Accent2 19 2 3" xfId="4439"/>
    <cellStyle name="20% - Accent2 19 2 3 2" xfId="4440"/>
    <cellStyle name="20% - Accent2 19 2 4" xfId="4441"/>
    <cellStyle name="20% - Accent2 19 3" xfId="4442"/>
    <cellStyle name="20% - Accent2 19 3 2" xfId="4443"/>
    <cellStyle name="20% - Accent2 19 3 2 2" xfId="4444"/>
    <cellStyle name="20% - Accent2 19 3 3" xfId="4445"/>
    <cellStyle name="20% - Accent2 19 4" xfId="4446"/>
    <cellStyle name="20% - Accent2 19 4 2" xfId="4447"/>
    <cellStyle name="20% - Accent2 19 5" xfId="4448"/>
    <cellStyle name="20% - Accent2 2" xfId="4449"/>
    <cellStyle name="20% - Accent2 2 10" xfId="4450"/>
    <cellStyle name="20% - Accent2 2 10 10" xfId="4451"/>
    <cellStyle name="20% - Accent2 2 10 2" xfId="4452"/>
    <cellStyle name="20% - Accent2 2 10 2 2" xfId="4453"/>
    <cellStyle name="20% - Accent2 2 10 2 2 2" xfId="4454"/>
    <cellStyle name="20% - Accent2 2 10 2 2 2 2" xfId="4455"/>
    <cellStyle name="20% - Accent2 2 10 2 2 2 2 2" xfId="4456"/>
    <cellStyle name="20% - Accent2 2 10 2 2 2 3" xfId="4457"/>
    <cellStyle name="20% - Accent2 2 10 2 2 3" xfId="4458"/>
    <cellStyle name="20% - Accent2 2 10 2 2 3 2" xfId="4459"/>
    <cellStyle name="20% - Accent2 2 10 2 2 4" xfId="4460"/>
    <cellStyle name="20% - Accent2 2 10 2 3" xfId="4461"/>
    <cellStyle name="20% - Accent2 2 10 2 3 2" xfId="4462"/>
    <cellStyle name="20% - Accent2 2 10 2 3 2 2" xfId="4463"/>
    <cellStyle name="20% - Accent2 2 10 2 3 3" xfId="4464"/>
    <cellStyle name="20% - Accent2 2 10 2 4" xfId="4465"/>
    <cellStyle name="20% - Accent2 2 10 2 4 2" xfId="4466"/>
    <cellStyle name="20% - Accent2 2 10 2 5" xfId="4467"/>
    <cellStyle name="20% - Accent2 2 10 3" xfId="4468"/>
    <cellStyle name="20% - Accent2 2 10 3 2" xfId="4469"/>
    <cellStyle name="20% - Accent2 2 10 3 2 2" xfId="4470"/>
    <cellStyle name="20% - Accent2 2 10 3 2 2 2" xfId="4471"/>
    <cellStyle name="20% - Accent2 2 10 3 2 2 2 2" xfId="4472"/>
    <cellStyle name="20% - Accent2 2 10 3 2 2 3" xfId="4473"/>
    <cellStyle name="20% - Accent2 2 10 3 2 3" xfId="4474"/>
    <cellStyle name="20% - Accent2 2 10 3 2 3 2" xfId="4475"/>
    <cellStyle name="20% - Accent2 2 10 3 2 4" xfId="4476"/>
    <cellStyle name="20% - Accent2 2 10 3 3" xfId="4477"/>
    <cellStyle name="20% - Accent2 2 10 3 3 2" xfId="4478"/>
    <cellStyle name="20% - Accent2 2 10 3 3 2 2" xfId="4479"/>
    <cellStyle name="20% - Accent2 2 10 3 3 3" xfId="4480"/>
    <cellStyle name="20% - Accent2 2 10 3 4" xfId="4481"/>
    <cellStyle name="20% - Accent2 2 10 3 4 2" xfId="4482"/>
    <cellStyle name="20% - Accent2 2 10 3 5" xfId="4483"/>
    <cellStyle name="20% - Accent2 2 10 4" xfId="4484"/>
    <cellStyle name="20% - Accent2 2 10 4 2" xfId="4485"/>
    <cellStyle name="20% - Accent2 2 10 4 2 2" xfId="4486"/>
    <cellStyle name="20% - Accent2 2 10 4 2 2 2" xfId="4487"/>
    <cellStyle name="20% - Accent2 2 10 4 2 2 2 2" xfId="4488"/>
    <cellStyle name="20% - Accent2 2 10 4 2 2 3" xfId="4489"/>
    <cellStyle name="20% - Accent2 2 10 4 2 3" xfId="4490"/>
    <cellStyle name="20% - Accent2 2 10 4 2 3 2" xfId="4491"/>
    <cellStyle name="20% - Accent2 2 10 4 2 4" xfId="4492"/>
    <cellStyle name="20% - Accent2 2 10 4 3" xfId="4493"/>
    <cellStyle name="20% - Accent2 2 10 4 3 2" xfId="4494"/>
    <cellStyle name="20% - Accent2 2 10 4 3 2 2" xfId="4495"/>
    <cellStyle name="20% - Accent2 2 10 4 3 3" xfId="4496"/>
    <cellStyle name="20% - Accent2 2 10 4 4" xfId="4497"/>
    <cellStyle name="20% - Accent2 2 10 4 4 2" xfId="4498"/>
    <cellStyle name="20% - Accent2 2 10 4 5" xfId="4499"/>
    <cellStyle name="20% - Accent2 2 10 5" xfId="4500"/>
    <cellStyle name="20% - Accent2 2 10 5 2" xfId="4501"/>
    <cellStyle name="20% - Accent2 2 10 5 2 2" xfId="4502"/>
    <cellStyle name="20% - Accent2 2 10 5 2 2 2" xfId="4503"/>
    <cellStyle name="20% - Accent2 2 10 5 2 2 2 2" xfId="4504"/>
    <cellStyle name="20% - Accent2 2 10 5 2 2 3" xfId="4505"/>
    <cellStyle name="20% - Accent2 2 10 5 2 3" xfId="4506"/>
    <cellStyle name="20% - Accent2 2 10 5 2 3 2" xfId="4507"/>
    <cellStyle name="20% - Accent2 2 10 5 2 4" xfId="4508"/>
    <cellStyle name="20% - Accent2 2 10 5 3" xfId="4509"/>
    <cellStyle name="20% - Accent2 2 10 5 3 2" xfId="4510"/>
    <cellStyle name="20% - Accent2 2 10 5 3 2 2" xfId="4511"/>
    <cellStyle name="20% - Accent2 2 10 5 3 3" xfId="4512"/>
    <cellStyle name="20% - Accent2 2 10 5 4" xfId="4513"/>
    <cellStyle name="20% - Accent2 2 10 5 4 2" xfId="4514"/>
    <cellStyle name="20% - Accent2 2 10 5 5" xfId="4515"/>
    <cellStyle name="20% - Accent2 2 10 6" xfId="4516"/>
    <cellStyle name="20% - Accent2 2 10 6 2" xfId="4517"/>
    <cellStyle name="20% - Accent2 2 10 6 2 2" xfId="4518"/>
    <cellStyle name="20% - Accent2 2 10 6 2 2 2" xfId="4519"/>
    <cellStyle name="20% - Accent2 2 10 6 2 2 2 2" xfId="4520"/>
    <cellStyle name="20% - Accent2 2 10 6 2 2 3" xfId="4521"/>
    <cellStyle name="20% - Accent2 2 10 6 2 3" xfId="4522"/>
    <cellStyle name="20% - Accent2 2 10 6 2 3 2" xfId="4523"/>
    <cellStyle name="20% - Accent2 2 10 6 2 4" xfId="4524"/>
    <cellStyle name="20% - Accent2 2 10 6 3" xfId="4525"/>
    <cellStyle name="20% - Accent2 2 10 6 3 2" xfId="4526"/>
    <cellStyle name="20% - Accent2 2 10 6 3 2 2" xfId="4527"/>
    <cellStyle name="20% - Accent2 2 10 6 3 3" xfId="4528"/>
    <cellStyle name="20% - Accent2 2 10 6 4" xfId="4529"/>
    <cellStyle name="20% - Accent2 2 10 6 4 2" xfId="4530"/>
    <cellStyle name="20% - Accent2 2 10 6 5" xfId="4531"/>
    <cellStyle name="20% - Accent2 2 10 7" xfId="4532"/>
    <cellStyle name="20% - Accent2 2 10 7 2" xfId="4533"/>
    <cellStyle name="20% - Accent2 2 10 7 2 2" xfId="4534"/>
    <cellStyle name="20% - Accent2 2 10 7 2 2 2" xfId="4535"/>
    <cellStyle name="20% - Accent2 2 10 7 2 3" xfId="4536"/>
    <cellStyle name="20% - Accent2 2 10 7 3" xfId="4537"/>
    <cellStyle name="20% - Accent2 2 10 7 3 2" xfId="4538"/>
    <cellStyle name="20% - Accent2 2 10 7 4" xfId="4539"/>
    <cellStyle name="20% - Accent2 2 10 8" xfId="4540"/>
    <cellStyle name="20% - Accent2 2 10 8 2" xfId="4541"/>
    <cellStyle name="20% - Accent2 2 10 8 2 2" xfId="4542"/>
    <cellStyle name="20% - Accent2 2 10 8 3" xfId="4543"/>
    <cellStyle name="20% - Accent2 2 10 9" xfId="4544"/>
    <cellStyle name="20% - Accent2 2 10 9 2" xfId="4545"/>
    <cellStyle name="20% - Accent2 2 11" xfId="4546"/>
    <cellStyle name="20% - Accent2 2 11 2" xfId="4547"/>
    <cellStyle name="20% - Accent2 2 11 2 2" xfId="4548"/>
    <cellStyle name="20% - Accent2 2 11 2 2 2" xfId="4549"/>
    <cellStyle name="20% - Accent2 2 11 2 2 2 2" xfId="4550"/>
    <cellStyle name="20% - Accent2 2 11 2 2 3" xfId="4551"/>
    <cellStyle name="20% - Accent2 2 11 2 3" xfId="4552"/>
    <cellStyle name="20% - Accent2 2 11 2 3 2" xfId="4553"/>
    <cellStyle name="20% - Accent2 2 11 2 4" xfId="4554"/>
    <cellStyle name="20% - Accent2 2 11 3" xfId="4555"/>
    <cellStyle name="20% - Accent2 2 11 3 2" xfId="4556"/>
    <cellStyle name="20% - Accent2 2 11 3 2 2" xfId="4557"/>
    <cellStyle name="20% - Accent2 2 11 3 3" xfId="4558"/>
    <cellStyle name="20% - Accent2 2 11 4" xfId="4559"/>
    <cellStyle name="20% - Accent2 2 11 4 2" xfId="4560"/>
    <cellStyle name="20% - Accent2 2 11 5" xfId="4561"/>
    <cellStyle name="20% - Accent2 2 12" xfId="4562"/>
    <cellStyle name="20% - Accent2 2 12 2" xfId="4563"/>
    <cellStyle name="20% - Accent2 2 12 2 2" xfId="4564"/>
    <cellStyle name="20% - Accent2 2 12 2 2 2" xfId="4565"/>
    <cellStyle name="20% - Accent2 2 12 2 2 2 2" xfId="4566"/>
    <cellStyle name="20% - Accent2 2 12 2 2 3" xfId="4567"/>
    <cellStyle name="20% - Accent2 2 12 2 3" xfId="4568"/>
    <cellStyle name="20% - Accent2 2 12 2 3 2" xfId="4569"/>
    <cellStyle name="20% - Accent2 2 12 2 4" xfId="4570"/>
    <cellStyle name="20% - Accent2 2 12 3" xfId="4571"/>
    <cellStyle name="20% - Accent2 2 12 3 2" xfId="4572"/>
    <cellStyle name="20% - Accent2 2 12 3 2 2" xfId="4573"/>
    <cellStyle name="20% - Accent2 2 12 3 3" xfId="4574"/>
    <cellStyle name="20% - Accent2 2 12 4" xfId="4575"/>
    <cellStyle name="20% - Accent2 2 12 4 2" xfId="4576"/>
    <cellStyle name="20% - Accent2 2 12 5" xfId="4577"/>
    <cellStyle name="20% - Accent2 2 13" xfId="4578"/>
    <cellStyle name="20% - Accent2 2 13 2" xfId="4579"/>
    <cellStyle name="20% - Accent2 2 13 2 2" xfId="4580"/>
    <cellStyle name="20% - Accent2 2 13 2 2 2" xfId="4581"/>
    <cellStyle name="20% - Accent2 2 13 2 2 2 2" xfId="4582"/>
    <cellStyle name="20% - Accent2 2 13 2 2 3" xfId="4583"/>
    <cellStyle name="20% - Accent2 2 13 2 3" xfId="4584"/>
    <cellStyle name="20% - Accent2 2 13 2 3 2" xfId="4585"/>
    <cellStyle name="20% - Accent2 2 13 2 4" xfId="4586"/>
    <cellStyle name="20% - Accent2 2 13 3" xfId="4587"/>
    <cellStyle name="20% - Accent2 2 13 3 2" xfId="4588"/>
    <cellStyle name="20% - Accent2 2 13 3 2 2" xfId="4589"/>
    <cellStyle name="20% - Accent2 2 13 3 3" xfId="4590"/>
    <cellStyle name="20% - Accent2 2 13 4" xfId="4591"/>
    <cellStyle name="20% - Accent2 2 13 4 2" xfId="4592"/>
    <cellStyle name="20% - Accent2 2 13 5" xfId="4593"/>
    <cellStyle name="20% - Accent2 2 14" xfId="4594"/>
    <cellStyle name="20% - Accent2 2 14 2" xfId="4595"/>
    <cellStyle name="20% - Accent2 2 14 2 2" xfId="4596"/>
    <cellStyle name="20% - Accent2 2 14 2 2 2" xfId="4597"/>
    <cellStyle name="20% - Accent2 2 14 2 2 2 2" xfId="4598"/>
    <cellStyle name="20% - Accent2 2 14 2 2 3" xfId="4599"/>
    <cellStyle name="20% - Accent2 2 14 2 3" xfId="4600"/>
    <cellStyle name="20% - Accent2 2 14 2 3 2" xfId="4601"/>
    <cellStyle name="20% - Accent2 2 14 2 4" xfId="4602"/>
    <cellStyle name="20% - Accent2 2 14 3" xfId="4603"/>
    <cellStyle name="20% - Accent2 2 14 3 2" xfId="4604"/>
    <cellStyle name="20% - Accent2 2 14 3 2 2" xfId="4605"/>
    <cellStyle name="20% - Accent2 2 14 3 3" xfId="4606"/>
    <cellStyle name="20% - Accent2 2 14 4" xfId="4607"/>
    <cellStyle name="20% - Accent2 2 14 4 2" xfId="4608"/>
    <cellStyle name="20% - Accent2 2 14 5" xfId="4609"/>
    <cellStyle name="20% - Accent2 2 15" xfId="4610"/>
    <cellStyle name="20% - Accent2 2 15 2" xfId="4611"/>
    <cellStyle name="20% - Accent2 2 15 2 2" xfId="4612"/>
    <cellStyle name="20% - Accent2 2 15 2 2 2" xfId="4613"/>
    <cellStyle name="20% - Accent2 2 15 2 2 2 2" xfId="4614"/>
    <cellStyle name="20% - Accent2 2 15 2 2 3" xfId="4615"/>
    <cellStyle name="20% - Accent2 2 15 2 3" xfId="4616"/>
    <cellStyle name="20% - Accent2 2 15 2 3 2" xfId="4617"/>
    <cellStyle name="20% - Accent2 2 15 2 4" xfId="4618"/>
    <cellStyle name="20% - Accent2 2 15 3" xfId="4619"/>
    <cellStyle name="20% - Accent2 2 15 3 2" xfId="4620"/>
    <cellStyle name="20% - Accent2 2 15 3 2 2" xfId="4621"/>
    <cellStyle name="20% - Accent2 2 15 3 3" xfId="4622"/>
    <cellStyle name="20% - Accent2 2 15 4" xfId="4623"/>
    <cellStyle name="20% - Accent2 2 15 4 2" xfId="4624"/>
    <cellStyle name="20% - Accent2 2 15 5" xfId="4625"/>
    <cellStyle name="20% - Accent2 2 16" xfId="4626"/>
    <cellStyle name="20% - Accent2 2 16 2" xfId="4627"/>
    <cellStyle name="20% - Accent2 2 16 2 2" xfId="4628"/>
    <cellStyle name="20% - Accent2 2 16 2 2 2" xfId="4629"/>
    <cellStyle name="20% - Accent2 2 16 2 3" xfId="4630"/>
    <cellStyle name="20% - Accent2 2 16 3" xfId="4631"/>
    <cellStyle name="20% - Accent2 2 16 3 2" xfId="4632"/>
    <cellStyle name="20% - Accent2 2 16 4" xfId="4633"/>
    <cellStyle name="20% - Accent2 2 17" xfId="4634"/>
    <cellStyle name="20% - Accent2 2 17 2" xfId="4635"/>
    <cellStyle name="20% - Accent2 2 17 2 2" xfId="4636"/>
    <cellStyle name="20% - Accent2 2 17 3" xfId="4637"/>
    <cellStyle name="20% - Accent2 2 18" xfId="4638"/>
    <cellStyle name="20% - Accent2 2 18 2" xfId="4639"/>
    <cellStyle name="20% - Accent2 2 19" xfId="4640"/>
    <cellStyle name="20% - Accent2 2 2" xfId="4641"/>
    <cellStyle name="20% - Accent2 2 2 10" xfId="4642"/>
    <cellStyle name="20% - Accent2 2 2 10 2" xfId="4643"/>
    <cellStyle name="20% - Accent2 2 2 11" xfId="4644"/>
    <cellStyle name="20% - Accent2 2 2 2" xfId="4645"/>
    <cellStyle name="20% - Accent2 2 2 2 10" xfId="4646"/>
    <cellStyle name="20% - Accent2 2 2 2 2" xfId="4647"/>
    <cellStyle name="20% - Accent2 2 2 2 2 2" xfId="4648"/>
    <cellStyle name="20% - Accent2 2 2 2 2 2 2" xfId="4649"/>
    <cellStyle name="20% - Accent2 2 2 2 2 2 2 2" xfId="4650"/>
    <cellStyle name="20% - Accent2 2 2 2 2 2 2 2 2" xfId="4651"/>
    <cellStyle name="20% - Accent2 2 2 2 2 2 2 3" xfId="4652"/>
    <cellStyle name="20% - Accent2 2 2 2 2 2 3" xfId="4653"/>
    <cellStyle name="20% - Accent2 2 2 2 2 2 3 2" xfId="4654"/>
    <cellStyle name="20% - Accent2 2 2 2 2 2 4" xfId="4655"/>
    <cellStyle name="20% - Accent2 2 2 2 2 3" xfId="4656"/>
    <cellStyle name="20% - Accent2 2 2 2 2 3 2" xfId="4657"/>
    <cellStyle name="20% - Accent2 2 2 2 2 3 2 2" xfId="4658"/>
    <cellStyle name="20% - Accent2 2 2 2 2 3 3" xfId="4659"/>
    <cellStyle name="20% - Accent2 2 2 2 2 4" xfId="4660"/>
    <cellStyle name="20% - Accent2 2 2 2 2 4 2" xfId="4661"/>
    <cellStyle name="20% - Accent2 2 2 2 2 5" xfId="4662"/>
    <cellStyle name="20% - Accent2 2 2 2 3" xfId="4663"/>
    <cellStyle name="20% - Accent2 2 2 2 3 2" xfId="4664"/>
    <cellStyle name="20% - Accent2 2 2 2 3 2 2" xfId="4665"/>
    <cellStyle name="20% - Accent2 2 2 2 3 2 2 2" xfId="4666"/>
    <cellStyle name="20% - Accent2 2 2 2 3 2 2 2 2" xfId="4667"/>
    <cellStyle name="20% - Accent2 2 2 2 3 2 2 3" xfId="4668"/>
    <cellStyle name="20% - Accent2 2 2 2 3 2 3" xfId="4669"/>
    <cellStyle name="20% - Accent2 2 2 2 3 2 3 2" xfId="4670"/>
    <cellStyle name="20% - Accent2 2 2 2 3 2 4" xfId="4671"/>
    <cellStyle name="20% - Accent2 2 2 2 3 3" xfId="4672"/>
    <cellStyle name="20% - Accent2 2 2 2 3 3 2" xfId="4673"/>
    <cellStyle name="20% - Accent2 2 2 2 3 3 2 2" xfId="4674"/>
    <cellStyle name="20% - Accent2 2 2 2 3 3 3" xfId="4675"/>
    <cellStyle name="20% - Accent2 2 2 2 3 4" xfId="4676"/>
    <cellStyle name="20% - Accent2 2 2 2 3 4 2" xfId="4677"/>
    <cellStyle name="20% - Accent2 2 2 2 3 5" xfId="4678"/>
    <cellStyle name="20% - Accent2 2 2 2 4" xfId="4679"/>
    <cellStyle name="20% - Accent2 2 2 2 4 2" xfId="4680"/>
    <cellStyle name="20% - Accent2 2 2 2 4 2 2" xfId="4681"/>
    <cellStyle name="20% - Accent2 2 2 2 4 2 2 2" xfId="4682"/>
    <cellStyle name="20% - Accent2 2 2 2 4 2 2 2 2" xfId="4683"/>
    <cellStyle name="20% - Accent2 2 2 2 4 2 2 3" xfId="4684"/>
    <cellStyle name="20% - Accent2 2 2 2 4 2 3" xfId="4685"/>
    <cellStyle name="20% - Accent2 2 2 2 4 2 3 2" xfId="4686"/>
    <cellStyle name="20% - Accent2 2 2 2 4 2 4" xfId="4687"/>
    <cellStyle name="20% - Accent2 2 2 2 4 3" xfId="4688"/>
    <cellStyle name="20% - Accent2 2 2 2 4 3 2" xfId="4689"/>
    <cellStyle name="20% - Accent2 2 2 2 4 3 2 2" xfId="4690"/>
    <cellStyle name="20% - Accent2 2 2 2 4 3 3" xfId="4691"/>
    <cellStyle name="20% - Accent2 2 2 2 4 4" xfId="4692"/>
    <cellStyle name="20% - Accent2 2 2 2 4 4 2" xfId="4693"/>
    <cellStyle name="20% - Accent2 2 2 2 4 5" xfId="4694"/>
    <cellStyle name="20% - Accent2 2 2 2 5" xfId="4695"/>
    <cellStyle name="20% - Accent2 2 2 2 5 2" xfId="4696"/>
    <cellStyle name="20% - Accent2 2 2 2 5 2 2" xfId="4697"/>
    <cellStyle name="20% - Accent2 2 2 2 5 2 2 2" xfId="4698"/>
    <cellStyle name="20% - Accent2 2 2 2 5 2 2 2 2" xfId="4699"/>
    <cellStyle name="20% - Accent2 2 2 2 5 2 2 3" xfId="4700"/>
    <cellStyle name="20% - Accent2 2 2 2 5 2 3" xfId="4701"/>
    <cellStyle name="20% - Accent2 2 2 2 5 2 3 2" xfId="4702"/>
    <cellStyle name="20% - Accent2 2 2 2 5 2 4" xfId="4703"/>
    <cellStyle name="20% - Accent2 2 2 2 5 3" xfId="4704"/>
    <cellStyle name="20% - Accent2 2 2 2 5 3 2" xfId="4705"/>
    <cellStyle name="20% - Accent2 2 2 2 5 3 2 2" xfId="4706"/>
    <cellStyle name="20% - Accent2 2 2 2 5 3 3" xfId="4707"/>
    <cellStyle name="20% - Accent2 2 2 2 5 4" xfId="4708"/>
    <cellStyle name="20% - Accent2 2 2 2 5 4 2" xfId="4709"/>
    <cellStyle name="20% - Accent2 2 2 2 5 5" xfId="4710"/>
    <cellStyle name="20% - Accent2 2 2 2 6" xfId="4711"/>
    <cellStyle name="20% - Accent2 2 2 2 6 2" xfId="4712"/>
    <cellStyle name="20% - Accent2 2 2 2 6 2 2" xfId="4713"/>
    <cellStyle name="20% - Accent2 2 2 2 6 2 2 2" xfId="4714"/>
    <cellStyle name="20% - Accent2 2 2 2 6 2 2 2 2" xfId="4715"/>
    <cellStyle name="20% - Accent2 2 2 2 6 2 2 3" xfId="4716"/>
    <cellStyle name="20% - Accent2 2 2 2 6 2 3" xfId="4717"/>
    <cellStyle name="20% - Accent2 2 2 2 6 2 3 2" xfId="4718"/>
    <cellStyle name="20% - Accent2 2 2 2 6 2 4" xfId="4719"/>
    <cellStyle name="20% - Accent2 2 2 2 6 3" xfId="4720"/>
    <cellStyle name="20% - Accent2 2 2 2 6 3 2" xfId="4721"/>
    <cellStyle name="20% - Accent2 2 2 2 6 3 2 2" xfId="4722"/>
    <cellStyle name="20% - Accent2 2 2 2 6 3 3" xfId="4723"/>
    <cellStyle name="20% - Accent2 2 2 2 6 4" xfId="4724"/>
    <cellStyle name="20% - Accent2 2 2 2 6 4 2" xfId="4725"/>
    <cellStyle name="20% - Accent2 2 2 2 6 5" xfId="4726"/>
    <cellStyle name="20% - Accent2 2 2 2 7" xfId="4727"/>
    <cellStyle name="20% - Accent2 2 2 2 7 2" xfId="4728"/>
    <cellStyle name="20% - Accent2 2 2 2 7 2 2" xfId="4729"/>
    <cellStyle name="20% - Accent2 2 2 2 7 2 2 2" xfId="4730"/>
    <cellStyle name="20% - Accent2 2 2 2 7 2 3" xfId="4731"/>
    <cellStyle name="20% - Accent2 2 2 2 7 3" xfId="4732"/>
    <cellStyle name="20% - Accent2 2 2 2 7 3 2" xfId="4733"/>
    <cellStyle name="20% - Accent2 2 2 2 7 4" xfId="4734"/>
    <cellStyle name="20% - Accent2 2 2 2 8" xfId="4735"/>
    <cellStyle name="20% - Accent2 2 2 2 8 2" xfId="4736"/>
    <cellStyle name="20% - Accent2 2 2 2 8 2 2" xfId="4737"/>
    <cellStyle name="20% - Accent2 2 2 2 8 3" xfId="4738"/>
    <cellStyle name="20% - Accent2 2 2 2 9" xfId="4739"/>
    <cellStyle name="20% - Accent2 2 2 2 9 2" xfId="4740"/>
    <cellStyle name="20% - Accent2 2 2 3" xfId="4741"/>
    <cellStyle name="20% - Accent2 2 2 3 2" xfId="4742"/>
    <cellStyle name="20% - Accent2 2 2 3 2 2" xfId="4743"/>
    <cellStyle name="20% - Accent2 2 2 3 2 2 2" xfId="4744"/>
    <cellStyle name="20% - Accent2 2 2 3 2 2 2 2" xfId="4745"/>
    <cellStyle name="20% - Accent2 2 2 3 2 2 3" xfId="4746"/>
    <cellStyle name="20% - Accent2 2 2 3 2 3" xfId="4747"/>
    <cellStyle name="20% - Accent2 2 2 3 2 3 2" xfId="4748"/>
    <cellStyle name="20% - Accent2 2 2 3 2 4" xfId="4749"/>
    <cellStyle name="20% - Accent2 2 2 3 3" xfId="4750"/>
    <cellStyle name="20% - Accent2 2 2 3 3 2" xfId="4751"/>
    <cellStyle name="20% - Accent2 2 2 3 3 2 2" xfId="4752"/>
    <cellStyle name="20% - Accent2 2 2 3 3 3" xfId="4753"/>
    <cellStyle name="20% - Accent2 2 2 3 4" xfId="4754"/>
    <cellStyle name="20% - Accent2 2 2 3 4 2" xfId="4755"/>
    <cellStyle name="20% - Accent2 2 2 3 5" xfId="4756"/>
    <cellStyle name="20% - Accent2 2 2 4" xfId="4757"/>
    <cellStyle name="20% - Accent2 2 2 4 2" xfId="4758"/>
    <cellStyle name="20% - Accent2 2 2 4 2 2" xfId="4759"/>
    <cellStyle name="20% - Accent2 2 2 4 2 2 2" xfId="4760"/>
    <cellStyle name="20% - Accent2 2 2 4 2 2 2 2" xfId="4761"/>
    <cellStyle name="20% - Accent2 2 2 4 2 2 3" xfId="4762"/>
    <cellStyle name="20% - Accent2 2 2 4 2 3" xfId="4763"/>
    <cellStyle name="20% - Accent2 2 2 4 2 3 2" xfId="4764"/>
    <cellStyle name="20% - Accent2 2 2 4 2 4" xfId="4765"/>
    <cellStyle name="20% - Accent2 2 2 4 3" xfId="4766"/>
    <cellStyle name="20% - Accent2 2 2 4 3 2" xfId="4767"/>
    <cellStyle name="20% - Accent2 2 2 4 3 2 2" xfId="4768"/>
    <cellStyle name="20% - Accent2 2 2 4 3 3" xfId="4769"/>
    <cellStyle name="20% - Accent2 2 2 4 4" xfId="4770"/>
    <cellStyle name="20% - Accent2 2 2 4 4 2" xfId="4771"/>
    <cellStyle name="20% - Accent2 2 2 4 5" xfId="4772"/>
    <cellStyle name="20% - Accent2 2 2 5" xfId="4773"/>
    <cellStyle name="20% - Accent2 2 2 5 2" xfId="4774"/>
    <cellStyle name="20% - Accent2 2 2 5 2 2" xfId="4775"/>
    <cellStyle name="20% - Accent2 2 2 5 2 2 2" xfId="4776"/>
    <cellStyle name="20% - Accent2 2 2 5 2 2 2 2" xfId="4777"/>
    <cellStyle name="20% - Accent2 2 2 5 2 2 3" xfId="4778"/>
    <cellStyle name="20% - Accent2 2 2 5 2 3" xfId="4779"/>
    <cellStyle name="20% - Accent2 2 2 5 2 3 2" xfId="4780"/>
    <cellStyle name="20% - Accent2 2 2 5 2 4" xfId="4781"/>
    <cellStyle name="20% - Accent2 2 2 5 3" xfId="4782"/>
    <cellStyle name="20% - Accent2 2 2 5 3 2" xfId="4783"/>
    <cellStyle name="20% - Accent2 2 2 5 3 2 2" xfId="4784"/>
    <cellStyle name="20% - Accent2 2 2 5 3 3" xfId="4785"/>
    <cellStyle name="20% - Accent2 2 2 5 4" xfId="4786"/>
    <cellStyle name="20% - Accent2 2 2 5 4 2" xfId="4787"/>
    <cellStyle name="20% - Accent2 2 2 5 5" xfId="4788"/>
    <cellStyle name="20% - Accent2 2 2 6" xfId="4789"/>
    <cellStyle name="20% - Accent2 2 2 6 2" xfId="4790"/>
    <cellStyle name="20% - Accent2 2 2 6 2 2" xfId="4791"/>
    <cellStyle name="20% - Accent2 2 2 6 2 2 2" xfId="4792"/>
    <cellStyle name="20% - Accent2 2 2 6 2 2 2 2" xfId="4793"/>
    <cellStyle name="20% - Accent2 2 2 6 2 2 3" xfId="4794"/>
    <cellStyle name="20% - Accent2 2 2 6 2 3" xfId="4795"/>
    <cellStyle name="20% - Accent2 2 2 6 2 3 2" xfId="4796"/>
    <cellStyle name="20% - Accent2 2 2 6 2 4" xfId="4797"/>
    <cellStyle name="20% - Accent2 2 2 6 3" xfId="4798"/>
    <cellStyle name="20% - Accent2 2 2 6 3 2" xfId="4799"/>
    <cellStyle name="20% - Accent2 2 2 6 3 2 2" xfId="4800"/>
    <cellStyle name="20% - Accent2 2 2 6 3 3" xfId="4801"/>
    <cellStyle name="20% - Accent2 2 2 6 4" xfId="4802"/>
    <cellStyle name="20% - Accent2 2 2 6 4 2" xfId="4803"/>
    <cellStyle name="20% - Accent2 2 2 6 5" xfId="4804"/>
    <cellStyle name="20% - Accent2 2 2 7" xfId="4805"/>
    <cellStyle name="20% - Accent2 2 2 7 2" xfId="4806"/>
    <cellStyle name="20% - Accent2 2 2 7 2 2" xfId="4807"/>
    <cellStyle name="20% - Accent2 2 2 7 2 2 2" xfId="4808"/>
    <cellStyle name="20% - Accent2 2 2 7 2 2 2 2" xfId="4809"/>
    <cellStyle name="20% - Accent2 2 2 7 2 2 3" xfId="4810"/>
    <cellStyle name="20% - Accent2 2 2 7 2 3" xfId="4811"/>
    <cellStyle name="20% - Accent2 2 2 7 2 3 2" xfId="4812"/>
    <cellStyle name="20% - Accent2 2 2 7 2 4" xfId="4813"/>
    <cellStyle name="20% - Accent2 2 2 7 3" xfId="4814"/>
    <cellStyle name="20% - Accent2 2 2 7 3 2" xfId="4815"/>
    <cellStyle name="20% - Accent2 2 2 7 3 2 2" xfId="4816"/>
    <cellStyle name="20% - Accent2 2 2 7 3 3" xfId="4817"/>
    <cellStyle name="20% - Accent2 2 2 7 4" xfId="4818"/>
    <cellStyle name="20% - Accent2 2 2 7 4 2" xfId="4819"/>
    <cellStyle name="20% - Accent2 2 2 7 5" xfId="4820"/>
    <cellStyle name="20% - Accent2 2 2 8" xfId="4821"/>
    <cellStyle name="20% - Accent2 2 2 8 2" xfId="4822"/>
    <cellStyle name="20% - Accent2 2 2 8 2 2" xfId="4823"/>
    <cellStyle name="20% - Accent2 2 2 8 2 2 2" xfId="4824"/>
    <cellStyle name="20% - Accent2 2 2 8 2 3" xfId="4825"/>
    <cellStyle name="20% - Accent2 2 2 8 3" xfId="4826"/>
    <cellStyle name="20% - Accent2 2 2 8 3 2" xfId="4827"/>
    <cellStyle name="20% - Accent2 2 2 8 4" xfId="4828"/>
    <cellStyle name="20% - Accent2 2 2 9" xfId="4829"/>
    <cellStyle name="20% - Accent2 2 2 9 2" xfId="4830"/>
    <cellStyle name="20% - Accent2 2 2 9 2 2" xfId="4831"/>
    <cellStyle name="20% - Accent2 2 2 9 3" xfId="4832"/>
    <cellStyle name="20% - Accent2 2 3" xfId="4833"/>
    <cellStyle name="20% - Accent2 2 3 10" xfId="4834"/>
    <cellStyle name="20% - Accent2 2 3 10 2" xfId="4835"/>
    <cellStyle name="20% - Accent2 2 3 11" xfId="4836"/>
    <cellStyle name="20% - Accent2 2 3 2" xfId="4837"/>
    <cellStyle name="20% - Accent2 2 3 2 10" xfId="4838"/>
    <cellStyle name="20% - Accent2 2 3 2 2" xfId="4839"/>
    <cellStyle name="20% - Accent2 2 3 2 2 2" xfId="4840"/>
    <cellStyle name="20% - Accent2 2 3 2 2 2 2" xfId="4841"/>
    <cellStyle name="20% - Accent2 2 3 2 2 2 2 2" xfId="4842"/>
    <cellStyle name="20% - Accent2 2 3 2 2 2 2 2 2" xfId="4843"/>
    <cellStyle name="20% - Accent2 2 3 2 2 2 2 3" xfId="4844"/>
    <cellStyle name="20% - Accent2 2 3 2 2 2 3" xfId="4845"/>
    <cellStyle name="20% - Accent2 2 3 2 2 2 3 2" xfId="4846"/>
    <cellStyle name="20% - Accent2 2 3 2 2 2 4" xfId="4847"/>
    <cellStyle name="20% - Accent2 2 3 2 2 3" xfId="4848"/>
    <cellStyle name="20% - Accent2 2 3 2 2 3 2" xfId="4849"/>
    <cellStyle name="20% - Accent2 2 3 2 2 3 2 2" xfId="4850"/>
    <cellStyle name="20% - Accent2 2 3 2 2 3 3" xfId="4851"/>
    <cellStyle name="20% - Accent2 2 3 2 2 4" xfId="4852"/>
    <cellStyle name="20% - Accent2 2 3 2 2 4 2" xfId="4853"/>
    <cellStyle name="20% - Accent2 2 3 2 2 5" xfId="4854"/>
    <cellStyle name="20% - Accent2 2 3 2 3" xfId="4855"/>
    <cellStyle name="20% - Accent2 2 3 2 3 2" xfId="4856"/>
    <cellStyle name="20% - Accent2 2 3 2 3 2 2" xfId="4857"/>
    <cellStyle name="20% - Accent2 2 3 2 3 2 2 2" xfId="4858"/>
    <cellStyle name="20% - Accent2 2 3 2 3 2 2 2 2" xfId="4859"/>
    <cellStyle name="20% - Accent2 2 3 2 3 2 2 3" xfId="4860"/>
    <cellStyle name="20% - Accent2 2 3 2 3 2 3" xfId="4861"/>
    <cellStyle name="20% - Accent2 2 3 2 3 2 3 2" xfId="4862"/>
    <cellStyle name="20% - Accent2 2 3 2 3 2 4" xfId="4863"/>
    <cellStyle name="20% - Accent2 2 3 2 3 3" xfId="4864"/>
    <cellStyle name="20% - Accent2 2 3 2 3 3 2" xfId="4865"/>
    <cellStyle name="20% - Accent2 2 3 2 3 3 2 2" xfId="4866"/>
    <cellStyle name="20% - Accent2 2 3 2 3 3 3" xfId="4867"/>
    <cellStyle name="20% - Accent2 2 3 2 3 4" xfId="4868"/>
    <cellStyle name="20% - Accent2 2 3 2 3 4 2" xfId="4869"/>
    <cellStyle name="20% - Accent2 2 3 2 3 5" xfId="4870"/>
    <cellStyle name="20% - Accent2 2 3 2 4" xfId="4871"/>
    <cellStyle name="20% - Accent2 2 3 2 4 2" xfId="4872"/>
    <cellStyle name="20% - Accent2 2 3 2 4 2 2" xfId="4873"/>
    <cellStyle name="20% - Accent2 2 3 2 4 2 2 2" xfId="4874"/>
    <cellStyle name="20% - Accent2 2 3 2 4 2 2 2 2" xfId="4875"/>
    <cellStyle name="20% - Accent2 2 3 2 4 2 2 3" xfId="4876"/>
    <cellStyle name="20% - Accent2 2 3 2 4 2 3" xfId="4877"/>
    <cellStyle name="20% - Accent2 2 3 2 4 2 3 2" xfId="4878"/>
    <cellStyle name="20% - Accent2 2 3 2 4 2 4" xfId="4879"/>
    <cellStyle name="20% - Accent2 2 3 2 4 3" xfId="4880"/>
    <cellStyle name="20% - Accent2 2 3 2 4 3 2" xfId="4881"/>
    <cellStyle name="20% - Accent2 2 3 2 4 3 2 2" xfId="4882"/>
    <cellStyle name="20% - Accent2 2 3 2 4 3 3" xfId="4883"/>
    <cellStyle name="20% - Accent2 2 3 2 4 4" xfId="4884"/>
    <cellStyle name="20% - Accent2 2 3 2 4 4 2" xfId="4885"/>
    <cellStyle name="20% - Accent2 2 3 2 4 5" xfId="4886"/>
    <cellStyle name="20% - Accent2 2 3 2 5" xfId="4887"/>
    <cellStyle name="20% - Accent2 2 3 2 5 2" xfId="4888"/>
    <cellStyle name="20% - Accent2 2 3 2 5 2 2" xfId="4889"/>
    <cellStyle name="20% - Accent2 2 3 2 5 2 2 2" xfId="4890"/>
    <cellStyle name="20% - Accent2 2 3 2 5 2 2 2 2" xfId="4891"/>
    <cellStyle name="20% - Accent2 2 3 2 5 2 2 3" xfId="4892"/>
    <cellStyle name="20% - Accent2 2 3 2 5 2 3" xfId="4893"/>
    <cellStyle name="20% - Accent2 2 3 2 5 2 3 2" xfId="4894"/>
    <cellStyle name="20% - Accent2 2 3 2 5 2 4" xfId="4895"/>
    <cellStyle name="20% - Accent2 2 3 2 5 3" xfId="4896"/>
    <cellStyle name="20% - Accent2 2 3 2 5 3 2" xfId="4897"/>
    <cellStyle name="20% - Accent2 2 3 2 5 3 2 2" xfId="4898"/>
    <cellStyle name="20% - Accent2 2 3 2 5 3 3" xfId="4899"/>
    <cellStyle name="20% - Accent2 2 3 2 5 4" xfId="4900"/>
    <cellStyle name="20% - Accent2 2 3 2 5 4 2" xfId="4901"/>
    <cellStyle name="20% - Accent2 2 3 2 5 5" xfId="4902"/>
    <cellStyle name="20% - Accent2 2 3 2 6" xfId="4903"/>
    <cellStyle name="20% - Accent2 2 3 2 6 2" xfId="4904"/>
    <cellStyle name="20% - Accent2 2 3 2 6 2 2" xfId="4905"/>
    <cellStyle name="20% - Accent2 2 3 2 6 2 2 2" xfId="4906"/>
    <cellStyle name="20% - Accent2 2 3 2 6 2 2 2 2" xfId="4907"/>
    <cellStyle name="20% - Accent2 2 3 2 6 2 2 3" xfId="4908"/>
    <cellStyle name="20% - Accent2 2 3 2 6 2 3" xfId="4909"/>
    <cellStyle name="20% - Accent2 2 3 2 6 2 3 2" xfId="4910"/>
    <cellStyle name="20% - Accent2 2 3 2 6 2 4" xfId="4911"/>
    <cellStyle name="20% - Accent2 2 3 2 6 3" xfId="4912"/>
    <cellStyle name="20% - Accent2 2 3 2 6 3 2" xfId="4913"/>
    <cellStyle name="20% - Accent2 2 3 2 6 3 2 2" xfId="4914"/>
    <cellStyle name="20% - Accent2 2 3 2 6 3 3" xfId="4915"/>
    <cellStyle name="20% - Accent2 2 3 2 6 4" xfId="4916"/>
    <cellStyle name="20% - Accent2 2 3 2 6 4 2" xfId="4917"/>
    <cellStyle name="20% - Accent2 2 3 2 6 5" xfId="4918"/>
    <cellStyle name="20% - Accent2 2 3 2 7" xfId="4919"/>
    <cellStyle name="20% - Accent2 2 3 2 7 2" xfId="4920"/>
    <cellStyle name="20% - Accent2 2 3 2 7 2 2" xfId="4921"/>
    <cellStyle name="20% - Accent2 2 3 2 7 2 2 2" xfId="4922"/>
    <cellStyle name="20% - Accent2 2 3 2 7 2 3" xfId="4923"/>
    <cellStyle name="20% - Accent2 2 3 2 7 3" xfId="4924"/>
    <cellStyle name="20% - Accent2 2 3 2 7 3 2" xfId="4925"/>
    <cellStyle name="20% - Accent2 2 3 2 7 4" xfId="4926"/>
    <cellStyle name="20% - Accent2 2 3 2 8" xfId="4927"/>
    <cellStyle name="20% - Accent2 2 3 2 8 2" xfId="4928"/>
    <cellStyle name="20% - Accent2 2 3 2 8 2 2" xfId="4929"/>
    <cellStyle name="20% - Accent2 2 3 2 8 3" xfId="4930"/>
    <cellStyle name="20% - Accent2 2 3 2 9" xfId="4931"/>
    <cellStyle name="20% - Accent2 2 3 2 9 2" xfId="4932"/>
    <cellStyle name="20% - Accent2 2 3 3" xfId="4933"/>
    <cellStyle name="20% - Accent2 2 3 3 2" xfId="4934"/>
    <cellStyle name="20% - Accent2 2 3 3 2 2" xfId="4935"/>
    <cellStyle name="20% - Accent2 2 3 3 2 2 2" xfId="4936"/>
    <cellStyle name="20% - Accent2 2 3 3 2 2 2 2" xfId="4937"/>
    <cellStyle name="20% - Accent2 2 3 3 2 2 3" xfId="4938"/>
    <cellStyle name="20% - Accent2 2 3 3 2 3" xfId="4939"/>
    <cellStyle name="20% - Accent2 2 3 3 2 3 2" xfId="4940"/>
    <cellStyle name="20% - Accent2 2 3 3 2 4" xfId="4941"/>
    <cellStyle name="20% - Accent2 2 3 3 3" xfId="4942"/>
    <cellStyle name="20% - Accent2 2 3 3 3 2" xfId="4943"/>
    <cellStyle name="20% - Accent2 2 3 3 3 2 2" xfId="4944"/>
    <cellStyle name="20% - Accent2 2 3 3 3 3" xfId="4945"/>
    <cellStyle name="20% - Accent2 2 3 3 4" xfId="4946"/>
    <cellStyle name="20% - Accent2 2 3 3 4 2" xfId="4947"/>
    <cellStyle name="20% - Accent2 2 3 3 5" xfId="4948"/>
    <cellStyle name="20% - Accent2 2 3 4" xfId="4949"/>
    <cellStyle name="20% - Accent2 2 3 4 2" xfId="4950"/>
    <cellStyle name="20% - Accent2 2 3 4 2 2" xfId="4951"/>
    <cellStyle name="20% - Accent2 2 3 4 2 2 2" xfId="4952"/>
    <cellStyle name="20% - Accent2 2 3 4 2 2 2 2" xfId="4953"/>
    <cellStyle name="20% - Accent2 2 3 4 2 2 3" xfId="4954"/>
    <cellStyle name="20% - Accent2 2 3 4 2 3" xfId="4955"/>
    <cellStyle name="20% - Accent2 2 3 4 2 3 2" xfId="4956"/>
    <cellStyle name="20% - Accent2 2 3 4 2 4" xfId="4957"/>
    <cellStyle name="20% - Accent2 2 3 4 3" xfId="4958"/>
    <cellStyle name="20% - Accent2 2 3 4 3 2" xfId="4959"/>
    <cellStyle name="20% - Accent2 2 3 4 3 2 2" xfId="4960"/>
    <cellStyle name="20% - Accent2 2 3 4 3 3" xfId="4961"/>
    <cellStyle name="20% - Accent2 2 3 4 4" xfId="4962"/>
    <cellStyle name="20% - Accent2 2 3 4 4 2" xfId="4963"/>
    <cellStyle name="20% - Accent2 2 3 4 5" xfId="4964"/>
    <cellStyle name="20% - Accent2 2 3 5" xfId="4965"/>
    <cellStyle name="20% - Accent2 2 3 5 2" xfId="4966"/>
    <cellStyle name="20% - Accent2 2 3 5 2 2" xfId="4967"/>
    <cellStyle name="20% - Accent2 2 3 5 2 2 2" xfId="4968"/>
    <cellStyle name="20% - Accent2 2 3 5 2 2 2 2" xfId="4969"/>
    <cellStyle name="20% - Accent2 2 3 5 2 2 3" xfId="4970"/>
    <cellStyle name="20% - Accent2 2 3 5 2 3" xfId="4971"/>
    <cellStyle name="20% - Accent2 2 3 5 2 3 2" xfId="4972"/>
    <cellStyle name="20% - Accent2 2 3 5 2 4" xfId="4973"/>
    <cellStyle name="20% - Accent2 2 3 5 3" xfId="4974"/>
    <cellStyle name="20% - Accent2 2 3 5 3 2" xfId="4975"/>
    <cellStyle name="20% - Accent2 2 3 5 3 2 2" xfId="4976"/>
    <cellStyle name="20% - Accent2 2 3 5 3 3" xfId="4977"/>
    <cellStyle name="20% - Accent2 2 3 5 4" xfId="4978"/>
    <cellStyle name="20% - Accent2 2 3 5 4 2" xfId="4979"/>
    <cellStyle name="20% - Accent2 2 3 5 5" xfId="4980"/>
    <cellStyle name="20% - Accent2 2 3 6" xfId="4981"/>
    <cellStyle name="20% - Accent2 2 3 6 2" xfId="4982"/>
    <cellStyle name="20% - Accent2 2 3 6 2 2" xfId="4983"/>
    <cellStyle name="20% - Accent2 2 3 6 2 2 2" xfId="4984"/>
    <cellStyle name="20% - Accent2 2 3 6 2 2 2 2" xfId="4985"/>
    <cellStyle name="20% - Accent2 2 3 6 2 2 3" xfId="4986"/>
    <cellStyle name="20% - Accent2 2 3 6 2 3" xfId="4987"/>
    <cellStyle name="20% - Accent2 2 3 6 2 3 2" xfId="4988"/>
    <cellStyle name="20% - Accent2 2 3 6 2 4" xfId="4989"/>
    <cellStyle name="20% - Accent2 2 3 6 3" xfId="4990"/>
    <cellStyle name="20% - Accent2 2 3 6 3 2" xfId="4991"/>
    <cellStyle name="20% - Accent2 2 3 6 3 2 2" xfId="4992"/>
    <cellStyle name="20% - Accent2 2 3 6 3 3" xfId="4993"/>
    <cellStyle name="20% - Accent2 2 3 6 4" xfId="4994"/>
    <cellStyle name="20% - Accent2 2 3 6 4 2" xfId="4995"/>
    <cellStyle name="20% - Accent2 2 3 6 5" xfId="4996"/>
    <cellStyle name="20% - Accent2 2 3 7" xfId="4997"/>
    <cellStyle name="20% - Accent2 2 3 7 2" xfId="4998"/>
    <cellStyle name="20% - Accent2 2 3 7 2 2" xfId="4999"/>
    <cellStyle name="20% - Accent2 2 3 7 2 2 2" xfId="5000"/>
    <cellStyle name="20% - Accent2 2 3 7 2 2 2 2" xfId="5001"/>
    <cellStyle name="20% - Accent2 2 3 7 2 2 3" xfId="5002"/>
    <cellStyle name="20% - Accent2 2 3 7 2 3" xfId="5003"/>
    <cellStyle name="20% - Accent2 2 3 7 2 3 2" xfId="5004"/>
    <cellStyle name="20% - Accent2 2 3 7 2 4" xfId="5005"/>
    <cellStyle name="20% - Accent2 2 3 7 3" xfId="5006"/>
    <cellStyle name="20% - Accent2 2 3 7 3 2" xfId="5007"/>
    <cellStyle name="20% - Accent2 2 3 7 3 2 2" xfId="5008"/>
    <cellStyle name="20% - Accent2 2 3 7 3 3" xfId="5009"/>
    <cellStyle name="20% - Accent2 2 3 7 4" xfId="5010"/>
    <cellStyle name="20% - Accent2 2 3 7 4 2" xfId="5011"/>
    <cellStyle name="20% - Accent2 2 3 7 5" xfId="5012"/>
    <cellStyle name="20% - Accent2 2 3 8" xfId="5013"/>
    <cellStyle name="20% - Accent2 2 3 8 2" xfId="5014"/>
    <cellStyle name="20% - Accent2 2 3 8 2 2" xfId="5015"/>
    <cellStyle name="20% - Accent2 2 3 8 2 2 2" xfId="5016"/>
    <cellStyle name="20% - Accent2 2 3 8 2 3" xfId="5017"/>
    <cellStyle name="20% - Accent2 2 3 8 3" xfId="5018"/>
    <cellStyle name="20% - Accent2 2 3 8 3 2" xfId="5019"/>
    <cellStyle name="20% - Accent2 2 3 8 4" xfId="5020"/>
    <cellStyle name="20% - Accent2 2 3 9" xfId="5021"/>
    <cellStyle name="20% - Accent2 2 3 9 2" xfId="5022"/>
    <cellStyle name="20% - Accent2 2 3 9 2 2" xfId="5023"/>
    <cellStyle name="20% - Accent2 2 3 9 3" xfId="5024"/>
    <cellStyle name="20% - Accent2 2 4" xfId="5025"/>
    <cellStyle name="20% - Accent2 2 4 10" xfId="5026"/>
    <cellStyle name="20% - Accent2 2 4 10 2" xfId="5027"/>
    <cellStyle name="20% - Accent2 2 4 11" xfId="5028"/>
    <cellStyle name="20% - Accent2 2 4 2" xfId="5029"/>
    <cellStyle name="20% - Accent2 2 4 2 10" xfId="5030"/>
    <cellStyle name="20% - Accent2 2 4 2 2" xfId="5031"/>
    <cellStyle name="20% - Accent2 2 4 2 2 2" xfId="5032"/>
    <cellStyle name="20% - Accent2 2 4 2 2 2 2" xfId="5033"/>
    <cellStyle name="20% - Accent2 2 4 2 2 2 2 2" xfId="5034"/>
    <cellStyle name="20% - Accent2 2 4 2 2 2 2 2 2" xfId="5035"/>
    <cellStyle name="20% - Accent2 2 4 2 2 2 2 3" xfId="5036"/>
    <cellStyle name="20% - Accent2 2 4 2 2 2 3" xfId="5037"/>
    <cellStyle name="20% - Accent2 2 4 2 2 2 3 2" xfId="5038"/>
    <cellStyle name="20% - Accent2 2 4 2 2 2 4" xfId="5039"/>
    <cellStyle name="20% - Accent2 2 4 2 2 3" xfId="5040"/>
    <cellStyle name="20% - Accent2 2 4 2 2 3 2" xfId="5041"/>
    <cellStyle name="20% - Accent2 2 4 2 2 3 2 2" xfId="5042"/>
    <cellStyle name="20% - Accent2 2 4 2 2 3 3" xfId="5043"/>
    <cellStyle name="20% - Accent2 2 4 2 2 4" xfId="5044"/>
    <cellStyle name="20% - Accent2 2 4 2 2 4 2" xfId="5045"/>
    <cellStyle name="20% - Accent2 2 4 2 2 5" xfId="5046"/>
    <cellStyle name="20% - Accent2 2 4 2 3" xfId="5047"/>
    <cellStyle name="20% - Accent2 2 4 2 3 2" xfId="5048"/>
    <cellStyle name="20% - Accent2 2 4 2 3 2 2" xfId="5049"/>
    <cellStyle name="20% - Accent2 2 4 2 3 2 2 2" xfId="5050"/>
    <cellStyle name="20% - Accent2 2 4 2 3 2 2 2 2" xfId="5051"/>
    <cellStyle name="20% - Accent2 2 4 2 3 2 2 3" xfId="5052"/>
    <cellStyle name="20% - Accent2 2 4 2 3 2 3" xfId="5053"/>
    <cellStyle name="20% - Accent2 2 4 2 3 2 3 2" xfId="5054"/>
    <cellStyle name="20% - Accent2 2 4 2 3 2 4" xfId="5055"/>
    <cellStyle name="20% - Accent2 2 4 2 3 3" xfId="5056"/>
    <cellStyle name="20% - Accent2 2 4 2 3 3 2" xfId="5057"/>
    <cellStyle name="20% - Accent2 2 4 2 3 3 2 2" xfId="5058"/>
    <cellStyle name="20% - Accent2 2 4 2 3 3 3" xfId="5059"/>
    <cellStyle name="20% - Accent2 2 4 2 3 4" xfId="5060"/>
    <cellStyle name="20% - Accent2 2 4 2 3 4 2" xfId="5061"/>
    <cellStyle name="20% - Accent2 2 4 2 3 5" xfId="5062"/>
    <cellStyle name="20% - Accent2 2 4 2 4" xfId="5063"/>
    <cellStyle name="20% - Accent2 2 4 2 4 2" xfId="5064"/>
    <cellStyle name="20% - Accent2 2 4 2 4 2 2" xfId="5065"/>
    <cellStyle name="20% - Accent2 2 4 2 4 2 2 2" xfId="5066"/>
    <cellStyle name="20% - Accent2 2 4 2 4 2 2 2 2" xfId="5067"/>
    <cellStyle name="20% - Accent2 2 4 2 4 2 2 3" xfId="5068"/>
    <cellStyle name="20% - Accent2 2 4 2 4 2 3" xfId="5069"/>
    <cellStyle name="20% - Accent2 2 4 2 4 2 3 2" xfId="5070"/>
    <cellStyle name="20% - Accent2 2 4 2 4 2 4" xfId="5071"/>
    <cellStyle name="20% - Accent2 2 4 2 4 3" xfId="5072"/>
    <cellStyle name="20% - Accent2 2 4 2 4 3 2" xfId="5073"/>
    <cellStyle name="20% - Accent2 2 4 2 4 3 2 2" xfId="5074"/>
    <cellStyle name="20% - Accent2 2 4 2 4 3 3" xfId="5075"/>
    <cellStyle name="20% - Accent2 2 4 2 4 4" xfId="5076"/>
    <cellStyle name="20% - Accent2 2 4 2 4 4 2" xfId="5077"/>
    <cellStyle name="20% - Accent2 2 4 2 4 5" xfId="5078"/>
    <cellStyle name="20% - Accent2 2 4 2 5" xfId="5079"/>
    <cellStyle name="20% - Accent2 2 4 2 5 2" xfId="5080"/>
    <cellStyle name="20% - Accent2 2 4 2 5 2 2" xfId="5081"/>
    <cellStyle name="20% - Accent2 2 4 2 5 2 2 2" xfId="5082"/>
    <cellStyle name="20% - Accent2 2 4 2 5 2 2 2 2" xfId="5083"/>
    <cellStyle name="20% - Accent2 2 4 2 5 2 2 3" xfId="5084"/>
    <cellStyle name="20% - Accent2 2 4 2 5 2 3" xfId="5085"/>
    <cellStyle name="20% - Accent2 2 4 2 5 2 3 2" xfId="5086"/>
    <cellStyle name="20% - Accent2 2 4 2 5 2 4" xfId="5087"/>
    <cellStyle name="20% - Accent2 2 4 2 5 3" xfId="5088"/>
    <cellStyle name="20% - Accent2 2 4 2 5 3 2" xfId="5089"/>
    <cellStyle name="20% - Accent2 2 4 2 5 3 2 2" xfId="5090"/>
    <cellStyle name="20% - Accent2 2 4 2 5 3 3" xfId="5091"/>
    <cellStyle name="20% - Accent2 2 4 2 5 4" xfId="5092"/>
    <cellStyle name="20% - Accent2 2 4 2 5 4 2" xfId="5093"/>
    <cellStyle name="20% - Accent2 2 4 2 5 5" xfId="5094"/>
    <cellStyle name="20% - Accent2 2 4 2 6" xfId="5095"/>
    <cellStyle name="20% - Accent2 2 4 2 6 2" xfId="5096"/>
    <cellStyle name="20% - Accent2 2 4 2 6 2 2" xfId="5097"/>
    <cellStyle name="20% - Accent2 2 4 2 6 2 2 2" xfId="5098"/>
    <cellStyle name="20% - Accent2 2 4 2 6 2 2 2 2" xfId="5099"/>
    <cellStyle name="20% - Accent2 2 4 2 6 2 2 3" xfId="5100"/>
    <cellStyle name="20% - Accent2 2 4 2 6 2 3" xfId="5101"/>
    <cellStyle name="20% - Accent2 2 4 2 6 2 3 2" xfId="5102"/>
    <cellStyle name="20% - Accent2 2 4 2 6 2 4" xfId="5103"/>
    <cellStyle name="20% - Accent2 2 4 2 6 3" xfId="5104"/>
    <cellStyle name="20% - Accent2 2 4 2 6 3 2" xfId="5105"/>
    <cellStyle name="20% - Accent2 2 4 2 6 3 2 2" xfId="5106"/>
    <cellStyle name="20% - Accent2 2 4 2 6 3 3" xfId="5107"/>
    <cellStyle name="20% - Accent2 2 4 2 6 4" xfId="5108"/>
    <cellStyle name="20% - Accent2 2 4 2 6 4 2" xfId="5109"/>
    <cellStyle name="20% - Accent2 2 4 2 6 5" xfId="5110"/>
    <cellStyle name="20% - Accent2 2 4 2 7" xfId="5111"/>
    <cellStyle name="20% - Accent2 2 4 2 7 2" xfId="5112"/>
    <cellStyle name="20% - Accent2 2 4 2 7 2 2" xfId="5113"/>
    <cellStyle name="20% - Accent2 2 4 2 7 2 2 2" xfId="5114"/>
    <cellStyle name="20% - Accent2 2 4 2 7 2 3" xfId="5115"/>
    <cellStyle name="20% - Accent2 2 4 2 7 3" xfId="5116"/>
    <cellStyle name="20% - Accent2 2 4 2 7 3 2" xfId="5117"/>
    <cellStyle name="20% - Accent2 2 4 2 7 4" xfId="5118"/>
    <cellStyle name="20% - Accent2 2 4 2 8" xfId="5119"/>
    <cellStyle name="20% - Accent2 2 4 2 8 2" xfId="5120"/>
    <cellStyle name="20% - Accent2 2 4 2 8 2 2" xfId="5121"/>
    <cellStyle name="20% - Accent2 2 4 2 8 3" xfId="5122"/>
    <cellStyle name="20% - Accent2 2 4 2 9" xfId="5123"/>
    <cellStyle name="20% - Accent2 2 4 2 9 2" xfId="5124"/>
    <cellStyle name="20% - Accent2 2 4 3" xfId="5125"/>
    <cellStyle name="20% - Accent2 2 4 3 2" xfId="5126"/>
    <cellStyle name="20% - Accent2 2 4 3 2 2" xfId="5127"/>
    <cellStyle name="20% - Accent2 2 4 3 2 2 2" xfId="5128"/>
    <cellStyle name="20% - Accent2 2 4 3 2 2 2 2" xfId="5129"/>
    <cellStyle name="20% - Accent2 2 4 3 2 2 3" xfId="5130"/>
    <cellStyle name="20% - Accent2 2 4 3 2 3" xfId="5131"/>
    <cellStyle name="20% - Accent2 2 4 3 2 3 2" xfId="5132"/>
    <cellStyle name="20% - Accent2 2 4 3 2 4" xfId="5133"/>
    <cellStyle name="20% - Accent2 2 4 3 3" xfId="5134"/>
    <cellStyle name="20% - Accent2 2 4 3 3 2" xfId="5135"/>
    <cellStyle name="20% - Accent2 2 4 3 3 2 2" xfId="5136"/>
    <cellStyle name="20% - Accent2 2 4 3 3 3" xfId="5137"/>
    <cellStyle name="20% - Accent2 2 4 3 4" xfId="5138"/>
    <cellStyle name="20% - Accent2 2 4 3 4 2" xfId="5139"/>
    <cellStyle name="20% - Accent2 2 4 3 5" xfId="5140"/>
    <cellStyle name="20% - Accent2 2 4 4" xfId="5141"/>
    <cellStyle name="20% - Accent2 2 4 4 2" xfId="5142"/>
    <cellStyle name="20% - Accent2 2 4 4 2 2" xfId="5143"/>
    <cellStyle name="20% - Accent2 2 4 4 2 2 2" xfId="5144"/>
    <cellStyle name="20% - Accent2 2 4 4 2 2 2 2" xfId="5145"/>
    <cellStyle name="20% - Accent2 2 4 4 2 2 3" xfId="5146"/>
    <cellStyle name="20% - Accent2 2 4 4 2 3" xfId="5147"/>
    <cellStyle name="20% - Accent2 2 4 4 2 3 2" xfId="5148"/>
    <cellStyle name="20% - Accent2 2 4 4 2 4" xfId="5149"/>
    <cellStyle name="20% - Accent2 2 4 4 3" xfId="5150"/>
    <cellStyle name="20% - Accent2 2 4 4 3 2" xfId="5151"/>
    <cellStyle name="20% - Accent2 2 4 4 3 2 2" xfId="5152"/>
    <cellStyle name="20% - Accent2 2 4 4 3 3" xfId="5153"/>
    <cellStyle name="20% - Accent2 2 4 4 4" xfId="5154"/>
    <cellStyle name="20% - Accent2 2 4 4 4 2" xfId="5155"/>
    <cellStyle name="20% - Accent2 2 4 4 5" xfId="5156"/>
    <cellStyle name="20% - Accent2 2 4 5" xfId="5157"/>
    <cellStyle name="20% - Accent2 2 4 5 2" xfId="5158"/>
    <cellStyle name="20% - Accent2 2 4 5 2 2" xfId="5159"/>
    <cellStyle name="20% - Accent2 2 4 5 2 2 2" xfId="5160"/>
    <cellStyle name="20% - Accent2 2 4 5 2 2 2 2" xfId="5161"/>
    <cellStyle name="20% - Accent2 2 4 5 2 2 3" xfId="5162"/>
    <cellStyle name="20% - Accent2 2 4 5 2 3" xfId="5163"/>
    <cellStyle name="20% - Accent2 2 4 5 2 3 2" xfId="5164"/>
    <cellStyle name="20% - Accent2 2 4 5 2 4" xfId="5165"/>
    <cellStyle name="20% - Accent2 2 4 5 3" xfId="5166"/>
    <cellStyle name="20% - Accent2 2 4 5 3 2" xfId="5167"/>
    <cellStyle name="20% - Accent2 2 4 5 3 2 2" xfId="5168"/>
    <cellStyle name="20% - Accent2 2 4 5 3 3" xfId="5169"/>
    <cellStyle name="20% - Accent2 2 4 5 4" xfId="5170"/>
    <cellStyle name="20% - Accent2 2 4 5 4 2" xfId="5171"/>
    <cellStyle name="20% - Accent2 2 4 5 5" xfId="5172"/>
    <cellStyle name="20% - Accent2 2 4 6" xfId="5173"/>
    <cellStyle name="20% - Accent2 2 4 6 2" xfId="5174"/>
    <cellStyle name="20% - Accent2 2 4 6 2 2" xfId="5175"/>
    <cellStyle name="20% - Accent2 2 4 6 2 2 2" xfId="5176"/>
    <cellStyle name="20% - Accent2 2 4 6 2 2 2 2" xfId="5177"/>
    <cellStyle name="20% - Accent2 2 4 6 2 2 3" xfId="5178"/>
    <cellStyle name="20% - Accent2 2 4 6 2 3" xfId="5179"/>
    <cellStyle name="20% - Accent2 2 4 6 2 3 2" xfId="5180"/>
    <cellStyle name="20% - Accent2 2 4 6 2 4" xfId="5181"/>
    <cellStyle name="20% - Accent2 2 4 6 3" xfId="5182"/>
    <cellStyle name="20% - Accent2 2 4 6 3 2" xfId="5183"/>
    <cellStyle name="20% - Accent2 2 4 6 3 2 2" xfId="5184"/>
    <cellStyle name="20% - Accent2 2 4 6 3 3" xfId="5185"/>
    <cellStyle name="20% - Accent2 2 4 6 4" xfId="5186"/>
    <cellStyle name="20% - Accent2 2 4 6 4 2" xfId="5187"/>
    <cellStyle name="20% - Accent2 2 4 6 5" xfId="5188"/>
    <cellStyle name="20% - Accent2 2 4 7" xfId="5189"/>
    <cellStyle name="20% - Accent2 2 4 7 2" xfId="5190"/>
    <cellStyle name="20% - Accent2 2 4 7 2 2" xfId="5191"/>
    <cellStyle name="20% - Accent2 2 4 7 2 2 2" xfId="5192"/>
    <cellStyle name="20% - Accent2 2 4 7 2 2 2 2" xfId="5193"/>
    <cellStyle name="20% - Accent2 2 4 7 2 2 3" xfId="5194"/>
    <cellStyle name="20% - Accent2 2 4 7 2 3" xfId="5195"/>
    <cellStyle name="20% - Accent2 2 4 7 2 3 2" xfId="5196"/>
    <cellStyle name="20% - Accent2 2 4 7 2 4" xfId="5197"/>
    <cellStyle name="20% - Accent2 2 4 7 3" xfId="5198"/>
    <cellStyle name="20% - Accent2 2 4 7 3 2" xfId="5199"/>
    <cellStyle name="20% - Accent2 2 4 7 3 2 2" xfId="5200"/>
    <cellStyle name="20% - Accent2 2 4 7 3 3" xfId="5201"/>
    <cellStyle name="20% - Accent2 2 4 7 4" xfId="5202"/>
    <cellStyle name="20% - Accent2 2 4 7 4 2" xfId="5203"/>
    <cellStyle name="20% - Accent2 2 4 7 5" xfId="5204"/>
    <cellStyle name="20% - Accent2 2 4 8" xfId="5205"/>
    <cellStyle name="20% - Accent2 2 4 8 2" xfId="5206"/>
    <cellStyle name="20% - Accent2 2 4 8 2 2" xfId="5207"/>
    <cellStyle name="20% - Accent2 2 4 8 2 2 2" xfId="5208"/>
    <cellStyle name="20% - Accent2 2 4 8 2 3" xfId="5209"/>
    <cellStyle name="20% - Accent2 2 4 8 3" xfId="5210"/>
    <cellStyle name="20% - Accent2 2 4 8 3 2" xfId="5211"/>
    <cellStyle name="20% - Accent2 2 4 8 4" xfId="5212"/>
    <cellStyle name="20% - Accent2 2 4 9" xfId="5213"/>
    <cellStyle name="20% - Accent2 2 4 9 2" xfId="5214"/>
    <cellStyle name="20% - Accent2 2 4 9 2 2" xfId="5215"/>
    <cellStyle name="20% - Accent2 2 4 9 3" xfId="5216"/>
    <cellStyle name="20% - Accent2 2 5" xfId="5217"/>
    <cellStyle name="20% - Accent2 2 5 10" xfId="5218"/>
    <cellStyle name="20% - Accent2 2 5 10 2" xfId="5219"/>
    <cellStyle name="20% - Accent2 2 5 11" xfId="5220"/>
    <cellStyle name="20% - Accent2 2 5 2" xfId="5221"/>
    <cellStyle name="20% - Accent2 2 5 2 10" xfId="5222"/>
    <cellStyle name="20% - Accent2 2 5 2 2" xfId="5223"/>
    <cellStyle name="20% - Accent2 2 5 2 2 2" xfId="5224"/>
    <cellStyle name="20% - Accent2 2 5 2 2 2 2" xfId="5225"/>
    <cellStyle name="20% - Accent2 2 5 2 2 2 2 2" xfId="5226"/>
    <cellStyle name="20% - Accent2 2 5 2 2 2 2 2 2" xfId="5227"/>
    <cellStyle name="20% - Accent2 2 5 2 2 2 2 3" xfId="5228"/>
    <cellStyle name="20% - Accent2 2 5 2 2 2 3" xfId="5229"/>
    <cellStyle name="20% - Accent2 2 5 2 2 2 3 2" xfId="5230"/>
    <cellStyle name="20% - Accent2 2 5 2 2 2 4" xfId="5231"/>
    <cellStyle name="20% - Accent2 2 5 2 2 3" xfId="5232"/>
    <cellStyle name="20% - Accent2 2 5 2 2 3 2" xfId="5233"/>
    <cellStyle name="20% - Accent2 2 5 2 2 3 2 2" xfId="5234"/>
    <cellStyle name="20% - Accent2 2 5 2 2 3 3" xfId="5235"/>
    <cellStyle name="20% - Accent2 2 5 2 2 4" xfId="5236"/>
    <cellStyle name="20% - Accent2 2 5 2 2 4 2" xfId="5237"/>
    <cellStyle name="20% - Accent2 2 5 2 2 5" xfId="5238"/>
    <cellStyle name="20% - Accent2 2 5 2 3" xfId="5239"/>
    <cellStyle name="20% - Accent2 2 5 2 3 2" xfId="5240"/>
    <cellStyle name="20% - Accent2 2 5 2 3 2 2" xfId="5241"/>
    <cellStyle name="20% - Accent2 2 5 2 3 2 2 2" xfId="5242"/>
    <cellStyle name="20% - Accent2 2 5 2 3 2 2 2 2" xfId="5243"/>
    <cellStyle name="20% - Accent2 2 5 2 3 2 2 3" xfId="5244"/>
    <cellStyle name="20% - Accent2 2 5 2 3 2 3" xfId="5245"/>
    <cellStyle name="20% - Accent2 2 5 2 3 2 3 2" xfId="5246"/>
    <cellStyle name="20% - Accent2 2 5 2 3 2 4" xfId="5247"/>
    <cellStyle name="20% - Accent2 2 5 2 3 3" xfId="5248"/>
    <cellStyle name="20% - Accent2 2 5 2 3 3 2" xfId="5249"/>
    <cellStyle name="20% - Accent2 2 5 2 3 3 2 2" xfId="5250"/>
    <cellStyle name="20% - Accent2 2 5 2 3 3 3" xfId="5251"/>
    <cellStyle name="20% - Accent2 2 5 2 3 4" xfId="5252"/>
    <cellStyle name="20% - Accent2 2 5 2 3 4 2" xfId="5253"/>
    <cellStyle name="20% - Accent2 2 5 2 3 5" xfId="5254"/>
    <cellStyle name="20% - Accent2 2 5 2 4" xfId="5255"/>
    <cellStyle name="20% - Accent2 2 5 2 4 2" xfId="5256"/>
    <cellStyle name="20% - Accent2 2 5 2 4 2 2" xfId="5257"/>
    <cellStyle name="20% - Accent2 2 5 2 4 2 2 2" xfId="5258"/>
    <cellStyle name="20% - Accent2 2 5 2 4 2 2 2 2" xfId="5259"/>
    <cellStyle name="20% - Accent2 2 5 2 4 2 2 3" xfId="5260"/>
    <cellStyle name="20% - Accent2 2 5 2 4 2 3" xfId="5261"/>
    <cellStyle name="20% - Accent2 2 5 2 4 2 3 2" xfId="5262"/>
    <cellStyle name="20% - Accent2 2 5 2 4 2 4" xfId="5263"/>
    <cellStyle name="20% - Accent2 2 5 2 4 3" xfId="5264"/>
    <cellStyle name="20% - Accent2 2 5 2 4 3 2" xfId="5265"/>
    <cellStyle name="20% - Accent2 2 5 2 4 3 2 2" xfId="5266"/>
    <cellStyle name="20% - Accent2 2 5 2 4 3 3" xfId="5267"/>
    <cellStyle name="20% - Accent2 2 5 2 4 4" xfId="5268"/>
    <cellStyle name="20% - Accent2 2 5 2 4 4 2" xfId="5269"/>
    <cellStyle name="20% - Accent2 2 5 2 4 5" xfId="5270"/>
    <cellStyle name="20% - Accent2 2 5 2 5" xfId="5271"/>
    <cellStyle name="20% - Accent2 2 5 2 5 2" xfId="5272"/>
    <cellStyle name="20% - Accent2 2 5 2 5 2 2" xfId="5273"/>
    <cellStyle name="20% - Accent2 2 5 2 5 2 2 2" xfId="5274"/>
    <cellStyle name="20% - Accent2 2 5 2 5 2 2 2 2" xfId="5275"/>
    <cellStyle name="20% - Accent2 2 5 2 5 2 2 3" xfId="5276"/>
    <cellStyle name="20% - Accent2 2 5 2 5 2 3" xfId="5277"/>
    <cellStyle name="20% - Accent2 2 5 2 5 2 3 2" xfId="5278"/>
    <cellStyle name="20% - Accent2 2 5 2 5 2 4" xfId="5279"/>
    <cellStyle name="20% - Accent2 2 5 2 5 3" xfId="5280"/>
    <cellStyle name="20% - Accent2 2 5 2 5 3 2" xfId="5281"/>
    <cellStyle name="20% - Accent2 2 5 2 5 3 2 2" xfId="5282"/>
    <cellStyle name="20% - Accent2 2 5 2 5 3 3" xfId="5283"/>
    <cellStyle name="20% - Accent2 2 5 2 5 4" xfId="5284"/>
    <cellStyle name="20% - Accent2 2 5 2 5 4 2" xfId="5285"/>
    <cellStyle name="20% - Accent2 2 5 2 5 5" xfId="5286"/>
    <cellStyle name="20% - Accent2 2 5 2 6" xfId="5287"/>
    <cellStyle name="20% - Accent2 2 5 2 6 2" xfId="5288"/>
    <cellStyle name="20% - Accent2 2 5 2 6 2 2" xfId="5289"/>
    <cellStyle name="20% - Accent2 2 5 2 6 2 2 2" xfId="5290"/>
    <cellStyle name="20% - Accent2 2 5 2 6 2 2 2 2" xfId="5291"/>
    <cellStyle name="20% - Accent2 2 5 2 6 2 2 3" xfId="5292"/>
    <cellStyle name="20% - Accent2 2 5 2 6 2 3" xfId="5293"/>
    <cellStyle name="20% - Accent2 2 5 2 6 2 3 2" xfId="5294"/>
    <cellStyle name="20% - Accent2 2 5 2 6 2 4" xfId="5295"/>
    <cellStyle name="20% - Accent2 2 5 2 6 3" xfId="5296"/>
    <cellStyle name="20% - Accent2 2 5 2 6 3 2" xfId="5297"/>
    <cellStyle name="20% - Accent2 2 5 2 6 3 2 2" xfId="5298"/>
    <cellStyle name="20% - Accent2 2 5 2 6 3 3" xfId="5299"/>
    <cellStyle name="20% - Accent2 2 5 2 6 4" xfId="5300"/>
    <cellStyle name="20% - Accent2 2 5 2 6 4 2" xfId="5301"/>
    <cellStyle name="20% - Accent2 2 5 2 6 5" xfId="5302"/>
    <cellStyle name="20% - Accent2 2 5 2 7" xfId="5303"/>
    <cellStyle name="20% - Accent2 2 5 2 7 2" xfId="5304"/>
    <cellStyle name="20% - Accent2 2 5 2 7 2 2" xfId="5305"/>
    <cellStyle name="20% - Accent2 2 5 2 7 2 2 2" xfId="5306"/>
    <cellStyle name="20% - Accent2 2 5 2 7 2 3" xfId="5307"/>
    <cellStyle name="20% - Accent2 2 5 2 7 3" xfId="5308"/>
    <cellStyle name="20% - Accent2 2 5 2 7 3 2" xfId="5309"/>
    <cellStyle name="20% - Accent2 2 5 2 7 4" xfId="5310"/>
    <cellStyle name="20% - Accent2 2 5 2 8" xfId="5311"/>
    <cellStyle name="20% - Accent2 2 5 2 8 2" xfId="5312"/>
    <cellStyle name="20% - Accent2 2 5 2 8 2 2" xfId="5313"/>
    <cellStyle name="20% - Accent2 2 5 2 8 3" xfId="5314"/>
    <cellStyle name="20% - Accent2 2 5 2 9" xfId="5315"/>
    <cellStyle name="20% - Accent2 2 5 2 9 2" xfId="5316"/>
    <cellStyle name="20% - Accent2 2 5 3" xfId="5317"/>
    <cellStyle name="20% - Accent2 2 5 3 2" xfId="5318"/>
    <cellStyle name="20% - Accent2 2 5 3 2 2" xfId="5319"/>
    <cellStyle name="20% - Accent2 2 5 3 2 2 2" xfId="5320"/>
    <cellStyle name="20% - Accent2 2 5 3 2 2 2 2" xfId="5321"/>
    <cellStyle name="20% - Accent2 2 5 3 2 2 3" xfId="5322"/>
    <cellStyle name="20% - Accent2 2 5 3 2 3" xfId="5323"/>
    <cellStyle name="20% - Accent2 2 5 3 2 3 2" xfId="5324"/>
    <cellStyle name="20% - Accent2 2 5 3 2 4" xfId="5325"/>
    <cellStyle name="20% - Accent2 2 5 3 3" xfId="5326"/>
    <cellStyle name="20% - Accent2 2 5 3 3 2" xfId="5327"/>
    <cellStyle name="20% - Accent2 2 5 3 3 2 2" xfId="5328"/>
    <cellStyle name="20% - Accent2 2 5 3 3 3" xfId="5329"/>
    <cellStyle name="20% - Accent2 2 5 3 4" xfId="5330"/>
    <cellStyle name="20% - Accent2 2 5 3 4 2" xfId="5331"/>
    <cellStyle name="20% - Accent2 2 5 3 5" xfId="5332"/>
    <cellStyle name="20% - Accent2 2 5 4" xfId="5333"/>
    <cellStyle name="20% - Accent2 2 5 4 2" xfId="5334"/>
    <cellStyle name="20% - Accent2 2 5 4 2 2" xfId="5335"/>
    <cellStyle name="20% - Accent2 2 5 4 2 2 2" xfId="5336"/>
    <cellStyle name="20% - Accent2 2 5 4 2 2 2 2" xfId="5337"/>
    <cellStyle name="20% - Accent2 2 5 4 2 2 3" xfId="5338"/>
    <cellStyle name="20% - Accent2 2 5 4 2 3" xfId="5339"/>
    <cellStyle name="20% - Accent2 2 5 4 2 3 2" xfId="5340"/>
    <cellStyle name="20% - Accent2 2 5 4 2 4" xfId="5341"/>
    <cellStyle name="20% - Accent2 2 5 4 3" xfId="5342"/>
    <cellStyle name="20% - Accent2 2 5 4 3 2" xfId="5343"/>
    <cellStyle name="20% - Accent2 2 5 4 3 2 2" xfId="5344"/>
    <cellStyle name="20% - Accent2 2 5 4 3 3" xfId="5345"/>
    <cellStyle name="20% - Accent2 2 5 4 4" xfId="5346"/>
    <cellStyle name="20% - Accent2 2 5 4 4 2" xfId="5347"/>
    <cellStyle name="20% - Accent2 2 5 4 5" xfId="5348"/>
    <cellStyle name="20% - Accent2 2 5 5" xfId="5349"/>
    <cellStyle name="20% - Accent2 2 5 5 2" xfId="5350"/>
    <cellStyle name="20% - Accent2 2 5 5 2 2" xfId="5351"/>
    <cellStyle name="20% - Accent2 2 5 5 2 2 2" xfId="5352"/>
    <cellStyle name="20% - Accent2 2 5 5 2 2 2 2" xfId="5353"/>
    <cellStyle name="20% - Accent2 2 5 5 2 2 3" xfId="5354"/>
    <cellStyle name="20% - Accent2 2 5 5 2 3" xfId="5355"/>
    <cellStyle name="20% - Accent2 2 5 5 2 3 2" xfId="5356"/>
    <cellStyle name="20% - Accent2 2 5 5 2 4" xfId="5357"/>
    <cellStyle name="20% - Accent2 2 5 5 3" xfId="5358"/>
    <cellStyle name="20% - Accent2 2 5 5 3 2" xfId="5359"/>
    <cellStyle name="20% - Accent2 2 5 5 3 2 2" xfId="5360"/>
    <cellStyle name="20% - Accent2 2 5 5 3 3" xfId="5361"/>
    <cellStyle name="20% - Accent2 2 5 5 4" xfId="5362"/>
    <cellStyle name="20% - Accent2 2 5 5 4 2" xfId="5363"/>
    <cellStyle name="20% - Accent2 2 5 5 5" xfId="5364"/>
    <cellStyle name="20% - Accent2 2 5 6" xfId="5365"/>
    <cellStyle name="20% - Accent2 2 5 6 2" xfId="5366"/>
    <cellStyle name="20% - Accent2 2 5 6 2 2" xfId="5367"/>
    <cellStyle name="20% - Accent2 2 5 6 2 2 2" xfId="5368"/>
    <cellStyle name="20% - Accent2 2 5 6 2 2 2 2" xfId="5369"/>
    <cellStyle name="20% - Accent2 2 5 6 2 2 3" xfId="5370"/>
    <cellStyle name="20% - Accent2 2 5 6 2 3" xfId="5371"/>
    <cellStyle name="20% - Accent2 2 5 6 2 3 2" xfId="5372"/>
    <cellStyle name="20% - Accent2 2 5 6 2 4" xfId="5373"/>
    <cellStyle name="20% - Accent2 2 5 6 3" xfId="5374"/>
    <cellStyle name="20% - Accent2 2 5 6 3 2" xfId="5375"/>
    <cellStyle name="20% - Accent2 2 5 6 3 2 2" xfId="5376"/>
    <cellStyle name="20% - Accent2 2 5 6 3 3" xfId="5377"/>
    <cellStyle name="20% - Accent2 2 5 6 4" xfId="5378"/>
    <cellStyle name="20% - Accent2 2 5 6 4 2" xfId="5379"/>
    <cellStyle name="20% - Accent2 2 5 6 5" xfId="5380"/>
    <cellStyle name="20% - Accent2 2 5 7" xfId="5381"/>
    <cellStyle name="20% - Accent2 2 5 7 2" xfId="5382"/>
    <cellStyle name="20% - Accent2 2 5 7 2 2" xfId="5383"/>
    <cellStyle name="20% - Accent2 2 5 7 2 2 2" xfId="5384"/>
    <cellStyle name="20% - Accent2 2 5 7 2 2 2 2" xfId="5385"/>
    <cellStyle name="20% - Accent2 2 5 7 2 2 3" xfId="5386"/>
    <cellStyle name="20% - Accent2 2 5 7 2 3" xfId="5387"/>
    <cellStyle name="20% - Accent2 2 5 7 2 3 2" xfId="5388"/>
    <cellStyle name="20% - Accent2 2 5 7 2 4" xfId="5389"/>
    <cellStyle name="20% - Accent2 2 5 7 3" xfId="5390"/>
    <cellStyle name="20% - Accent2 2 5 7 3 2" xfId="5391"/>
    <cellStyle name="20% - Accent2 2 5 7 3 2 2" xfId="5392"/>
    <cellStyle name="20% - Accent2 2 5 7 3 3" xfId="5393"/>
    <cellStyle name="20% - Accent2 2 5 7 4" xfId="5394"/>
    <cellStyle name="20% - Accent2 2 5 7 4 2" xfId="5395"/>
    <cellStyle name="20% - Accent2 2 5 7 5" xfId="5396"/>
    <cellStyle name="20% - Accent2 2 5 8" xfId="5397"/>
    <cellStyle name="20% - Accent2 2 5 8 2" xfId="5398"/>
    <cellStyle name="20% - Accent2 2 5 8 2 2" xfId="5399"/>
    <cellStyle name="20% - Accent2 2 5 8 2 2 2" xfId="5400"/>
    <cellStyle name="20% - Accent2 2 5 8 2 3" xfId="5401"/>
    <cellStyle name="20% - Accent2 2 5 8 3" xfId="5402"/>
    <cellStyle name="20% - Accent2 2 5 8 3 2" xfId="5403"/>
    <cellStyle name="20% - Accent2 2 5 8 4" xfId="5404"/>
    <cellStyle name="20% - Accent2 2 5 9" xfId="5405"/>
    <cellStyle name="20% - Accent2 2 5 9 2" xfId="5406"/>
    <cellStyle name="20% - Accent2 2 5 9 2 2" xfId="5407"/>
    <cellStyle name="20% - Accent2 2 5 9 3" xfId="5408"/>
    <cellStyle name="20% - Accent2 2 6" xfId="5409"/>
    <cellStyle name="20% - Accent2 2 6 10" xfId="5410"/>
    <cellStyle name="20% - Accent2 2 6 10 2" xfId="5411"/>
    <cellStyle name="20% - Accent2 2 6 11" xfId="5412"/>
    <cellStyle name="20% - Accent2 2 6 2" xfId="5413"/>
    <cellStyle name="20% - Accent2 2 6 2 10" xfId="5414"/>
    <cellStyle name="20% - Accent2 2 6 2 2" xfId="5415"/>
    <cellStyle name="20% - Accent2 2 6 2 2 2" xfId="5416"/>
    <cellStyle name="20% - Accent2 2 6 2 2 2 2" xfId="5417"/>
    <cellStyle name="20% - Accent2 2 6 2 2 2 2 2" xfId="5418"/>
    <cellStyle name="20% - Accent2 2 6 2 2 2 2 2 2" xfId="5419"/>
    <cellStyle name="20% - Accent2 2 6 2 2 2 2 3" xfId="5420"/>
    <cellStyle name="20% - Accent2 2 6 2 2 2 3" xfId="5421"/>
    <cellStyle name="20% - Accent2 2 6 2 2 2 3 2" xfId="5422"/>
    <cellStyle name="20% - Accent2 2 6 2 2 2 4" xfId="5423"/>
    <cellStyle name="20% - Accent2 2 6 2 2 3" xfId="5424"/>
    <cellStyle name="20% - Accent2 2 6 2 2 3 2" xfId="5425"/>
    <cellStyle name="20% - Accent2 2 6 2 2 3 2 2" xfId="5426"/>
    <cellStyle name="20% - Accent2 2 6 2 2 3 3" xfId="5427"/>
    <cellStyle name="20% - Accent2 2 6 2 2 4" xfId="5428"/>
    <cellStyle name="20% - Accent2 2 6 2 2 4 2" xfId="5429"/>
    <cellStyle name="20% - Accent2 2 6 2 2 5" xfId="5430"/>
    <cellStyle name="20% - Accent2 2 6 2 3" xfId="5431"/>
    <cellStyle name="20% - Accent2 2 6 2 3 2" xfId="5432"/>
    <cellStyle name="20% - Accent2 2 6 2 3 2 2" xfId="5433"/>
    <cellStyle name="20% - Accent2 2 6 2 3 2 2 2" xfId="5434"/>
    <cellStyle name="20% - Accent2 2 6 2 3 2 2 2 2" xfId="5435"/>
    <cellStyle name="20% - Accent2 2 6 2 3 2 2 3" xfId="5436"/>
    <cellStyle name="20% - Accent2 2 6 2 3 2 3" xfId="5437"/>
    <cellStyle name="20% - Accent2 2 6 2 3 2 3 2" xfId="5438"/>
    <cellStyle name="20% - Accent2 2 6 2 3 2 4" xfId="5439"/>
    <cellStyle name="20% - Accent2 2 6 2 3 3" xfId="5440"/>
    <cellStyle name="20% - Accent2 2 6 2 3 3 2" xfId="5441"/>
    <cellStyle name="20% - Accent2 2 6 2 3 3 2 2" xfId="5442"/>
    <cellStyle name="20% - Accent2 2 6 2 3 3 3" xfId="5443"/>
    <cellStyle name="20% - Accent2 2 6 2 3 4" xfId="5444"/>
    <cellStyle name="20% - Accent2 2 6 2 3 4 2" xfId="5445"/>
    <cellStyle name="20% - Accent2 2 6 2 3 5" xfId="5446"/>
    <cellStyle name="20% - Accent2 2 6 2 4" xfId="5447"/>
    <cellStyle name="20% - Accent2 2 6 2 4 2" xfId="5448"/>
    <cellStyle name="20% - Accent2 2 6 2 4 2 2" xfId="5449"/>
    <cellStyle name="20% - Accent2 2 6 2 4 2 2 2" xfId="5450"/>
    <cellStyle name="20% - Accent2 2 6 2 4 2 2 2 2" xfId="5451"/>
    <cellStyle name="20% - Accent2 2 6 2 4 2 2 3" xfId="5452"/>
    <cellStyle name="20% - Accent2 2 6 2 4 2 3" xfId="5453"/>
    <cellStyle name="20% - Accent2 2 6 2 4 2 3 2" xfId="5454"/>
    <cellStyle name="20% - Accent2 2 6 2 4 2 4" xfId="5455"/>
    <cellStyle name="20% - Accent2 2 6 2 4 3" xfId="5456"/>
    <cellStyle name="20% - Accent2 2 6 2 4 3 2" xfId="5457"/>
    <cellStyle name="20% - Accent2 2 6 2 4 3 2 2" xfId="5458"/>
    <cellStyle name="20% - Accent2 2 6 2 4 3 3" xfId="5459"/>
    <cellStyle name="20% - Accent2 2 6 2 4 4" xfId="5460"/>
    <cellStyle name="20% - Accent2 2 6 2 4 4 2" xfId="5461"/>
    <cellStyle name="20% - Accent2 2 6 2 4 5" xfId="5462"/>
    <cellStyle name="20% - Accent2 2 6 2 5" xfId="5463"/>
    <cellStyle name="20% - Accent2 2 6 2 5 2" xfId="5464"/>
    <cellStyle name="20% - Accent2 2 6 2 5 2 2" xfId="5465"/>
    <cellStyle name="20% - Accent2 2 6 2 5 2 2 2" xfId="5466"/>
    <cellStyle name="20% - Accent2 2 6 2 5 2 2 2 2" xfId="5467"/>
    <cellStyle name="20% - Accent2 2 6 2 5 2 2 3" xfId="5468"/>
    <cellStyle name="20% - Accent2 2 6 2 5 2 3" xfId="5469"/>
    <cellStyle name="20% - Accent2 2 6 2 5 2 3 2" xfId="5470"/>
    <cellStyle name="20% - Accent2 2 6 2 5 2 4" xfId="5471"/>
    <cellStyle name="20% - Accent2 2 6 2 5 3" xfId="5472"/>
    <cellStyle name="20% - Accent2 2 6 2 5 3 2" xfId="5473"/>
    <cellStyle name="20% - Accent2 2 6 2 5 3 2 2" xfId="5474"/>
    <cellStyle name="20% - Accent2 2 6 2 5 3 3" xfId="5475"/>
    <cellStyle name="20% - Accent2 2 6 2 5 4" xfId="5476"/>
    <cellStyle name="20% - Accent2 2 6 2 5 4 2" xfId="5477"/>
    <cellStyle name="20% - Accent2 2 6 2 5 5" xfId="5478"/>
    <cellStyle name="20% - Accent2 2 6 2 6" xfId="5479"/>
    <cellStyle name="20% - Accent2 2 6 2 6 2" xfId="5480"/>
    <cellStyle name="20% - Accent2 2 6 2 6 2 2" xfId="5481"/>
    <cellStyle name="20% - Accent2 2 6 2 6 2 2 2" xfId="5482"/>
    <cellStyle name="20% - Accent2 2 6 2 6 2 2 2 2" xfId="5483"/>
    <cellStyle name="20% - Accent2 2 6 2 6 2 2 3" xfId="5484"/>
    <cellStyle name="20% - Accent2 2 6 2 6 2 3" xfId="5485"/>
    <cellStyle name="20% - Accent2 2 6 2 6 2 3 2" xfId="5486"/>
    <cellStyle name="20% - Accent2 2 6 2 6 2 4" xfId="5487"/>
    <cellStyle name="20% - Accent2 2 6 2 6 3" xfId="5488"/>
    <cellStyle name="20% - Accent2 2 6 2 6 3 2" xfId="5489"/>
    <cellStyle name="20% - Accent2 2 6 2 6 3 2 2" xfId="5490"/>
    <cellStyle name="20% - Accent2 2 6 2 6 3 3" xfId="5491"/>
    <cellStyle name="20% - Accent2 2 6 2 6 4" xfId="5492"/>
    <cellStyle name="20% - Accent2 2 6 2 6 4 2" xfId="5493"/>
    <cellStyle name="20% - Accent2 2 6 2 6 5" xfId="5494"/>
    <cellStyle name="20% - Accent2 2 6 2 7" xfId="5495"/>
    <cellStyle name="20% - Accent2 2 6 2 7 2" xfId="5496"/>
    <cellStyle name="20% - Accent2 2 6 2 7 2 2" xfId="5497"/>
    <cellStyle name="20% - Accent2 2 6 2 7 2 2 2" xfId="5498"/>
    <cellStyle name="20% - Accent2 2 6 2 7 2 3" xfId="5499"/>
    <cellStyle name="20% - Accent2 2 6 2 7 3" xfId="5500"/>
    <cellStyle name="20% - Accent2 2 6 2 7 3 2" xfId="5501"/>
    <cellStyle name="20% - Accent2 2 6 2 7 4" xfId="5502"/>
    <cellStyle name="20% - Accent2 2 6 2 8" xfId="5503"/>
    <cellStyle name="20% - Accent2 2 6 2 8 2" xfId="5504"/>
    <cellStyle name="20% - Accent2 2 6 2 8 2 2" xfId="5505"/>
    <cellStyle name="20% - Accent2 2 6 2 8 3" xfId="5506"/>
    <cellStyle name="20% - Accent2 2 6 2 9" xfId="5507"/>
    <cellStyle name="20% - Accent2 2 6 2 9 2" xfId="5508"/>
    <cellStyle name="20% - Accent2 2 6 3" xfId="5509"/>
    <cellStyle name="20% - Accent2 2 6 3 2" xfId="5510"/>
    <cellStyle name="20% - Accent2 2 6 3 2 2" xfId="5511"/>
    <cellStyle name="20% - Accent2 2 6 3 2 2 2" xfId="5512"/>
    <cellStyle name="20% - Accent2 2 6 3 2 2 2 2" xfId="5513"/>
    <cellStyle name="20% - Accent2 2 6 3 2 2 3" xfId="5514"/>
    <cellStyle name="20% - Accent2 2 6 3 2 3" xfId="5515"/>
    <cellStyle name="20% - Accent2 2 6 3 2 3 2" xfId="5516"/>
    <cellStyle name="20% - Accent2 2 6 3 2 4" xfId="5517"/>
    <cellStyle name="20% - Accent2 2 6 3 3" xfId="5518"/>
    <cellStyle name="20% - Accent2 2 6 3 3 2" xfId="5519"/>
    <cellStyle name="20% - Accent2 2 6 3 3 2 2" xfId="5520"/>
    <cellStyle name="20% - Accent2 2 6 3 3 3" xfId="5521"/>
    <cellStyle name="20% - Accent2 2 6 3 4" xfId="5522"/>
    <cellStyle name="20% - Accent2 2 6 3 4 2" xfId="5523"/>
    <cellStyle name="20% - Accent2 2 6 3 5" xfId="5524"/>
    <cellStyle name="20% - Accent2 2 6 4" xfId="5525"/>
    <cellStyle name="20% - Accent2 2 6 4 2" xfId="5526"/>
    <cellStyle name="20% - Accent2 2 6 4 2 2" xfId="5527"/>
    <cellStyle name="20% - Accent2 2 6 4 2 2 2" xfId="5528"/>
    <cellStyle name="20% - Accent2 2 6 4 2 2 2 2" xfId="5529"/>
    <cellStyle name="20% - Accent2 2 6 4 2 2 3" xfId="5530"/>
    <cellStyle name="20% - Accent2 2 6 4 2 3" xfId="5531"/>
    <cellStyle name="20% - Accent2 2 6 4 2 3 2" xfId="5532"/>
    <cellStyle name="20% - Accent2 2 6 4 2 4" xfId="5533"/>
    <cellStyle name="20% - Accent2 2 6 4 3" xfId="5534"/>
    <cellStyle name="20% - Accent2 2 6 4 3 2" xfId="5535"/>
    <cellStyle name="20% - Accent2 2 6 4 3 2 2" xfId="5536"/>
    <cellStyle name="20% - Accent2 2 6 4 3 3" xfId="5537"/>
    <cellStyle name="20% - Accent2 2 6 4 4" xfId="5538"/>
    <cellStyle name="20% - Accent2 2 6 4 4 2" xfId="5539"/>
    <cellStyle name="20% - Accent2 2 6 4 5" xfId="5540"/>
    <cellStyle name="20% - Accent2 2 6 5" xfId="5541"/>
    <cellStyle name="20% - Accent2 2 6 5 2" xfId="5542"/>
    <cellStyle name="20% - Accent2 2 6 5 2 2" xfId="5543"/>
    <cellStyle name="20% - Accent2 2 6 5 2 2 2" xfId="5544"/>
    <cellStyle name="20% - Accent2 2 6 5 2 2 2 2" xfId="5545"/>
    <cellStyle name="20% - Accent2 2 6 5 2 2 3" xfId="5546"/>
    <cellStyle name="20% - Accent2 2 6 5 2 3" xfId="5547"/>
    <cellStyle name="20% - Accent2 2 6 5 2 3 2" xfId="5548"/>
    <cellStyle name="20% - Accent2 2 6 5 2 4" xfId="5549"/>
    <cellStyle name="20% - Accent2 2 6 5 3" xfId="5550"/>
    <cellStyle name="20% - Accent2 2 6 5 3 2" xfId="5551"/>
    <cellStyle name="20% - Accent2 2 6 5 3 2 2" xfId="5552"/>
    <cellStyle name="20% - Accent2 2 6 5 3 3" xfId="5553"/>
    <cellStyle name="20% - Accent2 2 6 5 4" xfId="5554"/>
    <cellStyle name="20% - Accent2 2 6 5 4 2" xfId="5555"/>
    <cellStyle name="20% - Accent2 2 6 5 5" xfId="5556"/>
    <cellStyle name="20% - Accent2 2 6 6" xfId="5557"/>
    <cellStyle name="20% - Accent2 2 6 6 2" xfId="5558"/>
    <cellStyle name="20% - Accent2 2 6 6 2 2" xfId="5559"/>
    <cellStyle name="20% - Accent2 2 6 6 2 2 2" xfId="5560"/>
    <cellStyle name="20% - Accent2 2 6 6 2 2 2 2" xfId="5561"/>
    <cellStyle name="20% - Accent2 2 6 6 2 2 3" xfId="5562"/>
    <cellStyle name="20% - Accent2 2 6 6 2 3" xfId="5563"/>
    <cellStyle name="20% - Accent2 2 6 6 2 3 2" xfId="5564"/>
    <cellStyle name="20% - Accent2 2 6 6 2 4" xfId="5565"/>
    <cellStyle name="20% - Accent2 2 6 6 3" xfId="5566"/>
    <cellStyle name="20% - Accent2 2 6 6 3 2" xfId="5567"/>
    <cellStyle name="20% - Accent2 2 6 6 3 2 2" xfId="5568"/>
    <cellStyle name="20% - Accent2 2 6 6 3 3" xfId="5569"/>
    <cellStyle name="20% - Accent2 2 6 6 4" xfId="5570"/>
    <cellStyle name="20% - Accent2 2 6 6 4 2" xfId="5571"/>
    <cellStyle name="20% - Accent2 2 6 6 5" xfId="5572"/>
    <cellStyle name="20% - Accent2 2 6 7" xfId="5573"/>
    <cellStyle name="20% - Accent2 2 6 7 2" xfId="5574"/>
    <cellStyle name="20% - Accent2 2 6 7 2 2" xfId="5575"/>
    <cellStyle name="20% - Accent2 2 6 7 2 2 2" xfId="5576"/>
    <cellStyle name="20% - Accent2 2 6 7 2 2 2 2" xfId="5577"/>
    <cellStyle name="20% - Accent2 2 6 7 2 2 3" xfId="5578"/>
    <cellStyle name="20% - Accent2 2 6 7 2 3" xfId="5579"/>
    <cellStyle name="20% - Accent2 2 6 7 2 3 2" xfId="5580"/>
    <cellStyle name="20% - Accent2 2 6 7 2 4" xfId="5581"/>
    <cellStyle name="20% - Accent2 2 6 7 3" xfId="5582"/>
    <cellStyle name="20% - Accent2 2 6 7 3 2" xfId="5583"/>
    <cellStyle name="20% - Accent2 2 6 7 3 2 2" xfId="5584"/>
    <cellStyle name="20% - Accent2 2 6 7 3 3" xfId="5585"/>
    <cellStyle name="20% - Accent2 2 6 7 4" xfId="5586"/>
    <cellStyle name="20% - Accent2 2 6 7 4 2" xfId="5587"/>
    <cellStyle name="20% - Accent2 2 6 7 5" xfId="5588"/>
    <cellStyle name="20% - Accent2 2 6 8" xfId="5589"/>
    <cellStyle name="20% - Accent2 2 6 8 2" xfId="5590"/>
    <cellStyle name="20% - Accent2 2 6 8 2 2" xfId="5591"/>
    <cellStyle name="20% - Accent2 2 6 8 2 2 2" xfId="5592"/>
    <cellStyle name="20% - Accent2 2 6 8 2 3" xfId="5593"/>
    <cellStyle name="20% - Accent2 2 6 8 3" xfId="5594"/>
    <cellStyle name="20% - Accent2 2 6 8 3 2" xfId="5595"/>
    <cellStyle name="20% - Accent2 2 6 8 4" xfId="5596"/>
    <cellStyle name="20% - Accent2 2 6 9" xfId="5597"/>
    <cellStyle name="20% - Accent2 2 6 9 2" xfId="5598"/>
    <cellStyle name="20% - Accent2 2 6 9 2 2" xfId="5599"/>
    <cellStyle name="20% - Accent2 2 6 9 3" xfId="5600"/>
    <cellStyle name="20% - Accent2 2 7" xfId="5601"/>
    <cellStyle name="20% - Accent2 2 7 10" xfId="5602"/>
    <cellStyle name="20% - Accent2 2 7 10 2" xfId="5603"/>
    <cellStyle name="20% - Accent2 2 7 11" xfId="5604"/>
    <cellStyle name="20% - Accent2 2 7 2" xfId="5605"/>
    <cellStyle name="20% - Accent2 2 7 2 10" xfId="5606"/>
    <cellStyle name="20% - Accent2 2 7 2 2" xfId="5607"/>
    <cellStyle name="20% - Accent2 2 7 2 2 2" xfId="5608"/>
    <cellStyle name="20% - Accent2 2 7 2 2 2 2" xfId="5609"/>
    <cellStyle name="20% - Accent2 2 7 2 2 2 2 2" xfId="5610"/>
    <cellStyle name="20% - Accent2 2 7 2 2 2 2 2 2" xfId="5611"/>
    <cellStyle name="20% - Accent2 2 7 2 2 2 2 3" xfId="5612"/>
    <cellStyle name="20% - Accent2 2 7 2 2 2 3" xfId="5613"/>
    <cellStyle name="20% - Accent2 2 7 2 2 2 3 2" xfId="5614"/>
    <cellStyle name="20% - Accent2 2 7 2 2 2 4" xfId="5615"/>
    <cellStyle name="20% - Accent2 2 7 2 2 3" xfId="5616"/>
    <cellStyle name="20% - Accent2 2 7 2 2 3 2" xfId="5617"/>
    <cellStyle name="20% - Accent2 2 7 2 2 3 2 2" xfId="5618"/>
    <cellStyle name="20% - Accent2 2 7 2 2 3 3" xfId="5619"/>
    <cellStyle name="20% - Accent2 2 7 2 2 4" xfId="5620"/>
    <cellStyle name="20% - Accent2 2 7 2 2 4 2" xfId="5621"/>
    <cellStyle name="20% - Accent2 2 7 2 2 5" xfId="5622"/>
    <cellStyle name="20% - Accent2 2 7 2 3" xfId="5623"/>
    <cellStyle name="20% - Accent2 2 7 2 3 2" xfId="5624"/>
    <cellStyle name="20% - Accent2 2 7 2 3 2 2" xfId="5625"/>
    <cellStyle name="20% - Accent2 2 7 2 3 2 2 2" xfId="5626"/>
    <cellStyle name="20% - Accent2 2 7 2 3 2 2 2 2" xfId="5627"/>
    <cellStyle name="20% - Accent2 2 7 2 3 2 2 3" xfId="5628"/>
    <cellStyle name="20% - Accent2 2 7 2 3 2 3" xfId="5629"/>
    <cellStyle name="20% - Accent2 2 7 2 3 2 3 2" xfId="5630"/>
    <cellStyle name="20% - Accent2 2 7 2 3 2 4" xfId="5631"/>
    <cellStyle name="20% - Accent2 2 7 2 3 3" xfId="5632"/>
    <cellStyle name="20% - Accent2 2 7 2 3 3 2" xfId="5633"/>
    <cellStyle name="20% - Accent2 2 7 2 3 3 2 2" xfId="5634"/>
    <cellStyle name="20% - Accent2 2 7 2 3 3 3" xfId="5635"/>
    <cellStyle name="20% - Accent2 2 7 2 3 4" xfId="5636"/>
    <cellStyle name="20% - Accent2 2 7 2 3 4 2" xfId="5637"/>
    <cellStyle name="20% - Accent2 2 7 2 3 5" xfId="5638"/>
    <cellStyle name="20% - Accent2 2 7 2 4" xfId="5639"/>
    <cellStyle name="20% - Accent2 2 7 2 4 2" xfId="5640"/>
    <cellStyle name="20% - Accent2 2 7 2 4 2 2" xfId="5641"/>
    <cellStyle name="20% - Accent2 2 7 2 4 2 2 2" xfId="5642"/>
    <cellStyle name="20% - Accent2 2 7 2 4 2 2 2 2" xfId="5643"/>
    <cellStyle name="20% - Accent2 2 7 2 4 2 2 3" xfId="5644"/>
    <cellStyle name="20% - Accent2 2 7 2 4 2 3" xfId="5645"/>
    <cellStyle name="20% - Accent2 2 7 2 4 2 3 2" xfId="5646"/>
    <cellStyle name="20% - Accent2 2 7 2 4 2 4" xfId="5647"/>
    <cellStyle name="20% - Accent2 2 7 2 4 3" xfId="5648"/>
    <cellStyle name="20% - Accent2 2 7 2 4 3 2" xfId="5649"/>
    <cellStyle name="20% - Accent2 2 7 2 4 3 2 2" xfId="5650"/>
    <cellStyle name="20% - Accent2 2 7 2 4 3 3" xfId="5651"/>
    <cellStyle name="20% - Accent2 2 7 2 4 4" xfId="5652"/>
    <cellStyle name="20% - Accent2 2 7 2 4 4 2" xfId="5653"/>
    <cellStyle name="20% - Accent2 2 7 2 4 5" xfId="5654"/>
    <cellStyle name="20% - Accent2 2 7 2 5" xfId="5655"/>
    <cellStyle name="20% - Accent2 2 7 2 5 2" xfId="5656"/>
    <cellStyle name="20% - Accent2 2 7 2 5 2 2" xfId="5657"/>
    <cellStyle name="20% - Accent2 2 7 2 5 2 2 2" xfId="5658"/>
    <cellStyle name="20% - Accent2 2 7 2 5 2 2 2 2" xfId="5659"/>
    <cellStyle name="20% - Accent2 2 7 2 5 2 2 3" xfId="5660"/>
    <cellStyle name="20% - Accent2 2 7 2 5 2 3" xfId="5661"/>
    <cellStyle name="20% - Accent2 2 7 2 5 2 3 2" xfId="5662"/>
    <cellStyle name="20% - Accent2 2 7 2 5 2 4" xfId="5663"/>
    <cellStyle name="20% - Accent2 2 7 2 5 3" xfId="5664"/>
    <cellStyle name="20% - Accent2 2 7 2 5 3 2" xfId="5665"/>
    <cellStyle name="20% - Accent2 2 7 2 5 3 2 2" xfId="5666"/>
    <cellStyle name="20% - Accent2 2 7 2 5 3 3" xfId="5667"/>
    <cellStyle name="20% - Accent2 2 7 2 5 4" xfId="5668"/>
    <cellStyle name="20% - Accent2 2 7 2 5 4 2" xfId="5669"/>
    <cellStyle name="20% - Accent2 2 7 2 5 5" xfId="5670"/>
    <cellStyle name="20% - Accent2 2 7 2 6" xfId="5671"/>
    <cellStyle name="20% - Accent2 2 7 2 6 2" xfId="5672"/>
    <cellStyle name="20% - Accent2 2 7 2 6 2 2" xfId="5673"/>
    <cellStyle name="20% - Accent2 2 7 2 6 2 2 2" xfId="5674"/>
    <cellStyle name="20% - Accent2 2 7 2 6 2 2 2 2" xfId="5675"/>
    <cellStyle name="20% - Accent2 2 7 2 6 2 2 3" xfId="5676"/>
    <cellStyle name="20% - Accent2 2 7 2 6 2 3" xfId="5677"/>
    <cellStyle name="20% - Accent2 2 7 2 6 2 3 2" xfId="5678"/>
    <cellStyle name="20% - Accent2 2 7 2 6 2 4" xfId="5679"/>
    <cellStyle name="20% - Accent2 2 7 2 6 3" xfId="5680"/>
    <cellStyle name="20% - Accent2 2 7 2 6 3 2" xfId="5681"/>
    <cellStyle name="20% - Accent2 2 7 2 6 3 2 2" xfId="5682"/>
    <cellStyle name="20% - Accent2 2 7 2 6 3 3" xfId="5683"/>
    <cellStyle name="20% - Accent2 2 7 2 6 4" xfId="5684"/>
    <cellStyle name="20% - Accent2 2 7 2 6 4 2" xfId="5685"/>
    <cellStyle name="20% - Accent2 2 7 2 6 5" xfId="5686"/>
    <cellStyle name="20% - Accent2 2 7 2 7" xfId="5687"/>
    <cellStyle name="20% - Accent2 2 7 2 7 2" xfId="5688"/>
    <cellStyle name="20% - Accent2 2 7 2 7 2 2" xfId="5689"/>
    <cellStyle name="20% - Accent2 2 7 2 7 2 2 2" xfId="5690"/>
    <cellStyle name="20% - Accent2 2 7 2 7 2 3" xfId="5691"/>
    <cellStyle name="20% - Accent2 2 7 2 7 3" xfId="5692"/>
    <cellStyle name="20% - Accent2 2 7 2 7 3 2" xfId="5693"/>
    <cellStyle name="20% - Accent2 2 7 2 7 4" xfId="5694"/>
    <cellStyle name="20% - Accent2 2 7 2 8" xfId="5695"/>
    <cellStyle name="20% - Accent2 2 7 2 8 2" xfId="5696"/>
    <cellStyle name="20% - Accent2 2 7 2 8 2 2" xfId="5697"/>
    <cellStyle name="20% - Accent2 2 7 2 8 3" xfId="5698"/>
    <cellStyle name="20% - Accent2 2 7 2 9" xfId="5699"/>
    <cellStyle name="20% - Accent2 2 7 2 9 2" xfId="5700"/>
    <cellStyle name="20% - Accent2 2 7 3" xfId="5701"/>
    <cellStyle name="20% - Accent2 2 7 3 2" xfId="5702"/>
    <cellStyle name="20% - Accent2 2 7 3 2 2" xfId="5703"/>
    <cellStyle name="20% - Accent2 2 7 3 2 2 2" xfId="5704"/>
    <cellStyle name="20% - Accent2 2 7 3 2 2 2 2" xfId="5705"/>
    <cellStyle name="20% - Accent2 2 7 3 2 2 3" xfId="5706"/>
    <cellStyle name="20% - Accent2 2 7 3 2 3" xfId="5707"/>
    <cellStyle name="20% - Accent2 2 7 3 2 3 2" xfId="5708"/>
    <cellStyle name="20% - Accent2 2 7 3 2 4" xfId="5709"/>
    <cellStyle name="20% - Accent2 2 7 3 3" xfId="5710"/>
    <cellStyle name="20% - Accent2 2 7 3 3 2" xfId="5711"/>
    <cellStyle name="20% - Accent2 2 7 3 3 2 2" xfId="5712"/>
    <cellStyle name="20% - Accent2 2 7 3 3 3" xfId="5713"/>
    <cellStyle name="20% - Accent2 2 7 3 4" xfId="5714"/>
    <cellStyle name="20% - Accent2 2 7 3 4 2" xfId="5715"/>
    <cellStyle name="20% - Accent2 2 7 3 5" xfId="5716"/>
    <cellStyle name="20% - Accent2 2 7 4" xfId="5717"/>
    <cellStyle name="20% - Accent2 2 7 4 2" xfId="5718"/>
    <cellStyle name="20% - Accent2 2 7 4 2 2" xfId="5719"/>
    <cellStyle name="20% - Accent2 2 7 4 2 2 2" xfId="5720"/>
    <cellStyle name="20% - Accent2 2 7 4 2 2 2 2" xfId="5721"/>
    <cellStyle name="20% - Accent2 2 7 4 2 2 3" xfId="5722"/>
    <cellStyle name="20% - Accent2 2 7 4 2 3" xfId="5723"/>
    <cellStyle name="20% - Accent2 2 7 4 2 3 2" xfId="5724"/>
    <cellStyle name="20% - Accent2 2 7 4 2 4" xfId="5725"/>
    <cellStyle name="20% - Accent2 2 7 4 3" xfId="5726"/>
    <cellStyle name="20% - Accent2 2 7 4 3 2" xfId="5727"/>
    <cellStyle name="20% - Accent2 2 7 4 3 2 2" xfId="5728"/>
    <cellStyle name="20% - Accent2 2 7 4 3 3" xfId="5729"/>
    <cellStyle name="20% - Accent2 2 7 4 4" xfId="5730"/>
    <cellStyle name="20% - Accent2 2 7 4 4 2" xfId="5731"/>
    <cellStyle name="20% - Accent2 2 7 4 5" xfId="5732"/>
    <cellStyle name="20% - Accent2 2 7 5" xfId="5733"/>
    <cellStyle name="20% - Accent2 2 7 5 2" xfId="5734"/>
    <cellStyle name="20% - Accent2 2 7 5 2 2" xfId="5735"/>
    <cellStyle name="20% - Accent2 2 7 5 2 2 2" xfId="5736"/>
    <cellStyle name="20% - Accent2 2 7 5 2 2 2 2" xfId="5737"/>
    <cellStyle name="20% - Accent2 2 7 5 2 2 3" xfId="5738"/>
    <cellStyle name="20% - Accent2 2 7 5 2 3" xfId="5739"/>
    <cellStyle name="20% - Accent2 2 7 5 2 3 2" xfId="5740"/>
    <cellStyle name="20% - Accent2 2 7 5 2 4" xfId="5741"/>
    <cellStyle name="20% - Accent2 2 7 5 3" xfId="5742"/>
    <cellStyle name="20% - Accent2 2 7 5 3 2" xfId="5743"/>
    <cellStyle name="20% - Accent2 2 7 5 3 2 2" xfId="5744"/>
    <cellStyle name="20% - Accent2 2 7 5 3 3" xfId="5745"/>
    <cellStyle name="20% - Accent2 2 7 5 4" xfId="5746"/>
    <cellStyle name="20% - Accent2 2 7 5 4 2" xfId="5747"/>
    <cellStyle name="20% - Accent2 2 7 5 5" xfId="5748"/>
    <cellStyle name="20% - Accent2 2 7 6" xfId="5749"/>
    <cellStyle name="20% - Accent2 2 7 6 2" xfId="5750"/>
    <cellStyle name="20% - Accent2 2 7 6 2 2" xfId="5751"/>
    <cellStyle name="20% - Accent2 2 7 6 2 2 2" xfId="5752"/>
    <cellStyle name="20% - Accent2 2 7 6 2 2 2 2" xfId="5753"/>
    <cellStyle name="20% - Accent2 2 7 6 2 2 3" xfId="5754"/>
    <cellStyle name="20% - Accent2 2 7 6 2 3" xfId="5755"/>
    <cellStyle name="20% - Accent2 2 7 6 2 3 2" xfId="5756"/>
    <cellStyle name="20% - Accent2 2 7 6 2 4" xfId="5757"/>
    <cellStyle name="20% - Accent2 2 7 6 3" xfId="5758"/>
    <cellStyle name="20% - Accent2 2 7 6 3 2" xfId="5759"/>
    <cellStyle name="20% - Accent2 2 7 6 3 2 2" xfId="5760"/>
    <cellStyle name="20% - Accent2 2 7 6 3 3" xfId="5761"/>
    <cellStyle name="20% - Accent2 2 7 6 4" xfId="5762"/>
    <cellStyle name="20% - Accent2 2 7 6 4 2" xfId="5763"/>
    <cellStyle name="20% - Accent2 2 7 6 5" xfId="5764"/>
    <cellStyle name="20% - Accent2 2 7 7" xfId="5765"/>
    <cellStyle name="20% - Accent2 2 7 7 2" xfId="5766"/>
    <cellStyle name="20% - Accent2 2 7 7 2 2" xfId="5767"/>
    <cellStyle name="20% - Accent2 2 7 7 2 2 2" xfId="5768"/>
    <cellStyle name="20% - Accent2 2 7 7 2 2 2 2" xfId="5769"/>
    <cellStyle name="20% - Accent2 2 7 7 2 2 3" xfId="5770"/>
    <cellStyle name="20% - Accent2 2 7 7 2 3" xfId="5771"/>
    <cellStyle name="20% - Accent2 2 7 7 2 3 2" xfId="5772"/>
    <cellStyle name="20% - Accent2 2 7 7 2 4" xfId="5773"/>
    <cellStyle name="20% - Accent2 2 7 7 3" xfId="5774"/>
    <cellStyle name="20% - Accent2 2 7 7 3 2" xfId="5775"/>
    <cellStyle name="20% - Accent2 2 7 7 3 2 2" xfId="5776"/>
    <cellStyle name="20% - Accent2 2 7 7 3 3" xfId="5777"/>
    <cellStyle name="20% - Accent2 2 7 7 4" xfId="5778"/>
    <cellStyle name="20% - Accent2 2 7 7 4 2" xfId="5779"/>
    <cellStyle name="20% - Accent2 2 7 7 5" xfId="5780"/>
    <cellStyle name="20% - Accent2 2 7 8" xfId="5781"/>
    <cellStyle name="20% - Accent2 2 7 8 2" xfId="5782"/>
    <cellStyle name="20% - Accent2 2 7 8 2 2" xfId="5783"/>
    <cellStyle name="20% - Accent2 2 7 8 2 2 2" xfId="5784"/>
    <cellStyle name="20% - Accent2 2 7 8 2 3" xfId="5785"/>
    <cellStyle name="20% - Accent2 2 7 8 3" xfId="5786"/>
    <cellStyle name="20% - Accent2 2 7 8 3 2" xfId="5787"/>
    <cellStyle name="20% - Accent2 2 7 8 4" xfId="5788"/>
    <cellStyle name="20% - Accent2 2 7 9" xfId="5789"/>
    <cellStyle name="20% - Accent2 2 7 9 2" xfId="5790"/>
    <cellStyle name="20% - Accent2 2 7 9 2 2" xfId="5791"/>
    <cellStyle name="20% - Accent2 2 7 9 3" xfId="5792"/>
    <cellStyle name="20% - Accent2 2 8" xfId="5793"/>
    <cellStyle name="20% - Accent2 2 8 10" xfId="5794"/>
    <cellStyle name="20% - Accent2 2 8 10 2" xfId="5795"/>
    <cellStyle name="20% - Accent2 2 8 11" xfId="5796"/>
    <cellStyle name="20% - Accent2 2 8 2" xfId="5797"/>
    <cellStyle name="20% - Accent2 2 8 2 10" xfId="5798"/>
    <cellStyle name="20% - Accent2 2 8 2 2" xfId="5799"/>
    <cellStyle name="20% - Accent2 2 8 2 2 2" xfId="5800"/>
    <cellStyle name="20% - Accent2 2 8 2 2 2 2" xfId="5801"/>
    <cellStyle name="20% - Accent2 2 8 2 2 2 2 2" xfId="5802"/>
    <cellStyle name="20% - Accent2 2 8 2 2 2 2 2 2" xfId="5803"/>
    <cellStyle name="20% - Accent2 2 8 2 2 2 2 3" xfId="5804"/>
    <cellStyle name="20% - Accent2 2 8 2 2 2 3" xfId="5805"/>
    <cellStyle name="20% - Accent2 2 8 2 2 2 3 2" xfId="5806"/>
    <cellStyle name="20% - Accent2 2 8 2 2 2 4" xfId="5807"/>
    <cellStyle name="20% - Accent2 2 8 2 2 3" xfId="5808"/>
    <cellStyle name="20% - Accent2 2 8 2 2 3 2" xfId="5809"/>
    <cellStyle name="20% - Accent2 2 8 2 2 3 2 2" xfId="5810"/>
    <cellStyle name="20% - Accent2 2 8 2 2 3 3" xfId="5811"/>
    <cellStyle name="20% - Accent2 2 8 2 2 4" xfId="5812"/>
    <cellStyle name="20% - Accent2 2 8 2 2 4 2" xfId="5813"/>
    <cellStyle name="20% - Accent2 2 8 2 2 5" xfId="5814"/>
    <cellStyle name="20% - Accent2 2 8 2 3" xfId="5815"/>
    <cellStyle name="20% - Accent2 2 8 2 3 2" xfId="5816"/>
    <cellStyle name="20% - Accent2 2 8 2 3 2 2" xfId="5817"/>
    <cellStyle name="20% - Accent2 2 8 2 3 2 2 2" xfId="5818"/>
    <cellStyle name="20% - Accent2 2 8 2 3 2 2 2 2" xfId="5819"/>
    <cellStyle name="20% - Accent2 2 8 2 3 2 2 3" xfId="5820"/>
    <cellStyle name="20% - Accent2 2 8 2 3 2 3" xfId="5821"/>
    <cellStyle name="20% - Accent2 2 8 2 3 2 3 2" xfId="5822"/>
    <cellStyle name="20% - Accent2 2 8 2 3 2 4" xfId="5823"/>
    <cellStyle name="20% - Accent2 2 8 2 3 3" xfId="5824"/>
    <cellStyle name="20% - Accent2 2 8 2 3 3 2" xfId="5825"/>
    <cellStyle name="20% - Accent2 2 8 2 3 3 2 2" xfId="5826"/>
    <cellStyle name="20% - Accent2 2 8 2 3 3 3" xfId="5827"/>
    <cellStyle name="20% - Accent2 2 8 2 3 4" xfId="5828"/>
    <cellStyle name="20% - Accent2 2 8 2 3 4 2" xfId="5829"/>
    <cellStyle name="20% - Accent2 2 8 2 3 5" xfId="5830"/>
    <cellStyle name="20% - Accent2 2 8 2 4" xfId="5831"/>
    <cellStyle name="20% - Accent2 2 8 2 4 2" xfId="5832"/>
    <cellStyle name="20% - Accent2 2 8 2 4 2 2" xfId="5833"/>
    <cellStyle name="20% - Accent2 2 8 2 4 2 2 2" xfId="5834"/>
    <cellStyle name="20% - Accent2 2 8 2 4 2 2 2 2" xfId="5835"/>
    <cellStyle name="20% - Accent2 2 8 2 4 2 2 3" xfId="5836"/>
    <cellStyle name="20% - Accent2 2 8 2 4 2 3" xfId="5837"/>
    <cellStyle name="20% - Accent2 2 8 2 4 2 3 2" xfId="5838"/>
    <cellStyle name="20% - Accent2 2 8 2 4 2 4" xfId="5839"/>
    <cellStyle name="20% - Accent2 2 8 2 4 3" xfId="5840"/>
    <cellStyle name="20% - Accent2 2 8 2 4 3 2" xfId="5841"/>
    <cellStyle name="20% - Accent2 2 8 2 4 3 2 2" xfId="5842"/>
    <cellStyle name="20% - Accent2 2 8 2 4 3 3" xfId="5843"/>
    <cellStyle name="20% - Accent2 2 8 2 4 4" xfId="5844"/>
    <cellStyle name="20% - Accent2 2 8 2 4 4 2" xfId="5845"/>
    <cellStyle name="20% - Accent2 2 8 2 4 5" xfId="5846"/>
    <cellStyle name="20% - Accent2 2 8 2 5" xfId="5847"/>
    <cellStyle name="20% - Accent2 2 8 2 5 2" xfId="5848"/>
    <cellStyle name="20% - Accent2 2 8 2 5 2 2" xfId="5849"/>
    <cellStyle name="20% - Accent2 2 8 2 5 2 2 2" xfId="5850"/>
    <cellStyle name="20% - Accent2 2 8 2 5 2 2 2 2" xfId="5851"/>
    <cellStyle name="20% - Accent2 2 8 2 5 2 2 3" xfId="5852"/>
    <cellStyle name="20% - Accent2 2 8 2 5 2 3" xfId="5853"/>
    <cellStyle name="20% - Accent2 2 8 2 5 2 3 2" xfId="5854"/>
    <cellStyle name="20% - Accent2 2 8 2 5 2 4" xfId="5855"/>
    <cellStyle name="20% - Accent2 2 8 2 5 3" xfId="5856"/>
    <cellStyle name="20% - Accent2 2 8 2 5 3 2" xfId="5857"/>
    <cellStyle name="20% - Accent2 2 8 2 5 3 2 2" xfId="5858"/>
    <cellStyle name="20% - Accent2 2 8 2 5 3 3" xfId="5859"/>
    <cellStyle name="20% - Accent2 2 8 2 5 4" xfId="5860"/>
    <cellStyle name="20% - Accent2 2 8 2 5 4 2" xfId="5861"/>
    <cellStyle name="20% - Accent2 2 8 2 5 5" xfId="5862"/>
    <cellStyle name="20% - Accent2 2 8 2 6" xfId="5863"/>
    <cellStyle name="20% - Accent2 2 8 2 6 2" xfId="5864"/>
    <cellStyle name="20% - Accent2 2 8 2 6 2 2" xfId="5865"/>
    <cellStyle name="20% - Accent2 2 8 2 6 2 2 2" xfId="5866"/>
    <cellStyle name="20% - Accent2 2 8 2 6 2 2 2 2" xfId="5867"/>
    <cellStyle name="20% - Accent2 2 8 2 6 2 2 3" xfId="5868"/>
    <cellStyle name="20% - Accent2 2 8 2 6 2 3" xfId="5869"/>
    <cellStyle name="20% - Accent2 2 8 2 6 2 3 2" xfId="5870"/>
    <cellStyle name="20% - Accent2 2 8 2 6 2 4" xfId="5871"/>
    <cellStyle name="20% - Accent2 2 8 2 6 3" xfId="5872"/>
    <cellStyle name="20% - Accent2 2 8 2 6 3 2" xfId="5873"/>
    <cellStyle name="20% - Accent2 2 8 2 6 3 2 2" xfId="5874"/>
    <cellStyle name="20% - Accent2 2 8 2 6 3 3" xfId="5875"/>
    <cellStyle name="20% - Accent2 2 8 2 6 4" xfId="5876"/>
    <cellStyle name="20% - Accent2 2 8 2 6 4 2" xfId="5877"/>
    <cellStyle name="20% - Accent2 2 8 2 6 5" xfId="5878"/>
    <cellStyle name="20% - Accent2 2 8 2 7" xfId="5879"/>
    <cellStyle name="20% - Accent2 2 8 2 7 2" xfId="5880"/>
    <cellStyle name="20% - Accent2 2 8 2 7 2 2" xfId="5881"/>
    <cellStyle name="20% - Accent2 2 8 2 7 2 2 2" xfId="5882"/>
    <cellStyle name="20% - Accent2 2 8 2 7 2 3" xfId="5883"/>
    <cellStyle name="20% - Accent2 2 8 2 7 3" xfId="5884"/>
    <cellStyle name="20% - Accent2 2 8 2 7 3 2" xfId="5885"/>
    <cellStyle name="20% - Accent2 2 8 2 7 4" xfId="5886"/>
    <cellStyle name="20% - Accent2 2 8 2 8" xfId="5887"/>
    <cellStyle name="20% - Accent2 2 8 2 8 2" xfId="5888"/>
    <cellStyle name="20% - Accent2 2 8 2 8 2 2" xfId="5889"/>
    <cellStyle name="20% - Accent2 2 8 2 8 3" xfId="5890"/>
    <cellStyle name="20% - Accent2 2 8 2 9" xfId="5891"/>
    <cellStyle name="20% - Accent2 2 8 2 9 2" xfId="5892"/>
    <cellStyle name="20% - Accent2 2 8 3" xfId="5893"/>
    <cellStyle name="20% - Accent2 2 8 3 2" xfId="5894"/>
    <cellStyle name="20% - Accent2 2 8 3 2 2" xfId="5895"/>
    <cellStyle name="20% - Accent2 2 8 3 2 2 2" xfId="5896"/>
    <cellStyle name="20% - Accent2 2 8 3 2 2 2 2" xfId="5897"/>
    <cellStyle name="20% - Accent2 2 8 3 2 2 3" xfId="5898"/>
    <cellStyle name="20% - Accent2 2 8 3 2 3" xfId="5899"/>
    <cellStyle name="20% - Accent2 2 8 3 2 3 2" xfId="5900"/>
    <cellStyle name="20% - Accent2 2 8 3 2 4" xfId="5901"/>
    <cellStyle name="20% - Accent2 2 8 3 3" xfId="5902"/>
    <cellStyle name="20% - Accent2 2 8 3 3 2" xfId="5903"/>
    <cellStyle name="20% - Accent2 2 8 3 3 2 2" xfId="5904"/>
    <cellStyle name="20% - Accent2 2 8 3 3 3" xfId="5905"/>
    <cellStyle name="20% - Accent2 2 8 3 4" xfId="5906"/>
    <cellStyle name="20% - Accent2 2 8 3 4 2" xfId="5907"/>
    <cellStyle name="20% - Accent2 2 8 3 5" xfId="5908"/>
    <cellStyle name="20% - Accent2 2 8 4" xfId="5909"/>
    <cellStyle name="20% - Accent2 2 8 4 2" xfId="5910"/>
    <cellStyle name="20% - Accent2 2 8 4 2 2" xfId="5911"/>
    <cellStyle name="20% - Accent2 2 8 4 2 2 2" xfId="5912"/>
    <cellStyle name="20% - Accent2 2 8 4 2 2 2 2" xfId="5913"/>
    <cellStyle name="20% - Accent2 2 8 4 2 2 3" xfId="5914"/>
    <cellStyle name="20% - Accent2 2 8 4 2 3" xfId="5915"/>
    <cellStyle name="20% - Accent2 2 8 4 2 3 2" xfId="5916"/>
    <cellStyle name="20% - Accent2 2 8 4 2 4" xfId="5917"/>
    <cellStyle name="20% - Accent2 2 8 4 3" xfId="5918"/>
    <cellStyle name="20% - Accent2 2 8 4 3 2" xfId="5919"/>
    <cellStyle name="20% - Accent2 2 8 4 3 2 2" xfId="5920"/>
    <cellStyle name="20% - Accent2 2 8 4 3 3" xfId="5921"/>
    <cellStyle name="20% - Accent2 2 8 4 4" xfId="5922"/>
    <cellStyle name="20% - Accent2 2 8 4 4 2" xfId="5923"/>
    <cellStyle name="20% - Accent2 2 8 4 5" xfId="5924"/>
    <cellStyle name="20% - Accent2 2 8 5" xfId="5925"/>
    <cellStyle name="20% - Accent2 2 8 5 2" xfId="5926"/>
    <cellStyle name="20% - Accent2 2 8 5 2 2" xfId="5927"/>
    <cellStyle name="20% - Accent2 2 8 5 2 2 2" xfId="5928"/>
    <cellStyle name="20% - Accent2 2 8 5 2 2 2 2" xfId="5929"/>
    <cellStyle name="20% - Accent2 2 8 5 2 2 3" xfId="5930"/>
    <cellStyle name="20% - Accent2 2 8 5 2 3" xfId="5931"/>
    <cellStyle name="20% - Accent2 2 8 5 2 3 2" xfId="5932"/>
    <cellStyle name="20% - Accent2 2 8 5 2 4" xfId="5933"/>
    <cellStyle name="20% - Accent2 2 8 5 3" xfId="5934"/>
    <cellStyle name="20% - Accent2 2 8 5 3 2" xfId="5935"/>
    <cellStyle name="20% - Accent2 2 8 5 3 2 2" xfId="5936"/>
    <cellStyle name="20% - Accent2 2 8 5 3 3" xfId="5937"/>
    <cellStyle name="20% - Accent2 2 8 5 4" xfId="5938"/>
    <cellStyle name="20% - Accent2 2 8 5 4 2" xfId="5939"/>
    <cellStyle name="20% - Accent2 2 8 5 5" xfId="5940"/>
    <cellStyle name="20% - Accent2 2 8 6" xfId="5941"/>
    <cellStyle name="20% - Accent2 2 8 6 2" xfId="5942"/>
    <cellStyle name="20% - Accent2 2 8 6 2 2" xfId="5943"/>
    <cellStyle name="20% - Accent2 2 8 6 2 2 2" xfId="5944"/>
    <cellStyle name="20% - Accent2 2 8 6 2 2 2 2" xfId="5945"/>
    <cellStyle name="20% - Accent2 2 8 6 2 2 3" xfId="5946"/>
    <cellStyle name="20% - Accent2 2 8 6 2 3" xfId="5947"/>
    <cellStyle name="20% - Accent2 2 8 6 2 3 2" xfId="5948"/>
    <cellStyle name="20% - Accent2 2 8 6 2 4" xfId="5949"/>
    <cellStyle name="20% - Accent2 2 8 6 3" xfId="5950"/>
    <cellStyle name="20% - Accent2 2 8 6 3 2" xfId="5951"/>
    <cellStyle name="20% - Accent2 2 8 6 3 2 2" xfId="5952"/>
    <cellStyle name="20% - Accent2 2 8 6 3 3" xfId="5953"/>
    <cellStyle name="20% - Accent2 2 8 6 4" xfId="5954"/>
    <cellStyle name="20% - Accent2 2 8 6 4 2" xfId="5955"/>
    <cellStyle name="20% - Accent2 2 8 6 5" xfId="5956"/>
    <cellStyle name="20% - Accent2 2 8 7" xfId="5957"/>
    <cellStyle name="20% - Accent2 2 8 7 2" xfId="5958"/>
    <cellStyle name="20% - Accent2 2 8 7 2 2" xfId="5959"/>
    <cellStyle name="20% - Accent2 2 8 7 2 2 2" xfId="5960"/>
    <cellStyle name="20% - Accent2 2 8 7 2 2 2 2" xfId="5961"/>
    <cellStyle name="20% - Accent2 2 8 7 2 2 3" xfId="5962"/>
    <cellStyle name="20% - Accent2 2 8 7 2 3" xfId="5963"/>
    <cellStyle name="20% - Accent2 2 8 7 2 3 2" xfId="5964"/>
    <cellStyle name="20% - Accent2 2 8 7 2 4" xfId="5965"/>
    <cellStyle name="20% - Accent2 2 8 7 3" xfId="5966"/>
    <cellStyle name="20% - Accent2 2 8 7 3 2" xfId="5967"/>
    <cellStyle name="20% - Accent2 2 8 7 3 2 2" xfId="5968"/>
    <cellStyle name="20% - Accent2 2 8 7 3 3" xfId="5969"/>
    <cellStyle name="20% - Accent2 2 8 7 4" xfId="5970"/>
    <cellStyle name="20% - Accent2 2 8 7 4 2" xfId="5971"/>
    <cellStyle name="20% - Accent2 2 8 7 5" xfId="5972"/>
    <cellStyle name="20% - Accent2 2 8 8" xfId="5973"/>
    <cellStyle name="20% - Accent2 2 8 8 2" xfId="5974"/>
    <cellStyle name="20% - Accent2 2 8 8 2 2" xfId="5975"/>
    <cellStyle name="20% - Accent2 2 8 8 2 2 2" xfId="5976"/>
    <cellStyle name="20% - Accent2 2 8 8 2 3" xfId="5977"/>
    <cellStyle name="20% - Accent2 2 8 8 3" xfId="5978"/>
    <cellStyle name="20% - Accent2 2 8 8 3 2" xfId="5979"/>
    <cellStyle name="20% - Accent2 2 8 8 4" xfId="5980"/>
    <cellStyle name="20% - Accent2 2 8 9" xfId="5981"/>
    <cellStyle name="20% - Accent2 2 8 9 2" xfId="5982"/>
    <cellStyle name="20% - Accent2 2 8 9 2 2" xfId="5983"/>
    <cellStyle name="20% - Accent2 2 8 9 3" xfId="5984"/>
    <cellStyle name="20% - Accent2 2 9" xfId="5985"/>
    <cellStyle name="20% - Accent2 2 9 10" xfId="5986"/>
    <cellStyle name="20% - Accent2 2 9 10 2" xfId="5987"/>
    <cellStyle name="20% - Accent2 2 9 11" xfId="5988"/>
    <cellStyle name="20% - Accent2 2 9 2" xfId="5989"/>
    <cellStyle name="20% - Accent2 2 9 2 10" xfId="5990"/>
    <cellStyle name="20% - Accent2 2 9 2 2" xfId="5991"/>
    <cellStyle name="20% - Accent2 2 9 2 2 2" xfId="5992"/>
    <cellStyle name="20% - Accent2 2 9 2 2 2 2" xfId="5993"/>
    <cellStyle name="20% - Accent2 2 9 2 2 2 2 2" xfId="5994"/>
    <cellStyle name="20% - Accent2 2 9 2 2 2 2 2 2" xfId="5995"/>
    <cellStyle name="20% - Accent2 2 9 2 2 2 2 3" xfId="5996"/>
    <cellStyle name="20% - Accent2 2 9 2 2 2 3" xfId="5997"/>
    <cellStyle name="20% - Accent2 2 9 2 2 2 3 2" xfId="5998"/>
    <cellStyle name="20% - Accent2 2 9 2 2 2 4" xfId="5999"/>
    <cellStyle name="20% - Accent2 2 9 2 2 3" xfId="6000"/>
    <cellStyle name="20% - Accent2 2 9 2 2 3 2" xfId="6001"/>
    <cellStyle name="20% - Accent2 2 9 2 2 3 2 2" xfId="6002"/>
    <cellStyle name="20% - Accent2 2 9 2 2 3 3" xfId="6003"/>
    <cellStyle name="20% - Accent2 2 9 2 2 4" xfId="6004"/>
    <cellStyle name="20% - Accent2 2 9 2 2 4 2" xfId="6005"/>
    <cellStyle name="20% - Accent2 2 9 2 2 5" xfId="6006"/>
    <cellStyle name="20% - Accent2 2 9 2 3" xfId="6007"/>
    <cellStyle name="20% - Accent2 2 9 2 3 2" xfId="6008"/>
    <cellStyle name="20% - Accent2 2 9 2 3 2 2" xfId="6009"/>
    <cellStyle name="20% - Accent2 2 9 2 3 2 2 2" xfId="6010"/>
    <cellStyle name="20% - Accent2 2 9 2 3 2 2 2 2" xfId="6011"/>
    <cellStyle name="20% - Accent2 2 9 2 3 2 2 3" xfId="6012"/>
    <cellStyle name="20% - Accent2 2 9 2 3 2 3" xfId="6013"/>
    <cellStyle name="20% - Accent2 2 9 2 3 2 3 2" xfId="6014"/>
    <cellStyle name="20% - Accent2 2 9 2 3 2 4" xfId="6015"/>
    <cellStyle name="20% - Accent2 2 9 2 3 3" xfId="6016"/>
    <cellStyle name="20% - Accent2 2 9 2 3 3 2" xfId="6017"/>
    <cellStyle name="20% - Accent2 2 9 2 3 3 2 2" xfId="6018"/>
    <cellStyle name="20% - Accent2 2 9 2 3 3 3" xfId="6019"/>
    <cellStyle name="20% - Accent2 2 9 2 3 4" xfId="6020"/>
    <cellStyle name="20% - Accent2 2 9 2 3 4 2" xfId="6021"/>
    <cellStyle name="20% - Accent2 2 9 2 3 5" xfId="6022"/>
    <cellStyle name="20% - Accent2 2 9 2 4" xfId="6023"/>
    <cellStyle name="20% - Accent2 2 9 2 4 2" xfId="6024"/>
    <cellStyle name="20% - Accent2 2 9 2 4 2 2" xfId="6025"/>
    <cellStyle name="20% - Accent2 2 9 2 4 2 2 2" xfId="6026"/>
    <cellStyle name="20% - Accent2 2 9 2 4 2 2 2 2" xfId="6027"/>
    <cellStyle name="20% - Accent2 2 9 2 4 2 2 3" xfId="6028"/>
    <cellStyle name="20% - Accent2 2 9 2 4 2 3" xfId="6029"/>
    <cellStyle name="20% - Accent2 2 9 2 4 2 3 2" xfId="6030"/>
    <cellStyle name="20% - Accent2 2 9 2 4 2 4" xfId="6031"/>
    <cellStyle name="20% - Accent2 2 9 2 4 3" xfId="6032"/>
    <cellStyle name="20% - Accent2 2 9 2 4 3 2" xfId="6033"/>
    <cellStyle name="20% - Accent2 2 9 2 4 3 2 2" xfId="6034"/>
    <cellStyle name="20% - Accent2 2 9 2 4 3 3" xfId="6035"/>
    <cellStyle name="20% - Accent2 2 9 2 4 4" xfId="6036"/>
    <cellStyle name="20% - Accent2 2 9 2 4 4 2" xfId="6037"/>
    <cellStyle name="20% - Accent2 2 9 2 4 5" xfId="6038"/>
    <cellStyle name="20% - Accent2 2 9 2 5" xfId="6039"/>
    <cellStyle name="20% - Accent2 2 9 2 5 2" xfId="6040"/>
    <cellStyle name="20% - Accent2 2 9 2 5 2 2" xfId="6041"/>
    <cellStyle name="20% - Accent2 2 9 2 5 2 2 2" xfId="6042"/>
    <cellStyle name="20% - Accent2 2 9 2 5 2 2 2 2" xfId="6043"/>
    <cellStyle name="20% - Accent2 2 9 2 5 2 2 3" xfId="6044"/>
    <cellStyle name="20% - Accent2 2 9 2 5 2 3" xfId="6045"/>
    <cellStyle name="20% - Accent2 2 9 2 5 2 3 2" xfId="6046"/>
    <cellStyle name="20% - Accent2 2 9 2 5 2 4" xfId="6047"/>
    <cellStyle name="20% - Accent2 2 9 2 5 3" xfId="6048"/>
    <cellStyle name="20% - Accent2 2 9 2 5 3 2" xfId="6049"/>
    <cellStyle name="20% - Accent2 2 9 2 5 3 2 2" xfId="6050"/>
    <cellStyle name="20% - Accent2 2 9 2 5 3 3" xfId="6051"/>
    <cellStyle name="20% - Accent2 2 9 2 5 4" xfId="6052"/>
    <cellStyle name="20% - Accent2 2 9 2 5 4 2" xfId="6053"/>
    <cellStyle name="20% - Accent2 2 9 2 5 5" xfId="6054"/>
    <cellStyle name="20% - Accent2 2 9 2 6" xfId="6055"/>
    <cellStyle name="20% - Accent2 2 9 2 6 2" xfId="6056"/>
    <cellStyle name="20% - Accent2 2 9 2 6 2 2" xfId="6057"/>
    <cellStyle name="20% - Accent2 2 9 2 6 2 2 2" xfId="6058"/>
    <cellStyle name="20% - Accent2 2 9 2 6 2 2 2 2" xfId="6059"/>
    <cellStyle name="20% - Accent2 2 9 2 6 2 2 3" xfId="6060"/>
    <cellStyle name="20% - Accent2 2 9 2 6 2 3" xfId="6061"/>
    <cellStyle name="20% - Accent2 2 9 2 6 2 3 2" xfId="6062"/>
    <cellStyle name="20% - Accent2 2 9 2 6 2 4" xfId="6063"/>
    <cellStyle name="20% - Accent2 2 9 2 6 3" xfId="6064"/>
    <cellStyle name="20% - Accent2 2 9 2 6 3 2" xfId="6065"/>
    <cellStyle name="20% - Accent2 2 9 2 6 3 2 2" xfId="6066"/>
    <cellStyle name="20% - Accent2 2 9 2 6 3 3" xfId="6067"/>
    <cellStyle name="20% - Accent2 2 9 2 6 4" xfId="6068"/>
    <cellStyle name="20% - Accent2 2 9 2 6 4 2" xfId="6069"/>
    <cellStyle name="20% - Accent2 2 9 2 6 5" xfId="6070"/>
    <cellStyle name="20% - Accent2 2 9 2 7" xfId="6071"/>
    <cellStyle name="20% - Accent2 2 9 2 7 2" xfId="6072"/>
    <cellStyle name="20% - Accent2 2 9 2 7 2 2" xfId="6073"/>
    <cellStyle name="20% - Accent2 2 9 2 7 2 2 2" xfId="6074"/>
    <cellStyle name="20% - Accent2 2 9 2 7 2 3" xfId="6075"/>
    <cellStyle name="20% - Accent2 2 9 2 7 3" xfId="6076"/>
    <cellStyle name="20% - Accent2 2 9 2 7 3 2" xfId="6077"/>
    <cellStyle name="20% - Accent2 2 9 2 7 4" xfId="6078"/>
    <cellStyle name="20% - Accent2 2 9 2 8" xfId="6079"/>
    <cellStyle name="20% - Accent2 2 9 2 8 2" xfId="6080"/>
    <cellStyle name="20% - Accent2 2 9 2 8 2 2" xfId="6081"/>
    <cellStyle name="20% - Accent2 2 9 2 8 3" xfId="6082"/>
    <cellStyle name="20% - Accent2 2 9 2 9" xfId="6083"/>
    <cellStyle name="20% - Accent2 2 9 2 9 2" xfId="6084"/>
    <cellStyle name="20% - Accent2 2 9 3" xfId="6085"/>
    <cellStyle name="20% - Accent2 2 9 3 2" xfId="6086"/>
    <cellStyle name="20% - Accent2 2 9 3 2 2" xfId="6087"/>
    <cellStyle name="20% - Accent2 2 9 3 2 2 2" xfId="6088"/>
    <cellStyle name="20% - Accent2 2 9 3 2 2 2 2" xfId="6089"/>
    <cellStyle name="20% - Accent2 2 9 3 2 2 3" xfId="6090"/>
    <cellStyle name="20% - Accent2 2 9 3 2 3" xfId="6091"/>
    <cellStyle name="20% - Accent2 2 9 3 2 3 2" xfId="6092"/>
    <cellStyle name="20% - Accent2 2 9 3 2 4" xfId="6093"/>
    <cellStyle name="20% - Accent2 2 9 3 3" xfId="6094"/>
    <cellStyle name="20% - Accent2 2 9 3 3 2" xfId="6095"/>
    <cellStyle name="20% - Accent2 2 9 3 3 2 2" xfId="6096"/>
    <cellStyle name="20% - Accent2 2 9 3 3 3" xfId="6097"/>
    <cellStyle name="20% - Accent2 2 9 3 4" xfId="6098"/>
    <cellStyle name="20% - Accent2 2 9 3 4 2" xfId="6099"/>
    <cellStyle name="20% - Accent2 2 9 3 5" xfId="6100"/>
    <cellStyle name="20% - Accent2 2 9 4" xfId="6101"/>
    <cellStyle name="20% - Accent2 2 9 4 2" xfId="6102"/>
    <cellStyle name="20% - Accent2 2 9 4 2 2" xfId="6103"/>
    <cellStyle name="20% - Accent2 2 9 4 2 2 2" xfId="6104"/>
    <cellStyle name="20% - Accent2 2 9 4 2 2 2 2" xfId="6105"/>
    <cellStyle name="20% - Accent2 2 9 4 2 2 3" xfId="6106"/>
    <cellStyle name="20% - Accent2 2 9 4 2 3" xfId="6107"/>
    <cellStyle name="20% - Accent2 2 9 4 2 3 2" xfId="6108"/>
    <cellStyle name="20% - Accent2 2 9 4 2 4" xfId="6109"/>
    <cellStyle name="20% - Accent2 2 9 4 3" xfId="6110"/>
    <cellStyle name="20% - Accent2 2 9 4 3 2" xfId="6111"/>
    <cellStyle name="20% - Accent2 2 9 4 3 2 2" xfId="6112"/>
    <cellStyle name="20% - Accent2 2 9 4 3 3" xfId="6113"/>
    <cellStyle name="20% - Accent2 2 9 4 4" xfId="6114"/>
    <cellStyle name="20% - Accent2 2 9 4 4 2" xfId="6115"/>
    <cellStyle name="20% - Accent2 2 9 4 5" xfId="6116"/>
    <cellStyle name="20% - Accent2 2 9 5" xfId="6117"/>
    <cellStyle name="20% - Accent2 2 9 5 2" xfId="6118"/>
    <cellStyle name="20% - Accent2 2 9 5 2 2" xfId="6119"/>
    <cellStyle name="20% - Accent2 2 9 5 2 2 2" xfId="6120"/>
    <cellStyle name="20% - Accent2 2 9 5 2 2 2 2" xfId="6121"/>
    <cellStyle name="20% - Accent2 2 9 5 2 2 3" xfId="6122"/>
    <cellStyle name="20% - Accent2 2 9 5 2 3" xfId="6123"/>
    <cellStyle name="20% - Accent2 2 9 5 2 3 2" xfId="6124"/>
    <cellStyle name="20% - Accent2 2 9 5 2 4" xfId="6125"/>
    <cellStyle name="20% - Accent2 2 9 5 3" xfId="6126"/>
    <cellStyle name="20% - Accent2 2 9 5 3 2" xfId="6127"/>
    <cellStyle name="20% - Accent2 2 9 5 3 2 2" xfId="6128"/>
    <cellStyle name="20% - Accent2 2 9 5 3 3" xfId="6129"/>
    <cellStyle name="20% - Accent2 2 9 5 4" xfId="6130"/>
    <cellStyle name="20% - Accent2 2 9 5 4 2" xfId="6131"/>
    <cellStyle name="20% - Accent2 2 9 5 5" xfId="6132"/>
    <cellStyle name="20% - Accent2 2 9 6" xfId="6133"/>
    <cellStyle name="20% - Accent2 2 9 6 2" xfId="6134"/>
    <cellStyle name="20% - Accent2 2 9 6 2 2" xfId="6135"/>
    <cellStyle name="20% - Accent2 2 9 6 2 2 2" xfId="6136"/>
    <cellStyle name="20% - Accent2 2 9 6 2 2 2 2" xfId="6137"/>
    <cellStyle name="20% - Accent2 2 9 6 2 2 3" xfId="6138"/>
    <cellStyle name="20% - Accent2 2 9 6 2 3" xfId="6139"/>
    <cellStyle name="20% - Accent2 2 9 6 2 3 2" xfId="6140"/>
    <cellStyle name="20% - Accent2 2 9 6 2 4" xfId="6141"/>
    <cellStyle name="20% - Accent2 2 9 6 3" xfId="6142"/>
    <cellStyle name="20% - Accent2 2 9 6 3 2" xfId="6143"/>
    <cellStyle name="20% - Accent2 2 9 6 3 2 2" xfId="6144"/>
    <cellStyle name="20% - Accent2 2 9 6 3 3" xfId="6145"/>
    <cellStyle name="20% - Accent2 2 9 6 4" xfId="6146"/>
    <cellStyle name="20% - Accent2 2 9 6 4 2" xfId="6147"/>
    <cellStyle name="20% - Accent2 2 9 6 5" xfId="6148"/>
    <cellStyle name="20% - Accent2 2 9 7" xfId="6149"/>
    <cellStyle name="20% - Accent2 2 9 7 2" xfId="6150"/>
    <cellStyle name="20% - Accent2 2 9 7 2 2" xfId="6151"/>
    <cellStyle name="20% - Accent2 2 9 7 2 2 2" xfId="6152"/>
    <cellStyle name="20% - Accent2 2 9 7 2 2 2 2" xfId="6153"/>
    <cellStyle name="20% - Accent2 2 9 7 2 2 3" xfId="6154"/>
    <cellStyle name="20% - Accent2 2 9 7 2 3" xfId="6155"/>
    <cellStyle name="20% - Accent2 2 9 7 2 3 2" xfId="6156"/>
    <cellStyle name="20% - Accent2 2 9 7 2 4" xfId="6157"/>
    <cellStyle name="20% - Accent2 2 9 7 3" xfId="6158"/>
    <cellStyle name="20% - Accent2 2 9 7 3 2" xfId="6159"/>
    <cellStyle name="20% - Accent2 2 9 7 3 2 2" xfId="6160"/>
    <cellStyle name="20% - Accent2 2 9 7 3 3" xfId="6161"/>
    <cellStyle name="20% - Accent2 2 9 7 4" xfId="6162"/>
    <cellStyle name="20% - Accent2 2 9 7 4 2" xfId="6163"/>
    <cellStyle name="20% - Accent2 2 9 7 5" xfId="6164"/>
    <cellStyle name="20% - Accent2 2 9 8" xfId="6165"/>
    <cellStyle name="20% - Accent2 2 9 8 2" xfId="6166"/>
    <cellStyle name="20% - Accent2 2 9 8 2 2" xfId="6167"/>
    <cellStyle name="20% - Accent2 2 9 8 2 2 2" xfId="6168"/>
    <cellStyle name="20% - Accent2 2 9 8 2 3" xfId="6169"/>
    <cellStyle name="20% - Accent2 2 9 8 3" xfId="6170"/>
    <cellStyle name="20% - Accent2 2 9 8 3 2" xfId="6171"/>
    <cellStyle name="20% - Accent2 2 9 8 4" xfId="6172"/>
    <cellStyle name="20% - Accent2 2 9 9" xfId="6173"/>
    <cellStyle name="20% - Accent2 2 9 9 2" xfId="6174"/>
    <cellStyle name="20% - Accent2 2 9 9 2 2" xfId="6175"/>
    <cellStyle name="20% - Accent2 2 9 9 3" xfId="6176"/>
    <cellStyle name="20% - Accent2 20" xfId="6177"/>
    <cellStyle name="20% - Accent2 20 2" xfId="6178"/>
    <cellStyle name="20% - Accent2 20 2 2" xfId="6179"/>
    <cellStyle name="20% - Accent2 20 2 2 2" xfId="6180"/>
    <cellStyle name="20% - Accent2 20 2 2 2 2" xfId="6181"/>
    <cellStyle name="20% - Accent2 20 2 2 3" xfId="6182"/>
    <cellStyle name="20% - Accent2 20 2 3" xfId="6183"/>
    <cellStyle name="20% - Accent2 20 2 3 2" xfId="6184"/>
    <cellStyle name="20% - Accent2 20 2 4" xfId="6185"/>
    <cellStyle name="20% - Accent2 20 3" xfId="6186"/>
    <cellStyle name="20% - Accent2 20 3 2" xfId="6187"/>
    <cellStyle name="20% - Accent2 20 3 2 2" xfId="6188"/>
    <cellStyle name="20% - Accent2 20 3 3" xfId="6189"/>
    <cellStyle name="20% - Accent2 20 4" xfId="6190"/>
    <cellStyle name="20% - Accent2 20 4 2" xfId="6191"/>
    <cellStyle name="20% - Accent2 20 5" xfId="6192"/>
    <cellStyle name="20% - Accent2 21" xfId="6193"/>
    <cellStyle name="20% - Accent2 21 2" xfId="6194"/>
    <cellStyle name="20% - Accent2 21 2 2" xfId="6195"/>
    <cellStyle name="20% - Accent2 21 2 2 2" xfId="6196"/>
    <cellStyle name="20% - Accent2 21 2 3" xfId="6197"/>
    <cellStyle name="20% - Accent2 21 3" xfId="6198"/>
    <cellStyle name="20% - Accent2 21 3 2" xfId="6199"/>
    <cellStyle name="20% - Accent2 21 4" xfId="6200"/>
    <cellStyle name="20% - Accent2 22" xfId="6201"/>
    <cellStyle name="20% - Accent2 22 2" xfId="6202"/>
    <cellStyle name="20% - Accent2 22 2 2" xfId="6203"/>
    <cellStyle name="20% - Accent2 22 3" xfId="6204"/>
    <cellStyle name="20% - Accent2 23" xfId="6205"/>
    <cellStyle name="20% - Accent2 23 2" xfId="6206"/>
    <cellStyle name="20% - Accent2 24" xfId="6207"/>
    <cellStyle name="20% - Accent2 3" xfId="6208"/>
    <cellStyle name="20% - Accent2 3 10" xfId="6209"/>
    <cellStyle name="20% - Accent2 3 10 2" xfId="6210"/>
    <cellStyle name="20% - Accent2 3 11" xfId="6211"/>
    <cellStyle name="20% - Accent2 3 2" xfId="6212"/>
    <cellStyle name="20% - Accent2 3 2 10" xfId="6213"/>
    <cellStyle name="20% - Accent2 3 2 2" xfId="6214"/>
    <cellStyle name="20% - Accent2 3 2 2 2" xfId="6215"/>
    <cellStyle name="20% - Accent2 3 2 2 2 2" xfId="6216"/>
    <cellStyle name="20% - Accent2 3 2 2 2 2 2" xfId="6217"/>
    <cellStyle name="20% - Accent2 3 2 2 2 2 2 2" xfId="6218"/>
    <cellStyle name="20% - Accent2 3 2 2 2 2 3" xfId="6219"/>
    <cellStyle name="20% - Accent2 3 2 2 2 3" xfId="6220"/>
    <cellStyle name="20% - Accent2 3 2 2 2 3 2" xfId="6221"/>
    <cellStyle name="20% - Accent2 3 2 2 2 4" xfId="6222"/>
    <cellStyle name="20% - Accent2 3 2 2 3" xfId="6223"/>
    <cellStyle name="20% - Accent2 3 2 2 3 2" xfId="6224"/>
    <cellStyle name="20% - Accent2 3 2 2 3 2 2" xfId="6225"/>
    <cellStyle name="20% - Accent2 3 2 2 3 3" xfId="6226"/>
    <cellStyle name="20% - Accent2 3 2 2 4" xfId="6227"/>
    <cellStyle name="20% - Accent2 3 2 2 4 2" xfId="6228"/>
    <cellStyle name="20% - Accent2 3 2 2 5" xfId="6229"/>
    <cellStyle name="20% - Accent2 3 2 3" xfId="6230"/>
    <cellStyle name="20% - Accent2 3 2 3 2" xfId="6231"/>
    <cellStyle name="20% - Accent2 3 2 3 2 2" xfId="6232"/>
    <cellStyle name="20% - Accent2 3 2 3 2 2 2" xfId="6233"/>
    <cellStyle name="20% - Accent2 3 2 3 2 2 2 2" xfId="6234"/>
    <cellStyle name="20% - Accent2 3 2 3 2 2 3" xfId="6235"/>
    <cellStyle name="20% - Accent2 3 2 3 2 3" xfId="6236"/>
    <cellStyle name="20% - Accent2 3 2 3 2 3 2" xfId="6237"/>
    <cellStyle name="20% - Accent2 3 2 3 2 4" xfId="6238"/>
    <cellStyle name="20% - Accent2 3 2 3 3" xfId="6239"/>
    <cellStyle name="20% - Accent2 3 2 3 3 2" xfId="6240"/>
    <cellStyle name="20% - Accent2 3 2 3 3 2 2" xfId="6241"/>
    <cellStyle name="20% - Accent2 3 2 3 3 3" xfId="6242"/>
    <cellStyle name="20% - Accent2 3 2 3 4" xfId="6243"/>
    <cellStyle name="20% - Accent2 3 2 3 4 2" xfId="6244"/>
    <cellStyle name="20% - Accent2 3 2 3 5" xfId="6245"/>
    <cellStyle name="20% - Accent2 3 2 4" xfId="6246"/>
    <cellStyle name="20% - Accent2 3 2 4 2" xfId="6247"/>
    <cellStyle name="20% - Accent2 3 2 4 2 2" xfId="6248"/>
    <cellStyle name="20% - Accent2 3 2 4 2 2 2" xfId="6249"/>
    <cellStyle name="20% - Accent2 3 2 4 2 2 2 2" xfId="6250"/>
    <cellStyle name="20% - Accent2 3 2 4 2 2 3" xfId="6251"/>
    <cellStyle name="20% - Accent2 3 2 4 2 3" xfId="6252"/>
    <cellStyle name="20% - Accent2 3 2 4 2 3 2" xfId="6253"/>
    <cellStyle name="20% - Accent2 3 2 4 2 4" xfId="6254"/>
    <cellStyle name="20% - Accent2 3 2 4 3" xfId="6255"/>
    <cellStyle name="20% - Accent2 3 2 4 3 2" xfId="6256"/>
    <cellStyle name="20% - Accent2 3 2 4 3 2 2" xfId="6257"/>
    <cellStyle name="20% - Accent2 3 2 4 3 3" xfId="6258"/>
    <cellStyle name="20% - Accent2 3 2 4 4" xfId="6259"/>
    <cellStyle name="20% - Accent2 3 2 4 4 2" xfId="6260"/>
    <cellStyle name="20% - Accent2 3 2 4 5" xfId="6261"/>
    <cellStyle name="20% - Accent2 3 2 5" xfId="6262"/>
    <cellStyle name="20% - Accent2 3 2 5 2" xfId="6263"/>
    <cellStyle name="20% - Accent2 3 2 5 2 2" xfId="6264"/>
    <cellStyle name="20% - Accent2 3 2 5 2 2 2" xfId="6265"/>
    <cellStyle name="20% - Accent2 3 2 5 2 2 2 2" xfId="6266"/>
    <cellStyle name="20% - Accent2 3 2 5 2 2 3" xfId="6267"/>
    <cellStyle name="20% - Accent2 3 2 5 2 3" xfId="6268"/>
    <cellStyle name="20% - Accent2 3 2 5 2 3 2" xfId="6269"/>
    <cellStyle name="20% - Accent2 3 2 5 2 4" xfId="6270"/>
    <cellStyle name="20% - Accent2 3 2 5 3" xfId="6271"/>
    <cellStyle name="20% - Accent2 3 2 5 3 2" xfId="6272"/>
    <cellStyle name="20% - Accent2 3 2 5 3 2 2" xfId="6273"/>
    <cellStyle name="20% - Accent2 3 2 5 3 3" xfId="6274"/>
    <cellStyle name="20% - Accent2 3 2 5 4" xfId="6275"/>
    <cellStyle name="20% - Accent2 3 2 5 4 2" xfId="6276"/>
    <cellStyle name="20% - Accent2 3 2 5 5" xfId="6277"/>
    <cellStyle name="20% - Accent2 3 2 6" xfId="6278"/>
    <cellStyle name="20% - Accent2 3 2 6 2" xfId="6279"/>
    <cellStyle name="20% - Accent2 3 2 6 2 2" xfId="6280"/>
    <cellStyle name="20% - Accent2 3 2 6 2 2 2" xfId="6281"/>
    <cellStyle name="20% - Accent2 3 2 6 2 2 2 2" xfId="6282"/>
    <cellStyle name="20% - Accent2 3 2 6 2 2 3" xfId="6283"/>
    <cellStyle name="20% - Accent2 3 2 6 2 3" xfId="6284"/>
    <cellStyle name="20% - Accent2 3 2 6 2 3 2" xfId="6285"/>
    <cellStyle name="20% - Accent2 3 2 6 2 4" xfId="6286"/>
    <cellStyle name="20% - Accent2 3 2 6 3" xfId="6287"/>
    <cellStyle name="20% - Accent2 3 2 6 3 2" xfId="6288"/>
    <cellStyle name="20% - Accent2 3 2 6 3 2 2" xfId="6289"/>
    <cellStyle name="20% - Accent2 3 2 6 3 3" xfId="6290"/>
    <cellStyle name="20% - Accent2 3 2 6 4" xfId="6291"/>
    <cellStyle name="20% - Accent2 3 2 6 4 2" xfId="6292"/>
    <cellStyle name="20% - Accent2 3 2 6 5" xfId="6293"/>
    <cellStyle name="20% - Accent2 3 2 7" xfId="6294"/>
    <cellStyle name="20% - Accent2 3 2 7 2" xfId="6295"/>
    <cellStyle name="20% - Accent2 3 2 7 2 2" xfId="6296"/>
    <cellStyle name="20% - Accent2 3 2 7 2 2 2" xfId="6297"/>
    <cellStyle name="20% - Accent2 3 2 7 2 3" xfId="6298"/>
    <cellStyle name="20% - Accent2 3 2 7 3" xfId="6299"/>
    <cellStyle name="20% - Accent2 3 2 7 3 2" xfId="6300"/>
    <cellStyle name="20% - Accent2 3 2 7 4" xfId="6301"/>
    <cellStyle name="20% - Accent2 3 2 8" xfId="6302"/>
    <cellStyle name="20% - Accent2 3 2 8 2" xfId="6303"/>
    <cellStyle name="20% - Accent2 3 2 8 2 2" xfId="6304"/>
    <cellStyle name="20% - Accent2 3 2 8 3" xfId="6305"/>
    <cellStyle name="20% - Accent2 3 2 9" xfId="6306"/>
    <cellStyle name="20% - Accent2 3 2 9 2" xfId="6307"/>
    <cellStyle name="20% - Accent2 3 3" xfId="6308"/>
    <cellStyle name="20% - Accent2 3 3 2" xfId="6309"/>
    <cellStyle name="20% - Accent2 3 3 2 2" xfId="6310"/>
    <cellStyle name="20% - Accent2 3 3 2 2 2" xfId="6311"/>
    <cellStyle name="20% - Accent2 3 3 2 2 2 2" xfId="6312"/>
    <cellStyle name="20% - Accent2 3 3 2 2 3" xfId="6313"/>
    <cellStyle name="20% - Accent2 3 3 2 3" xfId="6314"/>
    <cellStyle name="20% - Accent2 3 3 2 3 2" xfId="6315"/>
    <cellStyle name="20% - Accent2 3 3 2 4" xfId="6316"/>
    <cellStyle name="20% - Accent2 3 3 3" xfId="6317"/>
    <cellStyle name="20% - Accent2 3 3 3 2" xfId="6318"/>
    <cellStyle name="20% - Accent2 3 3 3 2 2" xfId="6319"/>
    <cellStyle name="20% - Accent2 3 3 3 3" xfId="6320"/>
    <cellStyle name="20% - Accent2 3 3 4" xfId="6321"/>
    <cellStyle name="20% - Accent2 3 3 4 2" xfId="6322"/>
    <cellStyle name="20% - Accent2 3 3 5" xfId="6323"/>
    <cellStyle name="20% - Accent2 3 4" xfId="6324"/>
    <cellStyle name="20% - Accent2 3 4 2" xfId="6325"/>
    <cellStyle name="20% - Accent2 3 4 2 2" xfId="6326"/>
    <cellStyle name="20% - Accent2 3 4 2 2 2" xfId="6327"/>
    <cellStyle name="20% - Accent2 3 4 2 2 2 2" xfId="6328"/>
    <cellStyle name="20% - Accent2 3 4 2 2 3" xfId="6329"/>
    <cellStyle name="20% - Accent2 3 4 2 3" xfId="6330"/>
    <cellStyle name="20% - Accent2 3 4 2 3 2" xfId="6331"/>
    <cellStyle name="20% - Accent2 3 4 2 4" xfId="6332"/>
    <cellStyle name="20% - Accent2 3 4 3" xfId="6333"/>
    <cellStyle name="20% - Accent2 3 4 3 2" xfId="6334"/>
    <cellStyle name="20% - Accent2 3 4 3 2 2" xfId="6335"/>
    <cellStyle name="20% - Accent2 3 4 3 3" xfId="6336"/>
    <cellStyle name="20% - Accent2 3 4 4" xfId="6337"/>
    <cellStyle name="20% - Accent2 3 4 4 2" xfId="6338"/>
    <cellStyle name="20% - Accent2 3 4 5" xfId="6339"/>
    <cellStyle name="20% - Accent2 3 5" xfId="6340"/>
    <cellStyle name="20% - Accent2 3 5 2" xfId="6341"/>
    <cellStyle name="20% - Accent2 3 5 2 2" xfId="6342"/>
    <cellStyle name="20% - Accent2 3 5 2 2 2" xfId="6343"/>
    <cellStyle name="20% - Accent2 3 5 2 2 2 2" xfId="6344"/>
    <cellStyle name="20% - Accent2 3 5 2 2 3" xfId="6345"/>
    <cellStyle name="20% - Accent2 3 5 2 3" xfId="6346"/>
    <cellStyle name="20% - Accent2 3 5 2 3 2" xfId="6347"/>
    <cellStyle name="20% - Accent2 3 5 2 4" xfId="6348"/>
    <cellStyle name="20% - Accent2 3 5 3" xfId="6349"/>
    <cellStyle name="20% - Accent2 3 5 3 2" xfId="6350"/>
    <cellStyle name="20% - Accent2 3 5 3 2 2" xfId="6351"/>
    <cellStyle name="20% - Accent2 3 5 3 3" xfId="6352"/>
    <cellStyle name="20% - Accent2 3 5 4" xfId="6353"/>
    <cellStyle name="20% - Accent2 3 5 4 2" xfId="6354"/>
    <cellStyle name="20% - Accent2 3 5 5" xfId="6355"/>
    <cellStyle name="20% - Accent2 3 6" xfId="6356"/>
    <cellStyle name="20% - Accent2 3 6 2" xfId="6357"/>
    <cellStyle name="20% - Accent2 3 6 2 2" xfId="6358"/>
    <cellStyle name="20% - Accent2 3 6 2 2 2" xfId="6359"/>
    <cellStyle name="20% - Accent2 3 6 2 2 2 2" xfId="6360"/>
    <cellStyle name="20% - Accent2 3 6 2 2 3" xfId="6361"/>
    <cellStyle name="20% - Accent2 3 6 2 3" xfId="6362"/>
    <cellStyle name="20% - Accent2 3 6 2 3 2" xfId="6363"/>
    <cellStyle name="20% - Accent2 3 6 2 4" xfId="6364"/>
    <cellStyle name="20% - Accent2 3 6 3" xfId="6365"/>
    <cellStyle name="20% - Accent2 3 6 3 2" xfId="6366"/>
    <cellStyle name="20% - Accent2 3 6 3 2 2" xfId="6367"/>
    <cellStyle name="20% - Accent2 3 6 3 3" xfId="6368"/>
    <cellStyle name="20% - Accent2 3 6 4" xfId="6369"/>
    <cellStyle name="20% - Accent2 3 6 4 2" xfId="6370"/>
    <cellStyle name="20% - Accent2 3 6 5" xfId="6371"/>
    <cellStyle name="20% - Accent2 3 7" xfId="6372"/>
    <cellStyle name="20% - Accent2 3 7 2" xfId="6373"/>
    <cellStyle name="20% - Accent2 3 7 2 2" xfId="6374"/>
    <cellStyle name="20% - Accent2 3 7 2 2 2" xfId="6375"/>
    <cellStyle name="20% - Accent2 3 7 2 2 2 2" xfId="6376"/>
    <cellStyle name="20% - Accent2 3 7 2 2 3" xfId="6377"/>
    <cellStyle name="20% - Accent2 3 7 2 3" xfId="6378"/>
    <cellStyle name="20% - Accent2 3 7 2 3 2" xfId="6379"/>
    <cellStyle name="20% - Accent2 3 7 2 4" xfId="6380"/>
    <cellStyle name="20% - Accent2 3 7 3" xfId="6381"/>
    <cellStyle name="20% - Accent2 3 7 3 2" xfId="6382"/>
    <cellStyle name="20% - Accent2 3 7 3 2 2" xfId="6383"/>
    <cellStyle name="20% - Accent2 3 7 3 3" xfId="6384"/>
    <cellStyle name="20% - Accent2 3 7 4" xfId="6385"/>
    <cellStyle name="20% - Accent2 3 7 4 2" xfId="6386"/>
    <cellStyle name="20% - Accent2 3 7 5" xfId="6387"/>
    <cellStyle name="20% - Accent2 3 8" xfId="6388"/>
    <cellStyle name="20% - Accent2 3 8 2" xfId="6389"/>
    <cellStyle name="20% - Accent2 3 8 2 2" xfId="6390"/>
    <cellStyle name="20% - Accent2 3 8 2 2 2" xfId="6391"/>
    <cellStyle name="20% - Accent2 3 8 2 3" xfId="6392"/>
    <cellStyle name="20% - Accent2 3 8 3" xfId="6393"/>
    <cellStyle name="20% - Accent2 3 8 3 2" xfId="6394"/>
    <cellStyle name="20% - Accent2 3 8 4" xfId="6395"/>
    <cellStyle name="20% - Accent2 3 9" xfId="6396"/>
    <cellStyle name="20% - Accent2 3 9 2" xfId="6397"/>
    <cellStyle name="20% - Accent2 3 9 2 2" xfId="6398"/>
    <cellStyle name="20% - Accent2 3 9 3" xfId="6399"/>
    <cellStyle name="20% - Accent2 4" xfId="6400"/>
    <cellStyle name="20% - Accent2 4 10" xfId="6401"/>
    <cellStyle name="20% - Accent2 4 10 2" xfId="6402"/>
    <cellStyle name="20% - Accent2 4 11" xfId="6403"/>
    <cellStyle name="20% - Accent2 4 2" xfId="6404"/>
    <cellStyle name="20% - Accent2 4 2 10" xfId="6405"/>
    <cellStyle name="20% - Accent2 4 2 2" xfId="6406"/>
    <cellStyle name="20% - Accent2 4 2 2 2" xfId="6407"/>
    <cellStyle name="20% - Accent2 4 2 2 2 2" xfId="6408"/>
    <cellStyle name="20% - Accent2 4 2 2 2 2 2" xfId="6409"/>
    <cellStyle name="20% - Accent2 4 2 2 2 2 2 2" xfId="6410"/>
    <cellStyle name="20% - Accent2 4 2 2 2 2 3" xfId="6411"/>
    <cellStyle name="20% - Accent2 4 2 2 2 3" xfId="6412"/>
    <cellStyle name="20% - Accent2 4 2 2 2 3 2" xfId="6413"/>
    <cellStyle name="20% - Accent2 4 2 2 2 4" xfId="6414"/>
    <cellStyle name="20% - Accent2 4 2 2 3" xfId="6415"/>
    <cellStyle name="20% - Accent2 4 2 2 3 2" xfId="6416"/>
    <cellStyle name="20% - Accent2 4 2 2 3 2 2" xfId="6417"/>
    <cellStyle name="20% - Accent2 4 2 2 3 3" xfId="6418"/>
    <cellStyle name="20% - Accent2 4 2 2 4" xfId="6419"/>
    <cellStyle name="20% - Accent2 4 2 2 4 2" xfId="6420"/>
    <cellStyle name="20% - Accent2 4 2 2 5" xfId="6421"/>
    <cellStyle name="20% - Accent2 4 2 3" xfId="6422"/>
    <cellStyle name="20% - Accent2 4 2 3 2" xfId="6423"/>
    <cellStyle name="20% - Accent2 4 2 3 2 2" xfId="6424"/>
    <cellStyle name="20% - Accent2 4 2 3 2 2 2" xfId="6425"/>
    <cellStyle name="20% - Accent2 4 2 3 2 2 2 2" xfId="6426"/>
    <cellStyle name="20% - Accent2 4 2 3 2 2 3" xfId="6427"/>
    <cellStyle name="20% - Accent2 4 2 3 2 3" xfId="6428"/>
    <cellStyle name="20% - Accent2 4 2 3 2 3 2" xfId="6429"/>
    <cellStyle name="20% - Accent2 4 2 3 2 4" xfId="6430"/>
    <cellStyle name="20% - Accent2 4 2 3 3" xfId="6431"/>
    <cellStyle name="20% - Accent2 4 2 3 3 2" xfId="6432"/>
    <cellStyle name="20% - Accent2 4 2 3 3 2 2" xfId="6433"/>
    <cellStyle name="20% - Accent2 4 2 3 3 3" xfId="6434"/>
    <cellStyle name="20% - Accent2 4 2 3 4" xfId="6435"/>
    <cellStyle name="20% - Accent2 4 2 3 4 2" xfId="6436"/>
    <cellStyle name="20% - Accent2 4 2 3 5" xfId="6437"/>
    <cellStyle name="20% - Accent2 4 2 4" xfId="6438"/>
    <cellStyle name="20% - Accent2 4 2 4 2" xfId="6439"/>
    <cellStyle name="20% - Accent2 4 2 4 2 2" xfId="6440"/>
    <cellStyle name="20% - Accent2 4 2 4 2 2 2" xfId="6441"/>
    <cellStyle name="20% - Accent2 4 2 4 2 2 2 2" xfId="6442"/>
    <cellStyle name="20% - Accent2 4 2 4 2 2 3" xfId="6443"/>
    <cellStyle name="20% - Accent2 4 2 4 2 3" xfId="6444"/>
    <cellStyle name="20% - Accent2 4 2 4 2 3 2" xfId="6445"/>
    <cellStyle name="20% - Accent2 4 2 4 2 4" xfId="6446"/>
    <cellStyle name="20% - Accent2 4 2 4 3" xfId="6447"/>
    <cellStyle name="20% - Accent2 4 2 4 3 2" xfId="6448"/>
    <cellStyle name="20% - Accent2 4 2 4 3 2 2" xfId="6449"/>
    <cellStyle name="20% - Accent2 4 2 4 3 3" xfId="6450"/>
    <cellStyle name="20% - Accent2 4 2 4 4" xfId="6451"/>
    <cellStyle name="20% - Accent2 4 2 4 4 2" xfId="6452"/>
    <cellStyle name="20% - Accent2 4 2 4 5" xfId="6453"/>
    <cellStyle name="20% - Accent2 4 2 5" xfId="6454"/>
    <cellStyle name="20% - Accent2 4 2 5 2" xfId="6455"/>
    <cellStyle name="20% - Accent2 4 2 5 2 2" xfId="6456"/>
    <cellStyle name="20% - Accent2 4 2 5 2 2 2" xfId="6457"/>
    <cellStyle name="20% - Accent2 4 2 5 2 2 2 2" xfId="6458"/>
    <cellStyle name="20% - Accent2 4 2 5 2 2 3" xfId="6459"/>
    <cellStyle name="20% - Accent2 4 2 5 2 3" xfId="6460"/>
    <cellStyle name="20% - Accent2 4 2 5 2 3 2" xfId="6461"/>
    <cellStyle name="20% - Accent2 4 2 5 2 4" xfId="6462"/>
    <cellStyle name="20% - Accent2 4 2 5 3" xfId="6463"/>
    <cellStyle name="20% - Accent2 4 2 5 3 2" xfId="6464"/>
    <cellStyle name="20% - Accent2 4 2 5 3 2 2" xfId="6465"/>
    <cellStyle name="20% - Accent2 4 2 5 3 3" xfId="6466"/>
    <cellStyle name="20% - Accent2 4 2 5 4" xfId="6467"/>
    <cellStyle name="20% - Accent2 4 2 5 4 2" xfId="6468"/>
    <cellStyle name="20% - Accent2 4 2 5 5" xfId="6469"/>
    <cellStyle name="20% - Accent2 4 2 6" xfId="6470"/>
    <cellStyle name="20% - Accent2 4 2 6 2" xfId="6471"/>
    <cellStyle name="20% - Accent2 4 2 6 2 2" xfId="6472"/>
    <cellStyle name="20% - Accent2 4 2 6 2 2 2" xfId="6473"/>
    <cellStyle name="20% - Accent2 4 2 6 2 2 2 2" xfId="6474"/>
    <cellStyle name="20% - Accent2 4 2 6 2 2 3" xfId="6475"/>
    <cellStyle name="20% - Accent2 4 2 6 2 3" xfId="6476"/>
    <cellStyle name="20% - Accent2 4 2 6 2 3 2" xfId="6477"/>
    <cellStyle name="20% - Accent2 4 2 6 2 4" xfId="6478"/>
    <cellStyle name="20% - Accent2 4 2 6 3" xfId="6479"/>
    <cellStyle name="20% - Accent2 4 2 6 3 2" xfId="6480"/>
    <cellStyle name="20% - Accent2 4 2 6 3 2 2" xfId="6481"/>
    <cellStyle name="20% - Accent2 4 2 6 3 3" xfId="6482"/>
    <cellStyle name="20% - Accent2 4 2 6 4" xfId="6483"/>
    <cellStyle name="20% - Accent2 4 2 6 4 2" xfId="6484"/>
    <cellStyle name="20% - Accent2 4 2 6 5" xfId="6485"/>
    <cellStyle name="20% - Accent2 4 2 7" xfId="6486"/>
    <cellStyle name="20% - Accent2 4 2 7 2" xfId="6487"/>
    <cellStyle name="20% - Accent2 4 2 7 2 2" xfId="6488"/>
    <cellStyle name="20% - Accent2 4 2 7 2 2 2" xfId="6489"/>
    <cellStyle name="20% - Accent2 4 2 7 2 3" xfId="6490"/>
    <cellStyle name="20% - Accent2 4 2 7 3" xfId="6491"/>
    <cellStyle name="20% - Accent2 4 2 7 3 2" xfId="6492"/>
    <cellStyle name="20% - Accent2 4 2 7 4" xfId="6493"/>
    <cellStyle name="20% - Accent2 4 2 8" xfId="6494"/>
    <cellStyle name="20% - Accent2 4 2 8 2" xfId="6495"/>
    <cellStyle name="20% - Accent2 4 2 8 2 2" xfId="6496"/>
    <cellStyle name="20% - Accent2 4 2 8 3" xfId="6497"/>
    <cellStyle name="20% - Accent2 4 2 9" xfId="6498"/>
    <cellStyle name="20% - Accent2 4 2 9 2" xfId="6499"/>
    <cellStyle name="20% - Accent2 4 3" xfId="6500"/>
    <cellStyle name="20% - Accent2 4 3 2" xfId="6501"/>
    <cellStyle name="20% - Accent2 4 3 2 2" xfId="6502"/>
    <cellStyle name="20% - Accent2 4 3 2 2 2" xfId="6503"/>
    <cellStyle name="20% - Accent2 4 3 2 2 2 2" xfId="6504"/>
    <cellStyle name="20% - Accent2 4 3 2 2 3" xfId="6505"/>
    <cellStyle name="20% - Accent2 4 3 2 3" xfId="6506"/>
    <cellStyle name="20% - Accent2 4 3 2 3 2" xfId="6507"/>
    <cellStyle name="20% - Accent2 4 3 2 4" xfId="6508"/>
    <cellStyle name="20% - Accent2 4 3 3" xfId="6509"/>
    <cellStyle name="20% - Accent2 4 3 3 2" xfId="6510"/>
    <cellStyle name="20% - Accent2 4 3 3 2 2" xfId="6511"/>
    <cellStyle name="20% - Accent2 4 3 3 3" xfId="6512"/>
    <cellStyle name="20% - Accent2 4 3 4" xfId="6513"/>
    <cellStyle name="20% - Accent2 4 3 4 2" xfId="6514"/>
    <cellStyle name="20% - Accent2 4 3 5" xfId="6515"/>
    <cellStyle name="20% - Accent2 4 4" xfId="6516"/>
    <cellStyle name="20% - Accent2 4 4 2" xfId="6517"/>
    <cellStyle name="20% - Accent2 4 4 2 2" xfId="6518"/>
    <cellStyle name="20% - Accent2 4 4 2 2 2" xfId="6519"/>
    <cellStyle name="20% - Accent2 4 4 2 2 2 2" xfId="6520"/>
    <cellStyle name="20% - Accent2 4 4 2 2 3" xfId="6521"/>
    <cellStyle name="20% - Accent2 4 4 2 3" xfId="6522"/>
    <cellStyle name="20% - Accent2 4 4 2 3 2" xfId="6523"/>
    <cellStyle name="20% - Accent2 4 4 2 4" xfId="6524"/>
    <cellStyle name="20% - Accent2 4 4 3" xfId="6525"/>
    <cellStyle name="20% - Accent2 4 4 3 2" xfId="6526"/>
    <cellStyle name="20% - Accent2 4 4 3 2 2" xfId="6527"/>
    <cellStyle name="20% - Accent2 4 4 3 3" xfId="6528"/>
    <cellStyle name="20% - Accent2 4 4 4" xfId="6529"/>
    <cellStyle name="20% - Accent2 4 4 4 2" xfId="6530"/>
    <cellStyle name="20% - Accent2 4 4 5" xfId="6531"/>
    <cellStyle name="20% - Accent2 4 5" xfId="6532"/>
    <cellStyle name="20% - Accent2 4 5 2" xfId="6533"/>
    <cellStyle name="20% - Accent2 4 5 2 2" xfId="6534"/>
    <cellStyle name="20% - Accent2 4 5 2 2 2" xfId="6535"/>
    <cellStyle name="20% - Accent2 4 5 2 2 2 2" xfId="6536"/>
    <cellStyle name="20% - Accent2 4 5 2 2 3" xfId="6537"/>
    <cellStyle name="20% - Accent2 4 5 2 3" xfId="6538"/>
    <cellStyle name="20% - Accent2 4 5 2 3 2" xfId="6539"/>
    <cellStyle name="20% - Accent2 4 5 2 4" xfId="6540"/>
    <cellStyle name="20% - Accent2 4 5 3" xfId="6541"/>
    <cellStyle name="20% - Accent2 4 5 3 2" xfId="6542"/>
    <cellStyle name="20% - Accent2 4 5 3 2 2" xfId="6543"/>
    <cellStyle name="20% - Accent2 4 5 3 3" xfId="6544"/>
    <cellStyle name="20% - Accent2 4 5 4" xfId="6545"/>
    <cellStyle name="20% - Accent2 4 5 4 2" xfId="6546"/>
    <cellStyle name="20% - Accent2 4 5 5" xfId="6547"/>
    <cellStyle name="20% - Accent2 4 6" xfId="6548"/>
    <cellStyle name="20% - Accent2 4 6 2" xfId="6549"/>
    <cellStyle name="20% - Accent2 4 6 2 2" xfId="6550"/>
    <cellStyle name="20% - Accent2 4 6 2 2 2" xfId="6551"/>
    <cellStyle name="20% - Accent2 4 6 2 2 2 2" xfId="6552"/>
    <cellStyle name="20% - Accent2 4 6 2 2 3" xfId="6553"/>
    <cellStyle name="20% - Accent2 4 6 2 3" xfId="6554"/>
    <cellStyle name="20% - Accent2 4 6 2 3 2" xfId="6555"/>
    <cellStyle name="20% - Accent2 4 6 2 4" xfId="6556"/>
    <cellStyle name="20% - Accent2 4 6 3" xfId="6557"/>
    <cellStyle name="20% - Accent2 4 6 3 2" xfId="6558"/>
    <cellStyle name="20% - Accent2 4 6 3 2 2" xfId="6559"/>
    <cellStyle name="20% - Accent2 4 6 3 3" xfId="6560"/>
    <cellStyle name="20% - Accent2 4 6 4" xfId="6561"/>
    <cellStyle name="20% - Accent2 4 6 4 2" xfId="6562"/>
    <cellStyle name="20% - Accent2 4 6 5" xfId="6563"/>
    <cellStyle name="20% - Accent2 4 7" xfId="6564"/>
    <cellStyle name="20% - Accent2 4 7 2" xfId="6565"/>
    <cellStyle name="20% - Accent2 4 7 2 2" xfId="6566"/>
    <cellStyle name="20% - Accent2 4 7 2 2 2" xfId="6567"/>
    <cellStyle name="20% - Accent2 4 7 2 2 2 2" xfId="6568"/>
    <cellStyle name="20% - Accent2 4 7 2 2 3" xfId="6569"/>
    <cellStyle name="20% - Accent2 4 7 2 3" xfId="6570"/>
    <cellStyle name="20% - Accent2 4 7 2 3 2" xfId="6571"/>
    <cellStyle name="20% - Accent2 4 7 2 4" xfId="6572"/>
    <cellStyle name="20% - Accent2 4 7 3" xfId="6573"/>
    <cellStyle name="20% - Accent2 4 7 3 2" xfId="6574"/>
    <cellStyle name="20% - Accent2 4 7 3 2 2" xfId="6575"/>
    <cellStyle name="20% - Accent2 4 7 3 3" xfId="6576"/>
    <cellStyle name="20% - Accent2 4 7 4" xfId="6577"/>
    <cellStyle name="20% - Accent2 4 7 4 2" xfId="6578"/>
    <cellStyle name="20% - Accent2 4 7 5" xfId="6579"/>
    <cellStyle name="20% - Accent2 4 8" xfId="6580"/>
    <cellStyle name="20% - Accent2 4 8 2" xfId="6581"/>
    <cellStyle name="20% - Accent2 4 8 2 2" xfId="6582"/>
    <cellStyle name="20% - Accent2 4 8 2 2 2" xfId="6583"/>
    <cellStyle name="20% - Accent2 4 8 2 3" xfId="6584"/>
    <cellStyle name="20% - Accent2 4 8 3" xfId="6585"/>
    <cellStyle name="20% - Accent2 4 8 3 2" xfId="6586"/>
    <cellStyle name="20% - Accent2 4 8 4" xfId="6587"/>
    <cellStyle name="20% - Accent2 4 9" xfId="6588"/>
    <cellStyle name="20% - Accent2 4 9 2" xfId="6589"/>
    <cellStyle name="20% - Accent2 4 9 2 2" xfId="6590"/>
    <cellStyle name="20% - Accent2 4 9 3" xfId="6591"/>
    <cellStyle name="20% - Accent2 5" xfId="6592"/>
    <cellStyle name="20% - Accent2 5 10" xfId="6593"/>
    <cellStyle name="20% - Accent2 5 10 2" xfId="6594"/>
    <cellStyle name="20% - Accent2 5 11" xfId="6595"/>
    <cellStyle name="20% - Accent2 5 2" xfId="6596"/>
    <cellStyle name="20% - Accent2 5 2 10" xfId="6597"/>
    <cellStyle name="20% - Accent2 5 2 2" xfId="6598"/>
    <cellStyle name="20% - Accent2 5 2 2 2" xfId="6599"/>
    <cellStyle name="20% - Accent2 5 2 2 2 2" xfId="6600"/>
    <cellStyle name="20% - Accent2 5 2 2 2 2 2" xfId="6601"/>
    <cellStyle name="20% - Accent2 5 2 2 2 2 2 2" xfId="6602"/>
    <cellStyle name="20% - Accent2 5 2 2 2 2 3" xfId="6603"/>
    <cellStyle name="20% - Accent2 5 2 2 2 3" xfId="6604"/>
    <cellStyle name="20% - Accent2 5 2 2 2 3 2" xfId="6605"/>
    <cellStyle name="20% - Accent2 5 2 2 2 4" xfId="6606"/>
    <cellStyle name="20% - Accent2 5 2 2 3" xfId="6607"/>
    <cellStyle name="20% - Accent2 5 2 2 3 2" xfId="6608"/>
    <cellStyle name="20% - Accent2 5 2 2 3 2 2" xfId="6609"/>
    <cellStyle name="20% - Accent2 5 2 2 3 3" xfId="6610"/>
    <cellStyle name="20% - Accent2 5 2 2 4" xfId="6611"/>
    <cellStyle name="20% - Accent2 5 2 2 4 2" xfId="6612"/>
    <cellStyle name="20% - Accent2 5 2 2 5" xfId="6613"/>
    <cellStyle name="20% - Accent2 5 2 3" xfId="6614"/>
    <cellStyle name="20% - Accent2 5 2 3 2" xfId="6615"/>
    <cellStyle name="20% - Accent2 5 2 3 2 2" xfId="6616"/>
    <cellStyle name="20% - Accent2 5 2 3 2 2 2" xfId="6617"/>
    <cellStyle name="20% - Accent2 5 2 3 2 2 2 2" xfId="6618"/>
    <cellStyle name="20% - Accent2 5 2 3 2 2 3" xfId="6619"/>
    <cellStyle name="20% - Accent2 5 2 3 2 3" xfId="6620"/>
    <cellStyle name="20% - Accent2 5 2 3 2 3 2" xfId="6621"/>
    <cellStyle name="20% - Accent2 5 2 3 2 4" xfId="6622"/>
    <cellStyle name="20% - Accent2 5 2 3 3" xfId="6623"/>
    <cellStyle name="20% - Accent2 5 2 3 3 2" xfId="6624"/>
    <cellStyle name="20% - Accent2 5 2 3 3 2 2" xfId="6625"/>
    <cellStyle name="20% - Accent2 5 2 3 3 3" xfId="6626"/>
    <cellStyle name="20% - Accent2 5 2 3 4" xfId="6627"/>
    <cellStyle name="20% - Accent2 5 2 3 4 2" xfId="6628"/>
    <cellStyle name="20% - Accent2 5 2 3 5" xfId="6629"/>
    <cellStyle name="20% - Accent2 5 2 4" xfId="6630"/>
    <cellStyle name="20% - Accent2 5 2 4 2" xfId="6631"/>
    <cellStyle name="20% - Accent2 5 2 4 2 2" xfId="6632"/>
    <cellStyle name="20% - Accent2 5 2 4 2 2 2" xfId="6633"/>
    <cellStyle name="20% - Accent2 5 2 4 2 2 2 2" xfId="6634"/>
    <cellStyle name="20% - Accent2 5 2 4 2 2 3" xfId="6635"/>
    <cellStyle name="20% - Accent2 5 2 4 2 3" xfId="6636"/>
    <cellStyle name="20% - Accent2 5 2 4 2 3 2" xfId="6637"/>
    <cellStyle name="20% - Accent2 5 2 4 2 4" xfId="6638"/>
    <cellStyle name="20% - Accent2 5 2 4 3" xfId="6639"/>
    <cellStyle name="20% - Accent2 5 2 4 3 2" xfId="6640"/>
    <cellStyle name="20% - Accent2 5 2 4 3 2 2" xfId="6641"/>
    <cellStyle name="20% - Accent2 5 2 4 3 3" xfId="6642"/>
    <cellStyle name="20% - Accent2 5 2 4 4" xfId="6643"/>
    <cellStyle name="20% - Accent2 5 2 4 4 2" xfId="6644"/>
    <cellStyle name="20% - Accent2 5 2 4 5" xfId="6645"/>
    <cellStyle name="20% - Accent2 5 2 5" xfId="6646"/>
    <cellStyle name="20% - Accent2 5 2 5 2" xfId="6647"/>
    <cellStyle name="20% - Accent2 5 2 5 2 2" xfId="6648"/>
    <cellStyle name="20% - Accent2 5 2 5 2 2 2" xfId="6649"/>
    <cellStyle name="20% - Accent2 5 2 5 2 2 2 2" xfId="6650"/>
    <cellStyle name="20% - Accent2 5 2 5 2 2 3" xfId="6651"/>
    <cellStyle name="20% - Accent2 5 2 5 2 3" xfId="6652"/>
    <cellStyle name="20% - Accent2 5 2 5 2 3 2" xfId="6653"/>
    <cellStyle name="20% - Accent2 5 2 5 2 4" xfId="6654"/>
    <cellStyle name="20% - Accent2 5 2 5 3" xfId="6655"/>
    <cellStyle name="20% - Accent2 5 2 5 3 2" xfId="6656"/>
    <cellStyle name="20% - Accent2 5 2 5 3 2 2" xfId="6657"/>
    <cellStyle name="20% - Accent2 5 2 5 3 3" xfId="6658"/>
    <cellStyle name="20% - Accent2 5 2 5 4" xfId="6659"/>
    <cellStyle name="20% - Accent2 5 2 5 4 2" xfId="6660"/>
    <cellStyle name="20% - Accent2 5 2 5 5" xfId="6661"/>
    <cellStyle name="20% - Accent2 5 2 6" xfId="6662"/>
    <cellStyle name="20% - Accent2 5 2 6 2" xfId="6663"/>
    <cellStyle name="20% - Accent2 5 2 6 2 2" xfId="6664"/>
    <cellStyle name="20% - Accent2 5 2 6 2 2 2" xfId="6665"/>
    <cellStyle name="20% - Accent2 5 2 6 2 2 2 2" xfId="6666"/>
    <cellStyle name="20% - Accent2 5 2 6 2 2 3" xfId="6667"/>
    <cellStyle name="20% - Accent2 5 2 6 2 3" xfId="6668"/>
    <cellStyle name="20% - Accent2 5 2 6 2 3 2" xfId="6669"/>
    <cellStyle name="20% - Accent2 5 2 6 2 4" xfId="6670"/>
    <cellStyle name="20% - Accent2 5 2 6 3" xfId="6671"/>
    <cellStyle name="20% - Accent2 5 2 6 3 2" xfId="6672"/>
    <cellStyle name="20% - Accent2 5 2 6 3 2 2" xfId="6673"/>
    <cellStyle name="20% - Accent2 5 2 6 3 3" xfId="6674"/>
    <cellStyle name="20% - Accent2 5 2 6 4" xfId="6675"/>
    <cellStyle name="20% - Accent2 5 2 6 4 2" xfId="6676"/>
    <cellStyle name="20% - Accent2 5 2 6 5" xfId="6677"/>
    <cellStyle name="20% - Accent2 5 2 7" xfId="6678"/>
    <cellStyle name="20% - Accent2 5 2 7 2" xfId="6679"/>
    <cellStyle name="20% - Accent2 5 2 7 2 2" xfId="6680"/>
    <cellStyle name="20% - Accent2 5 2 7 2 2 2" xfId="6681"/>
    <cellStyle name="20% - Accent2 5 2 7 2 3" xfId="6682"/>
    <cellStyle name="20% - Accent2 5 2 7 3" xfId="6683"/>
    <cellStyle name="20% - Accent2 5 2 7 3 2" xfId="6684"/>
    <cellStyle name="20% - Accent2 5 2 7 4" xfId="6685"/>
    <cellStyle name="20% - Accent2 5 2 8" xfId="6686"/>
    <cellStyle name="20% - Accent2 5 2 8 2" xfId="6687"/>
    <cellStyle name="20% - Accent2 5 2 8 2 2" xfId="6688"/>
    <cellStyle name="20% - Accent2 5 2 8 3" xfId="6689"/>
    <cellStyle name="20% - Accent2 5 2 9" xfId="6690"/>
    <cellStyle name="20% - Accent2 5 2 9 2" xfId="6691"/>
    <cellStyle name="20% - Accent2 5 3" xfId="6692"/>
    <cellStyle name="20% - Accent2 5 3 2" xfId="6693"/>
    <cellStyle name="20% - Accent2 5 3 2 2" xfId="6694"/>
    <cellStyle name="20% - Accent2 5 3 2 2 2" xfId="6695"/>
    <cellStyle name="20% - Accent2 5 3 2 2 2 2" xfId="6696"/>
    <cellStyle name="20% - Accent2 5 3 2 2 3" xfId="6697"/>
    <cellStyle name="20% - Accent2 5 3 2 3" xfId="6698"/>
    <cellStyle name="20% - Accent2 5 3 2 3 2" xfId="6699"/>
    <cellStyle name="20% - Accent2 5 3 2 4" xfId="6700"/>
    <cellStyle name="20% - Accent2 5 3 3" xfId="6701"/>
    <cellStyle name="20% - Accent2 5 3 3 2" xfId="6702"/>
    <cellStyle name="20% - Accent2 5 3 3 2 2" xfId="6703"/>
    <cellStyle name="20% - Accent2 5 3 3 3" xfId="6704"/>
    <cellStyle name="20% - Accent2 5 3 4" xfId="6705"/>
    <cellStyle name="20% - Accent2 5 3 4 2" xfId="6706"/>
    <cellStyle name="20% - Accent2 5 3 5" xfId="6707"/>
    <cellStyle name="20% - Accent2 5 4" xfId="6708"/>
    <cellStyle name="20% - Accent2 5 4 2" xfId="6709"/>
    <cellStyle name="20% - Accent2 5 4 2 2" xfId="6710"/>
    <cellStyle name="20% - Accent2 5 4 2 2 2" xfId="6711"/>
    <cellStyle name="20% - Accent2 5 4 2 2 2 2" xfId="6712"/>
    <cellStyle name="20% - Accent2 5 4 2 2 3" xfId="6713"/>
    <cellStyle name="20% - Accent2 5 4 2 3" xfId="6714"/>
    <cellStyle name="20% - Accent2 5 4 2 3 2" xfId="6715"/>
    <cellStyle name="20% - Accent2 5 4 2 4" xfId="6716"/>
    <cellStyle name="20% - Accent2 5 4 3" xfId="6717"/>
    <cellStyle name="20% - Accent2 5 4 3 2" xfId="6718"/>
    <cellStyle name="20% - Accent2 5 4 3 2 2" xfId="6719"/>
    <cellStyle name="20% - Accent2 5 4 3 3" xfId="6720"/>
    <cellStyle name="20% - Accent2 5 4 4" xfId="6721"/>
    <cellStyle name="20% - Accent2 5 4 4 2" xfId="6722"/>
    <cellStyle name="20% - Accent2 5 4 5" xfId="6723"/>
    <cellStyle name="20% - Accent2 5 5" xfId="6724"/>
    <cellStyle name="20% - Accent2 5 5 2" xfId="6725"/>
    <cellStyle name="20% - Accent2 5 5 2 2" xfId="6726"/>
    <cellStyle name="20% - Accent2 5 5 2 2 2" xfId="6727"/>
    <cellStyle name="20% - Accent2 5 5 2 2 2 2" xfId="6728"/>
    <cellStyle name="20% - Accent2 5 5 2 2 3" xfId="6729"/>
    <cellStyle name="20% - Accent2 5 5 2 3" xfId="6730"/>
    <cellStyle name="20% - Accent2 5 5 2 3 2" xfId="6731"/>
    <cellStyle name="20% - Accent2 5 5 2 4" xfId="6732"/>
    <cellStyle name="20% - Accent2 5 5 3" xfId="6733"/>
    <cellStyle name="20% - Accent2 5 5 3 2" xfId="6734"/>
    <cellStyle name="20% - Accent2 5 5 3 2 2" xfId="6735"/>
    <cellStyle name="20% - Accent2 5 5 3 3" xfId="6736"/>
    <cellStyle name="20% - Accent2 5 5 4" xfId="6737"/>
    <cellStyle name="20% - Accent2 5 5 4 2" xfId="6738"/>
    <cellStyle name="20% - Accent2 5 5 5" xfId="6739"/>
    <cellStyle name="20% - Accent2 5 6" xfId="6740"/>
    <cellStyle name="20% - Accent2 5 6 2" xfId="6741"/>
    <cellStyle name="20% - Accent2 5 6 2 2" xfId="6742"/>
    <cellStyle name="20% - Accent2 5 6 2 2 2" xfId="6743"/>
    <cellStyle name="20% - Accent2 5 6 2 2 2 2" xfId="6744"/>
    <cellStyle name="20% - Accent2 5 6 2 2 3" xfId="6745"/>
    <cellStyle name="20% - Accent2 5 6 2 3" xfId="6746"/>
    <cellStyle name="20% - Accent2 5 6 2 3 2" xfId="6747"/>
    <cellStyle name="20% - Accent2 5 6 2 4" xfId="6748"/>
    <cellStyle name="20% - Accent2 5 6 3" xfId="6749"/>
    <cellStyle name="20% - Accent2 5 6 3 2" xfId="6750"/>
    <cellStyle name="20% - Accent2 5 6 3 2 2" xfId="6751"/>
    <cellStyle name="20% - Accent2 5 6 3 3" xfId="6752"/>
    <cellStyle name="20% - Accent2 5 6 4" xfId="6753"/>
    <cellStyle name="20% - Accent2 5 6 4 2" xfId="6754"/>
    <cellStyle name="20% - Accent2 5 6 5" xfId="6755"/>
    <cellStyle name="20% - Accent2 5 7" xfId="6756"/>
    <cellStyle name="20% - Accent2 5 7 2" xfId="6757"/>
    <cellStyle name="20% - Accent2 5 7 2 2" xfId="6758"/>
    <cellStyle name="20% - Accent2 5 7 2 2 2" xfId="6759"/>
    <cellStyle name="20% - Accent2 5 7 2 2 2 2" xfId="6760"/>
    <cellStyle name="20% - Accent2 5 7 2 2 3" xfId="6761"/>
    <cellStyle name="20% - Accent2 5 7 2 3" xfId="6762"/>
    <cellStyle name="20% - Accent2 5 7 2 3 2" xfId="6763"/>
    <cellStyle name="20% - Accent2 5 7 2 4" xfId="6764"/>
    <cellStyle name="20% - Accent2 5 7 3" xfId="6765"/>
    <cellStyle name="20% - Accent2 5 7 3 2" xfId="6766"/>
    <cellStyle name="20% - Accent2 5 7 3 2 2" xfId="6767"/>
    <cellStyle name="20% - Accent2 5 7 3 3" xfId="6768"/>
    <cellStyle name="20% - Accent2 5 7 4" xfId="6769"/>
    <cellStyle name="20% - Accent2 5 7 4 2" xfId="6770"/>
    <cellStyle name="20% - Accent2 5 7 5" xfId="6771"/>
    <cellStyle name="20% - Accent2 5 8" xfId="6772"/>
    <cellStyle name="20% - Accent2 5 8 2" xfId="6773"/>
    <cellStyle name="20% - Accent2 5 8 2 2" xfId="6774"/>
    <cellStyle name="20% - Accent2 5 8 2 2 2" xfId="6775"/>
    <cellStyle name="20% - Accent2 5 8 2 3" xfId="6776"/>
    <cellStyle name="20% - Accent2 5 8 3" xfId="6777"/>
    <cellStyle name="20% - Accent2 5 8 3 2" xfId="6778"/>
    <cellStyle name="20% - Accent2 5 8 4" xfId="6779"/>
    <cellStyle name="20% - Accent2 5 9" xfId="6780"/>
    <cellStyle name="20% - Accent2 5 9 2" xfId="6781"/>
    <cellStyle name="20% - Accent2 5 9 2 2" xfId="6782"/>
    <cellStyle name="20% - Accent2 5 9 3" xfId="6783"/>
    <cellStyle name="20% - Accent2 6" xfId="6784"/>
    <cellStyle name="20% - Accent2 6 10" xfId="6785"/>
    <cellStyle name="20% - Accent2 6 10 2" xfId="6786"/>
    <cellStyle name="20% - Accent2 6 11" xfId="6787"/>
    <cellStyle name="20% - Accent2 6 2" xfId="6788"/>
    <cellStyle name="20% - Accent2 6 2 10" xfId="6789"/>
    <cellStyle name="20% - Accent2 6 2 2" xfId="6790"/>
    <cellStyle name="20% - Accent2 6 2 2 2" xfId="6791"/>
    <cellStyle name="20% - Accent2 6 2 2 2 2" xfId="6792"/>
    <cellStyle name="20% - Accent2 6 2 2 2 2 2" xfId="6793"/>
    <cellStyle name="20% - Accent2 6 2 2 2 2 2 2" xfId="6794"/>
    <cellStyle name="20% - Accent2 6 2 2 2 2 3" xfId="6795"/>
    <cellStyle name="20% - Accent2 6 2 2 2 3" xfId="6796"/>
    <cellStyle name="20% - Accent2 6 2 2 2 3 2" xfId="6797"/>
    <cellStyle name="20% - Accent2 6 2 2 2 4" xfId="6798"/>
    <cellStyle name="20% - Accent2 6 2 2 3" xfId="6799"/>
    <cellStyle name="20% - Accent2 6 2 2 3 2" xfId="6800"/>
    <cellStyle name="20% - Accent2 6 2 2 3 2 2" xfId="6801"/>
    <cellStyle name="20% - Accent2 6 2 2 3 3" xfId="6802"/>
    <cellStyle name="20% - Accent2 6 2 2 4" xfId="6803"/>
    <cellStyle name="20% - Accent2 6 2 2 4 2" xfId="6804"/>
    <cellStyle name="20% - Accent2 6 2 2 5" xfId="6805"/>
    <cellStyle name="20% - Accent2 6 2 3" xfId="6806"/>
    <cellStyle name="20% - Accent2 6 2 3 2" xfId="6807"/>
    <cellStyle name="20% - Accent2 6 2 3 2 2" xfId="6808"/>
    <cellStyle name="20% - Accent2 6 2 3 2 2 2" xfId="6809"/>
    <cellStyle name="20% - Accent2 6 2 3 2 2 2 2" xfId="6810"/>
    <cellStyle name="20% - Accent2 6 2 3 2 2 3" xfId="6811"/>
    <cellStyle name="20% - Accent2 6 2 3 2 3" xfId="6812"/>
    <cellStyle name="20% - Accent2 6 2 3 2 3 2" xfId="6813"/>
    <cellStyle name="20% - Accent2 6 2 3 2 4" xfId="6814"/>
    <cellStyle name="20% - Accent2 6 2 3 3" xfId="6815"/>
    <cellStyle name="20% - Accent2 6 2 3 3 2" xfId="6816"/>
    <cellStyle name="20% - Accent2 6 2 3 3 2 2" xfId="6817"/>
    <cellStyle name="20% - Accent2 6 2 3 3 3" xfId="6818"/>
    <cellStyle name="20% - Accent2 6 2 3 4" xfId="6819"/>
    <cellStyle name="20% - Accent2 6 2 3 4 2" xfId="6820"/>
    <cellStyle name="20% - Accent2 6 2 3 5" xfId="6821"/>
    <cellStyle name="20% - Accent2 6 2 4" xfId="6822"/>
    <cellStyle name="20% - Accent2 6 2 4 2" xfId="6823"/>
    <cellStyle name="20% - Accent2 6 2 4 2 2" xfId="6824"/>
    <cellStyle name="20% - Accent2 6 2 4 2 2 2" xfId="6825"/>
    <cellStyle name="20% - Accent2 6 2 4 2 2 2 2" xfId="6826"/>
    <cellStyle name="20% - Accent2 6 2 4 2 2 3" xfId="6827"/>
    <cellStyle name="20% - Accent2 6 2 4 2 3" xfId="6828"/>
    <cellStyle name="20% - Accent2 6 2 4 2 3 2" xfId="6829"/>
    <cellStyle name="20% - Accent2 6 2 4 2 4" xfId="6830"/>
    <cellStyle name="20% - Accent2 6 2 4 3" xfId="6831"/>
    <cellStyle name="20% - Accent2 6 2 4 3 2" xfId="6832"/>
    <cellStyle name="20% - Accent2 6 2 4 3 2 2" xfId="6833"/>
    <cellStyle name="20% - Accent2 6 2 4 3 3" xfId="6834"/>
    <cellStyle name="20% - Accent2 6 2 4 4" xfId="6835"/>
    <cellStyle name="20% - Accent2 6 2 4 4 2" xfId="6836"/>
    <cellStyle name="20% - Accent2 6 2 4 5" xfId="6837"/>
    <cellStyle name="20% - Accent2 6 2 5" xfId="6838"/>
    <cellStyle name="20% - Accent2 6 2 5 2" xfId="6839"/>
    <cellStyle name="20% - Accent2 6 2 5 2 2" xfId="6840"/>
    <cellStyle name="20% - Accent2 6 2 5 2 2 2" xfId="6841"/>
    <cellStyle name="20% - Accent2 6 2 5 2 2 2 2" xfId="6842"/>
    <cellStyle name="20% - Accent2 6 2 5 2 2 3" xfId="6843"/>
    <cellStyle name="20% - Accent2 6 2 5 2 3" xfId="6844"/>
    <cellStyle name="20% - Accent2 6 2 5 2 3 2" xfId="6845"/>
    <cellStyle name="20% - Accent2 6 2 5 2 4" xfId="6846"/>
    <cellStyle name="20% - Accent2 6 2 5 3" xfId="6847"/>
    <cellStyle name="20% - Accent2 6 2 5 3 2" xfId="6848"/>
    <cellStyle name="20% - Accent2 6 2 5 3 2 2" xfId="6849"/>
    <cellStyle name="20% - Accent2 6 2 5 3 3" xfId="6850"/>
    <cellStyle name="20% - Accent2 6 2 5 4" xfId="6851"/>
    <cellStyle name="20% - Accent2 6 2 5 4 2" xfId="6852"/>
    <cellStyle name="20% - Accent2 6 2 5 5" xfId="6853"/>
    <cellStyle name="20% - Accent2 6 2 6" xfId="6854"/>
    <cellStyle name="20% - Accent2 6 2 6 2" xfId="6855"/>
    <cellStyle name="20% - Accent2 6 2 6 2 2" xfId="6856"/>
    <cellStyle name="20% - Accent2 6 2 6 2 2 2" xfId="6857"/>
    <cellStyle name="20% - Accent2 6 2 6 2 2 2 2" xfId="6858"/>
    <cellStyle name="20% - Accent2 6 2 6 2 2 3" xfId="6859"/>
    <cellStyle name="20% - Accent2 6 2 6 2 3" xfId="6860"/>
    <cellStyle name="20% - Accent2 6 2 6 2 3 2" xfId="6861"/>
    <cellStyle name="20% - Accent2 6 2 6 2 4" xfId="6862"/>
    <cellStyle name="20% - Accent2 6 2 6 3" xfId="6863"/>
    <cellStyle name="20% - Accent2 6 2 6 3 2" xfId="6864"/>
    <cellStyle name="20% - Accent2 6 2 6 3 2 2" xfId="6865"/>
    <cellStyle name="20% - Accent2 6 2 6 3 3" xfId="6866"/>
    <cellStyle name="20% - Accent2 6 2 6 4" xfId="6867"/>
    <cellStyle name="20% - Accent2 6 2 6 4 2" xfId="6868"/>
    <cellStyle name="20% - Accent2 6 2 6 5" xfId="6869"/>
    <cellStyle name="20% - Accent2 6 2 7" xfId="6870"/>
    <cellStyle name="20% - Accent2 6 2 7 2" xfId="6871"/>
    <cellStyle name="20% - Accent2 6 2 7 2 2" xfId="6872"/>
    <cellStyle name="20% - Accent2 6 2 7 2 2 2" xfId="6873"/>
    <cellStyle name="20% - Accent2 6 2 7 2 3" xfId="6874"/>
    <cellStyle name="20% - Accent2 6 2 7 3" xfId="6875"/>
    <cellStyle name="20% - Accent2 6 2 7 3 2" xfId="6876"/>
    <cellStyle name="20% - Accent2 6 2 7 4" xfId="6877"/>
    <cellStyle name="20% - Accent2 6 2 8" xfId="6878"/>
    <cellStyle name="20% - Accent2 6 2 8 2" xfId="6879"/>
    <cellStyle name="20% - Accent2 6 2 8 2 2" xfId="6880"/>
    <cellStyle name="20% - Accent2 6 2 8 3" xfId="6881"/>
    <cellStyle name="20% - Accent2 6 2 9" xfId="6882"/>
    <cellStyle name="20% - Accent2 6 2 9 2" xfId="6883"/>
    <cellStyle name="20% - Accent2 6 3" xfId="6884"/>
    <cellStyle name="20% - Accent2 6 3 2" xfId="6885"/>
    <cellStyle name="20% - Accent2 6 3 2 2" xfId="6886"/>
    <cellStyle name="20% - Accent2 6 3 2 2 2" xfId="6887"/>
    <cellStyle name="20% - Accent2 6 3 2 2 2 2" xfId="6888"/>
    <cellStyle name="20% - Accent2 6 3 2 2 3" xfId="6889"/>
    <cellStyle name="20% - Accent2 6 3 2 3" xfId="6890"/>
    <cellStyle name="20% - Accent2 6 3 2 3 2" xfId="6891"/>
    <cellStyle name="20% - Accent2 6 3 2 4" xfId="6892"/>
    <cellStyle name="20% - Accent2 6 3 3" xfId="6893"/>
    <cellStyle name="20% - Accent2 6 3 3 2" xfId="6894"/>
    <cellStyle name="20% - Accent2 6 3 3 2 2" xfId="6895"/>
    <cellStyle name="20% - Accent2 6 3 3 3" xfId="6896"/>
    <cellStyle name="20% - Accent2 6 3 4" xfId="6897"/>
    <cellStyle name="20% - Accent2 6 3 4 2" xfId="6898"/>
    <cellStyle name="20% - Accent2 6 3 5" xfId="6899"/>
    <cellStyle name="20% - Accent2 6 4" xfId="6900"/>
    <cellStyle name="20% - Accent2 6 4 2" xfId="6901"/>
    <cellStyle name="20% - Accent2 6 4 2 2" xfId="6902"/>
    <cellStyle name="20% - Accent2 6 4 2 2 2" xfId="6903"/>
    <cellStyle name="20% - Accent2 6 4 2 2 2 2" xfId="6904"/>
    <cellStyle name="20% - Accent2 6 4 2 2 3" xfId="6905"/>
    <cellStyle name="20% - Accent2 6 4 2 3" xfId="6906"/>
    <cellStyle name="20% - Accent2 6 4 2 3 2" xfId="6907"/>
    <cellStyle name="20% - Accent2 6 4 2 4" xfId="6908"/>
    <cellStyle name="20% - Accent2 6 4 3" xfId="6909"/>
    <cellStyle name="20% - Accent2 6 4 3 2" xfId="6910"/>
    <cellStyle name="20% - Accent2 6 4 3 2 2" xfId="6911"/>
    <cellStyle name="20% - Accent2 6 4 3 3" xfId="6912"/>
    <cellStyle name="20% - Accent2 6 4 4" xfId="6913"/>
    <cellStyle name="20% - Accent2 6 4 4 2" xfId="6914"/>
    <cellStyle name="20% - Accent2 6 4 5" xfId="6915"/>
    <cellStyle name="20% - Accent2 6 5" xfId="6916"/>
    <cellStyle name="20% - Accent2 6 5 2" xfId="6917"/>
    <cellStyle name="20% - Accent2 6 5 2 2" xfId="6918"/>
    <cellStyle name="20% - Accent2 6 5 2 2 2" xfId="6919"/>
    <cellStyle name="20% - Accent2 6 5 2 2 2 2" xfId="6920"/>
    <cellStyle name="20% - Accent2 6 5 2 2 3" xfId="6921"/>
    <cellStyle name="20% - Accent2 6 5 2 3" xfId="6922"/>
    <cellStyle name="20% - Accent2 6 5 2 3 2" xfId="6923"/>
    <cellStyle name="20% - Accent2 6 5 2 4" xfId="6924"/>
    <cellStyle name="20% - Accent2 6 5 3" xfId="6925"/>
    <cellStyle name="20% - Accent2 6 5 3 2" xfId="6926"/>
    <cellStyle name="20% - Accent2 6 5 3 2 2" xfId="6927"/>
    <cellStyle name="20% - Accent2 6 5 3 3" xfId="6928"/>
    <cellStyle name="20% - Accent2 6 5 4" xfId="6929"/>
    <cellStyle name="20% - Accent2 6 5 4 2" xfId="6930"/>
    <cellStyle name="20% - Accent2 6 5 5" xfId="6931"/>
    <cellStyle name="20% - Accent2 6 6" xfId="6932"/>
    <cellStyle name="20% - Accent2 6 6 2" xfId="6933"/>
    <cellStyle name="20% - Accent2 6 6 2 2" xfId="6934"/>
    <cellStyle name="20% - Accent2 6 6 2 2 2" xfId="6935"/>
    <cellStyle name="20% - Accent2 6 6 2 2 2 2" xfId="6936"/>
    <cellStyle name="20% - Accent2 6 6 2 2 3" xfId="6937"/>
    <cellStyle name="20% - Accent2 6 6 2 3" xfId="6938"/>
    <cellStyle name="20% - Accent2 6 6 2 3 2" xfId="6939"/>
    <cellStyle name="20% - Accent2 6 6 2 4" xfId="6940"/>
    <cellStyle name="20% - Accent2 6 6 3" xfId="6941"/>
    <cellStyle name="20% - Accent2 6 6 3 2" xfId="6942"/>
    <cellStyle name="20% - Accent2 6 6 3 2 2" xfId="6943"/>
    <cellStyle name="20% - Accent2 6 6 3 3" xfId="6944"/>
    <cellStyle name="20% - Accent2 6 6 4" xfId="6945"/>
    <cellStyle name="20% - Accent2 6 6 4 2" xfId="6946"/>
    <cellStyle name="20% - Accent2 6 6 5" xfId="6947"/>
    <cellStyle name="20% - Accent2 6 7" xfId="6948"/>
    <cellStyle name="20% - Accent2 6 7 2" xfId="6949"/>
    <cellStyle name="20% - Accent2 6 7 2 2" xfId="6950"/>
    <cellStyle name="20% - Accent2 6 7 2 2 2" xfId="6951"/>
    <cellStyle name="20% - Accent2 6 7 2 2 2 2" xfId="6952"/>
    <cellStyle name="20% - Accent2 6 7 2 2 3" xfId="6953"/>
    <cellStyle name="20% - Accent2 6 7 2 3" xfId="6954"/>
    <cellStyle name="20% - Accent2 6 7 2 3 2" xfId="6955"/>
    <cellStyle name="20% - Accent2 6 7 2 4" xfId="6956"/>
    <cellStyle name="20% - Accent2 6 7 3" xfId="6957"/>
    <cellStyle name="20% - Accent2 6 7 3 2" xfId="6958"/>
    <cellStyle name="20% - Accent2 6 7 3 2 2" xfId="6959"/>
    <cellStyle name="20% - Accent2 6 7 3 3" xfId="6960"/>
    <cellStyle name="20% - Accent2 6 7 4" xfId="6961"/>
    <cellStyle name="20% - Accent2 6 7 4 2" xfId="6962"/>
    <cellStyle name="20% - Accent2 6 7 5" xfId="6963"/>
    <cellStyle name="20% - Accent2 6 8" xfId="6964"/>
    <cellStyle name="20% - Accent2 6 8 2" xfId="6965"/>
    <cellStyle name="20% - Accent2 6 8 2 2" xfId="6966"/>
    <cellStyle name="20% - Accent2 6 8 2 2 2" xfId="6967"/>
    <cellStyle name="20% - Accent2 6 8 2 3" xfId="6968"/>
    <cellStyle name="20% - Accent2 6 8 3" xfId="6969"/>
    <cellStyle name="20% - Accent2 6 8 3 2" xfId="6970"/>
    <cellStyle name="20% - Accent2 6 8 4" xfId="6971"/>
    <cellStyle name="20% - Accent2 6 9" xfId="6972"/>
    <cellStyle name="20% - Accent2 6 9 2" xfId="6973"/>
    <cellStyle name="20% - Accent2 6 9 2 2" xfId="6974"/>
    <cellStyle name="20% - Accent2 6 9 3" xfId="6975"/>
    <cellStyle name="20% - Accent2 7" xfId="6976"/>
    <cellStyle name="20% - Accent2 7 10" xfId="6977"/>
    <cellStyle name="20% - Accent2 7 10 2" xfId="6978"/>
    <cellStyle name="20% - Accent2 7 11" xfId="6979"/>
    <cellStyle name="20% - Accent2 7 2" xfId="6980"/>
    <cellStyle name="20% - Accent2 7 2 10" xfId="6981"/>
    <cellStyle name="20% - Accent2 7 2 2" xfId="6982"/>
    <cellStyle name="20% - Accent2 7 2 2 2" xfId="6983"/>
    <cellStyle name="20% - Accent2 7 2 2 2 2" xfId="6984"/>
    <cellStyle name="20% - Accent2 7 2 2 2 2 2" xfId="6985"/>
    <cellStyle name="20% - Accent2 7 2 2 2 2 2 2" xfId="6986"/>
    <cellStyle name="20% - Accent2 7 2 2 2 2 3" xfId="6987"/>
    <cellStyle name="20% - Accent2 7 2 2 2 3" xfId="6988"/>
    <cellStyle name="20% - Accent2 7 2 2 2 3 2" xfId="6989"/>
    <cellStyle name="20% - Accent2 7 2 2 2 4" xfId="6990"/>
    <cellStyle name="20% - Accent2 7 2 2 3" xfId="6991"/>
    <cellStyle name="20% - Accent2 7 2 2 3 2" xfId="6992"/>
    <cellStyle name="20% - Accent2 7 2 2 3 2 2" xfId="6993"/>
    <cellStyle name="20% - Accent2 7 2 2 3 3" xfId="6994"/>
    <cellStyle name="20% - Accent2 7 2 2 4" xfId="6995"/>
    <cellStyle name="20% - Accent2 7 2 2 4 2" xfId="6996"/>
    <cellStyle name="20% - Accent2 7 2 2 5" xfId="6997"/>
    <cellStyle name="20% - Accent2 7 2 3" xfId="6998"/>
    <cellStyle name="20% - Accent2 7 2 3 2" xfId="6999"/>
    <cellStyle name="20% - Accent2 7 2 3 2 2" xfId="7000"/>
    <cellStyle name="20% - Accent2 7 2 3 2 2 2" xfId="7001"/>
    <cellStyle name="20% - Accent2 7 2 3 2 2 2 2" xfId="7002"/>
    <cellStyle name="20% - Accent2 7 2 3 2 2 3" xfId="7003"/>
    <cellStyle name="20% - Accent2 7 2 3 2 3" xfId="7004"/>
    <cellStyle name="20% - Accent2 7 2 3 2 3 2" xfId="7005"/>
    <cellStyle name="20% - Accent2 7 2 3 2 4" xfId="7006"/>
    <cellStyle name="20% - Accent2 7 2 3 3" xfId="7007"/>
    <cellStyle name="20% - Accent2 7 2 3 3 2" xfId="7008"/>
    <cellStyle name="20% - Accent2 7 2 3 3 2 2" xfId="7009"/>
    <cellStyle name="20% - Accent2 7 2 3 3 3" xfId="7010"/>
    <cellStyle name="20% - Accent2 7 2 3 4" xfId="7011"/>
    <cellStyle name="20% - Accent2 7 2 3 4 2" xfId="7012"/>
    <cellStyle name="20% - Accent2 7 2 3 5" xfId="7013"/>
    <cellStyle name="20% - Accent2 7 2 4" xfId="7014"/>
    <cellStyle name="20% - Accent2 7 2 4 2" xfId="7015"/>
    <cellStyle name="20% - Accent2 7 2 4 2 2" xfId="7016"/>
    <cellStyle name="20% - Accent2 7 2 4 2 2 2" xfId="7017"/>
    <cellStyle name="20% - Accent2 7 2 4 2 2 2 2" xfId="7018"/>
    <cellStyle name="20% - Accent2 7 2 4 2 2 3" xfId="7019"/>
    <cellStyle name="20% - Accent2 7 2 4 2 3" xfId="7020"/>
    <cellStyle name="20% - Accent2 7 2 4 2 3 2" xfId="7021"/>
    <cellStyle name="20% - Accent2 7 2 4 2 4" xfId="7022"/>
    <cellStyle name="20% - Accent2 7 2 4 3" xfId="7023"/>
    <cellStyle name="20% - Accent2 7 2 4 3 2" xfId="7024"/>
    <cellStyle name="20% - Accent2 7 2 4 3 2 2" xfId="7025"/>
    <cellStyle name="20% - Accent2 7 2 4 3 3" xfId="7026"/>
    <cellStyle name="20% - Accent2 7 2 4 4" xfId="7027"/>
    <cellStyle name="20% - Accent2 7 2 4 4 2" xfId="7028"/>
    <cellStyle name="20% - Accent2 7 2 4 5" xfId="7029"/>
    <cellStyle name="20% - Accent2 7 2 5" xfId="7030"/>
    <cellStyle name="20% - Accent2 7 2 5 2" xfId="7031"/>
    <cellStyle name="20% - Accent2 7 2 5 2 2" xfId="7032"/>
    <cellStyle name="20% - Accent2 7 2 5 2 2 2" xfId="7033"/>
    <cellStyle name="20% - Accent2 7 2 5 2 2 2 2" xfId="7034"/>
    <cellStyle name="20% - Accent2 7 2 5 2 2 3" xfId="7035"/>
    <cellStyle name="20% - Accent2 7 2 5 2 3" xfId="7036"/>
    <cellStyle name="20% - Accent2 7 2 5 2 3 2" xfId="7037"/>
    <cellStyle name="20% - Accent2 7 2 5 2 4" xfId="7038"/>
    <cellStyle name="20% - Accent2 7 2 5 3" xfId="7039"/>
    <cellStyle name="20% - Accent2 7 2 5 3 2" xfId="7040"/>
    <cellStyle name="20% - Accent2 7 2 5 3 2 2" xfId="7041"/>
    <cellStyle name="20% - Accent2 7 2 5 3 3" xfId="7042"/>
    <cellStyle name="20% - Accent2 7 2 5 4" xfId="7043"/>
    <cellStyle name="20% - Accent2 7 2 5 4 2" xfId="7044"/>
    <cellStyle name="20% - Accent2 7 2 5 5" xfId="7045"/>
    <cellStyle name="20% - Accent2 7 2 6" xfId="7046"/>
    <cellStyle name="20% - Accent2 7 2 6 2" xfId="7047"/>
    <cellStyle name="20% - Accent2 7 2 6 2 2" xfId="7048"/>
    <cellStyle name="20% - Accent2 7 2 6 2 2 2" xfId="7049"/>
    <cellStyle name="20% - Accent2 7 2 6 2 2 2 2" xfId="7050"/>
    <cellStyle name="20% - Accent2 7 2 6 2 2 3" xfId="7051"/>
    <cellStyle name="20% - Accent2 7 2 6 2 3" xfId="7052"/>
    <cellStyle name="20% - Accent2 7 2 6 2 3 2" xfId="7053"/>
    <cellStyle name="20% - Accent2 7 2 6 2 4" xfId="7054"/>
    <cellStyle name="20% - Accent2 7 2 6 3" xfId="7055"/>
    <cellStyle name="20% - Accent2 7 2 6 3 2" xfId="7056"/>
    <cellStyle name="20% - Accent2 7 2 6 3 2 2" xfId="7057"/>
    <cellStyle name="20% - Accent2 7 2 6 3 3" xfId="7058"/>
    <cellStyle name="20% - Accent2 7 2 6 4" xfId="7059"/>
    <cellStyle name="20% - Accent2 7 2 6 4 2" xfId="7060"/>
    <cellStyle name="20% - Accent2 7 2 6 5" xfId="7061"/>
    <cellStyle name="20% - Accent2 7 2 7" xfId="7062"/>
    <cellStyle name="20% - Accent2 7 2 7 2" xfId="7063"/>
    <cellStyle name="20% - Accent2 7 2 7 2 2" xfId="7064"/>
    <cellStyle name="20% - Accent2 7 2 7 2 2 2" xfId="7065"/>
    <cellStyle name="20% - Accent2 7 2 7 2 3" xfId="7066"/>
    <cellStyle name="20% - Accent2 7 2 7 3" xfId="7067"/>
    <cellStyle name="20% - Accent2 7 2 7 3 2" xfId="7068"/>
    <cellStyle name="20% - Accent2 7 2 7 4" xfId="7069"/>
    <cellStyle name="20% - Accent2 7 2 8" xfId="7070"/>
    <cellStyle name="20% - Accent2 7 2 8 2" xfId="7071"/>
    <cellStyle name="20% - Accent2 7 2 8 2 2" xfId="7072"/>
    <cellStyle name="20% - Accent2 7 2 8 3" xfId="7073"/>
    <cellStyle name="20% - Accent2 7 2 9" xfId="7074"/>
    <cellStyle name="20% - Accent2 7 2 9 2" xfId="7075"/>
    <cellStyle name="20% - Accent2 7 3" xfId="7076"/>
    <cellStyle name="20% - Accent2 7 3 2" xfId="7077"/>
    <cellStyle name="20% - Accent2 7 3 2 2" xfId="7078"/>
    <cellStyle name="20% - Accent2 7 3 2 2 2" xfId="7079"/>
    <cellStyle name="20% - Accent2 7 3 2 2 2 2" xfId="7080"/>
    <cellStyle name="20% - Accent2 7 3 2 2 3" xfId="7081"/>
    <cellStyle name="20% - Accent2 7 3 2 3" xfId="7082"/>
    <cellStyle name="20% - Accent2 7 3 2 3 2" xfId="7083"/>
    <cellStyle name="20% - Accent2 7 3 2 4" xfId="7084"/>
    <cellStyle name="20% - Accent2 7 3 3" xfId="7085"/>
    <cellStyle name="20% - Accent2 7 3 3 2" xfId="7086"/>
    <cellStyle name="20% - Accent2 7 3 3 2 2" xfId="7087"/>
    <cellStyle name="20% - Accent2 7 3 3 3" xfId="7088"/>
    <cellStyle name="20% - Accent2 7 3 4" xfId="7089"/>
    <cellStyle name="20% - Accent2 7 3 4 2" xfId="7090"/>
    <cellStyle name="20% - Accent2 7 3 5" xfId="7091"/>
    <cellStyle name="20% - Accent2 7 4" xfId="7092"/>
    <cellStyle name="20% - Accent2 7 4 2" xfId="7093"/>
    <cellStyle name="20% - Accent2 7 4 2 2" xfId="7094"/>
    <cellStyle name="20% - Accent2 7 4 2 2 2" xfId="7095"/>
    <cellStyle name="20% - Accent2 7 4 2 2 2 2" xfId="7096"/>
    <cellStyle name="20% - Accent2 7 4 2 2 3" xfId="7097"/>
    <cellStyle name="20% - Accent2 7 4 2 3" xfId="7098"/>
    <cellStyle name="20% - Accent2 7 4 2 3 2" xfId="7099"/>
    <cellStyle name="20% - Accent2 7 4 2 4" xfId="7100"/>
    <cellStyle name="20% - Accent2 7 4 3" xfId="7101"/>
    <cellStyle name="20% - Accent2 7 4 3 2" xfId="7102"/>
    <cellStyle name="20% - Accent2 7 4 3 2 2" xfId="7103"/>
    <cellStyle name="20% - Accent2 7 4 3 3" xfId="7104"/>
    <cellStyle name="20% - Accent2 7 4 4" xfId="7105"/>
    <cellStyle name="20% - Accent2 7 4 4 2" xfId="7106"/>
    <cellStyle name="20% - Accent2 7 4 5" xfId="7107"/>
    <cellStyle name="20% - Accent2 7 5" xfId="7108"/>
    <cellStyle name="20% - Accent2 7 5 2" xfId="7109"/>
    <cellStyle name="20% - Accent2 7 5 2 2" xfId="7110"/>
    <cellStyle name="20% - Accent2 7 5 2 2 2" xfId="7111"/>
    <cellStyle name="20% - Accent2 7 5 2 2 2 2" xfId="7112"/>
    <cellStyle name="20% - Accent2 7 5 2 2 3" xfId="7113"/>
    <cellStyle name="20% - Accent2 7 5 2 3" xfId="7114"/>
    <cellStyle name="20% - Accent2 7 5 2 3 2" xfId="7115"/>
    <cellStyle name="20% - Accent2 7 5 2 4" xfId="7116"/>
    <cellStyle name="20% - Accent2 7 5 3" xfId="7117"/>
    <cellStyle name="20% - Accent2 7 5 3 2" xfId="7118"/>
    <cellStyle name="20% - Accent2 7 5 3 2 2" xfId="7119"/>
    <cellStyle name="20% - Accent2 7 5 3 3" xfId="7120"/>
    <cellStyle name="20% - Accent2 7 5 4" xfId="7121"/>
    <cellStyle name="20% - Accent2 7 5 4 2" xfId="7122"/>
    <cellStyle name="20% - Accent2 7 5 5" xfId="7123"/>
    <cellStyle name="20% - Accent2 7 6" xfId="7124"/>
    <cellStyle name="20% - Accent2 7 6 2" xfId="7125"/>
    <cellStyle name="20% - Accent2 7 6 2 2" xfId="7126"/>
    <cellStyle name="20% - Accent2 7 6 2 2 2" xfId="7127"/>
    <cellStyle name="20% - Accent2 7 6 2 2 2 2" xfId="7128"/>
    <cellStyle name="20% - Accent2 7 6 2 2 3" xfId="7129"/>
    <cellStyle name="20% - Accent2 7 6 2 3" xfId="7130"/>
    <cellStyle name="20% - Accent2 7 6 2 3 2" xfId="7131"/>
    <cellStyle name="20% - Accent2 7 6 2 4" xfId="7132"/>
    <cellStyle name="20% - Accent2 7 6 3" xfId="7133"/>
    <cellStyle name="20% - Accent2 7 6 3 2" xfId="7134"/>
    <cellStyle name="20% - Accent2 7 6 3 2 2" xfId="7135"/>
    <cellStyle name="20% - Accent2 7 6 3 3" xfId="7136"/>
    <cellStyle name="20% - Accent2 7 6 4" xfId="7137"/>
    <cellStyle name="20% - Accent2 7 6 4 2" xfId="7138"/>
    <cellStyle name="20% - Accent2 7 6 5" xfId="7139"/>
    <cellStyle name="20% - Accent2 7 7" xfId="7140"/>
    <cellStyle name="20% - Accent2 7 7 2" xfId="7141"/>
    <cellStyle name="20% - Accent2 7 7 2 2" xfId="7142"/>
    <cellStyle name="20% - Accent2 7 7 2 2 2" xfId="7143"/>
    <cellStyle name="20% - Accent2 7 7 2 2 2 2" xfId="7144"/>
    <cellStyle name="20% - Accent2 7 7 2 2 3" xfId="7145"/>
    <cellStyle name="20% - Accent2 7 7 2 3" xfId="7146"/>
    <cellStyle name="20% - Accent2 7 7 2 3 2" xfId="7147"/>
    <cellStyle name="20% - Accent2 7 7 2 4" xfId="7148"/>
    <cellStyle name="20% - Accent2 7 7 3" xfId="7149"/>
    <cellStyle name="20% - Accent2 7 7 3 2" xfId="7150"/>
    <cellStyle name="20% - Accent2 7 7 3 2 2" xfId="7151"/>
    <cellStyle name="20% - Accent2 7 7 3 3" xfId="7152"/>
    <cellStyle name="20% - Accent2 7 7 4" xfId="7153"/>
    <cellStyle name="20% - Accent2 7 7 4 2" xfId="7154"/>
    <cellStyle name="20% - Accent2 7 7 5" xfId="7155"/>
    <cellStyle name="20% - Accent2 7 8" xfId="7156"/>
    <cellStyle name="20% - Accent2 7 8 2" xfId="7157"/>
    <cellStyle name="20% - Accent2 7 8 2 2" xfId="7158"/>
    <cellStyle name="20% - Accent2 7 8 2 2 2" xfId="7159"/>
    <cellStyle name="20% - Accent2 7 8 2 3" xfId="7160"/>
    <cellStyle name="20% - Accent2 7 8 3" xfId="7161"/>
    <cellStyle name="20% - Accent2 7 8 3 2" xfId="7162"/>
    <cellStyle name="20% - Accent2 7 8 4" xfId="7163"/>
    <cellStyle name="20% - Accent2 7 9" xfId="7164"/>
    <cellStyle name="20% - Accent2 7 9 2" xfId="7165"/>
    <cellStyle name="20% - Accent2 7 9 2 2" xfId="7166"/>
    <cellStyle name="20% - Accent2 7 9 3" xfId="7167"/>
    <cellStyle name="20% - Accent2 8" xfId="7168"/>
    <cellStyle name="20% - Accent2 8 10" xfId="7169"/>
    <cellStyle name="20% - Accent2 8 10 2" xfId="7170"/>
    <cellStyle name="20% - Accent2 8 11" xfId="7171"/>
    <cellStyle name="20% - Accent2 8 2" xfId="7172"/>
    <cellStyle name="20% - Accent2 8 2 10" xfId="7173"/>
    <cellStyle name="20% - Accent2 8 2 2" xfId="7174"/>
    <cellStyle name="20% - Accent2 8 2 2 2" xfId="7175"/>
    <cellStyle name="20% - Accent2 8 2 2 2 2" xfId="7176"/>
    <cellStyle name="20% - Accent2 8 2 2 2 2 2" xfId="7177"/>
    <cellStyle name="20% - Accent2 8 2 2 2 2 2 2" xfId="7178"/>
    <cellStyle name="20% - Accent2 8 2 2 2 2 3" xfId="7179"/>
    <cellStyle name="20% - Accent2 8 2 2 2 3" xfId="7180"/>
    <cellStyle name="20% - Accent2 8 2 2 2 3 2" xfId="7181"/>
    <cellStyle name="20% - Accent2 8 2 2 2 4" xfId="7182"/>
    <cellStyle name="20% - Accent2 8 2 2 3" xfId="7183"/>
    <cellStyle name="20% - Accent2 8 2 2 3 2" xfId="7184"/>
    <cellStyle name="20% - Accent2 8 2 2 3 2 2" xfId="7185"/>
    <cellStyle name="20% - Accent2 8 2 2 3 3" xfId="7186"/>
    <cellStyle name="20% - Accent2 8 2 2 4" xfId="7187"/>
    <cellStyle name="20% - Accent2 8 2 2 4 2" xfId="7188"/>
    <cellStyle name="20% - Accent2 8 2 2 5" xfId="7189"/>
    <cellStyle name="20% - Accent2 8 2 3" xfId="7190"/>
    <cellStyle name="20% - Accent2 8 2 3 2" xfId="7191"/>
    <cellStyle name="20% - Accent2 8 2 3 2 2" xfId="7192"/>
    <cellStyle name="20% - Accent2 8 2 3 2 2 2" xfId="7193"/>
    <cellStyle name="20% - Accent2 8 2 3 2 2 2 2" xfId="7194"/>
    <cellStyle name="20% - Accent2 8 2 3 2 2 3" xfId="7195"/>
    <cellStyle name="20% - Accent2 8 2 3 2 3" xfId="7196"/>
    <cellStyle name="20% - Accent2 8 2 3 2 3 2" xfId="7197"/>
    <cellStyle name="20% - Accent2 8 2 3 2 4" xfId="7198"/>
    <cellStyle name="20% - Accent2 8 2 3 3" xfId="7199"/>
    <cellStyle name="20% - Accent2 8 2 3 3 2" xfId="7200"/>
    <cellStyle name="20% - Accent2 8 2 3 3 2 2" xfId="7201"/>
    <cellStyle name="20% - Accent2 8 2 3 3 3" xfId="7202"/>
    <cellStyle name="20% - Accent2 8 2 3 4" xfId="7203"/>
    <cellStyle name="20% - Accent2 8 2 3 4 2" xfId="7204"/>
    <cellStyle name="20% - Accent2 8 2 3 5" xfId="7205"/>
    <cellStyle name="20% - Accent2 8 2 4" xfId="7206"/>
    <cellStyle name="20% - Accent2 8 2 4 2" xfId="7207"/>
    <cellStyle name="20% - Accent2 8 2 4 2 2" xfId="7208"/>
    <cellStyle name="20% - Accent2 8 2 4 2 2 2" xfId="7209"/>
    <cellStyle name="20% - Accent2 8 2 4 2 2 2 2" xfId="7210"/>
    <cellStyle name="20% - Accent2 8 2 4 2 2 3" xfId="7211"/>
    <cellStyle name="20% - Accent2 8 2 4 2 3" xfId="7212"/>
    <cellStyle name="20% - Accent2 8 2 4 2 3 2" xfId="7213"/>
    <cellStyle name="20% - Accent2 8 2 4 2 4" xfId="7214"/>
    <cellStyle name="20% - Accent2 8 2 4 3" xfId="7215"/>
    <cellStyle name="20% - Accent2 8 2 4 3 2" xfId="7216"/>
    <cellStyle name="20% - Accent2 8 2 4 3 2 2" xfId="7217"/>
    <cellStyle name="20% - Accent2 8 2 4 3 3" xfId="7218"/>
    <cellStyle name="20% - Accent2 8 2 4 4" xfId="7219"/>
    <cellStyle name="20% - Accent2 8 2 4 4 2" xfId="7220"/>
    <cellStyle name="20% - Accent2 8 2 4 5" xfId="7221"/>
    <cellStyle name="20% - Accent2 8 2 5" xfId="7222"/>
    <cellStyle name="20% - Accent2 8 2 5 2" xfId="7223"/>
    <cellStyle name="20% - Accent2 8 2 5 2 2" xfId="7224"/>
    <cellStyle name="20% - Accent2 8 2 5 2 2 2" xfId="7225"/>
    <cellStyle name="20% - Accent2 8 2 5 2 2 2 2" xfId="7226"/>
    <cellStyle name="20% - Accent2 8 2 5 2 2 3" xfId="7227"/>
    <cellStyle name="20% - Accent2 8 2 5 2 3" xfId="7228"/>
    <cellStyle name="20% - Accent2 8 2 5 2 3 2" xfId="7229"/>
    <cellStyle name="20% - Accent2 8 2 5 2 4" xfId="7230"/>
    <cellStyle name="20% - Accent2 8 2 5 3" xfId="7231"/>
    <cellStyle name="20% - Accent2 8 2 5 3 2" xfId="7232"/>
    <cellStyle name="20% - Accent2 8 2 5 3 2 2" xfId="7233"/>
    <cellStyle name="20% - Accent2 8 2 5 3 3" xfId="7234"/>
    <cellStyle name="20% - Accent2 8 2 5 4" xfId="7235"/>
    <cellStyle name="20% - Accent2 8 2 5 4 2" xfId="7236"/>
    <cellStyle name="20% - Accent2 8 2 5 5" xfId="7237"/>
    <cellStyle name="20% - Accent2 8 2 6" xfId="7238"/>
    <cellStyle name="20% - Accent2 8 2 6 2" xfId="7239"/>
    <cellStyle name="20% - Accent2 8 2 6 2 2" xfId="7240"/>
    <cellStyle name="20% - Accent2 8 2 6 2 2 2" xfId="7241"/>
    <cellStyle name="20% - Accent2 8 2 6 2 2 2 2" xfId="7242"/>
    <cellStyle name="20% - Accent2 8 2 6 2 2 3" xfId="7243"/>
    <cellStyle name="20% - Accent2 8 2 6 2 3" xfId="7244"/>
    <cellStyle name="20% - Accent2 8 2 6 2 3 2" xfId="7245"/>
    <cellStyle name="20% - Accent2 8 2 6 2 4" xfId="7246"/>
    <cellStyle name="20% - Accent2 8 2 6 3" xfId="7247"/>
    <cellStyle name="20% - Accent2 8 2 6 3 2" xfId="7248"/>
    <cellStyle name="20% - Accent2 8 2 6 3 2 2" xfId="7249"/>
    <cellStyle name="20% - Accent2 8 2 6 3 3" xfId="7250"/>
    <cellStyle name="20% - Accent2 8 2 6 4" xfId="7251"/>
    <cellStyle name="20% - Accent2 8 2 6 4 2" xfId="7252"/>
    <cellStyle name="20% - Accent2 8 2 6 5" xfId="7253"/>
    <cellStyle name="20% - Accent2 8 2 7" xfId="7254"/>
    <cellStyle name="20% - Accent2 8 2 7 2" xfId="7255"/>
    <cellStyle name="20% - Accent2 8 2 7 2 2" xfId="7256"/>
    <cellStyle name="20% - Accent2 8 2 7 2 2 2" xfId="7257"/>
    <cellStyle name="20% - Accent2 8 2 7 2 3" xfId="7258"/>
    <cellStyle name="20% - Accent2 8 2 7 3" xfId="7259"/>
    <cellStyle name="20% - Accent2 8 2 7 3 2" xfId="7260"/>
    <cellStyle name="20% - Accent2 8 2 7 4" xfId="7261"/>
    <cellStyle name="20% - Accent2 8 2 8" xfId="7262"/>
    <cellStyle name="20% - Accent2 8 2 8 2" xfId="7263"/>
    <cellStyle name="20% - Accent2 8 2 8 2 2" xfId="7264"/>
    <cellStyle name="20% - Accent2 8 2 8 3" xfId="7265"/>
    <cellStyle name="20% - Accent2 8 2 9" xfId="7266"/>
    <cellStyle name="20% - Accent2 8 2 9 2" xfId="7267"/>
    <cellStyle name="20% - Accent2 8 3" xfId="7268"/>
    <cellStyle name="20% - Accent2 8 3 2" xfId="7269"/>
    <cellStyle name="20% - Accent2 8 3 2 2" xfId="7270"/>
    <cellStyle name="20% - Accent2 8 3 2 2 2" xfId="7271"/>
    <cellStyle name="20% - Accent2 8 3 2 2 2 2" xfId="7272"/>
    <cellStyle name="20% - Accent2 8 3 2 2 3" xfId="7273"/>
    <cellStyle name="20% - Accent2 8 3 2 3" xfId="7274"/>
    <cellStyle name="20% - Accent2 8 3 2 3 2" xfId="7275"/>
    <cellStyle name="20% - Accent2 8 3 2 4" xfId="7276"/>
    <cellStyle name="20% - Accent2 8 3 3" xfId="7277"/>
    <cellStyle name="20% - Accent2 8 3 3 2" xfId="7278"/>
    <cellStyle name="20% - Accent2 8 3 3 2 2" xfId="7279"/>
    <cellStyle name="20% - Accent2 8 3 3 3" xfId="7280"/>
    <cellStyle name="20% - Accent2 8 3 4" xfId="7281"/>
    <cellStyle name="20% - Accent2 8 3 4 2" xfId="7282"/>
    <cellStyle name="20% - Accent2 8 3 5" xfId="7283"/>
    <cellStyle name="20% - Accent2 8 4" xfId="7284"/>
    <cellStyle name="20% - Accent2 8 4 2" xfId="7285"/>
    <cellStyle name="20% - Accent2 8 4 2 2" xfId="7286"/>
    <cellStyle name="20% - Accent2 8 4 2 2 2" xfId="7287"/>
    <cellStyle name="20% - Accent2 8 4 2 2 2 2" xfId="7288"/>
    <cellStyle name="20% - Accent2 8 4 2 2 3" xfId="7289"/>
    <cellStyle name="20% - Accent2 8 4 2 3" xfId="7290"/>
    <cellStyle name="20% - Accent2 8 4 2 3 2" xfId="7291"/>
    <cellStyle name="20% - Accent2 8 4 2 4" xfId="7292"/>
    <cellStyle name="20% - Accent2 8 4 3" xfId="7293"/>
    <cellStyle name="20% - Accent2 8 4 3 2" xfId="7294"/>
    <cellStyle name="20% - Accent2 8 4 3 2 2" xfId="7295"/>
    <cellStyle name="20% - Accent2 8 4 3 3" xfId="7296"/>
    <cellStyle name="20% - Accent2 8 4 4" xfId="7297"/>
    <cellStyle name="20% - Accent2 8 4 4 2" xfId="7298"/>
    <cellStyle name="20% - Accent2 8 4 5" xfId="7299"/>
    <cellStyle name="20% - Accent2 8 5" xfId="7300"/>
    <cellStyle name="20% - Accent2 8 5 2" xfId="7301"/>
    <cellStyle name="20% - Accent2 8 5 2 2" xfId="7302"/>
    <cellStyle name="20% - Accent2 8 5 2 2 2" xfId="7303"/>
    <cellStyle name="20% - Accent2 8 5 2 2 2 2" xfId="7304"/>
    <cellStyle name="20% - Accent2 8 5 2 2 3" xfId="7305"/>
    <cellStyle name="20% - Accent2 8 5 2 3" xfId="7306"/>
    <cellStyle name="20% - Accent2 8 5 2 3 2" xfId="7307"/>
    <cellStyle name="20% - Accent2 8 5 2 4" xfId="7308"/>
    <cellStyle name="20% - Accent2 8 5 3" xfId="7309"/>
    <cellStyle name="20% - Accent2 8 5 3 2" xfId="7310"/>
    <cellStyle name="20% - Accent2 8 5 3 2 2" xfId="7311"/>
    <cellStyle name="20% - Accent2 8 5 3 3" xfId="7312"/>
    <cellStyle name="20% - Accent2 8 5 4" xfId="7313"/>
    <cellStyle name="20% - Accent2 8 5 4 2" xfId="7314"/>
    <cellStyle name="20% - Accent2 8 5 5" xfId="7315"/>
    <cellStyle name="20% - Accent2 8 6" xfId="7316"/>
    <cellStyle name="20% - Accent2 8 6 2" xfId="7317"/>
    <cellStyle name="20% - Accent2 8 6 2 2" xfId="7318"/>
    <cellStyle name="20% - Accent2 8 6 2 2 2" xfId="7319"/>
    <cellStyle name="20% - Accent2 8 6 2 2 2 2" xfId="7320"/>
    <cellStyle name="20% - Accent2 8 6 2 2 3" xfId="7321"/>
    <cellStyle name="20% - Accent2 8 6 2 3" xfId="7322"/>
    <cellStyle name="20% - Accent2 8 6 2 3 2" xfId="7323"/>
    <cellStyle name="20% - Accent2 8 6 2 4" xfId="7324"/>
    <cellStyle name="20% - Accent2 8 6 3" xfId="7325"/>
    <cellStyle name="20% - Accent2 8 6 3 2" xfId="7326"/>
    <cellStyle name="20% - Accent2 8 6 3 2 2" xfId="7327"/>
    <cellStyle name="20% - Accent2 8 6 3 3" xfId="7328"/>
    <cellStyle name="20% - Accent2 8 6 4" xfId="7329"/>
    <cellStyle name="20% - Accent2 8 6 4 2" xfId="7330"/>
    <cellStyle name="20% - Accent2 8 6 5" xfId="7331"/>
    <cellStyle name="20% - Accent2 8 7" xfId="7332"/>
    <cellStyle name="20% - Accent2 8 7 2" xfId="7333"/>
    <cellStyle name="20% - Accent2 8 7 2 2" xfId="7334"/>
    <cellStyle name="20% - Accent2 8 7 2 2 2" xfId="7335"/>
    <cellStyle name="20% - Accent2 8 7 2 2 2 2" xfId="7336"/>
    <cellStyle name="20% - Accent2 8 7 2 2 3" xfId="7337"/>
    <cellStyle name="20% - Accent2 8 7 2 3" xfId="7338"/>
    <cellStyle name="20% - Accent2 8 7 2 3 2" xfId="7339"/>
    <cellStyle name="20% - Accent2 8 7 2 4" xfId="7340"/>
    <cellStyle name="20% - Accent2 8 7 3" xfId="7341"/>
    <cellStyle name="20% - Accent2 8 7 3 2" xfId="7342"/>
    <cellStyle name="20% - Accent2 8 7 3 2 2" xfId="7343"/>
    <cellStyle name="20% - Accent2 8 7 3 3" xfId="7344"/>
    <cellStyle name="20% - Accent2 8 7 4" xfId="7345"/>
    <cellStyle name="20% - Accent2 8 7 4 2" xfId="7346"/>
    <cellStyle name="20% - Accent2 8 7 5" xfId="7347"/>
    <cellStyle name="20% - Accent2 8 8" xfId="7348"/>
    <cellStyle name="20% - Accent2 8 8 2" xfId="7349"/>
    <cellStyle name="20% - Accent2 8 8 2 2" xfId="7350"/>
    <cellStyle name="20% - Accent2 8 8 2 2 2" xfId="7351"/>
    <cellStyle name="20% - Accent2 8 8 2 3" xfId="7352"/>
    <cellStyle name="20% - Accent2 8 8 3" xfId="7353"/>
    <cellStyle name="20% - Accent2 8 8 3 2" xfId="7354"/>
    <cellStyle name="20% - Accent2 8 8 4" xfId="7355"/>
    <cellStyle name="20% - Accent2 8 9" xfId="7356"/>
    <cellStyle name="20% - Accent2 8 9 2" xfId="7357"/>
    <cellStyle name="20% - Accent2 8 9 2 2" xfId="7358"/>
    <cellStyle name="20% - Accent2 8 9 3" xfId="7359"/>
    <cellStyle name="20% - Accent2 9" xfId="7360"/>
    <cellStyle name="20% - Accent2 9 10" xfId="7361"/>
    <cellStyle name="20% - Accent2 9 10 2" xfId="7362"/>
    <cellStyle name="20% - Accent2 9 11" xfId="7363"/>
    <cellStyle name="20% - Accent2 9 2" xfId="7364"/>
    <cellStyle name="20% - Accent2 9 2 10" xfId="7365"/>
    <cellStyle name="20% - Accent2 9 2 2" xfId="7366"/>
    <cellStyle name="20% - Accent2 9 2 2 2" xfId="7367"/>
    <cellStyle name="20% - Accent2 9 2 2 2 2" xfId="7368"/>
    <cellStyle name="20% - Accent2 9 2 2 2 2 2" xfId="7369"/>
    <cellStyle name="20% - Accent2 9 2 2 2 2 2 2" xfId="7370"/>
    <cellStyle name="20% - Accent2 9 2 2 2 2 3" xfId="7371"/>
    <cellStyle name="20% - Accent2 9 2 2 2 3" xfId="7372"/>
    <cellStyle name="20% - Accent2 9 2 2 2 3 2" xfId="7373"/>
    <cellStyle name="20% - Accent2 9 2 2 2 4" xfId="7374"/>
    <cellStyle name="20% - Accent2 9 2 2 3" xfId="7375"/>
    <cellStyle name="20% - Accent2 9 2 2 3 2" xfId="7376"/>
    <cellStyle name="20% - Accent2 9 2 2 3 2 2" xfId="7377"/>
    <cellStyle name="20% - Accent2 9 2 2 3 3" xfId="7378"/>
    <cellStyle name="20% - Accent2 9 2 2 4" xfId="7379"/>
    <cellStyle name="20% - Accent2 9 2 2 4 2" xfId="7380"/>
    <cellStyle name="20% - Accent2 9 2 2 5" xfId="7381"/>
    <cellStyle name="20% - Accent2 9 2 3" xfId="7382"/>
    <cellStyle name="20% - Accent2 9 2 3 2" xfId="7383"/>
    <cellStyle name="20% - Accent2 9 2 3 2 2" xfId="7384"/>
    <cellStyle name="20% - Accent2 9 2 3 2 2 2" xfId="7385"/>
    <cellStyle name="20% - Accent2 9 2 3 2 2 2 2" xfId="7386"/>
    <cellStyle name="20% - Accent2 9 2 3 2 2 3" xfId="7387"/>
    <cellStyle name="20% - Accent2 9 2 3 2 3" xfId="7388"/>
    <cellStyle name="20% - Accent2 9 2 3 2 3 2" xfId="7389"/>
    <cellStyle name="20% - Accent2 9 2 3 2 4" xfId="7390"/>
    <cellStyle name="20% - Accent2 9 2 3 3" xfId="7391"/>
    <cellStyle name="20% - Accent2 9 2 3 3 2" xfId="7392"/>
    <cellStyle name="20% - Accent2 9 2 3 3 2 2" xfId="7393"/>
    <cellStyle name="20% - Accent2 9 2 3 3 3" xfId="7394"/>
    <cellStyle name="20% - Accent2 9 2 3 4" xfId="7395"/>
    <cellStyle name="20% - Accent2 9 2 3 4 2" xfId="7396"/>
    <cellStyle name="20% - Accent2 9 2 3 5" xfId="7397"/>
    <cellStyle name="20% - Accent2 9 2 4" xfId="7398"/>
    <cellStyle name="20% - Accent2 9 2 4 2" xfId="7399"/>
    <cellStyle name="20% - Accent2 9 2 4 2 2" xfId="7400"/>
    <cellStyle name="20% - Accent2 9 2 4 2 2 2" xfId="7401"/>
    <cellStyle name="20% - Accent2 9 2 4 2 2 2 2" xfId="7402"/>
    <cellStyle name="20% - Accent2 9 2 4 2 2 3" xfId="7403"/>
    <cellStyle name="20% - Accent2 9 2 4 2 3" xfId="7404"/>
    <cellStyle name="20% - Accent2 9 2 4 2 3 2" xfId="7405"/>
    <cellStyle name="20% - Accent2 9 2 4 2 4" xfId="7406"/>
    <cellStyle name="20% - Accent2 9 2 4 3" xfId="7407"/>
    <cellStyle name="20% - Accent2 9 2 4 3 2" xfId="7408"/>
    <cellStyle name="20% - Accent2 9 2 4 3 2 2" xfId="7409"/>
    <cellStyle name="20% - Accent2 9 2 4 3 3" xfId="7410"/>
    <cellStyle name="20% - Accent2 9 2 4 4" xfId="7411"/>
    <cellStyle name="20% - Accent2 9 2 4 4 2" xfId="7412"/>
    <cellStyle name="20% - Accent2 9 2 4 5" xfId="7413"/>
    <cellStyle name="20% - Accent2 9 2 5" xfId="7414"/>
    <cellStyle name="20% - Accent2 9 2 5 2" xfId="7415"/>
    <cellStyle name="20% - Accent2 9 2 5 2 2" xfId="7416"/>
    <cellStyle name="20% - Accent2 9 2 5 2 2 2" xfId="7417"/>
    <cellStyle name="20% - Accent2 9 2 5 2 2 2 2" xfId="7418"/>
    <cellStyle name="20% - Accent2 9 2 5 2 2 3" xfId="7419"/>
    <cellStyle name="20% - Accent2 9 2 5 2 3" xfId="7420"/>
    <cellStyle name="20% - Accent2 9 2 5 2 3 2" xfId="7421"/>
    <cellStyle name="20% - Accent2 9 2 5 2 4" xfId="7422"/>
    <cellStyle name="20% - Accent2 9 2 5 3" xfId="7423"/>
    <cellStyle name="20% - Accent2 9 2 5 3 2" xfId="7424"/>
    <cellStyle name="20% - Accent2 9 2 5 3 2 2" xfId="7425"/>
    <cellStyle name="20% - Accent2 9 2 5 3 3" xfId="7426"/>
    <cellStyle name="20% - Accent2 9 2 5 4" xfId="7427"/>
    <cellStyle name="20% - Accent2 9 2 5 4 2" xfId="7428"/>
    <cellStyle name="20% - Accent2 9 2 5 5" xfId="7429"/>
    <cellStyle name="20% - Accent2 9 2 6" xfId="7430"/>
    <cellStyle name="20% - Accent2 9 2 6 2" xfId="7431"/>
    <cellStyle name="20% - Accent2 9 2 6 2 2" xfId="7432"/>
    <cellStyle name="20% - Accent2 9 2 6 2 2 2" xfId="7433"/>
    <cellStyle name="20% - Accent2 9 2 6 2 2 2 2" xfId="7434"/>
    <cellStyle name="20% - Accent2 9 2 6 2 2 3" xfId="7435"/>
    <cellStyle name="20% - Accent2 9 2 6 2 3" xfId="7436"/>
    <cellStyle name="20% - Accent2 9 2 6 2 3 2" xfId="7437"/>
    <cellStyle name="20% - Accent2 9 2 6 2 4" xfId="7438"/>
    <cellStyle name="20% - Accent2 9 2 6 3" xfId="7439"/>
    <cellStyle name="20% - Accent2 9 2 6 3 2" xfId="7440"/>
    <cellStyle name="20% - Accent2 9 2 6 3 2 2" xfId="7441"/>
    <cellStyle name="20% - Accent2 9 2 6 3 3" xfId="7442"/>
    <cellStyle name="20% - Accent2 9 2 6 4" xfId="7443"/>
    <cellStyle name="20% - Accent2 9 2 6 4 2" xfId="7444"/>
    <cellStyle name="20% - Accent2 9 2 6 5" xfId="7445"/>
    <cellStyle name="20% - Accent2 9 2 7" xfId="7446"/>
    <cellStyle name="20% - Accent2 9 2 7 2" xfId="7447"/>
    <cellStyle name="20% - Accent2 9 2 7 2 2" xfId="7448"/>
    <cellStyle name="20% - Accent2 9 2 7 2 2 2" xfId="7449"/>
    <cellStyle name="20% - Accent2 9 2 7 2 3" xfId="7450"/>
    <cellStyle name="20% - Accent2 9 2 7 3" xfId="7451"/>
    <cellStyle name="20% - Accent2 9 2 7 3 2" xfId="7452"/>
    <cellStyle name="20% - Accent2 9 2 7 4" xfId="7453"/>
    <cellStyle name="20% - Accent2 9 2 8" xfId="7454"/>
    <cellStyle name="20% - Accent2 9 2 8 2" xfId="7455"/>
    <cellStyle name="20% - Accent2 9 2 8 2 2" xfId="7456"/>
    <cellStyle name="20% - Accent2 9 2 8 3" xfId="7457"/>
    <cellStyle name="20% - Accent2 9 2 9" xfId="7458"/>
    <cellStyle name="20% - Accent2 9 2 9 2" xfId="7459"/>
    <cellStyle name="20% - Accent2 9 3" xfId="7460"/>
    <cellStyle name="20% - Accent2 9 3 2" xfId="7461"/>
    <cellStyle name="20% - Accent2 9 3 2 2" xfId="7462"/>
    <cellStyle name="20% - Accent2 9 3 2 2 2" xfId="7463"/>
    <cellStyle name="20% - Accent2 9 3 2 2 2 2" xfId="7464"/>
    <cellStyle name="20% - Accent2 9 3 2 2 3" xfId="7465"/>
    <cellStyle name="20% - Accent2 9 3 2 3" xfId="7466"/>
    <cellStyle name="20% - Accent2 9 3 2 3 2" xfId="7467"/>
    <cellStyle name="20% - Accent2 9 3 2 4" xfId="7468"/>
    <cellStyle name="20% - Accent2 9 3 3" xfId="7469"/>
    <cellStyle name="20% - Accent2 9 3 3 2" xfId="7470"/>
    <cellStyle name="20% - Accent2 9 3 3 2 2" xfId="7471"/>
    <cellStyle name="20% - Accent2 9 3 3 3" xfId="7472"/>
    <cellStyle name="20% - Accent2 9 3 4" xfId="7473"/>
    <cellStyle name="20% - Accent2 9 3 4 2" xfId="7474"/>
    <cellStyle name="20% - Accent2 9 3 5" xfId="7475"/>
    <cellStyle name="20% - Accent2 9 4" xfId="7476"/>
    <cellStyle name="20% - Accent2 9 4 2" xfId="7477"/>
    <cellStyle name="20% - Accent2 9 4 2 2" xfId="7478"/>
    <cellStyle name="20% - Accent2 9 4 2 2 2" xfId="7479"/>
    <cellStyle name="20% - Accent2 9 4 2 2 2 2" xfId="7480"/>
    <cellStyle name="20% - Accent2 9 4 2 2 3" xfId="7481"/>
    <cellStyle name="20% - Accent2 9 4 2 3" xfId="7482"/>
    <cellStyle name="20% - Accent2 9 4 2 3 2" xfId="7483"/>
    <cellStyle name="20% - Accent2 9 4 2 4" xfId="7484"/>
    <cellStyle name="20% - Accent2 9 4 3" xfId="7485"/>
    <cellStyle name="20% - Accent2 9 4 3 2" xfId="7486"/>
    <cellStyle name="20% - Accent2 9 4 3 2 2" xfId="7487"/>
    <cellStyle name="20% - Accent2 9 4 3 3" xfId="7488"/>
    <cellStyle name="20% - Accent2 9 4 4" xfId="7489"/>
    <cellStyle name="20% - Accent2 9 4 4 2" xfId="7490"/>
    <cellStyle name="20% - Accent2 9 4 5" xfId="7491"/>
    <cellStyle name="20% - Accent2 9 5" xfId="7492"/>
    <cellStyle name="20% - Accent2 9 5 2" xfId="7493"/>
    <cellStyle name="20% - Accent2 9 5 2 2" xfId="7494"/>
    <cellStyle name="20% - Accent2 9 5 2 2 2" xfId="7495"/>
    <cellStyle name="20% - Accent2 9 5 2 2 2 2" xfId="7496"/>
    <cellStyle name="20% - Accent2 9 5 2 2 3" xfId="7497"/>
    <cellStyle name="20% - Accent2 9 5 2 3" xfId="7498"/>
    <cellStyle name="20% - Accent2 9 5 2 3 2" xfId="7499"/>
    <cellStyle name="20% - Accent2 9 5 2 4" xfId="7500"/>
    <cellStyle name="20% - Accent2 9 5 3" xfId="7501"/>
    <cellStyle name="20% - Accent2 9 5 3 2" xfId="7502"/>
    <cellStyle name="20% - Accent2 9 5 3 2 2" xfId="7503"/>
    <cellStyle name="20% - Accent2 9 5 3 3" xfId="7504"/>
    <cellStyle name="20% - Accent2 9 5 4" xfId="7505"/>
    <cellStyle name="20% - Accent2 9 5 4 2" xfId="7506"/>
    <cellStyle name="20% - Accent2 9 5 5" xfId="7507"/>
    <cellStyle name="20% - Accent2 9 6" xfId="7508"/>
    <cellStyle name="20% - Accent2 9 6 2" xfId="7509"/>
    <cellStyle name="20% - Accent2 9 6 2 2" xfId="7510"/>
    <cellStyle name="20% - Accent2 9 6 2 2 2" xfId="7511"/>
    <cellStyle name="20% - Accent2 9 6 2 2 2 2" xfId="7512"/>
    <cellStyle name="20% - Accent2 9 6 2 2 3" xfId="7513"/>
    <cellStyle name="20% - Accent2 9 6 2 3" xfId="7514"/>
    <cellStyle name="20% - Accent2 9 6 2 3 2" xfId="7515"/>
    <cellStyle name="20% - Accent2 9 6 2 4" xfId="7516"/>
    <cellStyle name="20% - Accent2 9 6 3" xfId="7517"/>
    <cellStyle name="20% - Accent2 9 6 3 2" xfId="7518"/>
    <cellStyle name="20% - Accent2 9 6 3 2 2" xfId="7519"/>
    <cellStyle name="20% - Accent2 9 6 3 3" xfId="7520"/>
    <cellStyle name="20% - Accent2 9 6 4" xfId="7521"/>
    <cellStyle name="20% - Accent2 9 6 4 2" xfId="7522"/>
    <cellStyle name="20% - Accent2 9 6 5" xfId="7523"/>
    <cellStyle name="20% - Accent2 9 7" xfId="7524"/>
    <cellStyle name="20% - Accent2 9 7 2" xfId="7525"/>
    <cellStyle name="20% - Accent2 9 7 2 2" xfId="7526"/>
    <cellStyle name="20% - Accent2 9 7 2 2 2" xfId="7527"/>
    <cellStyle name="20% - Accent2 9 7 2 2 2 2" xfId="7528"/>
    <cellStyle name="20% - Accent2 9 7 2 2 3" xfId="7529"/>
    <cellStyle name="20% - Accent2 9 7 2 3" xfId="7530"/>
    <cellStyle name="20% - Accent2 9 7 2 3 2" xfId="7531"/>
    <cellStyle name="20% - Accent2 9 7 2 4" xfId="7532"/>
    <cellStyle name="20% - Accent2 9 7 3" xfId="7533"/>
    <cellStyle name="20% - Accent2 9 7 3 2" xfId="7534"/>
    <cellStyle name="20% - Accent2 9 7 3 2 2" xfId="7535"/>
    <cellStyle name="20% - Accent2 9 7 3 3" xfId="7536"/>
    <cellStyle name="20% - Accent2 9 7 4" xfId="7537"/>
    <cellStyle name="20% - Accent2 9 7 4 2" xfId="7538"/>
    <cellStyle name="20% - Accent2 9 7 5" xfId="7539"/>
    <cellStyle name="20% - Accent2 9 8" xfId="7540"/>
    <cellStyle name="20% - Accent2 9 8 2" xfId="7541"/>
    <cellStyle name="20% - Accent2 9 8 2 2" xfId="7542"/>
    <cellStyle name="20% - Accent2 9 8 2 2 2" xfId="7543"/>
    <cellStyle name="20% - Accent2 9 8 2 3" xfId="7544"/>
    <cellStyle name="20% - Accent2 9 8 3" xfId="7545"/>
    <cellStyle name="20% - Accent2 9 8 3 2" xfId="7546"/>
    <cellStyle name="20% - Accent2 9 8 4" xfId="7547"/>
    <cellStyle name="20% - Accent2 9 9" xfId="7548"/>
    <cellStyle name="20% - Accent2 9 9 2" xfId="7549"/>
    <cellStyle name="20% - Accent2 9 9 2 2" xfId="7550"/>
    <cellStyle name="20% - Accent2 9 9 3" xfId="7551"/>
    <cellStyle name="20% - Accent3 10" xfId="7552"/>
    <cellStyle name="20% - Accent3 10 10" xfId="7553"/>
    <cellStyle name="20% - Accent3 10 10 2" xfId="7554"/>
    <cellStyle name="20% - Accent3 10 11" xfId="7555"/>
    <cellStyle name="20% - Accent3 10 2" xfId="7556"/>
    <cellStyle name="20% - Accent3 10 2 10" xfId="7557"/>
    <cellStyle name="20% - Accent3 10 2 2" xfId="7558"/>
    <cellStyle name="20% - Accent3 10 2 2 2" xfId="7559"/>
    <cellStyle name="20% - Accent3 10 2 2 2 2" xfId="7560"/>
    <cellStyle name="20% - Accent3 10 2 2 2 2 2" xfId="7561"/>
    <cellStyle name="20% - Accent3 10 2 2 2 2 2 2" xfId="7562"/>
    <cellStyle name="20% - Accent3 10 2 2 2 2 3" xfId="7563"/>
    <cellStyle name="20% - Accent3 10 2 2 2 3" xfId="7564"/>
    <cellStyle name="20% - Accent3 10 2 2 2 3 2" xfId="7565"/>
    <cellStyle name="20% - Accent3 10 2 2 2 4" xfId="7566"/>
    <cellStyle name="20% - Accent3 10 2 2 3" xfId="7567"/>
    <cellStyle name="20% - Accent3 10 2 2 3 2" xfId="7568"/>
    <cellStyle name="20% - Accent3 10 2 2 3 2 2" xfId="7569"/>
    <cellStyle name="20% - Accent3 10 2 2 3 3" xfId="7570"/>
    <cellStyle name="20% - Accent3 10 2 2 4" xfId="7571"/>
    <cellStyle name="20% - Accent3 10 2 2 4 2" xfId="7572"/>
    <cellStyle name="20% - Accent3 10 2 2 5" xfId="7573"/>
    <cellStyle name="20% - Accent3 10 2 3" xfId="7574"/>
    <cellStyle name="20% - Accent3 10 2 3 2" xfId="7575"/>
    <cellStyle name="20% - Accent3 10 2 3 2 2" xfId="7576"/>
    <cellStyle name="20% - Accent3 10 2 3 2 2 2" xfId="7577"/>
    <cellStyle name="20% - Accent3 10 2 3 2 2 2 2" xfId="7578"/>
    <cellStyle name="20% - Accent3 10 2 3 2 2 3" xfId="7579"/>
    <cellStyle name="20% - Accent3 10 2 3 2 3" xfId="7580"/>
    <cellStyle name="20% - Accent3 10 2 3 2 3 2" xfId="7581"/>
    <cellStyle name="20% - Accent3 10 2 3 2 4" xfId="7582"/>
    <cellStyle name="20% - Accent3 10 2 3 3" xfId="7583"/>
    <cellStyle name="20% - Accent3 10 2 3 3 2" xfId="7584"/>
    <cellStyle name="20% - Accent3 10 2 3 3 2 2" xfId="7585"/>
    <cellStyle name="20% - Accent3 10 2 3 3 3" xfId="7586"/>
    <cellStyle name="20% - Accent3 10 2 3 4" xfId="7587"/>
    <cellStyle name="20% - Accent3 10 2 3 4 2" xfId="7588"/>
    <cellStyle name="20% - Accent3 10 2 3 5" xfId="7589"/>
    <cellStyle name="20% - Accent3 10 2 4" xfId="7590"/>
    <cellStyle name="20% - Accent3 10 2 4 2" xfId="7591"/>
    <cellStyle name="20% - Accent3 10 2 4 2 2" xfId="7592"/>
    <cellStyle name="20% - Accent3 10 2 4 2 2 2" xfId="7593"/>
    <cellStyle name="20% - Accent3 10 2 4 2 2 2 2" xfId="7594"/>
    <cellStyle name="20% - Accent3 10 2 4 2 2 3" xfId="7595"/>
    <cellStyle name="20% - Accent3 10 2 4 2 3" xfId="7596"/>
    <cellStyle name="20% - Accent3 10 2 4 2 3 2" xfId="7597"/>
    <cellStyle name="20% - Accent3 10 2 4 2 4" xfId="7598"/>
    <cellStyle name="20% - Accent3 10 2 4 3" xfId="7599"/>
    <cellStyle name="20% - Accent3 10 2 4 3 2" xfId="7600"/>
    <cellStyle name="20% - Accent3 10 2 4 3 2 2" xfId="7601"/>
    <cellStyle name="20% - Accent3 10 2 4 3 3" xfId="7602"/>
    <cellStyle name="20% - Accent3 10 2 4 4" xfId="7603"/>
    <cellStyle name="20% - Accent3 10 2 4 4 2" xfId="7604"/>
    <cellStyle name="20% - Accent3 10 2 4 5" xfId="7605"/>
    <cellStyle name="20% - Accent3 10 2 5" xfId="7606"/>
    <cellStyle name="20% - Accent3 10 2 5 2" xfId="7607"/>
    <cellStyle name="20% - Accent3 10 2 5 2 2" xfId="7608"/>
    <cellStyle name="20% - Accent3 10 2 5 2 2 2" xfId="7609"/>
    <cellStyle name="20% - Accent3 10 2 5 2 2 2 2" xfId="7610"/>
    <cellStyle name="20% - Accent3 10 2 5 2 2 3" xfId="7611"/>
    <cellStyle name="20% - Accent3 10 2 5 2 3" xfId="7612"/>
    <cellStyle name="20% - Accent3 10 2 5 2 3 2" xfId="7613"/>
    <cellStyle name="20% - Accent3 10 2 5 2 4" xfId="7614"/>
    <cellStyle name="20% - Accent3 10 2 5 3" xfId="7615"/>
    <cellStyle name="20% - Accent3 10 2 5 3 2" xfId="7616"/>
    <cellStyle name="20% - Accent3 10 2 5 3 2 2" xfId="7617"/>
    <cellStyle name="20% - Accent3 10 2 5 3 3" xfId="7618"/>
    <cellStyle name="20% - Accent3 10 2 5 4" xfId="7619"/>
    <cellStyle name="20% - Accent3 10 2 5 4 2" xfId="7620"/>
    <cellStyle name="20% - Accent3 10 2 5 5" xfId="7621"/>
    <cellStyle name="20% - Accent3 10 2 6" xfId="7622"/>
    <cellStyle name="20% - Accent3 10 2 6 2" xfId="7623"/>
    <cellStyle name="20% - Accent3 10 2 6 2 2" xfId="7624"/>
    <cellStyle name="20% - Accent3 10 2 6 2 2 2" xfId="7625"/>
    <cellStyle name="20% - Accent3 10 2 6 2 2 2 2" xfId="7626"/>
    <cellStyle name="20% - Accent3 10 2 6 2 2 3" xfId="7627"/>
    <cellStyle name="20% - Accent3 10 2 6 2 3" xfId="7628"/>
    <cellStyle name="20% - Accent3 10 2 6 2 3 2" xfId="7629"/>
    <cellStyle name="20% - Accent3 10 2 6 2 4" xfId="7630"/>
    <cellStyle name="20% - Accent3 10 2 6 3" xfId="7631"/>
    <cellStyle name="20% - Accent3 10 2 6 3 2" xfId="7632"/>
    <cellStyle name="20% - Accent3 10 2 6 3 2 2" xfId="7633"/>
    <cellStyle name="20% - Accent3 10 2 6 3 3" xfId="7634"/>
    <cellStyle name="20% - Accent3 10 2 6 4" xfId="7635"/>
    <cellStyle name="20% - Accent3 10 2 6 4 2" xfId="7636"/>
    <cellStyle name="20% - Accent3 10 2 6 5" xfId="7637"/>
    <cellStyle name="20% - Accent3 10 2 7" xfId="7638"/>
    <cellStyle name="20% - Accent3 10 2 7 2" xfId="7639"/>
    <cellStyle name="20% - Accent3 10 2 7 2 2" xfId="7640"/>
    <cellStyle name="20% - Accent3 10 2 7 2 2 2" xfId="7641"/>
    <cellStyle name="20% - Accent3 10 2 7 2 3" xfId="7642"/>
    <cellStyle name="20% - Accent3 10 2 7 3" xfId="7643"/>
    <cellStyle name="20% - Accent3 10 2 7 3 2" xfId="7644"/>
    <cellStyle name="20% - Accent3 10 2 7 4" xfId="7645"/>
    <cellStyle name="20% - Accent3 10 2 8" xfId="7646"/>
    <cellStyle name="20% - Accent3 10 2 8 2" xfId="7647"/>
    <cellStyle name="20% - Accent3 10 2 8 2 2" xfId="7648"/>
    <cellStyle name="20% - Accent3 10 2 8 3" xfId="7649"/>
    <cellStyle name="20% - Accent3 10 2 9" xfId="7650"/>
    <cellStyle name="20% - Accent3 10 2 9 2" xfId="7651"/>
    <cellStyle name="20% - Accent3 10 3" xfId="7652"/>
    <cellStyle name="20% - Accent3 10 3 2" xfId="7653"/>
    <cellStyle name="20% - Accent3 10 3 2 2" xfId="7654"/>
    <cellStyle name="20% - Accent3 10 3 2 2 2" xfId="7655"/>
    <cellStyle name="20% - Accent3 10 3 2 2 2 2" xfId="7656"/>
    <cellStyle name="20% - Accent3 10 3 2 2 3" xfId="7657"/>
    <cellStyle name="20% - Accent3 10 3 2 3" xfId="7658"/>
    <cellStyle name="20% - Accent3 10 3 2 3 2" xfId="7659"/>
    <cellStyle name="20% - Accent3 10 3 2 4" xfId="7660"/>
    <cellStyle name="20% - Accent3 10 3 3" xfId="7661"/>
    <cellStyle name="20% - Accent3 10 3 3 2" xfId="7662"/>
    <cellStyle name="20% - Accent3 10 3 3 2 2" xfId="7663"/>
    <cellStyle name="20% - Accent3 10 3 3 3" xfId="7664"/>
    <cellStyle name="20% - Accent3 10 3 4" xfId="7665"/>
    <cellStyle name="20% - Accent3 10 3 4 2" xfId="7666"/>
    <cellStyle name="20% - Accent3 10 3 5" xfId="7667"/>
    <cellStyle name="20% - Accent3 10 4" xfId="7668"/>
    <cellStyle name="20% - Accent3 10 4 2" xfId="7669"/>
    <cellStyle name="20% - Accent3 10 4 2 2" xfId="7670"/>
    <cellStyle name="20% - Accent3 10 4 2 2 2" xfId="7671"/>
    <cellStyle name="20% - Accent3 10 4 2 2 2 2" xfId="7672"/>
    <cellStyle name="20% - Accent3 10 4 2 2 3" xfId="7673"/>
    <cellStyle name="20% - Accent3 10 4 2 3" xfId="7674"/>
    <cellStyle name="20% - Accent3 10 4 2 3 2" xfId="7675"/>
    <cellStyle name="20% - Accent3 10 4 2 4" xfId="7676"/>
    <cellStyle name="20% - Accent3 10 4 3" xfId="7677"/>
    <cellStyle name="20% - Accent3 10 4 3 2" xfId="7678"/>
    <cellStyle name="20% - Accent3 10 4 3 2 2" xfId="7679"/>
    <cellStyle name="20% - Accent3 10 4 3 3" xfId="7680"/>
    <cellStyle name="20% - Accent3 10 4 4" xfId="7681"/>
    <cellStyle name="20% - Accent3 10 4 4 2" xfId="7682"/>
    <cellStyle name="20% - Accent3 10 4 5" xfId="7683"/>
    <cellStyle name="20% - Accent3 10 5" xfId="7684"/>
    <cellStyle name="20% - Accent3 10 5 2" xfId="7685"/>
    <cellStyle name="20% - Accent3 10 5 2 2" xfId="7686"/>
    <cellStyle name="20% - Accent3 10 5 2 2 2" xfId="7687"/>
    <cellStyle name="20% - Accent3 10 5 2 2 2 2" xfId="7688"/>
    <cellStyle name="20% - Accent3 10 5 2 2 3" xfId="7689"/>
    <cellStyle name="20% - Accent3 10 5 2 3" xfId="7690"/>
    <cellStyle name="20% - Accent3 10 5 2 3 2" xfId="7691"/>
    <cellStyle name="20% - Accent3 10 5 2 4" xfId="7692"/>
    <cellStyle name="20% - Accent3 10 5 3" xfId="7693"/>
    <cellStyle name="20% - Accent3 10 5 3 2" xfId="7694"/>
    <cellStyle name="20% - Accent3 10 5 3 2 2" xfId="7695"/>
    <cellStyle name="20% - Accent3 10 5 3 3" xfId="7696"/>
    <cellStyle name="20% - Accent3 10 5 4" xfId="7697"/>
    <cellStyle name="20% - Accent3 10 5 4 2" xfId="7698"/>
    <cellStyle name="20% - Accent3 10 5 5" xfId="7699"/>
    <cellStyle name="20% - Accent3 10 6" xfId="7700"/>
    <cellStyle name="20% - Accent3 10 6 2" xfId="7701"/>
    <cellStyle name="20% - Accent3 10 6 2 2" xfId="7702"/>
    <cellStyle name="20% - Accent3 10 6 2 2 2" xfId="7703"/>
    <cellStyle name="20% - Accent3 10 6 2 2 2 2" xfId="7704"/>
    <cellStyle name="20% - Accent3 10 6 2 2 3" xfId="7705"/>
    <cellStyle name="20% - Accent3 10 6 2 3" xfId="7706"/>
    <cellStyle name="20% - Accent3 10 6 2 3 2" xfId="7707"/>
    <cellStyle name="20% - Accent3 10 6 2 4" xfId="7708"/>
    <cellStyle name="20% - Accent3 10 6 3" xfId="7709"/>
    <cellStyle name="20% - Accent3 10 6 3 2" xfId="7710"/>
    <cellStyle name="20% - Accent3 10 6 3 2 2" xfId="7711"/>
    <cellStyle name="20% - Accent3 10 6 3 3" xfId="7712"/>
    <cellStyle name="20% - Accent3 10 6 4" xfId="7713"/>
    <cellStyle name="20% - Accent3 10 6 4 2" xfId="7714"/>
    <cellStyle name="20% - Accent3 10 6 5" xfId="7715"/>
    <cellStyle name="20% - Accent3 10 7" xfId="7716"/>
    <cellStyle name="20% - Accent3 10 7 2" xfId="7717"/>
    <cellStyle name="20% - Accent3 10 7 2 2" xfId="7718"/>
    <cellStyle name="20% - Accent3 10 7 2 2 2" xfId="7719"/>
    <cellStyle name="20% - Accent3 10 7 2 2 2 2" xfId="7720"/>
    <cellStyle name="20% - Accent3 10 7 2 2 3" xfId="7721"/>
    <cellStyle name="20% - Accent3 10 7 2 3" xfId="7722"/>
    <cellStyle name="20% - Accent3 10 7 2 3 2" xfId="7723"/>
    <cellStyle name="20% - Accent3 10 7 2 4" xfId="7724"/>
    <cellStyle name="20% - Accent3 10 7 3" xfId="7725"/>
    <cellStyle name="20% - Accent3 10 7 3 2" xfId="7726"/>
    <cellStyle name="20% - Accent3 10 7 3 2 2" xfId="7727"/>
    <cellStyle name="20% - Accent3 10 7 3 3" xfId="7728"/>
    <cellStyle name="20% - Accent3 10 7 4" xfId="7729"/>
    <cellStyle name="20% - Accent3 10 7 4 2" xfId="7730"/>
    <cellStyle name="20% - Accent3 10 7 5" xfId="7731"/>
    <cellStyle name="20% - Accent3 10 8" xfId="7732"/>
    <cellStyle name="20% - Accent3 10 8 2" xfId="7733"/>
    <cellStyle name="20% - Accent3 10 8 2 2" xfId="7734"/>
    <cellStyle name="20% - Accent3 10 8 2 2 2" xfId="7735"/>
    <cellStyle name="20% - Accent3 10 8 2 3" xfId="7736"/>
    <cellStyle name="20% - Accent3 10 8 3" xfId="7737"/>
    <cellStyle name="20% - Accent3 10 8 3 2" xfId="7738"/>
    <cellStyle name="20% - Accent3 10 8 4" xfId="7739"/>
    <cellStyle name="20% - Accent3 10 9" xfId="7740"/>
    <cellStyle name="20% - Accent3 10 9 2" xfId="7741"/>
    <cellStyle name="20% - Accent3 10 9 2 2" xfId="7742"/>
    <cellStyle name="20% - Accent3 10 9 3" xfId="7743"/>
    <cellStyle name="20% - Accent3 11" xfId="7744"/>
    <cellStyle name="20% - Accent3 11 10" xfId="7745"/>
    <cellStyle name="20% - Accent3 11 10 2" xfId="7746"/>
    <cellStyle name="20% - Accent3 11 11" xfId="7747"/>
    <cellStyle name="20% - Accent3 11 2" xfId="7748"/>
    <cellStyle name="20% - Accent3 11 2 10" xfId="7749"/>
    <cellStyle name="20% - Accent3 11 2 2" xfId="7750"/>
    <cellStyle name="20% - Accent3 11 2 2 2" xfId="7751"/>
    <cellStyle name="20% - Accent3 11 2 2 2 2" xfId="7752"/>
    <cellStyle name="20% - Accent3 11 2 2 2 2 2" xfId="7753"/>
    <cellStyle name="20% - Accent3 11 2 2 2 2 2 2" xfId="7754"/>
    <cellStyle name="20% - Accent3 11 2 2 2 2 3" xfId="7755"/>
    <cellStyle name="20% - Accent3 11 2 2 2 3" xfId="7756"/>
    <cellStyle name="20% - Accent3 11 2 2 2 3 2" xfId="7757"/>
    <cellStyle name="20% - Accent3 11 2 2 2 4" xfId="7758"/>
    <cellStyle name="20% - Accent3 11 2 2 3" xfId="7759"/>
    <cellStyle name="20% - Accent3 11 2 2 3 2" xfId="7760"/>
    <cellStyle name="20% - Accent3 11 2 2 3 2 2" xfId="7761"/>
    <cellStyle name="20% - Accent3 11 2 2 3 3" xfId="7762"/>
    <cellStyle name="20% - Accent3 11 2 2 4" xfId="7763"/>
    <cellStyle name="20% - Accent3 11 2 2 4 2" xfId="7764"/>
    <cellStyle name="20% - Accent3 11 2 2 5" xfId="7765"/>
    <cellStyle name="20% - Accent3 11 2 3" xfId="7766"/>
    <cellStyle name="20% - Accent3 11 2 3 2" xfId="7767"/>
    <cellStyle name="20% - Accent3 11 2 3 2 2" xfId="7768"/>
    <cellStyle name="20% - Accent3 11 2 3 2 2 2" xfId="7769"/>
    <cellStyle name="20% - Accent3 11 2 3 2 2 2 2" xfId="7770"/>
    <cellStyle name="20% - Accent3 11 2 3 2 2 3" xfId="7771"/>
    <cellStyle name="20% - Accent3 11 2 3 2 3" xfId="7772"/>
    <cellStyle name="20% - Accent3 11 2 3 2 3 2" xfId="7773"/>
    <cellStyle name="20% - Accent3 11 2 3 2 4" xfId="7774"/>
    <cellStyle name="20% - Accent3 11 2 3 3" xfId="7775"/>
    <cellStyle name="20% - Accent3 11 2 3 3 2" xfId="7776"/>
    <cellStyle name="20% - Accent3 11 2 3 3 2 2" xfId="7777"/>
    <cellStyle name="20% - Accent3 11 2 3 3 3" xfId="7778"/>
    <cellStyle name="20% - Accent3 11 2 3 4" xfId="7779"/>
    <cellStyle name="20% - Accent3 11 2 3 4 2" xfId="7780"/>
    <cellStyle name="20% - Accent3 11 2 3 5" xfId="7781"/>
    <cellStyle name="20% - Accent3 11 2 4" xfId="7782"/>
    <cellStyle name="20% - Accent3 11 2 4 2" xfId="7783"/>
    <cellStyle name="20% - Accent3 11 2 4 2 2" xfId="7784"/>
    <cellStyle name="20% - Accent3 11 2 4 2 2 2" xfId="7785"/>
    <cellStyle name="20% - Accent3 11 2 4 2 2 2 2" xfId="7786"/>
    <cellStyle name="20% - Accent3 11 2 4 2 2 3" xfId="7787"/>
    <cellStyle name="20% - Accent3 11 2 4 2 3" xfId="7788"/>
    <cellStyle name="20% - Accent3 11 2 4 2 3 2" xfId="7789"/>
    <cellStyle name="20% - Accent3 11 2 4 2 4" xfId="7790"/>
    <cellStyle name="20% - Accent3 11 2 4 3" xfId="7791"/>
    <cellStyle name="20% - Accent3 11 2 4 3 2" xfId="7792"/>
    <cellStyle name="20% - Accent3 11 2 4 3 2 2" xfId="7793"/>
    <cellStyle name="20% - Accent3 11 2 4 3 3" xfId="7794"/>
    <cellStyle name="20% - Accent3 11 2 4 4" xfId="7795"/>
    <cellStyle name="20% - Accent3 11 2 4 4 2" xfId="7796"/>
    <cellStyle name="20% - Accent3 11 2 4 5" xfId="7797"/>
    <cellStyle name="20% - Accent3 11 2 5" xfId="7798"/>
    <cellStyle name="20% - Accent3 11 2 5 2" xfId="7799"/>
    <cellStyle name="20% - Accent3 11 2 5 2 2" xfId="7800"/>
    <cellStyle name="20% - Accent3 11 2 5 2 2 2" xfId="7801"/>
    <cellStyle name="20% - Accent3 11 2 5 2 2 2 2" xfId="7802"/>
    <cellStyle name="20% - Accent3 11 2 5 2 2 3" xfId="7803"/>
    <cellStyle name="20% - Accent3 11 2 5 2 3" xfId="7804"/>
    <cellStyle name="20% - Accent3 11 2 5 2 3 2" xfId="7805"/>
    <cellStyle name="20% - Accent3 11 2 5 2 4" xfId="7806"/>
    <cellStyle name="20% - Accent3 11 2 5 3" xfId="7807"/>
    <cellStyle name="20% - Accent3 11 2 5 3 2" xfId="7808"/>
    <cellStyle name="20% - Accent3 11 2 5 3 2 2" xfId="7809"/>
    <cellStyle name="20% - Accent3 11 2 5 3 3" xfId="7810"/>
    <cellStyle name="20% - Accent3 11 2 5 4" xfId="7811"/>
    <cellStyle name="20% - Accent3 11 2 5 4 2" xfId="7812"/>
    <cellStyle name="20% - Accent3 11 2 5 5" xfId="7813"/>
    <cellStyle name="20% - Accent3 11 2 6" xfId="7814"/>
    <cellStyle name="20% - Accent3 11 2 6 2" xfId="7815"/>
    <cellStyle name="20% - Accent3 11 2 6 2 2" xfId="7816"/>
    <cellStyle name="20% - Accent3 11 2 6 2 2 2" xfId="7817"/>
    <cellStyle name="20% - Accent3 11 2 6 2 2 2 2" xfId="7818"/>
    <cellStyle name="20% - Accent3 11 2 6 2 2 3" xfId="7819"/>
    <cellStyle name="20% - Accent3 11 2 6 2 3" xfId="7820"/>
    <cellStyle name="20% - Accent3 11 2 6 2 3 2" xfId="7821"/>
    <cellStyle name="20% - Accent3 11 2 6 2 4" xfId="7822"/>
    <cellStyle name="20% - Accent3 11 2 6 3" xfId="7823"/>
    <cellStyle name="20% - Accent3 11 2 6 3 2" xfId="7824"/>
    <cellStyle name="20% - Accent3 11 2 6 3 2 2" xfId="7825"/>
    <cellStyle name="20% - Accent3 11 2 6 3 3" xfId="7826"/>
    <cellStyle name="20% - Accent3 11 2 6 4" xfId="7827"/>
    <cellStyle name="20% - Accent3 11 2 6 4 2" xfId="7828"/>
    <cellStyle name="20% - Accent3 11 2 6 5" xfId="7829"/>
    <cellStyle name="20% - Accent3 11 2 7" xfId="7830"/>
    <cellStyle name="20% - Accent3 11 2 7 2" xfId="7831"/>
    <cellStyle name="20% - Accent3 11 2 7 2 2" xfId="7832"/>
    <cellStyle name="20% - Accent3 11 2 7 2 2 2" xfId="7833"/>
    <cellStyle name="20% - Accent3 11 2 7 2 3" xfId="7834"/>
    <cellStyle name="20% - Accent3 11 2 7 3" xfId="7835"/>
    <cellStyle name="20% - Accent3 11 2 7 3 2" xfId="7836"/>
    <cellStyle name="20% - Accent3 11 2 7 4" xfId="7837"/>
    <cellStyle name="20% - Accent3 11 2 8" xfId="7838"/>
    <cellStyle name="20% - Accent3 11 2 8 2" xfId="7839"/>
    <cellStyle name="20% - Accent3 11 2 8 2 2" xfId="7840"/>
    <cellStyle name="20% - Accent3 11 2 8 3" xfId="7841"/>
    <cellStyle name="20% - Accent3 11 2 9" xfId="7842"/>
    <cellStyle name="20% - Accent3 11 2 9 2" xfId="7843"/>
    <cellStyle name="20% - Accent3 11 3" xfId="7844"/>
    <cellStyle name="20% - Accent3 11 3 2" xfId="7845"/>
    <cellStyle name="20% - Accent3 11 3 2 2" xfId="7846"/>
    <cellStyle name="20% - Accent3 11 3 2 2 2" xfId="7847"/>
    <cellStyle name="20% - Accent3 11 3 2 2 2 2" xfId="7848"/>
    <cellStyle name="20% - Accent3 11 3 2 2 3" xfId="7849"/>
    <cellStyle name="20% - Accent3 11 3 2 3" xfId="7850"/>
    <cellStyle name="20% - Accent3 11 3 2 3 2" xfId="7851"/>
    <cellStyle name="20% - Accent3 11 3 2 4" xfId="7852"/>
    <cellStyle name="20% - Accent3 11 3 3" xfId="7853"/>
    <cellStyle name="20% - Accent3 11 3 3 2" xfId="7854"/>
    <cellStyle name="20% - Accent3 11 3 3 2 2" xfId="7855"/>
    <cellStyle name="20% - Accent3 11 3 3 3" xfId="7856"/>
    <cellStyle name="20% - Accent3 11 3 4" xfId="7857"/>
    <cellStyle name="20% - Accent3 11 3 4 2" xfId="7858"/>
    <cellStyle name="20% - Accent3 11 3 5" xfId="7859"/>
    <cellStyle name="20% - Accent3 11 4" xfId="7860"/>
    <cellStyle name="20% - Accent3 11 4 2" xfId="7861"/>
    <cellStyle name="20% - Accent3 11 4 2 2" xfId="7862"/>
    <cellStyle name="20% - Accent3 11 4 2 2 2" xfId="7863"/>
    <cellStyle name="20% - Accent3 11 4 2 2 2 2" xfId="7864"/>
    <cellStyle name="20% - Accent3 11 4 2 2 3" xfId="7865"/>
    <cellStyle name="20% - Accent3 11 4 2 3" xfId="7866"/>
    <cellStyle name="20% - Accent3 11 4 2 3 2" xfId="7867"/>
    <cellStyle name="20% - Accent3 11 4 2 4" xfId="7868"/>
    <cellStyle name="20% - Accent3 11 4 3" xfId="7869"/>
    <cellStyle name="20% - Accent3 11 4 3 2" xfId="7870"/>
    <cellStyle name="20% - Accent3 11 4 3 2 2" xfId="7871"/>
    <cellStyle name="20% - Accent3 11 4 3 3" xfId="7872"/>
    <cellStyle name="20% - Accent3 11 4 4" xfId="7873"/>
    <cellStyle name="20% - Accent3 11 4 4 2" xfId="7874"/>
    <cellStyle name="20% - Accent3 11 4 5" xfId="7875"/>
    <cellStyle name="20% - Accent3 11 5" xfId="7876"/>
    <cellStyle name="20% - Accent3 11 5 2" xfId="7877"/>
    <cellStyle name="20% - Accent3 11 5 2 2" xfId="7878"/>
    <cellStyle name="20% - Accent3 11 5 2 2 2" xfId="7879"/>
    <cellStyle name="20% - Accent3 11 5 2 2 2 2" xfId="7880"/>
    <cellStyle name="20% - Accent3 11 5 2 2 3" xfId="7881"/>
    <cellStyle name="20% - Accent3 11 5 2 3" xfId="7882"/>
    <cellStyle name="20% - Accent3 11 5 2 3 2" xfId="7883"/>
    <cellStyle name="20% - Accent3 11 5 2 4" xfId="7884"/>
    <cellStyle name="20% - Accent3 11 5 3" xfId="7885"/>
    <cellStyle name="20% - Accent3 11 5 3 2" xfId="7886"/>
    <cellStyle name="20% - Accent3 11 5 3 2 2" xfId="7887"/>
    <cellStyle name="20% - Accent3 11 5 3 3" xfId="7888"/>
    <cellStyle name="20% - Accent3 11 5 4" xfId="7889"/>
    <cellStyle name="20% - Accent3 11 5 4 2" xfId="7890"/>
    <cellStyle name="20% - Accent3 11 5 5" xfId="7891"/>
    <cellStyle name="20% - Accent3 11 6" xfId="7892"/>
    <cellStyle name="20% - Accent3 11 6 2" xfId="7893"/>
    <cellStyle name="20% - Accent3 11 6 2 2" xfId="7894"/>
    <cellStyle name="20% - Accent3 11 6 2 2 2" xfId="7895"/>
    <cellStyle name="20% - Accent3 11 6 2 2 2 2" xfId="7896"/>
    <cellStyle name="20% - Accent3 11 6 2 2 3" xfId="7897"/>
    <cellStyle name="20% - Accent3 11 6 2 3" xfId="7898"/>
    <cellStyle name="20% - Accent3 11 6 2 3 2" xfId="7899"/>
    <cellStyle name="20% - Accent3 11 6 2 4" xfId="7900"/>
    <cellStyle name="20% - Accent3 11 6 3" xfId="7901"/>
    <cellStyle name="20% - Accent3 11 6 3 2" xfId="7902"/>
    <cellStyle name="20% - Accent3 11 6 3 2 2" xfId="7903"/>
    <cellStyle name="20% - Accent3 11 6 3 3" xfId="7904"/>
    <cellStyle name="20% - Accent3 11 6 4" xfId="7905"/>
    <cellStyle name="20% - Accent3 11 6 4 2" xfId="7906"/>
    <cellStyle name="20% - Accent3 11 6 5" xfId="7907"/>
    <cellStyle name="20% - Accent3 11 7" xfId="7908"/>
    <cellStyle name="20% - Accent3 11 7 2" xfId="7909"/>
    <cellStyle name="20% - Accent3 11 7 2 2" xfId="7910"/>
    <cellStyle name="20% - Accent3 11 7 2 2 2" xfId="7911"/>
    <cellStyle name="20% - Accent3 11 7 2 2 2 2" xfId="7912"/>
    <cellStyle name="20% - Accent3 11 7 2 2 3" xfId="7913"/>
    <cellStyle name="20% - Accent3 11 7 2 3" xfId="7914"/>
    <cellStyle name="20% - Accent3 11 7 2 3 2" xfId="7915"/>
    <cellStyle name="20% - Accent3 11 7 2 4" xfId="7916"/>
    <cellStyle name="20% - Accent3 11 7 3" xfId="7917"/>
    <cellStyle name="20% - Accent3 11 7 3 2" xfId="7918"/>
    <cellStyle name="20% - Accent3 11 7 3 2 2" xfId="7919"/>
    <cellStyle name="20% - Accent3 11 7 3 3" xfId="7920"/>
    <cellStyle name="20% - Accent3 11 7 4" xfId="7921"/>
    <cellStyle name="20% - Accent3 11 7 4 2" xfId="7922"/>
    <cellStyle name="20% - Accent3 11 7 5" xfId="7923"/>
    <cellStyle name="20% - Accent3 11 8" xfId="7924"/>
    <cellStyle name="20% - Accent3 11 8 2" xfId="7925"/>
    <cellStyle name="20% - Accent3 11 8 2 2" xfId="7926"/>
    <cellStyle name="20% - Accent3 11 8 2 2 2" xfId="7927"/>
    <cellStyle name="20% - Accent3 11 8 2 3" xfId="7928"/>
    <cellStyle name="20% - Accent3 11 8 3" xfId="7929"/>
    <cellStyle name="20% - Accent3 11 8 3 2" xfId="7930"/>
    <cellStyle name="20% - Accent3 11 8 4" xfId="7931"/>
    <cellStyle name="20% - Accent3 11 9" xfId="7932"/>
    <cellStyle name="20% - Accent3 11 9 2" xfId="7933"/>
    <cellStyle name="20% - Accent3 11 9 2 2" xfId="7934"/>
    <cellStyle name="20% - Accent3 11 9 3" xfId="7935"/>
    <cellStyle name="20% - Accent3 12" xfId="7936"/>
    <cellStyle name="20% - Accent3 12 10" xfId="7937"/>
    <cellStyle name="20% - Accent3 12 2" xfId="7938"/>
    <cellStyle name="20% - Accent3 12 2 2" xfId="7939"/>
    <cellStyle name="20% - Accent3 12 2 2 2" xfId="7940"/>
    <cellStyle name="20% - Accent3 12 2 2 2 2" xfId="7941"/>
    <cellStyle name="20% - Accent3 12 2 2 2 2 2" xfId="7942"/>
    <cellStyle name="20% - Accent3 12 2 2 2 3" xfId="7943"/>
    <cellStyle name="20% - Accent3 12 2 2 3" xfId="7944"/>
    <cellStyle name="20% - Accent3 12 2 2 3 2" xfId="7945"/>
    <cellStyle name="20% - Accent3 12 2 2 4" xfId="7946"/>
    <cellStyle name="20% - Accent3 12 2 3" xfId="7947"/>
    <cellStyle name="20% - Accent3 12 2 3 2" xfId="7948"/>
    <cellStyle name="20% - Accent3 12 2 3 2 2" xfId="7949"/>
    <cellStyle name="20% - Accent3 12 2 3 3" xfId="7950"/>
    <cellStyle name="20% - Accent3 12 2 4" xfId="7951"/>
    <cellStyle name="20% - Accent3 12 2 4 2" xfId="7952"/>
    <cellStyle name="20% - Accent3 12 2 5" xfId="7953"/>
    <cellStyle name="20% - Accent3 12 3" xfId="7954"/>
    <cellStyle name="20% - Accent3 12 3 2" xfId="7955"/>
    <cellStyle name="20% - Accent3 12 3 2 2" xfId="7956"/>
    <cellStyle name="20% - Accent3 12 3 2 2 2" xfId="7957"/>
    <cellStyle name="20% - Accent3 12 3 2 2 2 2" xfId="7958"/>
    <cellStyle name="20% - Accent3 12 3 2 2 3" xfId="7959"/>
    <cellStyle name="20% - Accent3 12 3 2 3" xfId="7960"/>
    <cellStyle name="20% - Accent3 12 3 2 3 2" xfId="7961"/>
    <cellStyle name="20% - Accent3 12 3 2 4" xfId="7962"/>
    <cellStyle name="20% - Accent3 12 3 3" xfId="7963"/>
    <cellStyle name="20% - Accent3 12 3 3 2" xfId="7964"/>
    <cellStyle name="20% - Accent3 12 3 3 2 2" xfId="7965"/>
    <cellStyle name="20% - Accent3 12 3 3 3" xfId="7966"/>
    <cellStyle name="20% - Accent3 12 3 4" xfId="7967"/>
    <cellStyle name="20% - Accent3 12 3 4 2" xfId="7968"/>
    <cellStyle name="20% - Accent3 12 3 5" xfId="7969"/>
    <cellStyle name="20% - Accent3 12 4" xfId="7970"/>
    <cellStyle name="20% - Accent3 12 4 2" xfId="7971"/>
    <cellStyle name="20% - Accent3 12 4 2 2" xfId="7972"/>
    <cellStyle name="20% - Accent3 12 4 2 2 2" xfId="7973"/>
    <cellStyle name="20% - Accent3 12 4 2 2 2 2" xfId="7974"/>
    <cellStyle name="20% - Accent3 12 4 2 2 3" xfId="7975"/>
    <cellStyle name="20% - Accent3 12 4 2 3" xfId="7976"/>
    <cellStyle name="20% - Accent3 12 4 2 3 2" xfId="7977"/>
    <cellStyle name="20% - Accent3 12 4 2 4" xfId="7978"/>
    <cellStyle name="20% - Accent3 12 4 3" xfId="7979"/>
    <cellStyle name="20% - Accent3 12 4 3 2" xfId="7980"/>
    <cellStyle name="20% - Accent3 12 4 3 2 2" xfId="7981"/>
    <cellStyle name="20% - Accent3 12 4 3 3" xfId="7982"/>
    <cellStyle name="20% - Accent3 12 4 4" xfId="7983"/>
    <cellStyle name="20% - Accent3 12 4 4 2" xfId="7984"/>
    <cellStyle name="20% - Accent3 12 4 5" xfId="7985"/>
    <cellStyle name="20% - Accent3 12 5" xfId="7986"/>
    <cellStyle name="20% - Accent3 12 5 2" xfId="7987"/>
    <cellStyle name="20% - Accent3 12 5 2 2" xfId="7988"/>
    <cellStyle name="20% - Accent3 12 5 2 2 2" xfId="7989"/>
    <cellStyle name="20% - Accent3 12 5 2 2 2 2" xfId="7990"/>
    <cellStyle name="20% - Accent3 12 5 2 2 3" xfId="7991"/>
    <cellStyle name="20% - Accent3 12 5 2 3" xfId="7992"/>
    <cellStyle name="20% - Accent3 12 5 2 3 2" xfId="7993"/>
    <cellStyle name="20% - Accent3 12 5 2 4" xfId="7994"/>
    <cellStyle name="20% - Accent3 12 5 3" xfId="7995"/>
    <cellStyle name="20% - Accent3 12 5 3 2" xfId="7996"/>
    <cellStyle name="20% - Accent3 12 5 3 2 2" xfId="7997"/>
    <cellStyle name="20% - Accent3 12 5 3 3" xfId="7998"/>
    <cellStyle name="20% - Accent3 12 5 4" xfId="7999"/>
    <cellStyle name="20% - Accent3 12 5 4 2" xfId="8000"/>
    <cellStyle name="20% - Accent3 12 5 5" xfId="8001"/>
    <cellStyle name="20% - Accent3 12 6" xfId="8002"/>
    <cellStyle name="20% - Accent3 12 6 2" xfId="8003"/>
    <cellStyle name="20% - Accent3 12 6 2 2" xfId="8004"/>
    <cellStyle name="20% - Accent3 12 6 2 2 2" xfId="8005"/>
    <cellStyle name="20% - Accent3 12 6 2 2 2 2" xfId="8006"/>
    <cellStyle name="20% - Accent3 12 6 2 2 3" xfId="8007"/>
    <cellStyle name="20% - Accent3 12 6 2 3" xfId="8008"/>
    <cellStyle name="20% - Accent3 12 6 2 3 2" xfId="8009"/>
    <cellStyle name="20% - Accent3 12 6 2 4" xfId="8010"/>
    <cellStyle name="20% - Accent3 12 6 3" xfId="8011"/>
    <cellStyle name="20% - Accent3 12 6 3 2" xfId="8012"/>
    <cellStyle name="20% - Accent3 12 6 3 2 2" xfId="8013"/>
    <cellStyle name="20% - Accent3 12 6 3 3" xfId="8014"/>
    <cellStyle name="20% - Accent3 12 6 4" xfId="8015"/>
    <cellStyle name="20% - Accent3 12 6 4 2" xfId="8016"/>
    <cellStyle name="20% - Accent3 12 6 5" xfId="8017"/>
    <cellStyle name="20% - Accent3 12 7" xfId="8018"/>
    <cellStyle name="20% - Accent3 12 7 2" xfId="8019"/>
    <cellStyle name="20% - Accent3 12 7 2 2" xfId="8020"/>
    <cellStyle name="20% - Accent3 12 7 2 2 2" xfId="8021"/>
    <cellStyle name="20% - Accent3 12 7 2 3" xfId="8022"/>
    <cellStyle name="20% - Accent3 12 7 3" xfId="8023"/>
    <cellStyle name="20% - Accent3 12 7 3 2" xfId="8024"/>
    <cellStyle name="20% - Accent3 12 7 4" xfId="8025"/>
    <cellStyle name="20% - Accent3 12 8" xfId="8026"/>
    <cellStyle name="20% - Accent3 12 8 2" xfId="8027"/>
    <cellStyle name="20% - Accent3 12 8 2 2" xfId="8028"/>
    <cellStyle name="20% - Accent3 12 8 3" xfId="8029"/>
    <cellStyle name="20% - Accent3 12 9" xfId="8030"/>
    <cellStyle name="20% - Accent3 12 9 2" xfId="8031"/>
    <cellStyle name="20% - Accent3 13" xfId="8032"/>
    <cellStyle name="20% - Accent3 13 10" xfId="8033"/>
    <cellStyle name="20% - Accent3 13 2" xfId="8034"/>
    <cellStyle name="20% - Accent3 13 2 2" xfId="8035"/>
    <cellStyle name="20% - Accent3 13 2 2 2" xfId="8036"/>
    <cellStyle name="20% - Accent3 13 2 2 2 2" xfId="8037"/>
    <cellStyle name="20% - Accent3 13 2 2 2 2 2" xfId="8038"/>
    <cellStyle name="20% - Accent3 13 2 2 2 3" xfId="8039"/>
    <cellStyle name="20% - Accent3 13 2 2 3" xfId="8040"/>
    <cellStyle name="20% - Accent3 13 2 2 3 2" xfId="8041"/>
    <cellStyle name="20% - Accent3 13 2 2 4" xfId="8042"/>
    <cellStyle name="20% - Accent3 13 2 3" xfId="8043"/>
    <cellStyle name="20% - Accent3 13 2 3 2" xfId="8044"/>
    <cellStyle name="20% - Accent3 13 2 3 2 2" xfId="8045"/>
    <cellStyle name="20% - Accent3 13 2 3 3" xfId="8046"/>
    <cellStyle name="20% - Accent3 13 2 4" xfId="8047"/>
    <cellStyle name="20% - Accent3 13 2 4 2" xfId="8048"/>
    <cellStyle name="20% - Accent3 13 2 5" xfId="8049"/>
    <cellStyle name="20% - Accent3 13 3" xfId="8050"/>
    <cellStyle name="20% - Accent3 13 3 2" xfId="8051"/>
    <cellStyle name="20% - Accent3 13 3 2 2" xfId="8052"/>
    <cellStyle name="20% - Accent3 13 3 2 2 2" xfId="8053"/>
    <cellStyle name="20% - Accent3 13 3 2 2 2 2" xfId="8054"/>
    <cellStyle name="20% - Accent3 13 3 2 2 3" xfId="8055"/>
    <cellStyle name="20% - Accent3 13 3 2 3" xfId="8056"/>
    <cellStyle name="20% - Accent3 13 3 2 3 2" xfId="8057"/>
    <cellStyle name="20% - Accent3 13 3 2 4" xfId="8058"/>
    <cellStyle name="20% - Accent3 13 3 3" xfId="8059"/>
    <cellStyle name="20% - Accent3 13 3 3 2" xfId="8060"/>
    <cellStyle name="20% - Accent3 13 3 3 2 2" xfId="8061"/>
    <cellStyle name="20% - Accent3 13 3 3 3" xfId="8062"/>
    <cellStyle name="20% - Accent3 13 3 4" xfId="8063"/>
    <cellStyle name="20% - Accent3 13 3 4 2" xfId="8064"/>
    <cellStyle name="20% - Accent3 13 3 5" xfId="8065"/>
    <cellStyle name="20% - Accent3 13 4" xfId="8066"/>
    <cellStyle name="20% - Accent3 13 4 2" xfId="8067"/>
    <cellStyle name="20% - Accent3 13 4 2 2" xfId="8068"/>
    <cellStyle name="20% - Accent3 13 4 2 2 2" xfId="8069"/>
    <cellStyle name="20% - Accent3 13 4 2 2 2 2" xfId="8070"/>
    <cellStyle name="20% - Accent3 13 4 2 2 3" xfId="8071"/>
    <cellStyle name="20% - Accent3 13 4 2 3" xfId="8072"/>
    <cellStyle name="20% - Accent3 13 4 2 3 2" xfId="8073"/>
    <cellStyle name="20% - Accent3 13 4 2 4" xfId="8074"/>
    <cellStyle name="20% - Accent3 13 4 3" xfId="8075"/>
    <cellStyle name="20% - Accent3 13 4 3 2" xfId="8076"/>
    <cellStyle name="20% - Accent3 13 4 3 2 2" xfId="8077"/>
    <cellStyle name="20% - Accent3 13 4 3 3" xfId="8078"/>
    <cellStyle name="20% - Accent3 13 4 4" xfId="8079"/>
    <cellStyle name="20% - Accent3 13 4 4 2" xfId="8080"/>
    <cellStyle name="20% - Accent3 13 4 5" xfId="8081"/>
    <cellStyle name="20% - Accent3 13 5" xfId="8082"/>
    <cellStyle name="20% - Accent3 13 5 2" xfId="8083"/>
    <cellStyle name="20% - Accent3 13 5 2 2" xfId="8084"/>
    <cellStyle name="20% - Accent3 13 5 2 2 2" xfId="8085"/>
    <cellStyle name="20% - Accent3 13 5 2 2 2 2" xfId="8086"/>
    <cellStyle name="20% - Accent3 13 5 2 2 3" xfId="8087"/>
    <cellStyle name="20% - Accent3 13 5 2 3" xfId="8088"/>
    <cellStyle name="20% - Accent3 13 5 2 3 2" xfId="8089"/>
    <cellStyle name="20% - Accent3 13 5 2 4" xfId="8090"/>
    <cellStyle name="20% - Accent3 13 5 3" xfId="8091"/>
    <cellStyle name="20% - Accent3 13 5 3 2" xfId="8092"/>
    <cellStyle name="20% - Accent3 13 5 3 2 2" xfId="8093"/>
    <cellStyle name="20% - Accent3 13 5 3 3" xfId="8094"/>
    <cellStyle name="20% - Accent3 13 5 4" xfId="8095"/>
    <cellStyle name="20% - Accent3 13 5 4 2" xfId="8096"/>
    <cellStyle name="20% - Accent3 13 5 5" xfId="8097"/>
    <cellStyle name="20% - Accent3 13 6" xfId="8098"/>
    <cellStyle name="20% - Accent3 13 6 2" xfId="8099"/>
    <cellStyle name="20% - Accent3 13 6 2 2" xfId="8100"/>
    <cellStyle name="20% - Accent3 13 6 2 2 2" xfId="8101"/>
    <cellStyle name="20% - Accent3 13 6 2 2 2 2" xfId="8102"/>
    <cellStyle name="20% - Accent3 13 6 2 2 3" xfId="8103"/>
    <cellStyle name="20% - Accent3 13 6 2 3" xfId="8104"/>
    <cellStyle name="20% - Accent3 13 6 2 3 2" xfId="8105"/>
    <cellStyle name="20% - Accent3 13 6 2 4" xfId="8106"/>
    <cellStyle name="20% - Accent3 13 6 3" xfId="8107"/>
    <cellStyle name="20% - Accent3 13 6 3 2" xfId="8108"/>
    <cellStyle name="20% - Accent3 13 6 3 2 2" xfId="8109"/>
    <cellStyle name="20% - Accent3 13 6 3 3" xfId="8110"/>
    <cellStyle name="20% - Accent3 13 6 4" xfId="8111"/>
    <cellStyle name="20% - Accent3 13 6 4 2" xfId="8112"/>
    <cellStyle name="20% - Accent3 13 6 5" xfId="8113"/>
    <cellStyle name="20% - Accent3 13 7" xfId="8114"/>
    <cellStyle name="20% - Accent3 13 7 2" xfId="8115"/>
    <cellStyle name="20% - Accent3 13 7 2 2" xfId="8116"/>
    <cellStyle name="20% - Accent3 13 7 2 2 2" xfId="8117"/>
    <cellStyle name="20% - Accent3 13 7 2 3" xfId="8118"/>
    <cellStyle name="20% - Accent3 13 7 3" xfId="8119"/>
    <cellStyle name="20% - Accent3 13 7 3 2" xfId="8120"/>
    <cellStyle name="20% - Accent3 13 7 4" xfId="8121"/>
    <cellStyle name="20% - Accent3 13 8" xfId="8122"/>
    <cellStyle name="20% - Accent3 13 8 2" xfId="8123"/>
    <cellStyle name="20% - Accent3 13 8 2 2" xfId="8124"/>
    <cellStyle name="20% - Accent3 13 8 3" xfId="8125"/>
    <cellStyle name="20% - Accent3 13 9" xfId="8126"/>
    <cellStyle name="20% - Accent3 13 9 2" xfId="8127"/>
    <cellStyle name="20% - Accent3 14" xfId="8128"/>
    <cellStyle name="20% - Accent3 14 2" xfId="8129"/>
    <cellStyle name="20% - Accent3 14 2 2" xfId="8130"/>
    <cellStyle name="20% - Accent3 14 2 2 2" xfId="8131"/>
    <cellStyle name="20% - Accent3 14 2 2 2 2" xfId="8132"/>
    <cellStyle name="20% - Accent3 14 2 2 3" xfId="8133"/>
    <cellStyle name="20% - Accent3 14 2 3" xfId="8134"/>
    <cellStyle name="20% - Accent3 14 2 3 2" xfId="8135"/>
    <cellStyle name="20% - Accent3 14 2 4" xfId="8136"/>
    <cellStyle name="20% - Accent3 14 3" xfId="8137"/>
    <cellStyle name="20% - Accent3 14 3 2" xfId="8138"/>
    <cellStyle name="20% - Accent3 14 3 2 2" xfId="8139"/>
    <cellStyle name="20% - Accent3 14 3 3" xfId="8140"/>
    <cellStyle name="20% - Accent3 14 4" xfId="8141"/>
    <cellStyle name="20% - Accent3 14 4 2" xfId="8142"/>
    <cellStyle name="20% - Accent3 14 5" xfId="8143"/>
    <cellStyle name="20% - Accent3 15" xfId="8144"/>
    <cellStyle name="20% - Accent3 15 2" xfId="8145"/>
    <cellStyle name="20% - Accent3 15 2 2" xfId="8146"/>
    <cellStyle name="20% - Accent3 15 2 2 2" xfId="8147"/>
    <cellStyle name="20% - Accent3 15 2 2 2 2" xfId="8148"/>
    <cellStyle name="20% - Accent3 15 2 2 3" xfId="8149"/>
    <cellStyle name="20% - Accent3 15 2 3" xfId="8150"/>
    <cellStyle name="20% - Accent3 15 2 3 2" xfId="8151"/>
    <cellStyle name="20% - Accent3 15 2 4" xfId="8152"/>
    <cellStyle name="20% - Accent3 15 3" xfId="8153"/>
    <cellStyle name="20% - Accent3 15 3 2" xfId="8154"/>
    <cellStyle name="20% - Accent3 15 3 2 2" xfId="8155"/>
    <cellStyle name="20% - Accent3 15 3 3" xfId="8156"/>
    <cellStyle name="20% - Accent3 15 4" xfId="8157"/>
    <cellStyle name="20% - Accent3 15 4 2" xfId="8158"/>
    <cellStyle name="20% - Accent3 15 5" xfId="8159"/>
    <cellStyle name="20% - Accent3 16" xfId="8160"/>
    <cellStyle name="20% - Accent3 16 2" xfId="8161"/>
    <cellStyle name="20% - Accent3 16 2 2" xfId="8162"/>
    <cellStyle name="20% - Accent3 16 2 2 2" xfId="8163"/>
    <cellStyle name="20% - Accent3 16 2 2 2 2" xfId="8164"/>
    <cellStyle name="20% - Accent3 16 2 2 3" xfId="8165"/>
    <cellStyle name="20% - Accent3 16 2 3" xfId="8166"/>
    <cellStyle name="20% - Accent3 16 2 3 2" xfId="8167"/>
    <cellStyle name="20% - Accent3 16 2 4" xfId="8168"/>
    <cellStyle name="20% - Accent3 16 3" xfId="8169"/>
    <cellStyle name="20% - Accent3 16 3 2" xfId="8170"/>
    <cellStyle name="20% - Accent3 16 3 2 2" xfId="8171"/>
    <cellStyle name="20% - Accent3 16 3 3" xfId="8172"/>
    <cellStyle name="20% - Accent3 16 4" xfId="8173"/>
    <cellStyle name="20% - Accent3 16 4 2" xfId="8174"/>
    <cellStyle name="20% - Accent3 16 5" xfId="8175"/>
    <cellStyle name="20% - Accent3 17" xfId="8176"/>
    <cellStyle name="20% - Accent3 17 2" xfId="8177"/>
    <cellStyle name="20% - Accent3 17 2 2" xfId="8178"/>
    <cellStyle name="20% - Accent3 17 2 2 2" xfId="8179"/>
    <cellStyle name="20% - Accent3 17 2 2 2 2" xfId="8180"/>
    <cellStyle name="20% - Accent3 17 2 2 3" xfId="8181"/>
    <cellStyle name="20% - Accent3 17 2 3" xfId="8182"/>
    <cellStyle name="20% - Accent3 17 2 3 2" xfId="8183"/>
    <cellStyle name="20% - Accent3 17 2 4" xfId="8184"/>
    <cellStyle name="20% - Accent3 17 3" xfId="8185"/>
    <cellStyle name="20% - Accent3 17 3 2" xfId="8186"/>
    <cellStyle name="20% - Accent3 17 3 2 2" xfId="8187"/>
    <cellStyle name="20% - Accent3 17 3 3" xfId="8188"/>
    <cellStyle name="20% - Accent3 17 4" xfId="8189"/>
    <cellStyle name="20% - Accent3 17 4 2" xfId="8190"/>
    <cellStyle name="20% - Accent3 17 5" xfId="8191"/>
    <cellStyle name="20% - Accent3 18" xfId="8192"/>
    <cellStyle name="20% - Accent3 18 2" xfId="8193"/>
    <cellStyle name="20% - Accent3 18 2 2" xfId="8194"/>
    <cellStyle name="20% - Accent3 18 2 2 2" xfId="8195"/>
    <cellStyle name="20% - Accent3 18 2 2 2 2" xfId="8196"/>
    <cellStyle name="20% - Accent3 18 2 2 3" xfId="8197"/>
    <cellStyle name="20% - Accent3 18 2 3" xfId="8198"/>
    <cellStyle name="20% - Accent3 18 2 3 2" xfId="8199"/>
    <cellStyle name="20% - Accent3 18 2 4" xfId="8200"/>
    <cellStyle name="20% - Accent3 18 3" xfId="8201"/>
    <cellStyle name="20% - Accent3 18 3 2" xfId="8202"/>
    <cellStyle name="20% - Accent3 18 3 2 2" xfId="8203"/>
    <cellStyle name="20% - Accent3 18 3 3" xfId="8204"/>
    <cellStyle name="20% - Accent3 18 4" xfId="8205"/>
    <cellStyle name="20% - Accent3 18 4 2" xfId="8206"/>
    <cellStyle name="20% - Accent3 18 5" xfId="8207"/>
    <cellStyle name="20% - Accent3 19" xfId="8208"/>
    <cellStyle name="20% - Accent3 19 2" xfId="8209"/>
    <cellStyle name="20% - Accent3 19 2 2" xfId="8210"/>
    <cellStyle name="20% - Accent3 19 2 2 2" xfId="8211"/>
    <cellStyle name="20% - Accent3 19 2 2 2 2" xfId="8212"/>
    <cellStyle name="20% - Accent3 19 2 2 3" xfId="8213"/>
    <cellStyle name="20% - Accent3 19 2 3" xfId="8214"/>
    <cellStyle name="20% - Accent3 19 2 3 2" xfId="8215"/>
    <cellStyle name="20% - Accent3 19 2 4" xfId="8216"/>
    <cellStyle name="20% - Accent3 19 3" xfId="8217"/>
    <cellStyle name="20% - Accent3 19 3 2" xfId="8218"/>
    <cellStyle name="20% - Accent3 19 3 2 2" xfId="8219"/>
    <cellStyle name="20% - Accent3 19 3 3" xfId="8220"/>
    <cellStyle name="20% - Accent3 19 4" xfId="8221"/>
    <cellStyle name="20% - Accent3 19 4 2" xfId="8222"/>
    <cellStyle name="20% - Accent3 19 5" xfId="8223"/>
    <cellStyle name="20% - Accent3 2" xfId="8224"/>
    <cellStyle name="20% - Accent3 2 10" xfId="8225"/>
    <cellStyle name="20% - Accent3 2 10 10" xfId="8226"/>
    <cellStyle name="20% - Accent3 2 10 2" xfId="8227"/>
    <cellStyle name="20% - Accent3 2 10 2 2" xfId="8228"/>
    <cellStyle name="20% - Accent3 2 10 2 2 2" xfId="8229"/>
    <cellStyle name="20% - Accent3 2 10 2 2 2 2" xfId="8230"/>
    <cellStyle name="20% - Accent3 2 10 2 2 2 2 2" xfId="8231"/>
    <cellStyle name="20% - Accent3 2 10 2 2 2 3" xfId="8232"/>
    <cellStyle name="20% - Accent3 2 10 2 2 3" xfId="8233"/>
    <cellStyle name="20% - Accent3 2 10 2 2 3 2" xfId="8234"/>
    <cellStyle name="20% - Accent3 2 10 2 2 4" xfId="8235"/>
    <cellStyle name="20% - Accent3 2 10 2 3" xfId="8236"/>
    <cellStyle name="20% - Accent3 2 10 2 3 2" xfId="8237"/>
    <cellStyle name="20% - Accent3 2 10 2 3 2 2" xfId="8238"/>
    <cellStyle name="20% - Accent3 2 10 2 3 3" xfId="8239"/>
    <cellStyle name="20% - Accent3 2 10 2 4" xfId="8240"/>
    <cellStyle name="20% - Accent3 2 10 2 4 2" xfId="8241"/>
    <cellStyle name="20% - Accent3 2 10 2 5" xfId="8242"/>
    <cellStyle name="20% - Accent3 2 10 3" xfId="8243"/>
    <cellStyle name="20% - Accent3 2 10 3 2" xfId="8244"/>
    <cellStyle name="20% - Accent3 2 10 3 2 2" xfId="8245"/>
    <cellStyle name="20% - Accent3 2 10 3 2 2 2" xfId="8246"/>
    <cellStyle name="20% - Accent3 2 10 3 2 2 2 2" xfId="8247"/>
    <cellStyle name="20% - Accent3 2 10 3 2 2 3" xfId="8248"/>
    <cellStyle name="20% - Accent3 2 10 3 2 3" xfId="8249"/>
    <cellStyle name="20% - Accent3 2 10 3 2 3 2" xfId="8250"/>
    <cellStyle name="20% - Accent3 2 10 3 2 4" xfId="8251"/>
    <cellStyle name="20% - Accent3 2 10 3 3" xfId="8252"/>
    <cellStyle name="20% - Accent3 2 10 3 3 2" xfId="8253"/>
    <cellStyle name="20% - Accent3 2 10 3 3 2 2" xfId="8254"/>
    <cellStyle name="20% - Accent3 2 10 3 3 3" xfId="8255"/>
    <cellStyle name="20% - Accent3 2 10 3 4" xfId="8256"/>
    <cellStyle name="20% - Accent3 2 10 3 4 2" xfId="8257"/>
    <cellStyle name="20% - Accent3 2 10 3 5" xfId="8258"/>
    <cellStyle name="20% - Accent3 2 10 4" xfId="8259"/>
    <cellStyle name="20% - Accent3 2 10 4 2" xfId="8260"/>
    <cellStyle name="20% - Accent3 2 10 4 2 2" xfId="8261"/>
    <cellStyle name="20% - Accent3 2 10 4 2 2 2" xfId="8262"/>
    <cellStyle name="20% - Accent3 2 10 4 2 2 2 2" xfId="8263"/>
    <cellStyle name="20% - Accent3 2 10 4 2 2 3" xfId="8264"/>
    <cellStyle name="20% - Accent3 2 10 4 2 3" xfId="8265"/>
    <cellStyle name="20% - Accent3 2 10 4 2 3 2" xfId="8266"/>
    <cellStyle name="20% - Accent3 2 10 4 2 4" xfId="8267"/>
    <cellStyle name="20% - Accent3 2 10 4 3" xfId="8268"/>
    <cellStyle name="20% - Accent3 2 10 4 3 2" xfId="8269"/>
    <cellStyle name="20% - Accent3 2 10 4 3 2 2" xfId="8270"/>
    <cellStyle name="20% - Accent3 2 10 4 3 3" xfId="8271"/>
    <cellStyle name="20% - Accent3 2 10 4 4" xfId="8272"/>
    <cellStyle name="20% - Accent3 2 10 4 4 2" xfId="8273"/>
    <cellStyle name="20% - Accent3 2 10 4 5" xfId="8274"/>
    <cellStyle name="20% - Accent3 2 10 5" xfId="8275"/>
    <cellStyle name="20% - Accent3 2 10 5 2" xfId="8276"/>
    <cellStyle name="20% - Accent3 2 10 5 2 2" xfId="8277"/>
    <cellStyle name="20% - Accent3 2 10 5 2 2 2" xfId="8278"/>
    <cellStyle name="20% - Accent3 2 10 5 2 2 2 2" xfId="8279"/>
    <cellStyle name="20% - Accent3 2 10 5 2 2 3" xfId="8280"/>
    <cellStyle name="20% - Accent3 2 10 5 2 3" xfId="8281"/>
    <cellStyle name="20% - Accent3 2 10 5 2 3 2" xfId="8282"/>
    <cellStyle name="20% - Accent3 2 10 5 2 4" xfId="8283"/>
    <cellStyle name="20% - Accent3 2 10 5 3" xfId="8284"/>
    <cellStyle name="20% - Accent3 2 10 5 3 2" xfId="8285"/>
    <cellStyle name="20% - Accent3 2 10 5 3 2 2" xfId="8286"/>
    <cellStyle name="20% - Accent3 2 10 5 3 3" xfId="8287"/>
    <cellStyle name="20% - Accent3 2 10 5 4" xfId="8288"/>
    <cellStyle name="20% - Accent3 2 10 5 4 2" xfId="8289"/>
    <cellStyle name="20% - Accent3 2 10 5 5" xfId="8290"/>
    <cellStyle name="20% - Accent3 2 10 6" xfId="8291"/>
    <cellStyle name="20% - Accent3 2 10 6 2" xfId="8292"/>
    <cellStyle name="20% - Accent3 2 10 6 2 2" xfId="8293"/>
    <cellStyle name="20% - Accent3 2 10 6 2 2 2" xfId="8294"/>
    <cellStyle name="20% - Accent3 2 10 6 2 2 2 2" xfId="8295"/>
    <cellStyle name="20% - Accent3 2 10 6 2 2 3" xfId="8296"/>
    <cellStyle name="20% - Accent3 2 10 6 2 3" xfId="8297"/>
    <cellStyle name="20% - Accent3 2 10 6 2 3 2" xfId="8298"/>
    <cellStyle name="20% - Accent3 2 10 6 2 4" xfId="8299"/>
    <cellStyle name="20% - Accent3 2 10 6 3" xfId="8300"/>
    <cellStyle name="20% - Accent3 2 10 6 3 2" xfId="8301"/>
    <cellStyle name="20% - Accent3 2 10 6 3 2 2" xfId="8302"/>
    <cellStyle name="20% - Accent3 2 10 6 3 3" xfId="8303"/>
    <cellStyle name="20% - Accent3 2 10 6 4" xfId="8304"/>
    <cellStyle name="20% - Accent3 2 10 6 4 2" xfId="8305"/>
    <cellStyle name="20% - Accent3 2 10 6 5" xfId="8306"/>
    <cellStyle name="20% - Accent3 2 10 7" xfId="8307"/>
    <cellStyle name="20% - Accent3 2 10 7 2" xfId="8308"/>
    <cellStyle name="20% - Accent3 2 10 7 2 2" xfId="8309"/>
    <cellStyle name="20% - Accent3 2 10 7 2 2 2" xfId="8310"/>
    <cellStyle name="20% - Accent3 2 10 7 2 3" xfId="8311"/>
    <cellStyle name="20% - Accent3 2 10 7 3" xfId="8312"/>
    <cellStyle name="20% - Accent3 2 10 7 3 2" xfId="8313"/>
    <cellStyle name="20% - Accent3 2 10 7 4" xfId="8314"/>
    <cellStyle name="20% - Accent3 2 10 8" xfId="8315"/>
    <cellStyle name="20% - Accent3 2 10 8 2" xfId="8316"/>
    <cellStyle name="20% - Accent3 2 10 8 2 2" xfId="8317"/>
    <cellStyle name="20% - Accent3 2 10 8 3" xfId="8318"/>
    <cellStyle name="20% - Accent3 2 10 9" xfId="8319"/>
    <cellStyle name="20% - Accent3 2 10 9 2" xfId="8320"/>
    <cellStyle name="20% - Accent3 2 11" xfId="8321"/>
    <cellStyle name="20% - Accent3 2 11 2" xfId="8322"/>
    <cellStyle name="20% - Accent3 2 11 2 2" xfId="8323"/>
    <cellStyle name="20% - Accent3 2 11 2 2 2" xfId="8324"/>
    <cellStyle name="20% - Accent3 2 11 2 2 2 2" xfId="8325"/>
    <cellStyle name="20% - Accent3 2 11 2 2 3" xfId="8326"/>
    <cellStyle name="20% - Accent3 2 11 2 3" xfId="8327"/>
    <cellStyle name="20% - Accent3 2 11 2 3 2" xfId="8328"/>
    <cellStyle name="20% - Accent3 2 11 2 4" xfId="8329"/>
    <cellStyle name="20% - Accent3 2 11 3" xfId="8330"/>
    <cellStyle name="20% - Accent3 2 11 3 2" xfId="8331"/>
    <cellStyle name="20% - Accent3 2 11 3 2 2" xfId="8332"/>
    <cellStyle name="20% - Accent3 2 11 3 3" xfId="8333"/>
    <cellStyle name="20% - Accent3 2 11 4" xfId="8334"/>
    <cellStyle name="20% - Accent3 2 11 4 2" xfId="8335"/>
    <cellStyle name="20% - Accent3 2 11 5" xfId="8336"/>
    <cellStyle name="20% - Accent3 2 12" xfId="8337"/>
    <cellStyle name="20% - Accent3 2 12 2" xfId="8338"/>
    <cellStyle name="20% - Accent3 2 12 2 2" xfId="8339"/>
    <cellStyle name="20% - Accent3 2 12 2 2 2" xfId="8340"/>
    <cellStyle name="20% - Accent3 2 12 2 2 2 2" xfId="8341"/>
    <cellStyle name="20% - Accent3 2 12 2 2 3" xfId="8342"/>
    <cellStyle name="20% - Accent3 2 12 2 3" xfId="8343"/>
    <cellStyle name="20% - Accent3 2 12 2 3 2" xfId="8344"/>
    <cellStyle name="20% - Accent3 2 12 2 4" xfId="8345"/>
    <cellStyle name="20% - Accent3 2 12 3" xfId="8346"/>
    <cellStyle name="20% - Accent3 2 12 3 2" xfId="8347"/>
    <cellStyle name="20% - Accent3 2 12 3 2 2" xfId="8348"/>
    <cellStyle name="20% - Accent3 2 12 3 3" xfId="8349"/>
    <cellStyle name="20% - Accent3 2 12 4" xfId="8350"/>
    <cellStyle name="20% - Accent3 2 12 4 2" xfId="8351"/>
    <cellStyle name="20% - Accent3 2 12 5" xfId="8352"/>
    <cellStyle name="20% - Accent3 2 13" xfId="8353"/>
    <cellStyle name="20% - Accent3 2 13 2" xfId="8354"/>
    <cellStyle name="20% - Accent3 2 13 2 2" xfId="8355"/>
    <cellStyle name="20% - Accent3 2 13 2 2 2" xfId="8356"/>
    <cellStyle name="20% - Accent3 2 13 2 2 2 2" xfId="8357"/>
    <cellStyle name="20% - Accent3 2 13 2 2 3" xfId="8358"/>
    <cellStyle name="20% - Accent3 2 13 2 3" xfId="8359"/>
    <cellStyle name="20% - Accent3 2 13 2 3 2" xfId="8360"/>
    <cellStyle name="20% - Accent3 2 13 2 4" xfId="8361"/>
    <cellStyle name="20% - Accent3 2 13 3" xfId="8362"/>
    <cellStyle name="20% - Accent3 2 13 3 2" xfId="8363"/>
    <cellStyle name="20% - Accent3 2 13 3 2 2" xfId="8364"/>
    <cellStyle name="20% - Accent3 2 13 3 3" xfId="8365"/>
    <cellStyle name="20% - Accent3 2 13 4" xfId="8366"/>
    <cellStyle name="20% - Accent3 2 13 4 2" xfId="8367"/>
    <cellStyle name="20% - Accent3 2 13 5" xfId="8368"/>
    <cellStyle name="20% - Accent3 2 14" xfId="8369"/>
    <cellStyle name="20% - Accent3 2 14 2" xfId="8370"/>
    <cellStyle name="20% - Accent3 2 14 2 2" xfId="8371"/>
    <cellStyle name="20% - Accent3 2 14 2 2 2" xfId="8372"/>
    <cellStyle name="20% - Accent3 2 14 2 2 2 2" xfId="8373"/>
    <cellStyle name="20% - Accent3 2 14 2 2 3" xfId="8374"/>
    <cellStyle name="20% - Accent3 2 14 2 3" xfId="8375"/>
    <cellStyle name="20% - Accent3 2 14 2 3 2" xfId="8376"/>
    <cellStyle name="20% - Accent3 2 14 2 4" xfId="8377"/>
    <cellStyle name="20% - Accent3 2 14 3" xfId="8378"/>
    <cellStyle name="20% - Accent3 2 14 3 2" xfId="8379"/>
    <cellStyle name="20% - Accent3 2 14 3 2 2" xfId="8380"/>
    <cellStyle name="20% - Accent3 2 14 3 3" xfId="8381"/>
    <cellStyle name="20% - Accent3 2 14 4" xfId="8382"/>
    <cellStyle name="20% - Accent3 2 14 4 2" xfId="8383"/>
    <cellStyle name="20% - Accent3 2 14 5" xfId="8384"/>
    <cellStyle name="20% - Accent3 2 15" xfId="8385"/>
    <cellStyle name="20% - Accent3 2 15 2" xfId="8386"/>
    <cellStyle name="20% - Accent3 2 15 2 2" xfId="8387"/>
    <cellStyle name="20% - Accent3 2 15 2 2 2" xfId="8388"/>
    <cellStyle name="20% - Accent3 2 15 2 2 2 2" xfId="8389"/>
    <cellStyle name="20% - Accent3 2 15 2 2 3" xfId="8390"/>
    <cellStyle name="20% - Accent3 2 15 2 3" xfId="8391"/>
    <cellStyle name="20% - Accent3 2 15 2 3 2" xfId="8392"/>
    <cellStyle name="20% - Accent3 2 15 2 4" xfId="8393"/>
    <cellStyle name="20% - Accent3 2 15 3" xfId="8394"/>
    <cellStyle name="20% - Accent3 2 15 3 2" xfId="8395"/>
    <cellStyle name="20% - Accent3 2 15 3 2 2" xfId="8396"/>
    <cellStyle name="20% - Accent3 2 15 3 3" xfId="8397"/>
    <cellStyle name="20% - Accent3 2 15 4" xfId="8398"/>
    <cellStyle name="20% - Accent3 2 15 4 2" xfId="8399"/>
    <cellStyle name="20% - Accent3 2 15 5" xfId="8400"/>
    <cellStyle name="20% - Accent3 2 16" xfId="8401"/>
    <cellStyle name="20% - Accent3 2 16 2" xfId="8402"/>
    <cellStyle name="20% - Accent3 2 16 2 2" xfId="8403"/>
    <cellStyle name="20% - Accent3 2 16 2 2 2" xfId="8404"/>
    <cellStyle name="20% - Accent3 2 16 2 3" xfId="8405"/>
    <cellStyle name="20% - Accent3 2 16 3" xfId="8406"/>
    <cellStyle name="20% - Accent3 2 16 3 2" xfId="8407"/>
    <cellStyle name="20% - Accent3 2 16 4" xfId="8408"/>
    <cellStyle name="20% - Accent3 2 17" xfId="8409"/>
    <cellStyle name="20% - Accent3 2 17 2" xfId="8410"/>
    <cellStyle name="20% - Accent3 2 17 2 2" xfId="8411"/>
    <cellStyle name="20% - Accent3 2 17 3" xfId="8412"/>
    <cellStyle name="20% - Accent3 2 18" xfId="8413"/>
    <cellStyle name="20% - Accent3 2 18 2" xfId="8414"/>
    <cellStyle name="20% - Accent3 2 19" xfId="8415"/>
    <cellStyle name="20% - Accent3 2 2" xfId="8416"/>
    <cellStyle name="20% - Accent3 2 2 10" xfId="8417"/>
    <cellStyle name="20% - Accent3 2 2 10 2" xfId="8418"/>
    <cellStyle name="20% - Accent3 2 2 11" xfId="8419"/>
    <cellStyle name="20% - Accent3 2 2 2" xfId="8420"/>
    <cellStyle name="20% - Accent3 2 2 2 10" xfId="8421"/>
    <cellStyle name="20% - Accent3 2 2 2 2" xfId="8422"/>
    <cellStyle name="20% - Accent3 2 2 2 2 2" xfId="8423"/>
    <cellStyle name="20% - Accent3 2 2 2 2 2 2" xfId="8424"/>
    <cellStyle name="20% - Accent3 2 2 2 2 2 2 2" xfId="8425"/>
    <cellStyle name="20% - Accent3 2 2 2 2 2 2 2 2" xfId="8426"/>
    <cellStyle name="20% - Accent3 2 2 2 2 2 2 3" xfId="8427"/>
    <cellStyle name="20% - Accent3 2 2 2 2 2 3" xfId="8428"/>
    <cellStyle name="20% - Accent3 2 2 2 2 2 3 2" xfId="8429"/>
    <cellStyle name="20% - Accent3 2 2 2 2 2 4" xfId="8430"/>
    <cellStyle name="20% - Accent3 2 2 2 2 3" xfId="8431"/>
    <cellStyle name="20% - Accent3 2 2 2 2 3 2" xfId="8432"/>
    <cellStyle name="20% - Accent3 2 2 2 2 3 2 2" xfId="8433"/>
    <cellStyle name="20% - Accent3 2 2 2 2 3 3" xfId="8434"/>
    <cellStyle name="20% - Accent3 2 2 2 2 4" xfId="8435"/>
    <cellStyle name="20% - Accent3 2 2 2 2 4 2" xfId="8436"/>
    <cellStyle name="20% - Accent3 2 2 2 2 5" xfId="8437"/>
    <cellStyle name="20% - Accent3 2 2 2 3" xfId="8438"/>
    <cellStyle name="20% - Accent3 2 2 2 3 2" xfId="8439"/>
    <cellStyle name="20% - Accent3 2 2 2 3 2 2" xfId="8440"/>
    <cellStyle name="20% - Accent3 2 2 2 3 2 2 2" xfId="8441"/>
    <cellStyle name="20% - Accent3 2 2 2 3 2 2 2 2" xfId="8442"/>
    <cellStyle name="20% - Accent3 2 2 2 3 2 2 3" xfId="8443"/>
    <cellStyle name="20% - Accent3 2 2 2 3 2 3" xfId="8444"/>
    <cellStyle name="20% - Accent3 2 2 2 3 2 3 2" xfId="8445"/>
    <cellStyle name="20% - Accent3 2 2 2 3 2 4" xfId="8446"/>
    <cellStyle name="20% - Accent3 2 2 2 3 3" xfId="8447"/>
    <cellStyle name="20% - Accent3 2 2 2 3 3 2" xfId="8448"/>
    <cellStyle name="20% - Accent3 2 2 2 3 3 2 2" xfId="8449"/>
    <cellStyle name="20% - Accent3 2 2 2 3 3 3" xfId="8450"/>
    <cellStyle name="20% - Accent3 2 2 2 3 4" xfId="8451"/>
    <cellStyle name="20% - Accent3 2 2 2 3 4 2" xfId="8452"/>
    <cellStyle name="20% - Accent3 2 2 2 3 5" xfId="8453"/>
    <cellStyle name="20% - Accent3 2 2 2 4" xfId="8454"/>
    <cellStyle name="20% - Accent3 2 2 2 4 2" xfId="8455"/>
    <cellStyle name="20% - Accent3 2 2 2 4 2 2" xfId="8456"/>
    <cellStyle name="20% - Accent3 2 2 2 4 2 2 2" xfId="8457"/>
    <cellStyle name="20% - Accent3 2 2 2 4 2 2 2 2" xfId="8458"/>
    <cellStyle name="20% - Accent3 2 2 2 4 2 2 3" xfId="8459"/>
    <cellStyle name="20% - Accent3 2 2 2 4 2 3" xfId="8460"/>
    <cellStyle name="20% - Accent3 2 2 2 4 2 3 2" xfId="8461"/>
    <cellStyle name="20% - Accent3 2 2 2 4 2 4" xfId="8462"/>
    <cellStyle name="20% - Accent3 2 2 2 4 3" xfId="8463"/>
    <cellStyle name="20% - Accent3 2 2 2 4 3 2" xfId="8464"/>
    <cellStyle name="20% - Accent3 2 2 2 4 3 2 2" xfId="8465"/>
    <cellStyle name="20% - Accent3 2 2 2 4 3 3" xfId="8466"/>
    <cellStyle name="20% - Accent3 2 2 2 4 4" xfId="8467"/>
    <cellStyle name="20% - Accent3 2 2 2 4 4 2" xfId="8468"/>
    <cellStyle name="20% - Accent3 2 2 2 4 5" xfId="8469"/>
    <cellStyle name="20% - Accent3 2 2 2 5" xfId="8470"/>
    <cellStyle name="20% - Accent3 2 2 2 5 2" xfId="8471"/>
    <cellStyle name="20% - Accent3 2 2 2 5 2 2" xfId="8472"/>
    <cellStyle name="20% - Accent3 2 2 2 5 2 2 2" xfId="8473"/>
    <cellStyle name="20% - Accent3 2 2 2 5 2 2 2 2" xfId="8474"/>
    <cellStyle name="20% - Accent3 2 2 2 5 2 2 3" xfId="8475"/>
    <cellStyle name="20% - Accent3 2 2 2 5 2 3" xfId="8476"/>
    <cellStyle name="20% - Accent3 2 2 2 5 2 3 2" xfId="8477"/>
    <cellStyle name="20% - Accent3 2 2 2 5 2 4" xfId="8478"/>
    <cellStyle name="20% - Accent3 2 2 2 5 3" xfId="8479"/>
    <cellStyle name="20% - Accent3 2 2 2 5 3 2" xfId="8480"/>
    <cellStyle name="20% - Accent3 2 2 2 5 3 2 2" xfId="8481"/>
    <cellStyle name="20% - Accent3 2 2 2 5 3 3" xfId="8482"/>
    <cellStyle name="20% - Accent3 2 2 2 5 4" xfId="8483"/>
    <cellStyle name="20% - Accent3 2 2 2 5 4 2" xfId="8484"/>
    <cellStyle name="20% - Accent3 2 2 2 5 5" xfId="8485"/>
    <cellStyle name="20% - Accent3 2 2 2 6" xfId="8486"/>
    <cellStyle name="20% - Accent3 2 2 2 6 2" xfId="8487"/>
    <cellStyle name="20% - Accent3 2 2 2 6 2 2" xfId="8488"/>
    <cellStyle name="20% - Accent3 2 2 2 6 2 2 2" xfId="8489"/>
    <cellStyle name="20% - Accent3 2 2 2 6 2 2 2 2" xfId="8490"/>
    <cellStyle name="20% - Accent3 2 2 2 6 2 2 3" xfId="8491"/>
    <cellStyle name="20% - Accent3 2 2 2 6 2 3" xfId="8492"/>
    <cellStyle name="20% - Accent3 2 2 2 6 2 3 2" xfId="8493"/>
    <cellStyle name="20% - Accent3 2 2 2 6 2 4" xfId="8494"/>
    <cellStyle name="20% - Accent3 2 2 2 6 3" xfId="8495"/>
    <cellStyle name="20% - Accent3 2 2 2 6 3 2" xfId="8496"/>
    <cellStyle name="20% - Accent3 2 2 2 6 3 2 2" xfId="8497"/>
    <cellStyle name="20% - Accent3 2 2 2 6 3 3" xfId="8498"/>
    <cellStyle name="20% - Accent3 2 2 2 6 4" xfId="8499"/>
    <cellStyle name="20% - Accent3 2 2 2 6 4 2" xfId="8500"/>
    <cellStyle name="20% - Accent3 2 2 2 6 5" xfId="8501"/>
    <cellStyle name="20% - Accent3 2 2 2 7" xfId="8502"/>
    <cellStyle name="20% - Accent3 2 2 2 7 2" xfId="8503"/>
    <cellStyle name="20% - Accent3 2 2 2 7 2 2" xfId="8504"/>
    <cellStyle name="20% - Accent3 2 2 2 7 2 2 2" xfId="8505"/>
    <cellStyle name="20% - Accent3 2 2 2 7 2 3" xfId="8506"/>
    <cellStyle name="20% - Accent3 2 2 2 7 3" xfId="8507"/>
    <cellStyle name="20% - Accent3 2 2 2 7 3 2" xfId="8508"/>
    <cellStyle name="20% - Accent3 2 2 2 7 4" xfId="8509"/>
    <cellStyle name="20% - Accent3 2 2 2 8" xfId="8510"/>
    <cellStyle name="20% - Accent3 2 2 2 8 2" xfId="8511"/>
    <cellStyle name="20% - Accent3 2 2 2 8 2 2" xfId="8512"/>
    <cellStyle name="20% - Accent3 2 2 2 8 3" xfId="8513"/>
    <cellStyle name="20% - Accent3 2 2 2 9" xfId="8514"/>
    <cellStyle name="20% - Accent3 2 2 2 9 2" xfId="8515"/>
    <cellStyle name="20% - Accent3 2 2 3" xfId="8516"/>
    <cellStyle name="20% - Accent3 2 2 3 2" xfId="8517"/>
    <cellStyle name="20% - Accent3 2 2 3 2 2" xfId="8518"/>
    <cellStyle name="20% - Accent3 2 2 3 2 2 2" xfId="8519"/>
    <cellStyle name="20% - Accent3 2 2 3 2 2 2 2" xfId="8520"/>
    <cellStyle name="20% - Accent3 2 2 3 2 2 3" xfId="8521"/>
    <cellStyle name="20% - Accent3 2 2 3 2 3" xfId="8522"/>
    <cellStyle name="20% - Accent3 2 2 3 2 3 2" xfId="8523"/>
    <cellStyle name="20% - Accent3 2 2 3 2 4" xfId="8524"/>
    <cellStyle name="20% - Accent3 2 2 3 3" xfId="8525"/>
    <cellStyle name="20% - Accent3 2 2 3 3 2" xfId="8526"/>
    <cellStyle name="20% - Accent3 2 2 3 3 2 2" xfId="8527"/>
    <cellStyle name="20% - Accent3 2 2 3 3 3" xfId="8528"/>
    <cellStyle name="20% - Accent3 2 2 3 4" xfId="8529"/>
    <cellStyle name="20% - Accent3 2 2 3 4 2" xfId="8530"/>
    <cellStyle name="20% - Accent3 2 2 3 5" xfId="8531"/>
    <cellStyle name="20% - Accent3 2 2 4" xfId="8532"/>
    <cellStyle name="20% - Accent3 2 2 4 2" xfId="8533"/>
    <cellStyle name="20% - Accent3 2 2 4 2 2" xfId="8534"/>
    <cellStyle name="20% - Accent3 2 2 4 2 2 2" xfId="8535"/>
    <cellStyle name="20% - Accent3 2 2 4 2 2 2 2" xfId="8536"/>
    <cellStyle name="20% - Accent3 2 2 4 2 2 3" xfId="8537"/>
    <cellStyle name="20% - Accent3 2 2 4 2 3" xfId="8538"/>
    <cellStyle name="20% - Accent3 2 2 4 2 3 2" xfId="8539"/>
    <cellStyle name="20% - Accent3 2 2 4 2 4" xfId="8540"/>
    <cellStyle name="20% - Accent3 2 2 4 3" xfId="8541"/>
    <cellStyle name="20% - Accent3 2 2 4 3 2" xfId="8542"/>
    <cellStyle name="20% - Accent3 2 2 4 3 2 2" xfId="8543"/>
    <cellStyle name="20% - Accent3 2 2 4 3 3" xfId="8544"/>
    <cellStyle name="20% - Accent3 2 2 4 4" xfId="8545"/>
    <cellStyle name="20% - Accent3 2 2 4 4 2" xfId="8546"/>
    <cellStyle name="20% - Accent3 2 2 4 5" xfId="8547"/>
    <cellStyle name="20% - Accent3 2 2 5" xfId="8548"/>
    <cellStyle name="20% - Accent3 2 2 5 2" xfId="8549"/>
    <cellStyle name="20% - Accent3 2 2 5 2 2" xfId="8550"/>
    <cellStyle name="20% - Accent3 2 2 5 2 2 2" xfId="8551"/>
    <cellStyle name="20% - Accent3 2 2 5 2 2 2 2" xfId="8552"/>
    <cellStyle name="20% - Accent3 2 2 5 2 2 3" xfId="8553"/>
    <cellStyle name="20% - Accent3 2 2 5 2 3" xfId="8554"/>
    <cellStyle name="20% - Accent3 2 2 5 2 3 2" xfId="8555"/>
    <cellStyle name="20% - Accent3 2 2 5 2 4" xfId="8556"/>
    <cellStyle name="20% - Accent3 2 2 5 3" xfId="8557"/>
    <cellStyle name="20% - Accent3 2 2 5 3 2" xfId="8558"/>
    <cellStyle name="20% - Accent3 2 2 5 3 2 2" xfId="8559"/>
    <cellStyle name="20% - Accent3 2 2 5 3 3" xfId="8560"/>
    <cellStyle name="20% - Accent3 2 2 5 4" xfId="8561"/>
    <cellStyle name="20% - Accent3 2 2 5 4 2" xfId="8562"/>
    <cellStyle name="20% - Accent3 2 2 5 5" xfId="8563"/>
    <cellStyle name="20% - Accent3 2 2 6" xfId="8564"/>
    <cellStyle name="20% - Accent3 2 2 6 2" xfId="8565"/>
    <cellStyle name="20% - Accent3 2 2 6 2 2" xfId="8566"/>
    <cellStyle name="20% - Accent3 2 2 6 2 2 2" xfId="8567"/>
    <cellStyle name="20% - Accent3 2 2 6 2 2 2 2" xfId="8568"/>
    <cellStyle name="20% - Accent3 2 2 6 2 2 3" xfId="8569"/>
    <cellStyle name="20% - Accent3 2 2 6 2 3" xfId="8570"/>
    <cellStyle name="20% - Accent3 2 2 6 2 3 2" xfId="8571"/>
    <cellStyle name="20% - Accent3 2 2 6 2 4" xfId="8572"/>
    <cellStyle name="20% - Accent3 2 2 6 3" xfId="8573"/>
    <cellStyle name="20% - Accent3 2 2 6 3 2" xfId="8574"/>
    <cellStyle name="20% - Accent3 2 2 6 3 2 2" xfId="8575"/>
    <cellStyle name="20% - Accent3 2 2 6 3 3" xfId="8576"/>
    <cellStyle name="20% - Accent3 2 2 6 4" xfId="8577"/>
    <cellStyle name="20% - Accent3 2 2 6 4 2" xfId="8578"/>
    <cellStyle name="20% - Accent3 2 2 6 5" xfId="8579"/>
    <cellStyle name="20% - Accent3 2 2 7" xfId="8580"/>
    <cellStyle name="20% - Accent3 2 2 7 2" xfId="8581"/>
    <cellStyle name="20% - Accent3 2 2 7 2 2" xfId="8582"/>
    <cellStyle name="20% - Accent3 2 2 7 2 2 2" xfId="8583"/>
    <cellStyle name="20% - Accent3 2 2 7 2 2 2 2" xfId="8584"/>
    <cellStyle name="20% - Accent3 2 2 7 2 2 3" xfId="8585"/>
    <cellStyle name="20% - Accent3 2 2 7 2 3" xfId="8586"/>
    <cellStyle name="20% - Accent3 2 2 7 2 3 2" xfId="8587"/>
    <cellStyle name="20% - Accent3 2 2 7 2 4" xfId="8588"/>
    <cellStyle name="20% - Accent3 2 2 7 3" xfId="8589"/>
    <cellStyle name="20% - Accent3 2 2 7 3 2" xfId="8590"/>
    <cellStyle name="20% - Accent3 2 2 7 3 2 2" xfId="8591"/>
    <cellStyle name="20% - Accent3 2 2 7 3 3" xfId="8592"/>
    <cellStyle name="20% - Accent3 2 2 7 4" xfId="8593"/>
    <cellStyle name="20% - Accent3 2 2 7 4 2" xfId="8594"/>
    <cellStyle name="20% - Accent3 2 2 7 5" xfId="8595"/>
    <cellStyle name="20% - Accent3 2 2 8" xfId="8596"/>
    <cellStyle name="20% - Accent3 2 2 8 2" xfId="8597"/>
    <cellStyle name="20% - Accent3 2 2 8 2 2" xfId="8598"/>
    <cellStyle name="20% - Accent3 2 2 8 2 2 2" xfId="8599"/>
    <cellStyle name="20% - Accent3 2 2 8 2 3" xfId="8600"/>
    <cellStyle name="20% - Accent3 2 2 8 3" xfId="8601"/>
    <cellStyle name="20% - Accent3 2 2 8 3 2" xfId="8602"/>
    <cellStyle name="20% - Accent3 2 2 8 4" xfId="8603"/>
    <cellStyle name="20% - Accent3 2 2 9" xfId="8604"/>
    <cellStyle name="20% - Accent3 2 2 9 2" xfId="8605"/>
    <cellStyle name="20% - Accent3 2 2 9 2 2" xfId="8606"/>
    <cellStyle name="20% - Accent3 2 2 9 3" xfId="8607"/>
    <cellStyle name="20% - Accent3 2 3" xfId="8608"/>
    <cellStyle name="20% - Accent3 2 3 10" xfId="8609"/>
    <cellStyle name="20% - Accent3 2 3 10 2" xfId="8610"/>
    <cellStyle name="20% - Accent3 2 3 11" xfId="8611"/>
    <cellStyle name="20% - Accent3 2 3 2" xfId="8612"/>
    <cellStyle name="20% - Accent3 2 3 2 10" xfId="8613"/>
    <cellStyle name="20% - Accent3 2 3 2 2" xfId="8614"/>
    <cellStyle name="20% - Accent3 2 3 2 2 2" xfId="8615"/>
    <cellStyle name="20% - Accent3 2 3 2 2 2 2" xfId="8616"/>
    <cellStyle name="20% - Accent3 2 3 2 2 2 2 2" xfId="8617"/>
    <cellStyle name="20% - Accent3 2 3 2 2 2 2 2 2" xfId="8618"/>
    <cellStyle name="20% - Accent3 2 3 2 2 2 2 3" xfId="8619"/>
    <cellStyle name="20% - Accent3 2 3 2 2 2 3" xfId="8620"/>
    <cellStyle name="20% - Accent3 2 3 2 2 2 3 2" xfId="8621"/>
    <cellStyle name="20% - Accent3 2 3 2 2 2 4" xfId="8622"/>
    <cellStyle name="20% - Accent3 2 3 2 2 3" xfId="8623"/>
    <cellStyle name="20% - Accent3 2 3 2 2 3 2" xfId="8624"/>
    <cellStyle name="20% - Accent3 2 3 2 2 3 2 2" xfId="8625"/>
    <cellStyle name="20% - Accent3 2 3 2 2 3 3" xfId="8626"/>
    <cellStyle name="20% - Accent3 2 3 2 2 4" xfId="8627"/>
    <cellStyle name="20% - Accent3 2 3 2 2 4 2" xfId="8628"/>
    <cellStyle name="20% - Accent3 2 3 2 2 5" xfId="8629"/>
    <cellStyle name="20% - Accent3 2 3 2 3" xfId="8630"/>
    <cellStyle name="20% - Accent3 2 3 2 3 2" xfId="8631"/>
    <cellStyle name="20% - Accent3 2 3 2 3 2 2" xfId="8632"/>
    <cellStyle name="20% - Accent3 2 3 2 3 2 2 2" xfId="8633"/>
    <cellStyle name="20% - Accent3 2 3 2 3 2 2 2 2" xfId="8634"/>
    <cellStyle name="20% - Accent3 2 3 2 3 2 2 3" xfId="8635"/>
    <cellStyle name="20% - Accent3 2 3 2 3 2 3" xfId="8636"/>
    <cellStyle name="20% - Accent3 2 3 2 3 2 3 2" xfId="8637"/>
    <cellStyle name="20% - Accent3 2 3 2 3 2 4" xfId="8638"/>
    <cellStyle name="20% - Accent3 2 3 2 3 3" xfId="8639"/>
    <cellStyle name="20% - Accent3 2 3 2 3 3 2" xfId="8640"/>
    <cellStyle name="20% - Accent3 2 3 2 3 3 2 2" xfId="8641"/>
    <cellStyle name="20% - Accent3 2 3 2 3 3 3" xfId="8642"/>
    <cellStyle name="20% - Accent3 2 3 2 3 4" xfId="8643"/>
    <cellStyle name="20% - Accent3 2 3 2 3 4 2" xfId="8644"/>
    <cellStyle name="20% - Accent3 2 3 2 3 5" xfId="8645"/>
    <cellStyle name="20% - Accent3 2 3 2 4" xfId="8646"/>
    <cellStyle name="20% - Accent3 2 3 2 4 2" xfId="8647"/>
    <cellStyle name="20% - Accent3 2 3 2 4 2 2" xfId="8648"/>
    <cellStyle name="20% - Accent3 2 3 2 4 2 2 2" xfId="8649"/>
    <cellStyle name="20% - Accent3 2 3 2 4 2 2 2 2" xfId="8650"/>
    <cellStyle name="20% - Accent3 2 3 2 4 2 2 3" xfId="8651"/>
    <cellStyle name="20% - Accent3 2 3 2 4 2 3" xfId="8652"/>
    <cellStyle name="20% - Accent3 2 3 2 4 2 3 2" xfId="8653"/>
    <cellStyle name="20% - Accent3 2 3 2 4 2 4" xfId="8654"/>
    <cellStyle name="20% - Accent3 2 3 2 4 3" xfId="8655"/>
    <cellStyle name="20% - Accent3 2 3 2 4 3 2" xfId="8656"/>
    <cellStyle name="20% - Accent3 2 3 2 4 3 2 2" xfId="8657"/>
    <cellStyle name="20% - Accent3 2 3 2 4 3 3" xfId="8658"/>
    <cellStyle name="20% - Accent3 2 3 2 4 4" xfId="8659"/>
    <cellStyle name="20% - Accent3 2 3 2 4 4 2" xfId="8660"/>
    <cellStyle name="20% - Accent3 2 3 2 4 5" xfId="8661"/>
    <cellStyle name="20% - Accent3 2 3 2 5" xfId="8662"/>
    <cellStyle name="20% - Accent3 2 3 2 5 2" xfId="8663"/>
    <cellStyle name="20% - Accent3 2 3 2 5 2 2" xfId="8664"/>
    <cellStyle name="20% - Accent3 2 3 2 5 2 2 2" xfId="8665"/>
    <cellStyle name="20% - Accent3 2 3 2 5 2 2 2 2" xfId="8666"/>
    <cellStyle name="20% - Accent3 2 3 2 5 2 2 3" xfId="8667"/>
    <cellStyle name="20% - Accent3 2 3 2 5 2 3" xfId="8668"/>
    <cellStyle name="20% - Accent3 2 3 2 5 2 3 2" xfId="8669"/>
    <cellStyle name="20% - Accent3 2 3 2 5 2 4" xfId="8670"/>
    <cellStyle name="20% - Accent3 2 3 2 5 3" xfId="8671"/>
    <cellStyle name="20% - Accent3 2 3 2 5 3 2" xfId="8672"/>
    <cellStyle name="20% - Accent3 2 3 2 5 3 2 2" xfId="8673"/>
    <cellStyle name="20% - Accent3 2 3 2 5 3 3" xfId="8674"/>
    <cellStyle name="20% - Accent3 2 3 2 5 4" xfId="8675"/>
    <cellStyle name="20% - Accent3 2 3 2 5 4 2" xfId="8676"/>
    <cellStyle name="20% - Accent3 2 3 2 5 5" xfId="8677"/>
    <cellStyle name="20% - Accent3 2 3 2 6" xfId="8678"/>
    <cellStyle name="20% - Accent3 2 3 2 6 2" xfId="8679"/>
    <cellStyle name="20% - Accent3 2 3 2 6 2 2" xfId="8680"/>
    <cellStyle name="20% - Accent3 2 3 2 6 2 2 2" xfId="8681"/>
    <cellStyle name="20% - Accent3 2 3 2 6 2 2 2 2" xfId="8682"/>
    <cellStyle name="20% - Accent3 2 3 2 6 2 2 3" xfId="8683"/>
    <cellStyle name="20% - Accent3 2 3 2 6 2 3" xfId="8684"/>
    <cellStyle name="20% - Accent3 2 3 2 6 2 3 2" xfId="8685"/>
    <cellStyle name="20% - Accent3 2 3 2 6 2 4" xfId="8686"/>
    <cellStyle name="20% - Accent3 2 3 2 6 3" xfId="8687"/>
    <cellStyle name="20% - Accent3 2 3 2 6 3 2" xfId="8688"/>
    <cellStyle name="20% - Accent3 2 3 2 6 3 2 2" xfId="8689"/>
    <cellStyle name="20% - Accent3 2 3 2 6 3 3" xfId="8690"/>
    <cellStyle name="20% - Accent3 2 3 2 6 4" xfId="8691"/>
    <cellStyle name="20% - Accent3 2 3 2 6 4 2" xfId="8692"/>
    <cellStyle name="20% - Accent3 2 3 2 6 5" xfId="8693"/>
    <cellStyle name="20% - Accent3 2 3 2 7" xfId="8694"/>
    <cellStyle name="20% - Accent3 2 3 2 7 2" xfId="8695"/>
    <cellStyle name="20% - Accent3 2 3 2 7 2 2" xfId="8696"/>
    <cellStyle name="20% - Accent3 2 3 2 7 2 2 2" xfId="8697"/>
    <cellStyle name="20% - Accent3 2 3 2 7 2 3" xfId="8698"/>
    <cellStyle name="20% - Accent3 2 3 2 7 3" xfId="8699"/>
    <cellStyle name="20% - Accent3 2 3 2 7 3 2" xfId="8700"/>
    <cellStyle name="20% - Accent3 2 3 2 7 4" xfId="8701"/>
    <cellStyle name="20% - Accent3 2 3 2 8" xfId="8702"/>
    <cellStyle name="20% - Accent3 2 3 2 8 2" xfId="8703"/>
    <cellStyle name="20% - Accent3 2 3 2 8 2 2" xfId="8704"/>
    <cellStyle name="20% - Accent3 2 3 2 8 3" xfId="8705"/>
    <cellStyle name="20% - Accent3 2 3 2 9" xfId="8706"/>
    <cellStyle name="20% - Accent3 2 3 2 9 2" xfId="8707"/>
    <cellStyle name="20% - Accent3 2 3 3" xfId="8708"/>
    <cellStyle name="20% - Accent3 2 3 3 2" xfId="8709"/>
    <cellStyle name="20% - Accent3 2 3 3 2 2" xfId="8710"/>
    <cellStyle name="20% - Accent3 2 3 3 2 2 2" xfId="8711"/>
    <cellStyle name="20% - Accent3 2 3 3 2 2 2 2" xfId="8712"/>
    <cellStyle name="20% - Accent3 2 3 3 2 2 3" xfId="8713"/>
    <cellStyle name="20% - Accent3 2 3 3 2 3" xfId="8714"/>
    <cellStyle name="20% - Accent3 2 3 3 2 3 2" xfId="8715"/>
    <cellStyle name="20% - Accent3 2 3 3 2 4" xfId="8716"/>
    <cellStyle name="20% - Accent3 2 3 3 3" xfId="8717"/>
    <cellStyle name="20% - Accent3 2 3 3 3 2" xfId="8718"/>
    <cellStyle name="20% - Accent3 2 3 3 3 2 2" xfId="8719"/>
    <cellStyle name="20% - Accent3 2 3 3 3 3" xfId="8720"/>
    <cellStyle name="20% - Accent3 2 3 3 4" xfId="8721"/>
    <cellStyle name="20% - Accent3 2 3 3 4 2" xfId="8722"/>
    <cellStyle name="20% - Accent3 2 3 3 5" xfId="8723"/>
    <cellStyle name="20% - Accent3 2 3 4" xfId="8724"/>
    <cellStyle name="20% - Accent3 2 3 4 2" xfId="8725"/>
    <cellStyle name="20% - Accent3 2 3 4 2 2" xfId="8726"/>
    <cellStyle name="20% - Accent3 2 3 4 2 2 2" xfId="8727"/>
    <cellStyle name="20% - Accent3 2 3 4 2 2 2 2" xfId="8728"/>
    <cellStyle name="20% - Accent3 2 3 4 2 2 3" xfId="8729"/>
    <cellStyle name="20% - Accent3 2 3 4 2 3" xfId="8730"/>
    <cellStyle name="20% - Accent3 2 3 4 2 3 2" xfId="8731"/>
    <cellStyle name="20% - Accent3 2 3 4 2 4" xfId="8732"/>
    <cellStyle name="20% - Accent3 2 3 4 3" xfId="8733"/>
    <cellStyle name="20% - Accent3 2 3 4 3 2" xfId="8734"/>
    <cellStyle name="20% - Accent3 2 3 4 3 2 2" xfId="8735"/>
    <cellStyle name="20% - Accent3 2 3 4 3 3" xfId="8736"/>
    <cellStyle name="20% - Accent3 2 3 4 4" xfId="8737"/>
    <cellStyle name="20% - Accent3 2 3 4 4 2" xfId="8738"/>
    <cellStyle name="20% - Accent3 2 3 4 5" xfId="8739"/>
    <cellStyle name="20% - Accent3 2 3 5" xfId="8740"/>
    <cellStyle name="20% - Accent3 2 3 5 2" xfId="8741"/>
    <cellStyle name="20% - Accent3 2 3 5 2 2" xfId="8742"/>
    <cellStyle name="20% - Accent3 2 3 5 2 2 2" xfId="8743"/>
    <cellStyle name="20% - Accent3 2 3 5 2 2 2 2" xfId="8744"/>
    <cellStyle name="20% - Accent3 2 3 5 2 2 3" xfId="8745"/>
    <cellStyle name="20% - Accent3 2 3 5 2 3" xfId="8746"/>
    <cellStyle name="20% - Accent3 2 3 5 2 3 2" xfId="8747"/>
    <cellStyle name="20% - Accent3 2 3 5 2 4" xfId="8748"/>
    <cellStyle name="20% - Accent3 2 3 5 3" xfId="8749"/>
    <cellStyle name="20% - Accent3 2 3 5 3 2" xfId="8750"/>
    <cellStyle name="20% - Accent3 2 3 5 3 2 2" xfId="8751"/>
    <cellStyle name="20% - Accent3 2 3 5 3 3" xfId="8752"/>
    <cellStyle name="20% - Accent3 2 3 5 4" xfId="8753"/>
    <cellStyle name="20% - Accent3 2 3 5 4 2" xfId="8754"/>
    <cellStyle name="20% - Accent3 2 3 5 5" xfId="8755"/>
    <cellStyle name="20% - Accent3 2 3 6" xfId="8756"/>
    <cellStyle name="20% - Accent3 2 3 6 2" xfId="8757"/>
    <cellStyle name="20% - Accent3 2 3 6 2 2" xfId="8758"/>
    <cellStyle name="20% - Accent3 2 3 6 2 2 2" xfId="8759"/>
    <cellStyle name="20% - Accent3 2 3 6 2 2 2 2" xfId="8760"/>
    <cellStyle name="20% - Accent3 2 3 6 2 2 3" xfId="8761"/>
    <cellStyle name="20% - Accent3 2 3 6 2 3" xfId="8762"/>
    <cellStyle name="20% - Accent3 2 3 6 2 3 2" xfId="8763"/>
    <cellStyle name="20% - Accent3 2 3 6 2 4" xfId="8764"/>
    <cellStyle name="20% - Accent3 2 3 6 3" xfId="8765"/>
    <cellStyle name="20% - Accent3 2 3 6 3 2" xfId="8766"/>
    <cellStyle name="20% - Accent3 2 3 6 3 2 2" xfId="8767"/>
    <cellStyle name="20% - Accent3 2 3 6 3 3" xfId="8768"/>
    <cellStyle name="20% - Accent3 2 3 6 4" xfId="8769"/>
    <cellStyle name="20% - Accent3 2 3 6 4 2" xfId="8770"/>
    <cellStyle name="20% - Accent3 2 3 6 5" xfId="8771"/>
    <cellStyle name="20% - Accent3 2 3 7" xfId="8772"/>
    <cellStyle name="20% - Accent3 2 3 7 2" xfId="8773"/>
    <cellStyle name="20% - Accent3 2 3 7 2 2" xfId="8774"/>
    <cellStyle name="20% - Accent3 2 3 7 2 2 2" xfId="8775"/>
    <cellStyle name="20% - Accent3 2 3 7 2 2 2 2" xfId="8776"/>
    <cellStyle name="20% - Accent3 2 3 7 2 2 3" xfId="8777"/>
    <cellStyle name="20% - Accent3 2 3 7 2 3" xfId="8778"/>
    <cellStyle name="20% - Accent3 2 3 7 2 3 2" xfId="8779"/>
    <cellStyle name="20% - Accent3 2 3 7 2 4" xfId="8780"/>
    <cellStyle name="20% - Accent3 2 3 7 3" xfId="8781"/>
    <cellStyle name="20% - Accent3 2 3 7 3 2" xfId="8782"/>
    <cellStyle name="20% - Accent3 2 3 7 3 2 2" xfId="8783"/>
    <cellStyle name="20% - Accent3 2 3 7 3 3" xfId="8784"/>
    <cellStyle name="20% - Accent3 2 3 7 4" xfId="8785"/>
    <cellStyle name="20% - Accent3 2 3 7 4 2" xfId="8786"/>
    <cellStyle name="20% - Accent3 2 3 7 5" xfId="8787"/>
    <cellStyle name="20% - Accent3 2 3 8" xfId="8788"/>
    <cellStyle name="20% - Accent3 2 3 8 2" xfId="8789"/>
    <cellStyle name="20% - Accent3 2 3 8 2 2" xfId="8790"/>
    <cellStyle name="20% - Accent3 2 3 8 2 2 2" xfId="8791"/>
    <cellStyle name="20% - Accent3 2 3 8 2 3" xfId="8792"/>
    <cellStyle name="20% - Accent3 2 3 8 3" xfId="8793"/>
    <cellStyle name="20% - Accent3 2 3 8 3 2" xfId="8794"/>
    <cellStyle name="20% - Accent3 2 3 8 4" xfId="8795"/>
    <cellStyle name="20% - Accent3 2 3 9" xfId="8796"/>
    <cellStyle name="20% - Accent3 2 3 9 2" xfId="8797"/>
    <cellStyle name="20% - Accent3 2 3 9 2 2" xfId="8798"/>
    <cellStyle name="20% - Accent3 2 3 9 3" xfId="8799"/>
    <cellStyle name="20% - Accent3 2 4" xfId="8800"/>
    <cellStyle name="20% - Accent3 2 4 10" xfId="8801"/>
    <cellStyle name="20% - Accent3 2 4 10 2" xfId="8802"/>
    <cellStyle name="20% - Accent3 2 4 11" xfId="8803"/>
    <cellStyle name="20% - Accent3 2 4 2" xfId="8804"/>
    <cellStyle name="20% - Accent3 2 4 2 10" xfId="8805"/>
    <cellStyle name="20% - Accent3 2 4 2 2" xfId="8806"/>
    <cellStyle name="20% - Accent3 2 4 2 2 2" xfId="8807"/>
    <cellStyle name="20% - Accent3 2 4 2 2 2 2" xfId="8808"/>
    <cellStyle name="20% - Accent3 2 4 2 2 2 2 2" xfId="8809"/>
    <cellStyle name="20% - Accent3 2 4 2 2 2 2 2 2" xfId="8810"/>
    <cellStyle name="20% - Accent3 2 4 2 2 2 2 3" xfId="8811"/>
    <cellStyle name="20% - Accent3 2 4 2 2 2 3" xfId="8812"/>
    <cellStyle name="20% - Accent3 2 4 2 2 2 3 2" xfId="8813"/>
    <cellStyle name="20% - Accent3 2 4 2 2 2 4" xfId="8814"/>
    <cellStyle name="20% - Accent3 2 4 2 2 3" xfId="8815"/>
    <cellStyle name="20% - Accent3 2 4 2 2 3 2" xfId="8816"/>
    <cellStyle name="20% - Accent3 2 4 2 2 3 2 2" xfId="8817"/>
    <cellStyle name="20% - Accent3 2 4 2 2 3 3" xfId="8818"/>
    <cellStyle name="20% - Accent3 2 4 2 2 4" xfId="8819"/>
    <cellStyle name="20% - Accent3 2 4 2 2 4 2" xfId="8820"/>
    <cellStyle name="20% - Accent3 2 4 2 2 5" xfId="8821"/>
    <cellStyle name="20% - Accent3 2 4 2 3" xfId="8822"/>
    <cellStyle name="20% - Accent3 2 4 2 3 2" xfId="8823"/>
    <cellStyle name="20% - Accent3 2 4 2 3 2 2" xfId="8824"/>
    <cellStyle name="20% - Accent3 2 4 2 3 2 2 2" xfId="8825"/>
    <cellStyle name="20% - Accent3 2 4 2 3 2 2 2 2" xfId="8826"/>
    <cellStyle name="20% - Accent3 2 4 2 3 2 2 3" xfId="8827"/>
    <cellStyle name="20% - Accent3 2 4 2 3 2 3" xfId="8828"/>
    <cellStyle name="20% - Accent3 2 4 2 3 2 3 2" xfId="8829"/>
    <cellStyle name="20% - Accent3 2 4 2 3 2 4" xfId="8830"/>
    <cellStyle name="20% - Accent3 2 4 2 3 3" xfId="8831"/>
    <cellStyle name="20% - Accent3 2 4 2 3 3 2" xfId="8832"/>
    <cellStyle name="20% - Accent3 2 4 2 3 3 2 2" xfId="8833"/>
    <cellStyle name="20% - Accent3 2 4 2 3 3 3" xfId="8834"/>
    <cellStyle name="20% - Accent3 2 4 2 3 4" xfId="8835"/>
    <cellStyle name="20% - Accent3 2 4 2 3 4 2" xfId="8836"/>
    <cellStyle name="20% - Accent3 2 4 2 3 5" xfId="8837"/>
    <cellStyle name="20% - Accent3 2 4 2 4" xfId="8838"/>
    <cellStyle name="20% - Accent3 2 4 2 4 2" xfId="8839"/>
    <cellStyle name="20% - Accent3 2 4 2 4 2 2" xfId="8840"/>
    <cellStyle name="20% - Accent3 2 4 2 4 2 2 2" xfId="8841"/>
    <cellStyle name="20% - Accent3 2 4 2 4 2 2 2 2" xfId="8842"/>
    <cellStyle name="20% - Accent3 2 4 2 4 2 2 3" xfId="8843"/>
    <cellStyle name="20% - Accent3 2 4 2 4 2 3" xfId="8844"/>
    <cellStyle name="20% - Accent3 2 4 2 4 2 3 2" xfId="8845"/>
    <cellStyle name="20% - Accent3 2 4 2 4 2 4" xfId="8846"/>
    <cellStyle name="20% - Accent3 2 4 2 4 3" xfId="8847"/>
    <cellStyle name="20% - Accent3 2 4 2 4 3 2" xfId="8848"/>
    <cellStyle name="20% - Accent3 2 4 2 4 3 2 2" xfId="8849"/>
    <cellStyle name="20% - Accent3 2 4 2 4 3 3" xfId="8850"/>
    <cellStyle name="20% - Accent3 2 4 2 4 4" xfId="8851"/>
    <cellStyle name="20% - Accent3 2 4 2 4 4 2" xfId="8852"/>
    <cellStyle name="20% - Accent3 2 4 2 4 5" xfId="8853"/>
    <cellStyle name="20% - Accent3 2 4 2 5" xfId="8854"/>
    <cellStyle name="20% - Accent3 2 4 2 5 2" xfId="8855"/>
    <cellStyle name="20% - Accent3 2 4 2 5 2 2" xfId="8856"/>
    <cellStyle name="20% - Accent3 2 4 2 5 2 2 2" xfId="8857"/>
    <cellStyle name="20% - Accent3 2 4 2 5 2 2 2 2" xfId="8858"/>
    <cellStyle name="20% - Accent3 2 4 2 5 2 2 3" xfId="8859"/>
    <cellStyle name="20% - Accent3 2 4 2 5 2 3" xfId="8860"/>
    <cellStyle name="20% - Accent3 2 4 2 5 2 3 2" xfId="8861"/>
    <cellStyle name="20% - Accent3 2 4 2 5 2 4" xfId="8862"/>
    <cellStyle name="20% - Accent3 2 4 2 5 3" xfId="8863"/>
    <cellStyle name="20% - Accent3 2 4 2 5 3 2" xfId="8864"/>
    <cellStyle name="20% - Accent3 2 4 2 5 3 2 2" xfId="8865"/>
    <cellStyle name="20% - Accent3 2 4 2 5 3 3" xfId="8866"/>
    <cellStyle name="20% - Accent3 2 4 2 5 4" xfId="8867"/>
    <cellStyle name="20% - Accent3 2 4 2 5 4 2" xfId="8868"/>
    <cellStyle name="20% - Accent3 2 4 2 5 5" xfId="8869"/>
    <cellStyle name="20% - Accent3 2 4 2 6" xfId="8870"/>
    <cellStyle name="20% - Accent3 2 4 2 6 2" xfId="8871"/>
    <cellStyle name="20% - Accent3 2 4 2 6 2 2" xfId="8872"/>
    <cellStyle name="20% - Accent3 2 4 2 6 2 2 2" xfId="8873"/>
    <cellStyle name="20% - Accent3 2 4 2 6 2 2 2 2" xfId="8874"/>
    <cellStyle name="20% - Accent3 2 4 2 6 2 2 3" xfId="8875"/>
    <cellStyle name="20% - Accent3 2 4 2 6 2 3" xfId="8876"/>
    <cellStyle name="20% - Accent3 2 4 2 6 2 3 2" xfId="8877"/>
    <cellStyle name="20% - Accent3 2 4 2 6 2 4" xfId="8878"/>
    <cellStyle name="20% - Accent3 2 4 2 6 3" xfId="8879"/>
    <cellStyle name="20% - Accent3 2 4 2 6 3 2" xfId="8880"/>
    <cellStyle name="20% - Accent3 2 4 2 6 3 2 2" xfId="8881"/>
    <cellStyle name="20% - Accent3 2 4 2 6 3 3" xfId="8882"/>
    <cellStyle name="20% - Accent3 2 4 2 6 4" xfId="8883"/>
    <cellStyle name="20% - Accent3 2 4 2 6 4 2" xfId="8884"/>
    <cellStyle name="20% - Accent3 2 4 2 6 5" xfId="8885"/>
    <cellStyle name="20% - Accent3 2 4 2 7" xfId="8886"/>
    <cellStyle name="20% - Accent3 2 4 2 7 2" xfId="8887"/>
    <cellStyle name="20% - Accent3 2 4 2 7 2 2" xfId="8888"/>
    <cellStyle name="20% - Accent3 2 4 2 7 2 2 2" xfId="8889"/>
    <cellStyle name="20% - Accent3 2 4 2 7 2 3" xfId="8890"/>
    <cellStyle name="20% - Accent3 2 4 2 7 3" xfId="8891"/>
    <cellStyle name="20% - Accent3 2 4 2 7 3 2" xfId="8892"/>
    <cellStyle name="20% - Accent3 2 4 2 7 4" xfId="8893"/>
    <cellStyle name="20% - Accent3 2 4 2 8" xfId="8894"/>
    <cellStyle name="20% - Accent3 2 4 2 8 2" xfId="8895"/>
    <cellStyle name="20% - Accent3 2 4 2 8 2 2" xfId="8896"/>
    <cellStyle name="20% - Accent3 2 4 2 8 3" xfId="8897"/>
    <cellStyle name="20% - Accent3 2 4 2 9" xfId="8898"/>
    <cellStyle name="20% - Accent3 2 4 2 9 2" xfId="8899"/>
    <cellStyle name="20% - Accent3 2 4 3" xfId="8900"/>
    <cellStyle name="20% - Accent3 2 4 3 2" xfId="8901"/>
    <cellStyle name="20% - Accent3 2 4 3 2 2" xfId="8902"/>
    <cellStyle name="20% - Accent3 2 4 3 2 2 2" xfId="8903"/>
    <cellStyle name="20% - Accent3 2 4 3 2 2 2 2" xfId="8904"/>
    <cellStyle name="20% - Accent3 2 4 3 2 2 3" xfId="8905"/>
    <cellStyle name="20% - Accent3 2 4 3 2 3" xfId="8906"/>
    <cellStyle name="20% - Accent3 2 4 3 2 3 2" xfId="8907"/>
    <cellStyle name="20% - Accent3 2 4 3 2 4" xfId="8908"/>
    <cellStyle name="20% - Accent3 2 4 3 3" xfId="8909"/>
    <cellStyle name="20% - Accent3 2 4 3 3 2" xfId="8910"/>
    <cellStyle name="20% - Accent3 2 4 3 3 2 2" xfId="8911"/>
    <cellStyle name="20% - Accent3 2 4 3 3 3" xfId="8912"/>
    <cellStyle name="20% - Accent3 2 4 3 4" xfId="8913"/>
    <cellStyle name="20% - Accent3 2 4 3 4 2" xfId="8914"/>
    <cellStyle name="20% - Accent3 2 4 3 5" xfId="8915"/>
    <cellStyle name="20% - Accent3 2 4 4" xfId="8916"/>
    <cellStyle name="20% - Accent3 2 4 4 2" xfId="8917"/>
    <cellStyle name="20% - Accent3 2 4 4 2 2" xfId="8918"/>
    <cellStyle name="20% - Accent3 2 4 4 2 2 2" xfId="8919"/>
    <cellStyle name="20% - Accent3 2 4 4 2 2 2 2" xfId="8920"/>
    <cellStyle name="20% - Accent3 2 4 4 2 2 3" xfId="8921"/>
    <cellStyle name="20% - Accent3 2 4 4 2 3" xfId="8922"/>
    <cellStyle name="20% - Accent3 2 4 4 2 3 2" xfId="8923"/>
    <cellStyle name="20% - Accent3 2 4 4 2 4" xfId="8924"/>
    <cellStyle name="20% - Accent3 2 4 4 3" xfId="8925"/>
    <cellStyle name="20% - Accent3 2 4 4 3 2" xfId="8926"/>
    <cellStyle name="20% - Accent3 2 4 4 3 2 2" xfId="8927"/>
    <cellStyle name="20% - Accent3 2 4 4 3 3" xfId="8928"/>
    <cellStyle name="20% - Accent3 2 4 4 4" xfId="8929"/>
    <cellStyle name="20% - Accent3 2 4 4 4 2" xfId="8930"/>
    <cellStyle name="20% - Accent3 2 4 4 5" xfId="8931"/>
    <cellStyle name="20% - Accent3 2 4 5" xfId="8932"/>
    <cellStyle name="20% - Accent3 2 4 5 2" xfId="8933"/>
    <cellStyle name="20% - Accent3 2 4 5 2 2" xfId="8934"/>
    <cellStyle name="20% - Accent3 2 4 5 2 2 2" xfId="8935"/>
    <cellStyle name="20% - Accent3 2 4 5 2 2 2 2" xfId="8936"/>
    <cellStyle name="20% - Accent3 2 4 5 2 2 3" xfId="8937"/>
    <cellStyle name="20% - Accent3 2 4 5 2 3" xfId="8938"/>
    <cellStyle name="20% - Accent3 2 4 5 2 3 2" xfId="8939"/>
    <cellStyle name="20% - Accent3 2 4 5 2 4" xfId="8940"/>
    <cellStyle name="20% - Accent3 2 4 5 3" xfId="8941"/>
    <cellStyle name="20% - Accent3 2 4 5 3 2" xfId="8942"/>
    <cellStyle name="20% - Accent3 2 4 5 3 2 2" xfId="8943"/>
    <cellStyle name="20% - Accent3 2 4 5 3 3" xfId="8944"/>
    <cellStyle name="20% - Accent3 2 4 5 4" xfId="8945"/>
    <cellStyle name="20% - Accent3 2 4 5 4 2" xfId="8946"/>
    <cellStyle name="20% - Accent3 2 4 5 5" xfId="8947"/>
    <cellStyle name="20% - Accent3 2 4 6" xfId="8948"/>
    <cellStyle name="20% - Accent3 2 4 6 2" xfId="8949"/>
    <cellStyle name="20% - Accent3 2 4 6 2 2" xfId="8950"/>
    <cellStyle name="20% - Accent3 2 4 6 2 2 2" xfId="8951"/>
    <cellStyle name="20% - Accent3 2 4 6 2 2 2 2" xfId="8952"/>
    <cellStyle name="20% - Accent3 2 4 6 2 2 3" xfId="8953"/>
    <cellStyle name="20% - Accent3 2 4 6 2 3" xfId="8954"/>
    <cellStyle name="20% - Accent3 2 4 6 2 3 2" xfId="8955"/>
    <cellStyle name="20% - Accent3 2 4 6 2 4" xfId="8956"/>
    <cellStyle name="20% - Accent3 2 4 6 3" xfId="8957"/>
    <cellStyle name="20% - Accent3 2 4 6 3 2" xfId="8958"/>
    <cellStyle name="20% - Accent3 2 4 6 3 2 2" xfId="8959"/>
    <cellStyle name="20% - Accent3 2 4 6 3 3" xfId="8960"/>
    <cellStyle name="20% - Accent3 2 4 6 4" xfId="8961"/>
    <cellStyle name="20% - Accent3 2 4 6 4 2" xfId="8962"/>
    <cellStyle name="20% - Accent3 2 4 6 5" xfId="8963"/>
    <cellStyle name="20% - Accent3 2 4 7" xfId="8964"/>
    <cellStyle name="20% - Accent3 2 4 7 2" xfId="8965"/>
    <cellStyle name="20% - Accent3 2 4 7 2 2" xfId="8966"/>
    <cellStyle name="20% - Accent3 2 4 7 2 2 2" xfId="8967"/>
    <cellStyle name="20% - Accent3 2 4 7 2 2 2 2" xfId="8968"/>
    <cellStyle name="20% - Accent3 2 4 7 2 2 3" xfId="8969"/>
    <cellStyle name="20% - Accent3 2 4 7 2 3" xfId="8970"/>
    <cellStyle name="20% - Accent3 2 4 7 2 3 2" xfId="8971"/>
    <cellStyle name="20% - Accent3 2 4 7 2 4" xfId="8972"/>
    <cellStyle name="20% - Accent3 2 4 7 3" xfId="8973"/>
    <cellStyle name="20% - Accent3 2 4 7 3 2" xfId="8974"/>
    <cellStyle name="20% - Accent3 2 4 7 3 2 2" xfId="8975"/>
    <cellStyle name="20% - Accent3 2 4 7 3 3" xfId="8976"/>
    <cellStyle name="20% - Accent3 2 4 7 4" xfId="8977"/>
    <cellStyle name="20% - Accent3 2 4 7 4 2" xfId="8978"/>
    <cellStyle name="20% - Accent3 2 4 7 5" xfId="8979"/>
    <cellStyle name="20% - Accent3 2 4 8" xfId="8980"/>
    <cellStyle name="20% - Accent3 2 4 8 2" xfId="8981"/>
    <cellStyle name="20% - Accent3 2 4 8 2 2" xfId="8982"/>
    <cellStyle name="20% - Accent3 2 4 8 2 2 2" xfId="8983"/>
    <cellStyle name="20% - Accent3 2 4 8 2 3" xfId="8984"/>
    <cellStyle name="20% - Accent3 2 4 8 3" xfId="8985"/>
    <cellStyle name="20% - Accent3 2 4 8 3 2" xfId="8986"/>
    <cellStyle name="20% - Accent3 2 4 8 4" xfId="8987"/>
    <cellStyle name="20% - Accent3 2 4 9" xfId="8988"/>
    <cellStyle name="20% - Accent3 2 4 9 2" xfId="8989"/>
    <cellStyle name="20% - Accent3 2 4 9 2 2" xfId="8990"/>
    <cellStyle name="20% - Accent3 2 4 9 3" xfId="8991"/>
    <cellStyle name="20% - Accent3 2 5" xfId="8992"/>
    <cellStyle name="20% - Accent3 2 5 10" xfId="8993"/>
    <cellStyle name="20% - Accent3 2 5 10 2" xfId="8994"/>
    <cellStyle name="20% - Accent3 2 5 11" xfId="8995"/>
    <cellStyle name="20% - Accent3 2 5 2" xfId="8996"/>
    <cellStyle name="20% - Accent3 2 5 2 10" xfId="8997"/>
    <cellStyle name="20% - Accent3 2 5 2 2" xfId="8998"/>
    <cellStyle name="20% - Accent3 2 5 2 2 2" xfId="8999"/>
    <cellStyle name="20% - Accent3 2 5 2 2 2 2" xfId="9000"/>
    <cellStyle name="20% - Accent3 2 5 2 2 2 2 2" xfId="9001"/>
    <cellStyle name="20% - Accent3 2 5 2 2 2 2 2 2" xfId="9002"/>
    <cellStyle name="20% - Accent3 2 5 2 2 2 2 3" xfId="9003"/>
    <cellStyle name="20% - Accent3 2 5 2 2 2 3" xfId="9004"/>
    <cellStyle name="20% - Accent3 2 5 2 2 2 3 2" xfId="9005"/>
    <cellStyle name="20% - Accent3 2 5 2 2 2 4" xfId="9006"/>
    <cellStyle name="20% - Accent3 2 5 2 2 3" xfId="9007"/>
    <cellStyle name="20% - Accent3 2 5 2 2 3 2" xfId="9008"/>
    <cellStyle name="20% - Accent3 2 5 2 2 3 2 2" xfId="9009"/>
    <cellStyle name="20% - Accent3 2 5 2 2 3 3" xfId="9010"/>
    <cellStyle name="20% - Accent3 2 5 2 2 4" xfId="9011"/>
    <cellStyle name="20% - Accent3 2 5 2 2 4 2" xfId="9012"/>
    <cellStyle name="20% - Accent3 2 5 2 2 5" xfId="9013"/>
    <cellStyle name="20% - Accent3 2 5 2 3" xfId="9014"/>
    <cellStyle name="20% - Accent3 2 5 2 3 2" xfId="9015"/>
    <cellStyle name="20% - Accent3 2 5 2 3 2 2" xfId="9016"/>
    <cellStyle name="20% - Accent3 2 5 2 3 2 2 2" xfId="9017"/>
    <cellStyle name="20% - Accent3 2 5 2 3 2 2 2 2" xfId="9018"/>
    <cellStyle name="20% - Accent3 2 5 2 3 2 2 3" xfId="9019"/>
    <cellStyle name="20% - Accent3 2 5 2 3 2 3" xfId="9020"/>
    <cellStyle name="20% - Accent3 2 5 2 3 2 3 2" xfId="9021"/>
    <cellStyle name="20% - Accent3 2 5 2 3 2 4" xfId="9022"/>
    <cellStyle name="20% - Accent3 2 5 2 3 3" xfId="9023"/>
    <cellStyle name="20% - Accent3 2 5 2 3 3 2" xfId="9024"/>
    <cellStyle name="20% - Accent3 2 5 2 3 3 2 2" xfId="9025"/>
    <cellStyle name="20% - Accent3 2 5 2 3 3 3" xfId="9026"/>
    <cellStyle name="20% - Accent3 2 5 2 3 4" xfId="9027"/>
    <cellStyle name="20% - Accent3 2 5 2 3 4 2" xfId="9028"/>
    <cellStyle name="20% - Accent3 2 5 2 3 5" xfId="9029"/>
    <cellStyle name="20% - Accent3 2 5 2 4" xfId="9030"/>
    <cellStyle name="20% - Accent3 2 5 2 4 2" xfId="9031"/>
    <cellStyle name="20% - Accent3 2 5 2 4 2 2" xfId="9032"/>
    <cellStyle name="20% - Accent3 2 5 2 4 2 2 2" xfId="9033"/>
    <cellStyle name="20% - Accent3 2 5 2 4 2 2 2 2" xfId="9034"/>
    <cellStyle name="20% - Accent3 2 5 2 4 2 2 3" xfId="9035"/>
    <cellStyle name="20% - Accent3 2 5 2 4 2 3" xfId="9036"/>
    <cellStyle name="20% - Accent3 2 5 2 4 2 3 2" xfId="9037"/>
    <cellStyle name="20% - Accent3 2 5 2 4 2 4" xfId="9038"/>
    <cellStyle name="20% - Accent3 2 5 2 4 3" xfId="9039"/>
    <cellStyle name="20% - Accent3 2 5 2 4 3 2" xfId="9040"/>
    <cellStyle name="20% - Accent3 2 5 2 4 3 2 2" xfId="9041"/>
    <cellStyle name="20% - Accent3 2 5 2 4 3 3" xfId="9042"/>
    <cellStyle name="20% - Accent3 2 5 2 4 4" xfId="9043"/>
    <cellStyle name="20% - Accent3 2 5 2 4 4 2" xfId="9044"/>
    <cellStyle name="20% - Accent3 2 5 2 4 5" xfId="9045"/>
    <cellStyle name="20% - Accent3 2 5 2 5" xfId="9046"/>
    <cellStyle name="20% - Accent3 2 5 2 5 2" xfId="9047"/>
    <cellStyle name="20% - Accent3 2 5 2 5 2 2" xfId="9048"/>
    <cellStyle name="20% - Accent3 2 5 2 5 2 2 2" xfId="9049"/>
    <cellStyle name="20% - Accent3 2 5 2 5 2 2 2 2" xfId="9050"/>
    <cellStyle name="20% - Accent3 2 5 2 5 2 2 3" xfId="9051"/>
    <cellStyle name="20% - Accent3 2 5 2 5 2 3" xfId="9052"/>
    <cellStyle name="20% - Accent3 2 5 2 5 2 3 2" xfId="9053"/>
    <cellStyle name="20% - Accent3 2 5 2 5 2 4" xfId="9054"/>
    <cellStyle name="20% - Accent3 2 5 2 5 3" xfId="9055"/>
    <cellStyle name="20% - Accent3 2 5 2 5 3 2" xfId="9056"/>
    <cellStyle name="20% - Accent3 2 5 2 5 3 2 2" xfId="9057"/>
    <cellStyle name="20% - Accent3 2 5 2 5 3 3" xfId="9058"/>
    <cellStyle name="20% - Accent3 2 5 2 5 4" xfId="9059"/>
    <cellStyle name="20% - Accent3 2 5 2 5 4 2" xfId="9060"/>
    <cellStyle name="20% - Accent3 2 5 2 5 5" xfId="9061"/>
    <cellStyle name="20% - Accent3 2 5 2 6" xfId="9062"/>
    <cellStyle name="20% - Accent3 2 5 2 6 2" xfId="9063"/>
    <cellStyle name="20% - Accent3 2 5 2 6 2 2" xfId="9064"/>
    <cellStyle name="20% - Accent3 2 5 2 6 2 2 2" xfId="9065"/>
    <cellStyle name="20% - Accent3 2 5 2 6 2 2 2 2" xfId="9066"/>
    <cellStyle name="20% - Accent3 2 5 2 6 2 2 3" xfId="9067"/>
    <cellStyle name="20% - Accent3 2 5 2 6 2 3" xfId="9068"/>
    <cellStyle name="20% - Accent3 2 5 2 6 2 3 2" xfId="9069"/>
    <cellStyle name="20% - Accent3 2 5 2 6 2 4" xfId="9070"/>
    <cellStyle name="20% - Accent3 2 5 2 6 3" xfId="9071"/>
    <cellStyle name="20% - Accent3 2 5 2 6 3 2" xfId="9072"/>
    <cellStyle name="20% - Accent3 2 5 2 6 3 2 2" xfId="9073"/>
    <cellStyle name="20% - Accent3 2 5 2 6 3 3" xfId="9074"/>
    <cellStyle name="20% - Accent3 2 5 2 6 4" xfId="9075"/>
    <cellStyle name="20% - Accent3 2 5 2 6 4 2" xfId="9076"/>
    <cellStyle name="20% - Accent3 2 5 2 6 5" xfId="9077"/>
    <cellStyle name="20% - Accent3 2 5 2 7" xfId="9078"/>
    <cellStyle name="20% - Accent3 2 5 2 7 2" xfId="9079"/>
    <cellStyle name="20% - Accent3 2 5 2 7 2 2" xfId="9080"/>
    <cellStyle name="20% - Accent3 2 5 2 7 2 2 2" xfId="9081"/>
    <cellStyle name="20% - Accent3 2 5 2 7 2 3" xfId="9082"/>
    <cellStyle name="20% - Accent3 2 5 2 7 3" xfId="9083"/>
    <cellStyle name="20% - Accent3 2 5 2 7 3 2" xfId="9084"/>
    <cellStyle name="20% - Accent3 2 5 2 7 4" xfId="9085"/>
    <cellStyle name="20% - Accent3 2 5 2 8" xfId="9086"/>
    <cellStyle name="20% - Accent3 2 5 2 8 2" xfId="9087"/>
    <cellStyle name="20% - Accent3 2 5 2 8 2 2" xfId="9088"/>
    <cellStyle name="20% - Accent3 2 5 2 8 3" xfId="9089"/>
    <cellStyle name="20% - Accent3 2 5 2 9" xfId="9090"/>
    <cellStyle name="20% - Accent3 2 5 2 9 2" xfId="9091"/>
    <cellStyle name="20% - Accent3 2 5 3" xfId="9092"/>
    <cellStyle name="20% - Accent3 2 5 3 2" xfId="9093"/>
    <cellStyle name="20% - Accent3 2 5 3 2 2" xfId="9094"/>
    <cellStyle name="20% - Accent3 2 5 3 2 2 2" xfId="9095"/>
    <cellStyle name="20% - Accent3 2 5 3 2 2 2 2" xfId="9096"/>
    <cellStyle name="20% - Accent3 2 5 3 2 2 3" xfId="9097"/>
    <cellStyle name="20% - Accent3 2 5 3 2 3" xfId="9098"/>
    <cellStyle name="20% - Accent3 2 5 3 2 3 2" xfId="9099"/>
    <cellStyle name="20% - Accent3 2 5 3 2 4" xfId="9100"/>
    <cellStyle name="20% - Accent3 2 5 3 3" xfId="9101"/>
    <cellStyle name="20% - Accent3 2 5 3 3 2" xfId="9102"/>
    <cellStyle name="20% - Accent3 2 5 3 3 2 2" xfId="9103"/>
    <cellStyle name="20% - Accent3 2 5 3 3 3" xfId="9104"/>
    <cellStyle name="20% - Accent3 2 5 3 4" xfId="9105"/>
    <cellStyle name="20% - Accent3 2 5 3 4 2" xfId="9106"/>
    <cellStyle name="20% - Accent3 2 5 3 5" xfId="9107"/>
    <cellStyle name="20% - Accent3 2 5 4" xfId="9108"/>
    <cellStyle name="20% - Accent3 2 5 4 2" xfId="9109"/>
    <cellStyle name="20% - Accent3 2 5 4 2 2" xfId="9110"/>
    <cellStyle name="20% - Accent3 2 5 4 2 2 2" xfId="9111"/>
    <cellStyle name="20% - Accent3 2 5 4 2 2 2 2" xfId="9112"/>
    <cellStyle name="20% - Accent3 2 5 4 2 2 3" xfId="9113"/>
    <cellStyle name="20% - Accent3 2 5 4 2 3" xfId="9114"/>
    <cellStyle name="20% - Accent3 2 5 4 2 3 2" xfId="9115"/>
    <cellStyle name="20% - Accent3 2 5 4 2 4" xfId="9116"/>
    <cellStyle name="20% - Accent3 2 5 4 3" xfId="9117"/>
    <cellStyle name="20% - Accent3 2 5 4 3 2" xfId="9118"/>
    <cellStyle name="20% - Accent3 2 5 4 3 2 2" xfId="9119"/>
    <cellStyle name="20% - Accent3 2 5 4 3 3" xfId="9120"/>
    <cellStyle name="20% - Accent3 2 5 4 4" xfId="9121"/>
    <cellStyle name="20% - Accent3 2 5 4 4 2" xfId="9122"/>
    <cellStyle name="20% - Accent3 2 5 4 5" xfId="9123"/>
    <cellStyle name="20% - Accent3 2 5 5" xfId="9124"/>
    <cellStyle name="20% - Accent3 2 5 5 2" xfId="9125"/>
    <cellStyle name="20% - Accent3 2 5 5 2 2" xfId="9126"/>
    <cellStyle name="20% - Accent3 2 5 5 2 2 2" xfId="9127"/>
    <cellStyle name="20% - Accent3 2 5 5 2 2 2 2" xfId="9128"/>
    <cellStyle name="20% - Accent3 2 5 5 2 2 3" xfId="9129"/>
    <cellStyle name="20% - Accent3 2 5 5 2 3" xfId="9130"/>
    <cellStyle name="20% - Accent3 2 5 5 2 3 2" xfId="9131"/>
    <cellStyle name="20% - Accent3 2 5 5 2 4" xfId="9132"/>
    <cellStyle name="20% - Accent3 2 5 5 3" xfId="9133"/>
    <cellStyle name="20% - Accent3 2 5 5 3 2" xfId="9134"/>
    <cellStyle name="20% - Accent3 2 5 5 3 2 2" xfId="9135"/>
    <cellStyle name="20% - Accent3 2 5 5 3 3" xfId="9136"/>
    <cellStyle name="20% - Accent3 2 5 5 4" xfId="9137"/>
    <cellStyle name="20% - Accent3 2 5 5 4 2" xfId="9138"/>
    <cellStyle name="20% - Accent3 2 5 5 5" xfId="9139"/>
    <cellStyle name="20% - Accent3 2 5 6" xfId="9140"/>
    <cellStyle name="20% - Accent3 2 5 6 2" xfId="9141"/>
    <cellStyle name="20% - Accent3 2 5 6 2 2" xfId="9142"/>
    <cellStyle name="20% - Accent3 2 5 6 2 2 2" xfId="9143"/>
    <cellStyle name="20% - Accent3 2 5 6 2 2 2 2" xfId="9144"/>
    <cellStyle name="20% - Accent3 2 5 6 2 2 3" xfId="9145"/>
    <cellStyle name="20% - Accent3 2 5 6 2 3" xfId="9146"/>
    <cellStyle name="20% - Accent3 2 5 6 2 3 2" xfId="9147"/>
    <cellStyle name="20% - Accent3 2 5 6 2 4" xfId="9148"/>
    <cellStyle name="20% - Accent3 2 5 6 3" xfId="9149"/>
    <cellStyle name="20% - Accent3 2 5 6 3 2" xfId="9150"/>
    <cellStyle name="20% - Accent3 2 5 6 3 2 2" xfId="9151"/>
    <cellStyle name="20% - Accent3 2 5 6 3 3" xfId="9152"/>
    <cellStyle name="20% - Accent3 2 5 6 4" xfId="9153"/>
    <cellStyle name="20% - Accent3 2 5 6 4 2" xfId="9154"/>
    <cellStyle name="20% - Accent3 2 5 6 5" xfId="9155"/>
    <cellStyle name="20% - Accent3 2 5 7" xfId="9156"/>
    <cellStyle name="20% - Accent3 2 5 7 2" xfId="9157"/>
    <cellStyle name="20% - Accent3 2 5 7 2 2" xfId="9158"/>
    <cellStyle name="20% - Accent3 2 5 7 2 2 2" xfId="9159"/>
    <cellStyle name="20% - Accent3 2 5 7 2 2 2 2" xfId="9160"/>
    <cellStyle name="20% - Accent3 2 5 7 2 2 3" xfId="9161"/>
    <cellStyle name="20% - Accent3 2 5 7 2 3" xfId="9162"/>
    <cellStyle name="20% - Accent3 2 5 7 2 3 2" xfId="9163"/>
    <cellStyle name="20% - Accent3 2 5 7 2 4" xfId="9164"/>
    <cellStyle name="20% - Accent3 2 5 7 3" xfId="9165"/>
    <cellStyle name="20% - Accent3 2 5 7 3 2" xfId="9166"/>
    <cellStyle name="20% - Accent3 2 5 7 3 2 2" xfId="9167"/>
    <cellStyle name="20% - Accent3 2 5 7 3 3" xfId="9168"/>
    <cellStyle name="20% - Accent3 2 5 7 4" xfId="9169"/>
    <cellStyle name="20% - Accent3 2 5 7 4 2" xfId="9170"/>
    <cellStyle name="20% - Accent3 2 5 7 5" xfId="9171"/>
    <cellStyle name="20% - Accent3 2 5 8" xfId="9172"/>
    <cellStyle name="20% - Accent3 2 5 8 2" xfId="9173"/>
    <cellStyle name="20% - Accent3 2 5 8 2 2" xfId="9174"/>
    <cellStyle name="20% - Accent3 2 5 8 2 2 2" xfId="9175"/>
    <cellStyle name="20% - Accent3 2 5 8 2 3" xfId="9176"/>
    <cellStyle name="20% - Accent3 2 5 8 3" xfId="9177"/>
    <cellStyle name="20% - Accent3 2 5 8 3 2" xfId="9178"/>
    <cellStyle name="20% - Accent3 2 5 8 4" xfId="9179"/>
    <cellStyle name="20% - Accent3 2 5 9" xfId="9180"/>
    <cellStyle name="20% - Accent3 2 5 9 2" xfId="9181"/>
    <cellStyle name="20% - Accent3 2 5 9 2 2" xfId="9182"/>
    <cellStyle name="20% - Accent3 2 5 9 3" xfId="9183"/>
    <cellStyle name="20% - Accent3 2 6" xfId="9184"/>
    <cellStyle name="20% - Accent3 2 6 10" xfId="9185"/>
    <cellStyle name="20% - Accent3 2 6 10 2" xfId="9186"/>
    <cellStyle name="20% - Accent3 2 6 11" xfId="9187"/>
    <cellStyle name="20% - Accent3 2 6 2" xfId="9188"/>
    <cellStyle name="20% - Accent3 2 6 2 10" xfId="9189"/>
    <cellStyle name="20% - Accent3 2 6 2 2" xfId="9190"/>
    <cellStyle name="20% - Accent3 2 6 2 2 2" xfId="9191"/>
    <cellStyle name="20% - Accent3 2 6 2 2 2 2" xfId="9192"/>
    <cellStyle name="20% - Accent3 2 6 2 2 2 2 2" xfId="9193"/>
    <cellStyle name="20% - Accent3 2 6 2 2 2 2 2 2" xfId="9194"/>
    <cellStyle name="20% - Accent3 2 6 2 2 2 2 3" xfId="9195"/>
    <cellStyle name="20% - Accent3 2 6 2 2 2 3" xfId="9196"/>
    <cellStyle name="20% - Accent3 2 6 2 2 2 3 2" xfId="9197"/>
    <cellStyle name="20% - Accent3 2 6 2 2 2 4" xfId="9198"/>
    <cellStyle name="20% - Accent3 2 6 2 2 3" xfId="9199"/>
    <cellStyle name="20% - Accent3 2 6 2 2 3 2" xfId="9200"/>
    <cellStyle name="20% - Accent3 2 6 2 2 3 2 2" xfId="9201"/>
    <cellStyle name="20% - Accent3 2 6 2 2 3 3" xfId="9202"/>
    <cellStyle name="20% - Accent3 2 6 2 2 4" xfId="9203"/>
    <cellStyle name="20% - Accent3 2 6 2 2 4 2" xfId="9204"/>
    <cellStyle name="20% - Accent3 2 6 2 2 5" xfId="9205"/>
    <cellStyle name="20% - Accent3 2 6 2 3" xfId="9206"/>
    <cellStyle name="20% - Accent3 2 6 2 3 2" xfId="9207"/>
    <cellStyle name="20% - Accent3 2 6 2 3 2 2" xfId="9208"/>
    <cellStyle name="20% - Accent3 2 6 2 3 2 2 2" xfId="9209"/>
    <cellStyle name="20% - Accent3 2 6 2 3 2 2 2 2" xfId="9210"/>
    <cellStyle name="20% - Accent3 2 6 2 3 2 2 3" xfId="9211"/>
    <cellStyle name="20% - Accent3 2 6 2 3 2 3" xfId="9212"/>
    <cellStyle name="20% - Accent3 2 6 2 3 2 3 2" xfId="9213"/>
    <cellStyle name="20% - Accent3 2 6 2 3 2 4" xfId="9214"/>
    <cellStyle name="20% - Accent3 2 6 2 3 3" xfId="9215"/>
    <cellStyle name="20% - Accent3 2 6 2 3 3 2" xfId="9216"/>
    <cellStyle name="20% - Accent3 2 6 2 3 3 2 2" xfId="9217"/>
    <cellStyle name="20% - Accent3 2 6 2 3 3 3" xfId="9218"/>
    <cellStyle name="20% - Accent3 2 6 2 3 4" xfId="9219"/>
    <cellStyle name="20% - Accent3 2 6 2 3 4 2" xfId="9220"/>
    <cellStyle name="20% - Accent3 2 6 2 3 5" xfId="9221"/>
    <cellStyle name="20% - Accent3 2 6 2 4" xfId="9222"/>
    <cellStyle name="20% - Accent3 2 6 2 4 2" xfId="9223"/>
    <cellStyle name="20% - Accent3 2 6 2 4 2 2" xfId="9224"/>
    <cellStyle name="20% - Accent3 2 6 2 4 2 2 2" xfId="9225"/>
    <cellStyle name="20% - Accent3 2 6 2 4 2 2 2 2" xfId="9226"/>
    <cellStyle name="20% - Accent3 2 6 2 4 2 2 3" xfId="9227"/>
    <cellStyle name="20% - Accent3 2 6 2 4 2 3" xfId="9228"/>
    <cellStyle name="20% - Accent3 2 6 2 4 2 3 2" xfId="9229"/>
    <cellStyle name="20% - Accent3 2 6 2 4 2 4" xfId="9230"/>
    <cellStyle name="20% - Accent3 2 6 2 4 3" xfId="9231"/>
    <cellStyle name="20% - Accent3 2 6 2 4 3 2" xfId="9232"/>
    <cellStyle name="20% - Accent3 2 6 2 4 3 2 2" xfId="9233"/>
    <cellStyle name="20% - Accent3 2 6 2 4 3 3" xfId="9234"/>
    <cellStyle name="20% - Accent3 2 6 2 4 4" xfId="9235"/>
    <cellStyle name="20% - Accent3 2 6 2 4 4 2" xfId="9236"/>
    <cellStyle name="20% - Accent3 2 6 2 4 5" xfId="9237"/>
    <cellStyle name="20% - Accent3 2 6 2 5" xfId="9238"/>
    <cellStyle name="20% - Accent3 2 6 2 5 2" xfId="9239"/>
    <cellStyle name="20% - Accent3 2 6 2 5 2 2" xfId="9240"/>
    <cellStyle name="20% - Accent3 2 6 2 5 2 2 2" xfId="9241"/>
    <cellStyle name="20% - Accent3 2 6 2 5 2 2 2 2" xfId="9242"/>
    <cellStyle name="20% - Accent3 2 6 2 5 2 2 3" xfId="9243"/>
    <cellStyle name="20% - Accent3 2 6 2 5 2 3" xfId="9244"/>
    <cellStyle name="20% - Accent3 2 6 2 5 2 3 2" xfId="9245"/>
    <cellStyle name="20% - Accent3 2 6 2 5 2 4" xfId="9246"/>
    <cellStyle name="20% - Accent3 2 6 2 5 3" xfId="9247"/>
    <cellStyle name="20% - Accent3 2 6 2 5 3 2" xfId="9248"/>
    <cellStyle name="20% - Accent3 2 6 2 5 3 2 2" xfId="9249"/>
    <cellStyle name="20% - Accent3 2 6 2 5 3 3" xfId="9250"/>
    <cellStyle name="20% - Accent3 2 6 2 5 4" xfId="9251"/>
    <cellStyle name="20% - Accent3 2 6 2 5 4 2" xfId="9252"/>
    <cellStyle name="20% - Accent3 2 6 2 5 5" xfId="9253"/>
    <cellStyle name="20% - Accent3 2 6 2 6" xfId="9254"/>
    <cellStyle name="20% - Accent3 2 6 2 6 2" xfId="9255"/>
    <cellStyle name="20% - Accent3 2 6 2 6 2 2" xfId="9256"/>
    <cellStyle name="20% - Accent3 2 6 2 6 2 2 2" xfId="9257"/>
    <cellStyle name="20% - Accent3 2 6 2 6 2 2 2 2" xfId="9258"/>
    <cellStyle name="20% - Accent3 2 6 2 6 2 2 3" xfId="9259"/>
    <cellStyle name="20% - Accent3 2 6 2 6 2 3" xfId="9260"/>
    <cellStyle name="20% - Accent3 2 6 2 6 2 3 2" xfId="9261"/>
    <cellStyle name="20% - Accent3 2 6 2 6 2 4" xfId="9262"/>
    <cellStyle name="20% - Accent3 2 6 2 6 3" xfId="9263"/>
    <cellStyle name="20% - Accent3 2 6 2 6 3 2" xfId="9264"/>
    <cellStyle name="20% - Accent3 2 6 2 6 3 2 2" xfId="9265"/>
    <cellStyle name="20% - Accent3 2 6 2 6 3 3" xfId="9266"/>
    <cellStyle name="20% - Accent3 2 6 2 6 4" xfId="9267"/>
    <cellStyle name="20% - Accent3 2 6 2 6 4 2" xfId="9268"/>
    <cellStyle name="20% - Accent3 2 6 2 6 5" xfId="9269"/>
    <cellStyle name="20% - Accent3 2 6 2 7" xfId="9270"/>
    <cellStyle name="20% - Accent3 2 6 2 7 2" xfId="9271"/>
    <cellStyle name="20% - Accent3 2 6 2 7 2 2" xfId="9272"/>
    <cellStyle name="20% - Accent3 2 6 2 7 2 2 2" xfId="9273"/>
    <cellStyle name="20% - Accent3 2 6 2 7 2 3" xfId="9274"/>
    <cellStyle name="20% - Accent3 2 6 2 7 3" xfId="9275"/>
    <cellStyle name="20% - Accent3 2 6 2 7 3 2" xfId="9276"/>
    <cellStyle name="20% - Accent3 2 6 2 7 4" xfId="9277"/>
    <cellStyle name="20% - Accent3 2 6 2 8" xfId="9278"/>
    <cellStyle name="20% - Accent3 2 6 2 8 2" xfId="9279"/>
    <cellStyle name="20% - Accent3 2 6 2 8 2 2" xfId="9280"/>
    <cellStyle name="20% - Accent3 2 6 2 8 3" xfId="9281"/>
    <cellStyle name="20% - Accent3 2 6 2 9" xfId="9282"/>
    <cellStyle name="20% - Accent3 2 6 2 9 2" xfId="9283"/>
    <cellStyle name="20% - Accent3 2 6 3" xfId="9284"/>
    <cellStyle name="20% - Accent3 2 6 3 2" xfId="9285"/>
    <cellStyle name="20% - Accent3 2 6 3 2 2" xfId="9286"/>
    <cellStyle name="20% - Accent3 2 6 3 2 2 2" xfId="9287"/>
    <cellStyle name="20% - Accent3 2 6 3 2 2 2 2" xfId="9288"/>
    <cellStyle name="20% - Accent3 2 6 3 2 2 3" xfId="9289"/>
    <cellStyle name="20% - Accent3 2 6 3 2 3" xfId="9290"/>
    <cellStyle name="20% - Accent3 2 6 3 2 3 2" xfId="9291"/>
    <cellStyle name="20% - Accent3 2 6 3 2 4" xfId="9292"/>
    <cellStyle name="20% - Accent3 2 6 3 3" xfId="9293"/>
    <cellStyle name="20% - Accent3 2 6 3 3 2" xfId="9294"/>
    <cellStyle name="20% - Accent3 2 6 3 3 2 2" xfId="9295"/>
    <cellStyle name="20% - Accent3 2 6 3 3 3" xfId="9296"/>
    <cellStyle name="20% - Accent3 2 6 3 4" xfId="9297"/>
    <cellStyle name="20% - Accent3 2 6 3 4 2" xfId="9298"/>
    <cellStyle name="20% - Accent3 2 6 3 5" xfId="9299"/>
    <cellStyle name="20% - Accent3 2 6 4" xfId="9300"/>
    <cellStyle name="20% - Accent3 2 6 4 2" xfId="9301"/>
    <cellStyle name="20% - Accent3 2 6 4 2 2" xfId="9302"/>
    <cellStyle name="20% - Accent3 2 6 4 2 2 2" xfId="9303"/>
    <cellStyle name="20% - Accent3 2 6 4 2 2 2 2" xfId="9304"/>
    <cellStyle name="20% - Accent3 2 6 4 2 2 3" xfId="9305"/>
    <cellStyle name="20% - Accent3 2 6 4 2 3" xfId="9306"/>
    <cellStyle name="20% - Accent3 2 6 4 2 3 2" xfId="9307"/>
    <cellStyle name="20% - Accent3 2 6 4 2 4" xfId="9308"/>
    <cellStyle name="20% - Accent3 2 6 4 3" xfId="9309"/>
    <cellStyle name="20% - Accent3 2 6 4 3 2" xfId="9310"/>
    <cellStyle name="20% - Accent3 2 6 4 3 2 2" xfId="9311"/>
    <cellStyle name="20% - Accent3 2 6 4 3 3" xfId="9312"/>
    <cellStyle name="20% - Accent3 2 6 4 4" xfId="9313"/>
    <cellStyle name="20% - Accent3 2 6 4 4 2" xfId="9314"/>
    <cellStyle name="20% - Accent3 2 6 4 5" xfId="9315"/>
    <cellStyle name="20% - Accent3 2 6 5" xfId="9316"/>
    <cellStyle name="20% - Accent3 2 6 5 2" xfId="9317"/>
    <cellStyle name="20% - Accent3 2 6 5 2 2" xfId="9318"/>
    <cellStyle name="20% - Accent3 2 6 5 2 2 2" xfId="9319"/>
    <cellStyle name="20% - Accent3 2 6 5 2 2 2 2" xfId="9320"/>
    <cellStyle name="20% - Accent3 2 6 5 2 2 3" xfId="9321"/>
    <cellStyle name="20% - Accent3 2 6 5 2 3" xfId="9322"/>
    <cellStyle name="20% - Accent3 2 6 5 2 3 2" xfId="9323"/>
    <cellStyle name="20% - Accent3 2 6 5 2 4" xfId="9324"/>
    <cellStyle name="20% - Accent3 2 6 5 3" xfId="9325"/>
    <cellStyle name="20% - Accent3 2 6 5 3 2" xfId="9326"/>
    <cellStyle name="20% - Accent3 2 6 5 3 2 2" xfId="9327"/>
    <cellStyle name="20% - Accent3 2 6 5 3 3" xfId="9328"/>
    <cellStyle name="20% - Accent3 2 6 5 4" xfId="9329"/>
    <cellStyle name="20% - Accent3 2 6 5 4 2" xfId="9330"/>
    <cellStyle name="20% - Accent3 2 6 5 5" xfId="9331"/>
    <cellStyle name="20% - Accent3 2 6 6" xfId="9332"/>
    <cellStyle name="20% - Accent3 2 6 6 2" xfId="9333"/>
    <cellStyle name="20% - Accent3 2 6 6 2 2" xfId="9334"/>
    <cellStyle name="20% - Accent3 2 6 6 2 2 2" xfId="9335"/>
    <cellStyle name="20% - Accent3 2 6 6 2 2 2 2" xfId="9336"/>
    <cellStyle name="20% - Accent3 2 6 6 2 2 3" xfId="9337"/>
    <cellStyle name="20% - Accent3 2 6 6 2 3" xfId="9338"/>
    <cellStyle name="20% - Accent3 2 6 6 2 3 2" xfId="9339"/>
    <cellStyle name="20% - Accent3 2 6 6 2 4" xfId="9340"/>
    <cellStyle name="20% - Accent3 2 6 6 3" xfId="9341"/>
    <cellStyle name="20% - Accent3 2 6 6 3 2" xfId="9342"/>
    <cellStyle name="20% - Accent3 2 6 6 3 2 2" xfId="9343"/>
    <cellStyle name="20% - Accent3 2 6 6 3 3" xfId="9344"/>
    <cellStyle name="20% - Accent3 2 6 6 4" xfId="9345"/>
    <cellStyle name="20% - Accent3 2 6 6 4 2" xfId="9346"/>
    <cellStyle name="20% - Accent3 2 6 6 5" xfId="9347"/>
    <cellStyle name="20% - Accent3 2 6 7" xfId="9348"/>
    <cellStyle name="20% - Accent3 2 6 7 2" xfId="9349"/>
    <cellStyle name="20% - Accent3 2 6 7 2 2" xfId="9350"/>
    <cellStyle name="20% - Accent3 2 6 7 2 2 2" xfId="9351"/>
    <cellStyle name="20% - Accent3 2 6 7 2 2 2 2" xfId="9352"/>
    <cellStyle name="20% - Accent3 2 6 7 2 2 3" xfId="9353"/>
    <cellStyle name="20% - Accent3 2 6 7 2 3" xfId="9354"/>
    <cellStyle name="20% - Accent3 2 6 7 2 3 2" xfId="9355"/>
    <cellStyle name="20% - Accent3 2 6 7 2 4" xfId="9356"/>
    <cellStyle name="20% - Accent3 2 6 7 3" xfId="9357"/>
    <cellStyle name="20% - Accent3 2 6 7 3 2" xfId="9358"/>
    <cellStyle name="20% - Accent3 2 6 7 3 2 2" xfId="9359"/>
    <cellStyle name="20% - Accent3 2 6 7 3 3" xfId="9360"/>
    <cellStyle name="20% - Accent3 2 6 7 4" xfId="9361"/>
    <cellStyle name="20% - Accent3 2 6 7 4 2" xfId="9362"/>
    <cellStyle name="20% - Accent3 2 6 7 5" xfId="9363"/>
    <cellStyle name="20% - Accent3 2 6 8" xfId="9364"/>
    <cellStyle name="20% - Accent3 2 6 8 2" xfId="9365"/>
    <cellStyle name="20% - Accent3 2 6 8 2 2" xfId="9366"/>
    <cellStyle name="20% - Accent3 2 6 8 2 2 2" xfId="9367"/>
    <cellStyle name="20% - Accent3 2 6 8 2 3" xfId="9368"/>
    <cellStyle name="20% - Accent3 2 6 8 3" xfId="9369"/>
    <cellStyle name="20% - Accent3 2 6 8 3 2" xfId="9370"/>
    <cellStyle name="20% - Accent3 2 6 8 4" xfId="9371"/>
    <cellStyle name="20% - Accent3 2 6 9" xfId="9372"/>
    <cellStyle name="20% - Accent3 2 6 9 2" xfId="9373"/>
    <cellStyle name="20% - Accent3 2 6 9 2 2" xfId="9374"/>
    <cellStyle name="20% - Accent3 2 6 9 3" xfId="9375"/>
    <cellStyle name="20% - Accent3 2 7" xfId="9376"/>
    <cellStyle name="20% - Accent3 2 7 10" xfId="9377"/>
    <cellStyle name="20% - Accent3 2 7 10 2" xfId="9378"/>
    <cellStyle name="20% - Accent3 2 7 11" xfId="9379"/>
    <cellStyle name="20% - Accent3 2 7 2" xfId="9380"/>
    <cellStyle name="20% - Accent3 2 7 2 10" xfId="9381"/>
    <cellStyle name="20% - Accent3 2 7 2 2" xfId="9382"/>
    <cellStyle name="20% - Accent3 2 7 2 2 2" xfId="9383"/>
    <cellStyle name="20% - Accent3 2 7 2 2 2 2" xfId="9384"/>
    <cellStyle name="20% - Accent3 2 7 2 2 2 2 2" xfId="9385"/>
    <cellStyle name="20% - Accent3 2 7 2 2 2 2 2 2" xfId="9386"/>
    <cellStyle name="20% - Accent3 2 7 2 2 2 2 3" xfId="9387"/>
    <cellStyle name="20% - Accent3 2 7 2 2 2 3" xfId="9388"/>
    <cellStyle name="20% - Accent3 2 7 2 2 2 3 2" xfId="9389"/>
    <cellStyle name="20% - Accent3 2 7 2 2 2 4" xfId="9390"/>
    <cellStyle name="20% - Accent3 2 7 2 2 3" xfId="9391"/>
    <cellStyle name="20% - Accent3 2 7 2 2 3 2" xfId="9392"/>
    <cellStyle name="20% - Accent3 2 7 2 2 3 2 2" xfId="9393"/>
    <cellStyle name="20% - Accent3 2 7 2 2 3 3" xfId="9394"/>
    <cellStyle name="20% - Accent3 2 7 2 2 4" xfId="9395"/>
    <cellStyle name="20% - Accent3 2 7 2 2 4 2" xfId="9396"/>
    <cellStyle name="20% - Accent3 2 7 2 2 5" xfId="9397"/>
    <cellStyle name="20% - Accent3 2 7 2 3" xfId="9398"/>
    <cellStyle name="20% - Accent3 2 7 2 3 2" xfId="9399"/>
    <cellStyle name="20% - Accent3 2 7 2 3 2 2" xfId="9400"/>
    <cellStyle name="20% - Accent3 2 7 2 3 2 2 2" xfId="9401"/>
    <cellStyle name="20% - Accent3 2 7 2 3 2 2 2 2" xfId="9402"/>
    <cellStyle name="20% - Accent3 2 7 2 3 2 2 3" xfId="9403"/>
    <cellStyle name="20% - Accent3 2 7 2 3 2 3" xfId="9404"/>
    <cellStyle name="20% - Accent3 2 7 2 3 2 3 2" xfId="9405"/>
    <cellStyle name="20% - Accent3 2 7 2 3 2 4" xfId="9406"/>
    <cellStyle name="20% - Accent3 2 7 2 3 3" xfId="9407"/>
    <cellStyle name="20% - Accent3 2 7 2 3 3 2" xfId="9408"/>
    <cellStyle name="20% - Accent3 2 7 2 3 3 2 2" xfId="9409"/>
    <cellStyle name="20% - Accent3 2 7 2 3 3 3" xfId="9410"/>
    <cellStyle name="20% - Accent3 2 7 2 3 4" xfId="9411"/>
    <cellStyle name="20% - Accent3 2 7 2 3 4 2" xfId="9412"/>
    <cellStyle name="20% - Accent3 2 7 2 3 5" xfId="9413"/>
    <cellStyle name="20% - Accent3 2 7 2 4" xfId="9414"/>
    <cellStyle name="20% - Accent3 2 7 2 4 2" xfId="9415"/>
    <cellStyle name="20% - Accent3 2 7 2 4 2 2" xfId="9416"/>
    <cellStyle name="20% - Accent3 2 7 2 4 2 2 2" xfId="9417"/>
    <cellStyle name="20% - Accent3 2 7 2 4 2 2 2 2" xfId="9418"/>
    <cellStyle name="20% - Accent3 2 7 2 4 2 2 3" xfId="9419"/>
    <cellStyle name="20% - Accent3 2 7 2 4 2 3" xfId="9420"/>
    <cellStyle name="20% - Accent3 2 7 2 4 2 3 2" xfId="9421"/>
    <cellStyle name="20% - Accent3 2 7 2 4 2 4" xfId="9422"/>
    <cellStyle name="20% - Accent3 2 7 2 4 3" xfId="9423"/>
    <cellStyle name="20% - Accent3 2 7 2 4 3 2" xfId="9424"/>
    <cellStyle name="20% - Accent3 2 7 2 4 3 2 2" xfId="9425"/>
    <cellStyle name="20% - Accent3 2 7 2 4 3 3" xfId="9426"/>
    <cellStyle name="20% - Accent3 2 7 2 4 4" xfId="9427"/>
    <cellStyle name="20% - Accent3 2 7 2 4 4 2" xfId="9428"/>
    <cellStyle name="20% - Accent3 2 7 2 4 5" xfId="9429"/>
    <cellStyle name="20% - Accent3 2 7 2 5" xfId="9430"/>
    <cellStyle name="20% - Accent3 2 7 2 5 2" xfId="9431"/>
    <cellStyle name="20% - Accent3 2 7 2 5 2 2" xfId="9432"/>
    <cellStyle name="20% - Accent3 2 7 2 5 2 2 2" xfId="9433"/>
    <cellStyle name="20% - Accent3 2 7 2 5 2 2 2 2" xfId="9434"/>
    <cellStyle name="20% - Accent3 2 7 2 5 2 2 3" xfId="9435"/>
    <cellStyle name="20% - Accent3 2 7 2 5 2 3" xfId="9436"/>
    <cellStyle name="20% - Accent3 2 7 2 5 2 3 2" xfId="9437"/>
    <cellStyle name="20% - Accent3 2 7 2 5 2 4" xfId="9438"/>
    <cellStyle name="20% - Accent3 2 7 2 5 3" xfId="9439"/>
    <cellStyle name="20% - Accent3 2 7 2 5 3 2" xfId="9440"/>
    <cellStyle name="20% - Accent3 2 7 2 5 3 2 2" xfId="9441"/>
    <cellStyle name="20% - Accent3 2 7 2 5 3 3" xfId="9442"/>
    <cellStyle name="20% - Accent3 2 7 2 5 4" xfId="9443"/>
    <cellStyle name="20% - Accent3 2 7 2 5 4 2" xfId="9444"/>
    <cellStyle name="20% - Accent3 2 7 2 5 5" xfId="9445"/>
    <cellStyle name="20% - Accent3 2 7 2 6" xfId="9446"/>
    <cellStyle name="20% - Accent3 2 7 2 6 2" xfId="9447"/>
    <cellStyle name="20% - Accent3 2 7 2 6 2 2" xfId="9448"/>
    <cellStyle name="20% - Accent3 2 7 2 6 2 2 2" xfId="9449"/>
    <cellStyle name="20% - Accent3 2 7 2 6 2 2 2 2" xfId="9450"/>
    <cellStyle name="20% - Accent3 2 7 2 6 2 2 3" xfId="9451"/>
    <cellStyle name="20% - Accent3 2 7 2 6 2 3" xfId="9452"/>
    <cellStyle name="20% - Accent3 2 7 2 6 2 3 2" xfId="9453"/>
    <cellStyle name="20% - Accent3 2 7 2 6 2 4" xfId="9454"/>
    <cellStyle name="20% - Accent3 2 7 2 6 3" xfId="9455"/>
    <cellStyle name="20% - Accent3 2 7 2 6 3 2" xfId="9456"/>
    <cellStyle name="20% - Accent3 2 7 2 6 3 2 2" xfId="9457"/>
    <cellStyle name="20% - Accent3 2 7 2 6 3 3" xfId="9458"/>
    <cellStyle name="20% - Accent3 2 7 2 6 4" xfId="9459"/>
    <cellStyle name="20% - Accent3 2 7 2 6 4 2" xfId="9460"/>
    <cellStyle name="20% - Accent3 2 7 2 6 5" xfId="9461"/>
    <cellStyle name="20% - Accent3 2 7 2 7" xfId="9462"/>
    <cellStyle name="20% - Accent3 2 7 2 7 2" xfId="9463"/>
    <cellStyle name="20% - Accent3 2 7 2 7 2 2" xfId="9464"/>
    <cellStyle name="20% - Accent3 2 7 2 7 2 2 2" xfId="9465"/>
    <cellStyle name="20% - Accent3 2 7 2 7 2 3" xfId="9466"/>
    <cellStyle name="20% - Accent3 2 7 2 7 3" xfId="9467"/>
    <cellStyle name="20% - Accent3 2 7 2 7 3 2" xfId="9468"/>
    <cellStyle name="20% - Accent3 2 7 2 7 4" xfId="9469"/>
    <cellStyle name="20% - Accent3 2 7 2 8" xfId="9470"/>
    <cellStyle name="20% - Accent3 2 7 2 8 2" xfId="9471"/>
    <cellStyle name="20% - Accent3 2 7 2 8 2 2" xfId="9472"/>
    <cellStyle name="20% - Accent3 2 7 2 8 3" xfId="9473"/>
    <cellStyle name="20% - Accent3 2 7 2 9" xfId="9474"/>
    <cellStyle name="20% - Accent3 2 7 2 9 2" xfId="9475"/>
    <cellStyle name="20% - Accent3 2 7 3" xfId="9476"/>
    <cellStyle name="20% - Accent3 2 7 3 2" xfId="9477"/>
    <cellStyle name="20% - Accent3 2 7 3 2 2" xfId="9478"/>
    <cellStyle name="20% - Accent3 2 7 3 2 2 2" xfId="9479"/>
    <cellStyle name="20% - Accent3 2 7 3 2 2 2 2" xfId="9480"/>
    <cellStyle name="20% - Accent3 2 7 3 2 2 3" xfId="9481"/>
    <cellStyle name="20% - Accent3 2 7 3 2 3" xfId="9482"/>
    <cellStyle name="20% - Accent3 2 7 3 2 3 2" xfId="9483"/>
    <cellStyle name="20% - Accent3 2 7 3 2 4" xfId="9484"/>
    <cellStyle name="20% - Accent3 2 7 3 3" xfId="9485"/>
    <cellStyle name="20% - Accent3 2 7 3 3 2" xfId="9486"/>
    <cellStyle name="20% - Accent3 2 7 3 3 2 2" xfId="9487"/>
    <cellStyle name="20% - Accent3 2 7 3 3 3" xfId="9488"/>
    <cellStyle name="20% - Accent3 2 7 3 4" xfId="9489"/>
    <cellStyle name="20% - Accent3 2 7 3 4 2" xfId="9490"/>
    <cellStyle name="20% - Accent3 2 7 3 5" xfId="9491"/>
    <cellStyle name="20% - Accent3 2 7 4" xfId="9492"/>
    <cellStyle name="20% - Accent3 2 7 4 2" xfId="9493"/>
    <cellStyle name="20% - Accent3 2 7 4 2 2" xfId="9494"/>
    <cellStyle name="20% - Accent3 2 7 4 2 2 2" xfId="9495"/>
    <cellStyle name="20% - Accent3 2 7 4 2 2 2 2" xfId="9496"/>
    <cellStyle name="20% - Accent3 2 7 4 2 2 3" xfId="9497"/>
    <cellStyle name="20% - Accent3 2 7 4 2 3" xfId="9498"/>
    <cellStyle name="20% - Accent3 2 7 4 2 3 2" xfId="9499"/>
    <cellStyle name="20% - Accent3 2 7 4 2 4" xfId="9500"/>
    <cellStyle name="20% - Accent3 2 7 4 3" xfId="9501"/>
    <cellStyle name="20% - Accent3 2 7 4 3 2" xfId="9502"/>
    <cellStyle name="20% - Accent3 2 7 4 3 2 2" xfId="9503"/>
    <cellStyle name="20% - Accent3 2 7 4 3 3" xfId="9504"/>
    <cellStyle name="20% - Accent3 2 7 4 4" xfId="9505"/>
    <cellStyle name="20% - Accent3 2 7 4 4 2" xfId="9506"/>
    <cellStyle name="20% - Accent3 2 7 4 5" xfId="9507"/>
    <cellStyle name="20% - Accent3 2 7 5" xfId="9508"/>
    <cellStyle name="20% - Accent3 2 7 5 2" xfId="9509"/>
    <cellStyle name="20% - Accent3 2 7 5 2 2" xfId="9510"/>
    <cellStyle name="20% - Accent3 2 7 5 2 2 2" xfId="9511"/>
    <cellStyle name="20% - Accent3 2 7 5 2 2 2 2" xfId="9512"/>
    <cellStyle name="20% - Accent3 2 7 5 2 2 3" xfId="9513"/>
    <cellStyle name="20% - Accent3 2 7 5 2 3" xfId="9514"/>
    <cellStyle name="20% - Accent3 2 7 5 2 3 2" xfId="9515"/>
    <cellStyle name="20% - Accent3 2 7 5 2 4" xfId="9516"/>
    <cellStyle name="20% - Accent3 2 7 5 3" xfId="9517"/>
    <cellStyle name="20% - Accent3 2 7 5 3 2" xfId="9518"/>
    <cellStyle name="20% - Accent3 2 7 5 3 2 2" xfId="9519"/>
    <cellStyle name="20% - Accent3 2 7 5 3 3" xfId="9520"/>
    <cellStyle name="20% - Accent3 2 7 5 4" xfId="9521"/>
    <cellStyle name="20% - Accent3 2 7 5 4 2" xfId="9522"/>
    <cellStyle name="20% - Accent3 2 7 5 5" xfId="9523"/>
    <cellStyle name="20% - Accent3 2 7 6" xfId="9524"/>
    <cellStyle name="20% - Accent3 2 7 6 2" xfId="9525"/>
    <cellStyle name="20% - Accent3 2 7 6 2 2" xfId="9526"/>
    <cellStyle name="20% - Accent3 2 7 6 2 2 2" xfId="9527"/>
    <cellStyle name="20% - Accent3 2 7 6 2 2 2 2" xfId="9528"/>
    <cellStyle name="20% - Accent3 2 7 6 2 2 3" xfId="9529"/>
    <cellStyle name="20% - Accent3 2 7 6 2 3" xfId="9530"/>
    <cellStyle name="20% - Accent3 2 7 6 2 3 2" xfId="9531"/>
    <cellStyle name="20% - Accent3 2 7 6 2 4" xfId="9532"/>
    <cellStyle name="20% - Accent3 2 7 6 3" xfId="9533"/>
    <cellStyle name="20% - Accent3 2 7 6 3 2" xfId="9534"/>
    <cellStyle name="20% - Accent3 2 7 6 3 2 2" xfId="9535"/>
    <cellStyle name="20% - Accent3 2 7 6 3 3" xfId="9536"/>
    <cellStyle name="20% - Accent3 2 7 6 4" xfId="9537"/>
    <cellStyle name="20% - Accent3 2 7 6 4 2" xfId="9538"/>
    <cellStyle name="20% - Accent3 2 7 6 5" xfId="9539"/>
    <cellStyle name="20% - Accent3 2 7 7" xfId="9540"/>
    <cellStyle name="20% - Accent3 2 7 7 2" xfId="9541"/>
    <cellStyle name="20% - Accent3 2 7 7 2 2" xfId="9542"/>
    <cellStyle name="20% - Accent3 2 7 7 2 2 2" xfId="9543"/>
    <cellStyle name="20% - Accent3 2 7 7 2 2 2 2" xfId="9544"/>
    <cellStyle name="20% - Accent3 2 7 7 2 2 3" xfId="9545"/>
    <cellStyle name="20% - Accent3 2 7 7 2 3" xfId="9546"/>
    <cellStyle name="20% - Accent3 2 7 7 2 3 2" xfId="9547"/>
    <cellStyle name="20% - Accent3 2 7 7 2 4" xfId="9548"/>
    <cellStyle name="20% - Accent3 2 7 7 3" xfId="9549"/>
    <cellStyle name="20% - Accent3 2 7 7 3 2" xfId="9550"/>
    <cellStyle name="20% - Accent3 2 7 7 3 2 2" xfId="9551"/>
    <cellStyle name="20% - Accent3 2 7 7 3 3" xfId="9552"/>
    <cellStyle name="20% - Accent3 2 7 7 4" xfId="9553"/>
    <cellStyle name="20% - Accent3 2 7 7 4 2" xfId="9554"/>
    <cellStyle name="20% - Accent3 2 7 7 5" xfId="9555"/>
    <cellStyle name="20% - Accent3 2 7 8" xfId="9556"/>
    <cellStyle name="20% - Accent3 2 7 8 2" xfId="9557"/>
    <cellStyle name="20% - Accent3 2 7 8 2 2" xfId="9558"/>
    <cellStyle name="20% - Accent3 2 7 8 2 2 2" xfId="9559"/>
    <cellStyle name="20% - Accent3 2 7 8 2 3" xfId="9560"/>
    <cellStyle name="20% - Accent3 2 7 8 3" xfId="9561"/>
    <cellStyle name="20% - Accent3 2 7 8 3 2" xfId="9562"/>
    <cellStyle name="20% - Accent3 2 7 8 4" xfId="9563"/>
    <cellStyle name="20% - Accent3 2 7 9" xfId="9564"/>
    <cellStyle name="20% - Accent3 2 7 9 2" xfId="9565"/>
    <cellStyle name="20% - Accent3 2 7 9 2 2" xfId="9566"/>
    <cellStyle name="20% - Accent3 2 7 9 3" xfId="9567"/>
    <cellStyle name="20% - Accent3 2 8" xfId="9568"/>
    <cellStyle name="20% - Accent3 2 8 10" xfId="9569"/>
    <cellStyle name="20% - Accent3 2 8 10 2" xfId="9570"/>
    <cellStyle name="20% - Accent3 2 8 11" xfId="9571"/>
    <cellStyle name="20% - Accent3 2 8 2" xfId="9572"/>
    <cellStyle name="20% - Accent3 2 8 2 10" xfId="9573"/>
    <cellStyle name="20% - Accent3 2 8 2 2" xfId="9574"/>
    <cellStyle name="20% - Accent3 2 8 2 2 2" xfId="9575"/>
    <cellStyle name="20% - Accent3 2 8 2 2 2 2" xfId="9576"/>
    <cellStyle name="20% - Accent3 2 8 2 2 2 2 2" xfId="9577"/>
    <cellStyle name="20% - Accent3 2 8 2 2 2 2 2 2" xfId="9578"/>
    <cellStyle name="20% - Accent3 2 8 2 2 2 2 3" xfId="9579"/>
    <cellStyle name="20% - Accent3 2 8 2 2 2 3" xfId="9580"/>
    <cellStyle name="20% - Accent3 2 8 2 2 2 3 2" xfId="9581"/>
    <cellStyle name="20% - Accent3 2 8 2 2 2 4" xfId="9582"/>
    <cellStyle name="20% - Accent3 2 8 2 2 3" xfId="9583"/>
    <cellStyle name="20% - Accent3 2 8 2 2 3 2" xfId="9584"/>
    <cellStyle name="20% - Accent3 2 8 2 2 3 2 2" xfId="9585"/>
    <cellStyle name="20% - Accent3 2 8 2 2 3 3" xfId="9586"/>
    <cellStyle name="20% - Accent3 2 8 2 2 4" xfId="9587"/>
    <cellStyle name="20% - Accent3 2 8 2 2 4 2" xfId="9588"/>
    <cellStyle name="20% - Accent3 2 8 2 2 5" xfId="9589"/>
    <cellStyle name="20% - Accent3 2 8 2 3" xfId="9590"/>
    <cellStyle name="20% - Accent3 2 8 2 3 2" xfId="9591"/>
    <cellStyle name="20% - Accent3 2 8 2 3 2 2" xfId="9592"/>
    <cellStyle name="20% - Accent3 2 8 2 3 2 2 2" xfId="9593"/>
    <cellStyle name="20% - Accent3 2 8 2 3 2 2 2 2" xfId="9594"/>
    <cellStyle name="20% - Accent3 2 8 2 3 2 2 3" xfId="9595"/>
    <cellStyle name="20% - Accent3 2 8 2 3 2 3" xfId="9596"/>
    <cellStyle name="20% - Accent3 2 8 2 3 2 3 2" xfId="9597"/>
    <cellStyle name="20% - Accent3 2 8 2 3 2 4" xfId="9598"/>
    <cellStyle name="20% - Accent3 2 8 2 3 3" xfId="9599"/>
    <cellStyle name="20% - Accent3 2 8 2 3 3 2" xfId="9600"/>
    <cellStyle name="20% - Accent3 2 8 2 3 3 2 2" xfId="9601"/>
    <cellStyle name="20% - Accent3 2 8 2 3 3 3" xfId="9602"/>
    <cellStyle name="20% - Accent3 2 8 2 3 4" xfId="9603"/>
    <cellStyle name="20% - Accent3 2 8 2 3 4 2" xfId="9604"/>
    <cellStyle name="20% - Accent3 2 8 2 3 5" xfId="9605"/>
    <cellStyle name="20% - Accent3 2 8 2 4" xfId="9606"/>
    <cellStyle name="20% - Accent3 2 8 2 4 2" xfId="9607"/>
    <cellStyle name="20% - Accent3 2 8 2 4 2 2" xfId="9608"/>
    <cellStyle name="20% - Accent3 2 8 2 4 2 2 2" xfId="9609"/>
    <cellStyle name="20% - Accent3 2 8 2 4 2 2 2 2" xfId="9610"/>
    <cellStyle name="20% - Accent3 2 8 2 4 2 2 3" xfId="9611"/>
    <cellStyle name="20% - Accent3 2 8 2 4 2 3" xfId="9612"/>
    <cellStyle name="20% - Accent3 2 8 2 4 2 3 2" xfId="9613"/>
    <cellStyle name="20% - Accent3 2 8 2 4 2 4" xfId="9614"/>
    <cellStyle name="20% - Accent3 2 8 2 4 3" xfId="9615"/>
    <cellStyle name="20% - Accent3 2 8 2 4 3 2" xfId="9616"/>
    <cellStyle name="20% - Accent3 2 8 2 4 3 2 2" xfId="9617"/>
    <cellStyle name="20% - Accent3 2 8 2 4 3 3" xfId="9618"/>
    <cellStyle name="20% - Accent3 2 8 2 4 4" xfId="9619"/>
    <cellStyle name="20% - Accent3 2 8 2 4 4 2" xfId="9620"/>
    <cellStyle name="20% - Accent3 2 8 2 4 5" xfId="9621"/>
    <cellStyle name="20% - Accent3 2 8 2 5" xfId="9622"/>
    <cellStyle name="20% - Accent3 2 8 2 5 2" xfId="9623"/>
    <cellStyle name="20% - Accent3 2 8 2 5 2 2" xfId="9624"/>
    <cellStyle name="20% - Accent3 2 8 2 5 2 2 2" xfId="9625"/>
    <cellStyle name="20% - Accent3 2 8 2 5 2 2 2 2" xfId="9626"/>
    <cellStyle name="20% - Accent3 2 8 2 5 2 2 3" xfId="9627"/>
    <cellStyle name="20% - Accent3 2 8 2 5 2 3" xfId="9628"/>
    <cellStyle name="20% - Accent3 2 8 2 5 2 3 2" xfId="9629"/>
    <cellStyle name="20% - Accent3 2 8 2 5 2 4" xfId="9630"/>
    <cellStyle name="20% - Accent3 2 8 2 5 3" xfId="9631"/>
    <cellStyle name="20% - Accent3 2 8 2 5 3 2" xfId="9632"/>
    <cellStyle name="20% - Accent3 2 8 2 5 3 2 2" xfId="9633"/>
    <cellStyle name="20% - Accent3 2 8 2 5 3 3" xfId="9634"/>
    <cellStyle name="20% - Accent3 2 8 2 5 4" xfId="9635"/>
    <cellStyle name="20% - Accent3 2 8 2 5 4 2" xfId="9636"/>
    <cellStyle name="20% - Accent3 2 8 2 5 5" xfId="9637"/>
    <cellStyle name="20% - Accent3 2 8 2 6" xfId="9638"/>
    <cellStyle name="20% - Accent3 2 8 2 6 2" xfId="9639"/>
    <cellStyle name="20% - Accent3 2 8 2 6 2 2" xfId="9640"/>
    <cellStyle name="20% - Accent3 2 8 2 6 2 2 2" xfId="9641"/>
    <cellStyle name="20% - Accent3 2 8 2 6 2 2 2 2" xfId="9642"/>
    <cellStyle name="20% - Accent3 2 8 2 6 2 2 3" xfId="9643"/>
    <cellStyle name="20% - Accent3 2 8 2 6 2 3" xfId="9644"/>
    <cellStyle name="20% - Accent3 2 8 2 6 2 3 2" xfId="9645"/>
    <cellStyle name="20% - Accent3 2 8 2 6 2 4" xfId="9646"/>
    <cellStyle name="20% - Accent3 2 8 2 6 3" xfId="9647"/>
    <cellStyle name="20% - Accent3 2 8 2 6 3 2" xfId="9648"/>
    <cellStyle name="20% - Accent3 2 8 2 6 3 2 2" xfId="9649"/>
    <cellStyle name="20% - Accent3 2 8 2 6 3 3" xfId="9650"/>
    <cellStyle name="20% - Accent3 2 8 2 6 4" xfId="9651"/>
    <cellStyle name="20% - Accent3 2 8 2 6 4 2" xfId="9652"/>
    <cellStyle name="20% - Accent3 2 8 2 6 5" xfId="9653"/>
    <cellStyle name="20% - Accent3 2 8 2 7" xfId="9654"/>
    <cellStyle name="20% - Accent3 2 8 2 7 2" xfId="9655"/>
    <cellStyle name="20% - Accent3 2 8 2 7 2 2" xfId="9656"/>
    <cellStyle name="20% - Accent3 2 8 2 7 2 2 2" xfId="9657"/>
    <cellStyle name="20% - Accent3 2 8 2 7 2 3" xfId="9658"/>
    <cellStyle name="20% - Accent3 2 8 2 7 3" xfId="9659"/>
    <cellStyle name="20% - Accent3 2 8 2 7 3 2" xfId="9660"/>
    <cellStyle name="20% - Accent3 2 8 2 7 4" xfId="9661"/>
    <cellStyle name="20% - Accent3 2 8 2 8" xfId="9662"/>
    <cellStyle name="20% - Accent3 2 8 2 8 2" xfId="9663"/>
    <cellStyle name="20% - Accent3 2 8 2 8 2 2" xfId="9664"/>
    <cellStyle name="20% - Accent3 2 8 2 8 3" xfId="9665"/>
    <cellStyle name="20% - Accent3 2 8 2 9" xfId="9666"/>
    <cellStyle name="20% - Accent3 2 8 2 9 2" xfId="9667"/>
    <cellStyle name="20% - Accent3 2 8 3" xfId="9668"/>
    <cellStyle name="20% - Accent3 2 8 3 2" xfId="9669"/>
    <cellStyle name="20% - Accent3 2 8 3 2 2" xfId="9670"/>
    <cellStyle name="20% - Accent3 2 8 3 2 2 2" xfId="9671"/>
    <cellStyle name="20% - Accent3 2 8 3 2 2 2 2" xfId="9672"/>
    <cellStyle name="20% - Accent3 2 8 3 2 2 3" xfId="9673"/>
    <cellStyle name="20% - Accent3 2 8 3 2 3" xfId="9674"/>
    <cellStyle name="20% - Accent3 2 8 3 2 3 2" xfId="9675"/>
    <cellStyle name="20% - Accent3 2 8 3 2 4" xfId="9676"/>
    <cellStyle name="20% - Accent3 2 8 3 3" xfId="9677"/>
    <cellStyle name="20% - Accent3 2 8 3 3 2" xfId="9678"/>
    <cellStyle name="20% - Accent3 2 8 3 3 2 2" xfId="9679"/>
    <cellStyle name="20% - Accent3 2 8 3 3 3" xfId="9680"/>
    <cellStyle name="20% - Accent3 2 8 3 4" xfId="9681"/>
    <cellStyle name="20% - Accent3 2 8 3 4 2" xfId="9682"/>
    <cellStyle name="20% - Accent3 2 8 3 5" xfId="9683"/>
    <cellStyle name="20% - Accent3 2 8 4" xfId="9684"/>
    <cellStyle name="20% - Accent3 2 8 4 2" xfId="9685"/>
    <cellStyle name="20% - Accent3 2 8 4 2 2" xfId="9686"/>
    <cellStyle name="20% - Accent3 2 8 4 2 2 2" xfId="9687"/>
    <cellStyle name="20% - Accent3 2 8 4 2 2 2 2" xfId="9688"/>
    <cellStyle name="20% - Accent3 2 8 4 2 2 3" xfId="9689"/>
    <cellStyle name="20% - Accent3 2 8 4 2 3" xfId="9690"/>
    <cellStyle name="20% - Accent3 2 8 4 2 3 2" xfId="9691"/>
    <cellStyle name="20% - Accent3 2 8 4 2 4" xfId="9692"/>
    <cellStyle name="20% - Accent3 2 8 4 3" xfId="9693"/>
    <cellStyle name="20% - Accent3 2 8 4 3 2" xfId="9694"/>
    <cellStyle name="20% - Accent3 2 8 4 3 2 2" xfId="9695"/>
    <cellStyle name="20% - Accent3 2 8 4 3 3" xfId="9696"/>
    <cellStyle name="20% - Accent3 2 8 4 4" xfId="9697"/>
    <cellStyle name="20% - Accent3 2 8 4 4 2" xfId="9698"/>
    <cellStyle name="20% - Accent3 2 8 4 5" xfId="9699"/>
    <cellStyle name="20% - Accent3 2 8 5" xfId="9700"/>
    <cellStyle name="20% - Accent3 2 8 5 2" xfId="9701"/>
    <cellStyle name="20% - Accent3 2 8 5 2 2" xfId="9702"/>
    <cellStyle name="20% - Accent3 2 8 5 2 2 2" xfId="9703"/>
    <cellStyle name="20% - Accent3 2 8 5 2 2 2 2" xfId="9704"/>
    <cellStyle name="20% - Accent3 2 8 5 2 2 3" xfId="9705"/>
    <cellStyle name="20% - Accent3 2 8 5 2 3" xfId="9706"/>
    <cellStyle name="20% - Accent3 2 8 5 2 3 2" xfId="9707"/>
    <cellStyle name="20% - Accent3 2 8 5 2 4" xfId="9708"/>
    <cellStyle name="20% - Accent3 2 8 5 3" xfId="9709"/>
    <cellStyle name="20% - Accent3 2 8 5 3 2" xfId="9710"/>
    <cellStyle name="20% - Accent3 2 8 5 3 2 2" xfId="9711"/>
    <cellStyle name="20% - Accent3 2 8 5 3 3" xfId="9712"/>
    <cellStyle name="20% - Accent3 2 8 5 4" xfId="9713"/>
    <cellStyle name="20% - Accent3 2 8 5 4 2" xfId="9714"/>
    <cellStyle name="20% - Accent3 2 8 5 5" xfId="9715"/>
    <cellStyle name="20% - Accent3 2 8 6" xfId="9716"/>
    <cellStyle name="20% - Accent3 2 8 6 2" xfId="9717"/>
    <cellStyle name="20% - Accent3 2 8 6 2 2" xfId="9718"/>
    <cellStyle name="20% - Accent3 2 8 6 2 2 2" xfId="9719"/>
    <cellStyle name="20% - Accent3 2 8 6 2 2 2 2" xfId="9720"/>
    <cellStyle name="20% - Accent3 2 8 6 2 2 3" xfId="9721"/>
    <cellStyle name="20% - Accent3 2 8 6 2 3" xfId="9722"/>
    <cellStyle name="20% - Accent3 2 8 6 2 3 2" xfId="9723"/>
    <cellStyle name="20% - Accent3 2 8 6 2 4" xfId="9724"/>
    <cellStyle name="20% - Accent3 2 8 6 3" xfId="9725"/>
    <cellStyle name="20% - Accent3 2 8 6 3 2" xfId="9726"/>
    <cellStyle name="20% - Accent3 2 8 6 3 2 2" xfId="9727"/>
    <cellStyle name="20% - Accent3 2 8 6 3 3" xfId="9728"/>
    <cellStyle name="20% - Accent3 2 8 6 4" xfId="9729"/>
    <cellStyle name="20% - Accent3 2 8 6 4 2" xfId="9730"/>
    <cellStyle name="20% - Accent3 2 8 6 5" xfId="9731"/>
    <cellStyle name="20% - Accent3 2 8 7" xfId="9732"/>
    <cellStyle name="20% - Accent3 2 8 7 2" xfId="9733"/>
    <cellStyle name="20% - Accent3 2 8 7 2 2" xfId="9734"/>
    <cellStyle name="20% - Accent3 2 8 7 2 2 2" xfId="9735"/>
    <cellStyle name="20% - Accent3 2 8 7 2 2 2 2" xfId="9736"/>
    <cellStyle name="20% - Accent3 2 8 7 2 2 3" xfId="9737"/>
    <cellStyle name="20% - Accent3 2 8 7 2 3" xfId="9738"/>
    <cellStyle name="20% - Accent3 2 8 7 2 3 2" xfId="9739"/>
    <cellStyle name="20% - Accent3 2 8 7 2 4" xfId="9740"/>
    <cellStyle name="20% - Accent3 2 8 7 3" xfId="9741"/>
    <cellStyle name="20% - Accent3 2 8 7 3 2" xfId="9742"/>
    <cellStyle name="20% - Accent3 2 8 7 3 2 2" xfId="9743"/>
    <cellStyle name="20% - Accent3 2 8 7 3 3" xfId="9744"/>
    <cellStyle name="20% - Accent3 2 8 7 4" xfId="9745"/>
    <cellStyle name="20% - Accent3 2 8 7 4 2" xfId="9746"/>
    <cellStyle name="20% - Accent3 2 8 7 5" xfId="9747"/>
    <cellStyle name="20% - Accent3 2 8 8" xfId="9748"/>
    <cellStyle name="20% - Accent3 2 8 8 2" xfId="9749"/>
    <cellStyle name="20% - Accent3 2 8 8 2 2" xfId="9750"/>
    <cellStyle name="20% - Accent3 2 8 8 2 2 2" xfId="9751"/>
    <cellStyle name="20% - Accent3 2 8 8 2 3" xfId="9752"/>
    <cellStyle name="20% - Accent3 2 8 8 3" xfId="9753"/>
    <cellStyle name="20% - Accent3 2 8 8 3 2" xfId="9754"/>
    <cellStyle name="20% - Accent3 2 8 8 4" xfId="9755"/>
    <cellStyle name="20% - Accent3 2 8 9" xfId="9756"/>
    <cellStyle name="20% - Accent3 2 8 9 2" xfId="9757"/>
    <cellStyle name="20% - Accent3 2 8 9 2 2" xfId="9758"/>
    <cellStyle name="20% - Accent3 2 8 9 3" xfId="9759"/>
    <cellStyle name="20% - Accent3 2 9" xfId="9760"/>
    <cellStyle name="20% - Accent3 2 9 10" xfId="9761"/>
    <cellStyle name="20% - Accent3 2 9 10 2" xfId="9762"/>
    <cellStyle name="20% - Accent3 2 9 11" xfId="9763"/>
    <cellStyle name="20% - Accent3 2 9 2" xfId="9764"/>
    <cellStyle name="20% - Accent3 2 9 2 10" xfId="9765"/>
    <cellStyle name="20% - Accent3 2 9 2 2" xfId="9766"/>
    <cellStyle name="20% - Accent3 2 9 2 2 2" xfId="9767"/>
    <cellStyle name="20% - Accent3 2 9 2 2 2 2" xfId="9768"/>
    <cellStyle name="20% - Accent3 2 9 2 2 2 2 2" xfId="9769"/>
    <cellStyle name="20% - Accent3 2 9 2 2 2 2 2 2" xfId="9770"/>
    <cellStyle name="20% - Accent3 2 9 2 2 2 2 3" xfId="9771"/>
    <cellStyle name="20% - Accent3 2 9 2 2 2 3" xfId="9772"/>
    <cellStyle name="20% - Accent3 2 9 2 2 2 3 2" xfId="9773"/>
    <cellStyle name="20% - Accent3 2 9 2 2 2 4" xfId="9774"/>
    <cellStyle name="20% - Accent3 2 9 2 2 3" xfId="9775"/>
    <cellStyle name="20% - Accent3 2 9 2 2 3 2" xfId="9776"/>
    <cellStyle name="20% - Accent3 2 9 2 2 3 2 2" xfId="9777"/>
    <cellStyle name="20% - Accent3 2 9 2 2 3 3" xfId="9778"/>
    <cellStyle name="20% - Accent3 2 9 2 2 4" xfId="9779"/>
    <cellStyle name="20% - Accent3 2 9 2 2 4 2" xfId="9780"/>
    <cellStyle name="20% - Accent3 2 9 2 2 5" xfId="9781"/>
    <cellStyle name="20% - Accent3 2 9 2 3" xfId="9782"/>
    <cellStyle name="20% - Accent3 2 9 2 3 2" xfId="9783"/>
    <cellStyle name="20% - Accent3 2 9 2 3 2 2" xfId="9784"/>
    <cellStyle name="20% - Accent3 2 9 2 3 2 2 2" xfId="9785"/>
    <cellStyle name="20% - Accent3 2 9 2 3 2 2 2 2" xfId="9786"/>
    <cellStyle name="20% - Accent3 2 9 2 3 2 2 3" xfId="9787"/>
    <cellStyle name="20% - Accent3 2 9 2 3 2 3" xfId="9788"/>
    <cellStyle name="20% - Accent3 2 9 2 3 2 3 2" xfId="9789"/>
    <cellStyle name="20% - Accent3 2 9 2 3 2 4" xfId="9790"/>
    <cellStyle name="20% - Accent3 2 9 2 3 3" xfId="9791"/>
    <cellStyle name="20% - Accent3 2 9 2 3 3 2" xfId="9792"/>
    <cellStyle name="20% - Accent3 2 9 2 3 3 2 2" xfId="9793"/>
    <cellStyle name="20% - Accent3 2 9 2 3 3 3" xfId="9794"/>
    <cellStyle name="20% - Accent3 2 9 2 3 4" xfId="9795"/>
    <cellStyle name="20% - Accent3 2 9 2 3 4 2" xfId="9796"/>
    <cellStyle name="20% - Accent3 2 9 2 3 5" xfId="9797"/>
    <cellStyle name="20% - Accent3 2 9 2 4" xfId="9798"/>
    <cellStyle name="20% - Accent3 2 9 2 4 2" xfId="9799"/>
    <cellStyle name="20% - Accent3 2 9 2 4 2 2" xfId="9800"/>
    <cellStyle name="20% - Accent3 2 9 2 4 2 2 2" xfId="9801"/>
    <cellStyle name="20% - Accent3 2 9 2 4 2 2 2 2" xfId="9802"/>
    <cellStyle name="20% - Accent3 2 9 2 4 2 2 3" xfId="9803"/>
    <cellStyle name="20% - Accent3 2 9 2 4 2 3" xfId="9804"/>
    <cellStyle name="20% - Accent3 2 9 2 4 2 3 2" xfId="9805"/>
    <cellStyle name="20% - Accent3 2 9 2 4 2 4" xfId="9806"/>
    <cellStyle name="20% - Accent3 2 9 2 4 3" xfId="9807"/>
    <cellStyle name="20% - Accent3 2 9 2 4 3 2" xfId="9808"/>
    <cellStyle name="20% - Accent3 2 9 2 4 3 2 2" xfId="9809"/>
    <cellStyle name="20% - Accent3 2 9 2 4 3 3" xfId="9810"/>
    <cellStyle name="20% - Accent3 2 9 2 4 4" xfId="9811"/>
    <cellStyle name="20% - Accent3 2 9 2 4 4 2" xfId="9812"/>
    <cellStyle name="20% - Accent3 2 9 2 4 5" xfId="9813"/>
    <cellStyle name="20% - Accent3 2 9 2 5" xfId="9814"/>
    <cellStyle name="20% - Accent3 2 9 2 5 2" xfId="9815"/>
    <cellStyle name="20% - Accent3 2 9 2 5 2 2" xfId="9816"/>
    <cellStyle name="20% - Accent3 2 9 2 5 2 2 2" xfId="9817"/>
    <cellStyle name="20% - Accent3 2 9 2 5 2 2 2 2" xfId="9818"/>
    <cellStyle name="20% - Accent3 2 9 2 5 2 2 3" xfId="9819"/>
    <cellStyle name="20% - Accent3 2 9 2 5 2 3" xfId="9820"/>
    <cellStyle name="20% - Accent3 2 9 2 5 2 3 2" xfId="9821"/>
    <cellStyle name="20% - Accent3 2 9 2 5 2 4" xfId="9822"/>
    <cellStyle name="20% - Accent3 2 9 2 5 3" xfId="9823"/>
    <cellStyle name="20% - Accent3 2 9 2 5 3 2" xfId="9824"/>
    <cellStyle name="20% - Accent3 2 9 2 5 3 2 2" xfId="9825"/>
    <cellStyle name="20% - Accent3 2 9 2 5 3 3" xfId="9826"/>
    <cellStyle name="20% - Accent3 2 9 2 5 4" xfId="9827"/>
    <cellStyle name="20% - Accent3 2 9 2 5 4 2" xfId="9828"/>
    <cellStyle name="20% - Accent3 2 9 2 5 5" xfId="9829"/>
    <cellStyle name="20% - Accent3 2 9 2 6" xfId="9830"/>
    <cellStyle name="20% - Accent3 2 9 2 6 2" xfId="9831"/>
    <cellStyle name="20% - Accent3 2 9 2 6 2 2" xfId="9832"/>
    <cellStyle name="20% - Accent3 2 9 2 6 2 2 2" xfId="9833"/>
    <cellStyle name="20% - Accent3 2 9 2 6 2 2 2 2" xfId="9834"/>
    <cellStyle name="20% - Accent3 2 9 2 6 2 2 3" xfId="9835"/>
    <cellStyle name="20% - Accent3 2 9 2 6 2 3" xfId="9836"/>
    <cellStyle name="20% - Accent3 2 9 2 6 2 3 2" xfId="9837"/>
    <cellStyle name="20% - Accent3 2 9 2 6 2 4" xfId="9838"/>
    <cellStyle name="20% - Accent3 2 9 2 6 3" xfId="9839"/>
    <cellStyle name="20% - Accent3 2 9 2 6 3 2" xfId="9840"/>
    <cellStyle name="20% - Accent3 2 9 2 6 3 2 2" xfId="9841"/>
    <cellStyle name="20% - Accent3 2 9 2 6 3 3" xfId="9842"/>
    <cellStyle name="20% - Accent3 2 9 2 6 4" xfId="9843"/>
    <cellStyle name="20% - Accent3 2 9 2 6 4 2" xfId="9844"/>
    <cellStyle name="20% - Accent3 2 9 2 6 5" xfId="9845"/>
    <cellStyle name="20% - Accent3 2 9 2 7" xfId="9846"/>
    <cellStyle name="20% - Accent3 2 9 2 7 2" xfId="9847"/>
    <cellStyle name="20% - Accent3 2 9 2 7 2 2" xfId="9848"/>
    <cellStyle name="20% - Accent3 2 9 2 7 2 2 2" xfId="9849"/>
    <cellStyle name="20% - Accent3 2 9 2 7 2 3" xfId="9850"/>
    <cellStyle name="20% - Accent3 2 9 2 7 3" xfId="9851"/>
    <cellStyle name="20% - Accent3 2 9 2 7 3 2" xfId="9852"/>
    <cellStyle name="20% - Accent3 2 9 2 7 4" xfId="9853"/>
    <cellStyle name="20% - Accent3 2 9 2 8" xfId="9854"/>
    <cellStyle name="20% - Accent3 2 9 2 8 2" xfId="9855"/>
    <cellStyle name="20% - Accent3 2 9 2 8 2 2" xfId="9856"/>
    <cellStyle name="20% - Accent3 2 9 2 8 3" xfId="9857"/>
    <cellStyle name="20% - Accent3 2 9 2 9" xfId="9858"/>
    <cellStyle name="20% - Accent3 2 9 2 9 2" xfId="9859"/>
    <cellStyle name="20% - Accent3 2 9 3" xfId="9860"/>
    <cellStyle name="20% - Accent3 2 9 3 2" xfId="9861"/>
    <cellStyle name="20% - Accent3 2 9 3 2 2" xfId="9862"/>
    <cellStyle name="20% - Accent3 2 9 3 2 2 2" xfId="9863"/>
    <cellStyle name="20% - Accent3 2 9 3 2 2 2 2" xfId="9864"/>
    <cellStyle name="20% - Accent3 2 9 3 2 2 3" xfId="9865"/>
    <cellStyle name="20% - Accent3 2 9 3 2 3" xfId="9866"/>
    <cellStyle name="20% - Accent3 2 9 3 2 3 2" xfId="9867"/>
    <cellStyle name="20% - Accent3 2 9 3 2 4" xfId="9868"/>
    <cellStyle name="20% - Accent3 2 9 3 3" xfId="9869"/>
    <cellStyle name="20% - Accent3 2 9 3 3 2" xfId="9870"/>
    <cellStyle name="20% - Accent3 2 9 3 3 2 2" xfId="9871"/>
    <cellStyle name="20% - Accent3 2 9 3 3 3" xfId="9872"/>
    <cellStyle name="20% - Accent3 2 9 3 4" xfId="9873"/>
    <cellStyle name="20% - Accent3 2 9 3 4 2" xfId="9874"/>
    <cellStyle name="20% - Accent3 2 9 3 5" xfId="9875"/>
    <cellStyle name="20% - Accent3 2 9 4" xfId="9876"/>
    <cellStyle name="20% - Accent3 2 9 4 2" xfId="9877"/>
    <cellStyle name="20% - Accent3 2 9 4 2 2" xfId="9878"/>
    <cellStyle name="20% - Accent3 2 9 4 2 2 2" xfId="9879"/>
    <cellStyle name="20% - Accent3 2 9 4 2 2 2 2" xfId="9880"/>
    <cellStyle name="20% - Accent3 2 9 4 2 2 3" xfId="9881"/>
    <cellStyle name="20% - Accent3 2 9 4 2 3" xfId="9882"/>
    <cellStyle name="20% - Accent3 2 9 4 2 3 2" xfId="9883"/>
    <cellStyle name="20% - Accent3 2 9 4 2 4" xfId="9884"/>
    <cellStyle name="20% - Accent3 2 9 4 3" xfId="9885"/>
    <cellStyle name="20% - Accent3 2 9 4 3 2" xfId="9886"/>
    <cellStyle name="20% - Accent3 2 9 4 3 2 2" xfId="9887"/>
    <cellStyle name="20% - Accent3 2 9 4 3 3" xfId="9888"/>
    <cellStyle name="20% - Accent3 2 9 4 4" xfId="9889"/>
    <cellStyle name="20% - Accent3 2 9 4 4 2" xfId="9890"/>
    <cellStyle name="20% - Accent3 2 9 4 5" xfId="9891"/>
    <cellStyle name="20% - Accent3 2 9 5" xfId="9892"/>
    <cellStyle name="20% - Accent3 2 9 5 2" xfId="9893"/>
    <cellStyle name="20% - Accent3 2 9 5 2 2" xfId="9894"/>
    <cellStyle name="20% - Accent3 2 9 5 2 2 2" xfId="9895"/>
    <cellStyle name="20% - Accent3 2 9 5 2 2 2 2" xfId="9896"/>
    <cellStyle name="20% - Accent3 2 9 5 2 2 3" xfId="9897"/>
    <cellStyle name="20% - Accent3 2 9 5 2 3" xfId="9898"/>
    <cellStyle name="20% - Accent3 2 9 5 2 3 2" xfId="9899"/>
    <cellStyle name="20% - Accent3 2 9 5 2 4" xfId="9900"/>
    <cellStyle name="20% - Accent3 2 9 5 3" xfId="9901"/>
    <cellStyle name="20% - Accent3 2 9 5 3 2" xfId="9902"/>
    <cellStyle name="20% - Accent3 2 9 5 3 2 2" xfId="9903"/>
    <cellStyle name="20% - Accent3 2 9 5 3 3" xfId="9904"/>
    <cellStyle name="20% - Accent3 2 9 5 4" xfId="9905"/>
    <cellStyle name="20% - Accent3 2 9 5 4 2" xfId="9906"/>
    <cellStyle name="20% - Accent3 2 9 5 5" xfId="9907"/>
    <cellStyle name="20% - Accent3 2 9 6" xfId="9908"/>
    <cellStyle name="20% - Accent3 2 9 6 2" xfId="9909"/>
    <cellStyle name="20% - Accent3 2 9 6 2 2" xfId="9910"/>
    <cellStyle name="20% - Accent3 2 9 6 2 2 2" xfId="9911"/>
    <cellStyle name="20% - Accent3 2 9 6 2 2 2 2" xfId="9912"/>
    <cellStyle name="20% - Accent3 2 9 6 2 2 3" xfId="9913"/>
    <cellStyle name="20% - Accent3 2 9 6 2 3" xfId="9914"/>
    <cellStyle name="20% - Accent3 2 9 6 2 3 2" xfId="9915"/>
    <cellStyle name="20% - Accent3 2 9 6 2 4" xfId="9916"/>
    <cellStyle name="20% - Accent3 2 9 6 3" xfId="9917"/>
    <cellStyle name="20% - Accent3 2 9 6 3 2" xfId="9918"/>
    <cellStyle name="20% - Accent3 2 9 6 3 2 2" xfId="9919"/>
    <cellStyle name="20% - Accent3 2 9 6 3 3" xfId="9920"/>
    <cellStyle name="20% - Accent3 2 9 6 4" xfId="9921"/>
    <cellStyle name="20% - Accent3 2 9 6 4 2" xfId="9922"/>
    <cellStyle name="20% - Accent3 2 9 6 5" xfId="9923"/>
    <cellStyle name="20% - Accent3 2 9 7" xfId="9924"/>
    <cellStyle name="20% - Accent3 2 9 7 2" xfId="9925"/>
    <cellStyle name="20% - Accent3 2 9 7 2 2" xfId="9926"/>
    <cellStyle name="20% - Accent3 2 9 7 2 2 2" xfId="9927"/>
    <cellStyle name="20% - Accent3 2 9 7 2 2 2 2" xfId="9928"/>
    <cellStyle name="20% - Accent3 2 9 7 2 2 3" xfId="9929"/>
    <cellStyle name="20% - Accent3 2 9 7 2 3" xfId="9930"/>
    <cellStyle name="20% - Accent3 2 9 7 2 3 2" xfId="9931"/>
    <cellStyle name="20% - Accent3 2 9 7 2 4" xfId="9932"/>
    <cellStyle name="20% - Accent3 2 9 7 3" xfId="9933"/>
    <cellStyle name="20% - Accent3 2 9 7 3 2" xfId="9934"/>
    <cellStyle name="20% - Accent3 2 9 7 3 2 2" xfId="9935"/>
    <cellStyle name="20% - Accent3 2 9 7 3 3" xfId="9936"/>
    <cellStyle name="20% - Accent3 2 9 7 4" xfId="9937"/>
    <cellStyle name="20% - Accent3 2 9 7 4 2" xfId="9938"/>
    <cellStyle name="20% - Accent3 2 9 7 5" xfId="9939"/>
    <cellStyle name="20% - Accent3 2 9 8" xfId="9940"/>
    <cellStyle name="20% - Accent3 2 9 8 2" xfId="9941"/>
    <cellStyle name="20% - Accent3 2 9 8 2 2" xfId="9942"/>
    <cellStyle name="20% - Accent3 2 9 8 2 2 2" xfId="9943"/>
    <cellStyle name="20% - Accent3 2 9 8 2 3" xfId="9944"/>
    <cellStyle name="20% - Accent3 2 9 8 3" xfId="9945"/>
    <cellStyle name="20% - Accent3 2 9 8 3 2" xfId="9946"/>
    <cellStyle name="20% - Accent3 2 9 8 4" xfId="9947"/>
    <cellStyle name="20% - Accent3 2 9 9" xfId="9948"/>
    <cellStyle name="20% - Accent3 2 9 9 2" xfId="9949"/>
    <cellStyle name="20% - Accent3 2 9 9 2 2" xfId="9950"/>
    <cellStyle name="20% - Accent3 2 9 9 3" xfId="9951"/>
    <cellStyle name="20% - Accent3 20" xfId="9952"/>
    <cellStyle name="20% - Accent3 20 2" xfId="9953"/>
    <cellStyle name="20% - Accent3 20 2 2" xfId="9954"/>
    <cellStyle name="20% - Accent3 20 2 2 2" xfId="9955"/>
    <cellStyle name="20% - Accent3 20 2 2 2 2" xfId="9956"/>
    <cellStyle name="20% - Accent3 20 2 2 3" xfId="9957"/>
    <cellStyle name="20% - Accent3 20 2 3" xfId="9958"/>
    <cellStyle name="20% - Accent3 20 2 3 2" xfId="9959"/>
    <cellStyle name="20% - Accent3 20 2 4" xfId="9960"/>
    <cellStyle name="20% - Accent3 20 3" xfId="9961"/>
    <cellStyle name="20% - Accent3 20 3 2" xfId="9962"/>
    <cellStyle name="20% - Accent3 20 3 2 2" xfId="9963"/>
    <cellStyle name="20% - Accent3 20 3 3" xfId="9964"/>
    <cellStyle name="20% - Accent3 20 4" xfId="9965"/>
    <cellStyle name="20% - Accent3 20 4 2" xfId="9966"/>
    <cellStyle name="20% - Accent3 20 5" xfId="9967"/>
    <cellStyle name="20% - Accent3 21" xfId="9968"/>
    <cellStyle name="20% - Accent3 21 2" xfId="9969"/>
    <cellStyle name="20% - Accent3 21 2 2" xfId="9970"/>
    <cellStyle name="20% - Accent3 21 2 2 2" xfId="9971"/>
    <cellStyle name="20% - Accent3 21 2 3" xfId="9972"/>
    <cellStyle name="20% - Accent3 21 3" xfId="9973"/>
    <cellStyle name="20% - Accent3 21 3 2" xfId="9974"/>
    <cellStyle name="20% - Accent3 21 4" xfId="9975"/>
    <cellStyle name="20% - Accent3 22" xfId="9976"/>
    <cellStyle name="20% - Accent3 22 2" xfId="9977"/>
    <cellStyle name="20% - Accent3 22 2 2" xfId="9978"/>
    <cellStyle name="20% - Accent3 22 3" xfId="9979"/>
    <cellStyle name="20% - Accent3 23" xfId="9980"/>
    <cellStyle name="20% - Accent3 23 2" xfId="9981"/>
    <cellStyle name="20% - Accent3 24" xfId="9982"/>
    <cellStyle name="20% - Accent3 3" xfId="9983"/>
    <cellStyle name="20% - Accent3 3 10" xfId="9984"/>
    <cellStyle name="20% - Accent3 3 10 2" xfId="9985"/>
    <cellStyle name="20% - Accent3 3 11" xfId="9986"/>
    <cellStyle name="20% - Accent3 3 2" xfId="9987"/>
    <cellStyle name="20% - Accent3 3 2 10" xfId="9988"/>
    <cellStyle name="20% - Accent3 3 2 2" xfId="9989"/>
    <cellStyle name="20% - Accent3 3 2 2 2" xfId="9990"/>
    <cellStyle name="20% - Accent3 3 2 2 2 2" xfId="9991"/>
    <cellStyle name="20% - Accent3 3 2 2 2 2 2" xfId="9992"/>
    <cellStyle name="20% - Accent3 3 2 2 2 2 2 2" xfId="9993"/>
    <cellStyle name="20% - Accent3 3 2 2 2 2 3" xfId="9994"/>
    <cellStyle name="20% - Accent3 3 2 2 2 3" xfId="9995"/>
    <cellStyle name="20% - Accent3 3 2 2 2 3 2" xfId="9996"/>
    <cellStyle name="20% - Accent3 3 2 2 2 4" xfId="9997"/>
    <cellStyle name="20% - Accent3 3 2 2 3" xfId="9998"/>
    <cellStyle name="20% - Accent3 3 2 2 3 2" xfId="9999"/>
    <cellStyle name="20% - Accent3 3 2 2 3 2 2" xfId="10000"/>
    <cellStyle name="20% - Accent3 3 2 2 3 3" xfId="10001"/>
    <cellStyle name="20% - Accent3 3 2 2 4" xfId="10002"/>
    <cellStyle name="20% - Accent3 3 2 2 4 2" xfId="10003"/>
    <cellStyle name="20% - Accent3 3 2 2 5" xfId="10004"/>
    <cellStyle name="20% - Accent3 3 2 3" xfId="10005"/>
    <cellStyle name="20% - Accent3 3 2 3 2" xfId="10006"/>
    <cellStyle name="20% - Accent3 3 2 3 2 2" xfId="10007"/>
    <cellStyle name="20% - Accent3 3 2 3 2 2 2" xfId="10008"/>
    <cellStyle name="20% - Accent3 3 2 3 2 2 2 2" xfId="10009"/>
    <cellStyle name="20% - Accent3 3 2 3 2 2 3" xfId="10010"/>
    <cellStyle name="20% - Accent3 3 2 3 2 3" xfId="10011"/>
    <cellStyle name="20% - Accent3 3 2 3 2 3 2" xfId="10012"/>
    <cellStyle name="20% - Accent3 3 2 3 2 4" xfId="10013"/>
    <cellStyle name="20% - Accent3 3 2 3 3" xfId="10014"/>
    <cellStyle name="20% - Accent3 3 2 3 3 2" xfId="10015"/>
    <cellStyle name="20% - Accent3 3 2 3 3 2 2" xfId="10016"/>
    <cellStyle name="20% - Accent3 3 2 3 3 3" xfId="10017"/>
    <cellStyle name="20% - Accent3 3 2 3 4" xfId="10018"/>
    <cellStyle name="20% - Accent3 3 2 3 4 2" xfId="10019"/>
    <cellStyle name="20% - Accent3 3 2 3 5" xfId="10020"/>
    <cellStyle name="20% - Accent3 3 2 4" xfId="10021"/>
    <cellStyle name="20% - Accent3 3 2 4 2" xfId="10022"/>
    <cellStyle name="20% - Accent3 3 2 4 2 2" xfId="10023"/>
    <cellStyle name="20% - Accent3 3 2 4 2 2 2" xfId="10024"/>
    <cellStyle name="20% - Accent3 3 2 4 2 2 2 2" xfId="10025"/>
    <cellStyle name="20% - Accent3 3 2 4 2 2 3" xfId="10026"/>
    <cellStyle name="20% - Accent3 3 2 4 2 3" xfId="10027"/>
    <cellStyle name="20% - Accent3 3 2 4 2 3 2" xfId="10028"/>
    <cellStyle name="20% - Accent3 3 2 4 2 4" xfId="10029"/>
    <cellStyle name="20% - Accent3 3 2 4 3" xfId="10030"/>
    <cellStyle name="20% - Accent3 3 2 4 3 2" xfId="10031"/>
    <cellStyle name="20% - Accent3 3 2 4 3 2 2" xfId="10032"/>
    <cellStyle name="20% - Accent3 3 2 4 3 3" xfId="10033"/>
    <cellStyle name="20% - Accent3 3 2 4 4" xfId="10034"/>
    <cellStyle name="20% - Accent3 3 2 4 4 2" xfId="10035"/>
    <cellStyle name="20% - Accent3 3 2 4 5" xfId="10036"/>
    <cellStyle name="20% - Accent3 3 2 5" xfId="10037"/>
    <cellStyle name="20% - Accent3 3 2 5 2" xfId="10038"/>
    <cellStyle name="20% - Accent3 3 2 5 2 2" xfId="10039"/>
    <cellStyle name="20% - Accent3 3 2 5 2 2 2" xfId="10040"/>
    <cellStyle name="20% - Accent3 3 2 5 2 2 2 2" xfId="10041"/>
    <cellStyle name="20% - Accent3 3 2 5 2 2 3" xfId="10042"/>
    <cellStyle name="20% - Accent3 3 2 5 2 3" xfId="10043"/>
    <cellStyle name="20% - Accent3 3 2 5 2 3 2" xfId="10044"/>
    <cellStyle name="20% - Accent3 3 2 5 2 4" xfId="10045"/>
    <cellStyle name="20% - Accent3 3 2 5 3" xfId="10046"/>
    <cellStyle name="20% - Accent3 3 2 5 3 2" xfId="10047"/>
    <cellStyle name="20% - Accent3 3 2 5 3 2 2" xfId="10048"/>
    <cellStyle name="20% - Accent3 3 2 5 3 3" xfId="10049"/>
    <cellStyle name="20% - Accent3 3 2 5 4" xfId="10050"/>
    <cellStyle name="20% - Accent3 3 2 5 4 2" xfId="10051"/>
    <cellStyle name="20% - Accent3 3 2 5 5" xfId="10052"/>
    <cellStyle name="20% - Accent3 3 2 6" xfId="10053"/>
    <cellStyle name="20% - Accent3 3 2 6 2" xfId="10054"/>
    <cellStyle name="20% - Accent3 3 2 6 2 2" xfId="10055"/>
    <cellStyle name="20% - Accent3 3 2 6 2 2 2" xfId="10056"/>
    <cellStyle name="20% - Accent3 3 2 6 2 2 2 2" xfId="10057"/>
    <cellStyle name="20% - Accent3 3 2 6 2 2 3" xfId="10058"/>
    <cellStyle name="20% - Accent3 3 2 6 2 3" xfId="10059"/>
    <cellStyle name="20% - Accent3 3 2 6 2 3 2" xfId="10060"/>
    <cellStyle name="20% - Accent3 3 2 6 2 4" xfId="10061"/>
    <cellStyle name="20% - Accent3 3 2 6 3" xfId="10062"/>
    <cellStyle name="20% - Accent3 3 2 6 3 2" xfId="10063"/>
    <cellStyle name="20% - Accent3 3 2 6 3 2 2" xfId="10064"/>
    <cellStyle name="20% - Accent3 3 2 6 3 3" xfId="10065"/>
    <cellStyle name="20% - Accent3 3 2 6 4" xfId="10066"/>
    <cellStyle name="20% - Accent3 3 2 6 4 2" xfId="10067"/>
    <cellStyle name="20% - Accent3 3 2 6 5" xfId="10068"/>
    <cellStyle name="20% - Accent3 3 2 7" xfId="10069"/>
    <cellStyle name="20% - Accent3 3 2 7 2" xfId="10070"/>
    <cellStyle name="20% - Accent3 3 2 7 2 2" xfId="10071"/>
    <cellStyle name="20% - Accent3 3 2 7 2 2 2" xfId="10072"/>
    <cellStyle name="20% - Accent3 3 2 7 2 3" xfId="10073"/>
    <cellStyle name="20% - Accent3 3 2 7 3" xfId="10074"/>
    <cellStyle name="20% - Accent3 3 2 7 3 2" xfId="10075"/>
    <cellStyle name="20% - Accent3 3 2 7 4" xfId="10076"/>
    <cellStyle name="20% - Accent3 3 2 8" xfId="10077"/>
    <cellStyle name="20% - Accent3 3 2 8 2" xfId="10078"/>
    <cellStyle name="20% - Accent3 3 2 8 2 2" xfId="10079"/>
    <cellStyle name="20% - Accent3 3 2 8 3" xfId="10080"/>
    <cellStyle name="20% - Accent3 3 2 9" xfId="10081"/>
    <cellStyle name="20% - Accent3 3 2 9 2" xfId="10082"/>
    <cellStyle name="20% - Accent3 3 3" xfId="10083"/>
    <cellStyle name="20% - Accent3 3 3 2" xfId="10084"/>
    <cellStyle name="20% - Accent3 3 3 2 2" xfId="10085"/>
    <cellStyle name="20% - Accent3 3 3 2 2 2" xfId="10086"/>
    <cellStyle name="20% - Accent3 3 3 2 2 2 2" xfId="10087"/>
    <cellStyle name="20% - Accent3 3 3 2 2 3" xfId="10088"/>
    <cellStyle name="20% - Accent3 3 3 2 3" xfId="10089"/>
    <cellStyle name="20% - Accent3 3 3 2 3 2" xfId="10090"/>
    <cellStyle name="20% - Accent3 3 3 2 4" xfId="10091"/>
    <cellStyle name="20% - Accent3 3 3 3" xfId="10092"/>
    <cellStyle name="20% - Accent3 3 3 3 2" xfId="10093"/>
    <cellStyle name="20% - Accent3 3 3 3 2 2" xfId="10094"/>
    <cellStyle name="20% - Accent3 3 3 3 3" xfId="10095"/>
    <cellStyle name="20% - Accent3 3 3 4" xfId="10096"/>
    <cellStyle name="20% - Accent3 3 3 4 2" xfId="10097"/>
    <cellStyle name="20% - Accent3 3 3 5" xfId="10098"/>
    <cellStyle name="20% - Accent3 3 4" xfId="10099"/>
    <cellStyle name="20% - Accent3 3 4 2" xfId="10100"/>
    <cellStyle name="20% - Accent3 3 4 2 2" xfId="10101"/>
    <cellStyle name="20% - Accent3 3 4 2 2 2" xfId="10102"/>
    <cellStyle name="20% - Accent3 3 4 2 2 2 2" xfId="10103"/>
    <cellStyle name="20% - Accent3 3 4 2 2 3" xfId="10104"/>
    <cellStyle name="20% - Accent3 3 4 2 3" xfId="10105"/>
    <cellStyle name="20% - Accent3 3 4 2 3 2" xfId="10106"/>
    <cellStyle name="20% - Accent3 3 4 2 4" xfId="10107"/>
    <cellStyle name="20% - Accent3 3 4 3" xfId="10108"/>
    <cellStyle name="20% - Accent3 3 4 3 2" xfId="10109"/>
    <cellStyle name="20% - Accent3 3 4 3 2 2" xfId="10110"/>
    <cellStyle name="20% - Accent3 3 4 3 3" xfId="10111"/>
    <cellStyle name="20% - Accent3 3 4 4" xfId="10112"/>
    <cellStyle name="20% - Accent3 3 4 4 2" xfId="10113"/>
    <cellStyle name="20% - Accent3 3 4 5" xfId="10114"/>
    <cellStyle name="20% - Accent3 3 5" xfId="10115"/>
    <cellStyle name="20% - Accent3 3 5 2" xfId="10116"/>
    <cellStyle name="20% - Accent3 3 5 2 2" xfId="10117"/>
    <cellStyle name="20% - Accent3 3 5 2 2 2" xfId="10118"/>
    <cellStyle name="20% - Accent3 3 5 2 2 2 2" xfId="10119"/>
    <cellStyle name="20% - Accent3 3 5 2 2 3" xfId="10120"/>
    <cellStyle name="20% - Accent3 3 5 2 3" xfId="10121"/>
    <cellStyle name="20% - Accent3 3 5 2 3 2" xfId="10122"/>
    <cellStyle name="20% - Accent3 3 5 2 4" xfId="10123"/>
    <cellStyle name="20% - Accent3 3 5 3" xfId="10124"/>
    <cellStyle name="20% - Accent3 3 5 3 2" xfId="10125"/>
    <cellStyle name="20% - Accent3 3 5 3 2 2" xfId="10126"/>
    <cellStyle name="20% - Accent3 3 5 3 3" xfId="10127"/>
    <cellStyle name="20% - Accent3 3 5 4" xfId="10128"/>
    <cellStyle name="20% - Accent3 3 5 4 2" xfId="10129"/>
    <cellStyle name="20% - Accent3 3 5 5" xfId="10130"/>
    <cellStyle name="20% - Accent3 3 6" xfId="10131"/>
    <cellStyle name="20% - Accent3 3 6 2" xfId="10132"/>
    <cellStyle name="20% - Accent3 3 6 2 2" xfId="10133"/>
    <cellStyle name="20% - Accent3 3 6 2 2 2" xfId="10134"/>
    <cellStyle name="20% - Accent3 3 6 2 2 2 2" xfId="10135"/>
    <cellStyle name="20% - Accent3 3 6 2 2 3" xfId="10136"/>
    <cellStyle name="20% - Accent3 3 6 2 3" xfId="10137"/>
    <cellStyle name="20% - Accent3 3 6 2 3 2" xfId="10138"/>
    <cellStyle name="20% - Accent3 3 6 2 4" xfId="10139"/>
    <cellStyle name="20% - Accent3 3 6 3" xfId="10140"/>
    <cellStyle name="20% - Accent3 3 6 3 2" xfId="10141"/>
    <cellStyle name="20% - Accent3 3 6 3 2 2" xfId="10142"/>
    <cellStyle name="20% - Accent3 3 6 3 3" xfId="10143"/>
    <cellStyle name="20% - Accent3 3 6 4" xfId="10144"/>
    <cellStyle name="20% - Accent3 3 6 4 2" xfId="10145"/>
    <cellStyle name="20% - Accent3 3 6 5" xfId="10146"/>
    <cellStyle name="20% - Accent3 3 7" xfId="10147"/>
    <cellStyle name="20% - Accent3 3 7 2" xfId="10148"/>
    <cellStyle name="20% - Accent3 3 7 2 2" xfId="10149"/>
    <cellStyle name="20% - Accent3 3 7 2 2 2" xfId="10150"/>
    <cellStyle name="20% - Accent3 3 7 2 2 2 2" xfId="10151"/>
    <cellStyle name="20% - Accent3 3 7 2 2 3" xfId="10152"/>
    <cellStyle name="20% - Accent3 3 7 2 3" xfId="10153"/>
    <cellStyle name="20% - Accent3 3 7 2 3 2" xfId="10154"/>
    <cellStyle name="20% - Accent3 3 7 2 4" xfId="10155"/>
    <cellStyle name="20% - Accent3 3 7 3" xfId="10156"/>
    <cellStyle name="20% - Accent3 3 7 3 2" xfId="10157"/>
    <cellStyle name="20% - Accent3 3 7 3 2 2" xfId="10158"/>
    <cellStyle name="20% - Accent3 3 7 3 3" xfId="10159"/>
    <cellStyle name="20% - Accent3 3 7 4" xfId="10160"/>
    <cellStyle name="20% - Accent3 3 7 4 2" xfId="10161"/>
    <cellStyle name="20% - Accent3 3 7 5" xfId="10162"/>
    <cellStyle name="20% - Accent3 3 8" xfId="10163"/>
    <cellStyle name="20% - Accent3 3 8 2" xfId="10164"/>
    <cellStyle name="20% - Accent3 3 8 2 2" xfId="10165"/>
    <cellStyle name="20% - Accent3 3 8 2 2 2" xfId="10166"/>
    <cellStyle name="20% - Accent3 3 8 2 3" xfId="10167"/>
    <cellStyle name="20% - Accent3 3 8 3" xfId="10168"/>
    <cellStyle name="20% - Accent3 3 8 3 2" xfId="10169"/>
    <cellStyle name="20% - Accent3 3 8 4" xfId="10170"/>
    <cellStyle name="20% - Accent3 3 9" xfId="10171"/>
    <cellStyle name="20% - Accent3 3 9 2" xfId="10172"/>
    <cellStyle name="20% - Accent3 3 9 2 2" xfId="10173"/>
    <cellStyle name="20% - Accent3 3 9 3" xfId="10174"/>
    <cellStyle name="20% - Accent3 4" xfId="10175"/>
    <cellStyle name="20% - Accent3 4 10" xfId="10176"/>
    <cellStyle name="20% - Accent3 4 10 2" xfId="10177"/>
    <cellStyle name="20% - Accent3 4 11" xfId="10178"/>
    <cellStyle name="20% - Accent3 4 2" xfId="10179"/>
    <cellStyle name="20% - Accent3 4 2 10" xfId="10180"/>
    <cellStyle name="20% - Accent3 4 2 2" xfId="10181"/>
    <cellStyle name="20% - Accent3 4 2 2 2" xfId="10182"/>
    <cellStyle name="20% - Accent3 4 2 2 2 2" xfId="10183"/>
    <cellStyle name="20% - Accent3 4 2 2 2 2 2" xfId="10184"/>
    <cellStyle name="20% - Accent3 4 2 2 2 2 2 2" xfId="10185"/>
    <cellStyle name="20% - Accent3 4 2 2 2 2 3" xfId="10186"/>
    <cellStyle name="20% - Accent3 4 2 2 2 3" xfId="10187"/>
    <cellStyle name="20% - Accent3 4 2 2 2 3 2" xfId="10188"/>
    <cellStyle name="20% - Accent3 4 2 2 2 4" xfId="10189"/>
    <cellStyle name="20% - Accent3 4 2 2 3" xfId="10190"/>
    <cellStyle name="20% - Accent3 4 2 2 3 2" xfId="10191"/>
    <cellStyle name="20% - Accent3 4 2 2 3 2 2" xfId="10192"/>
    <cellStyle name="20% - Accent3 4 2 2 3 3" xfId="10193"/>
    <cellStyle name="20% - Accent3 4 2 2 4" xfId="10194"/>
    <cellStyle name="20% - Accent3 4 2 2 4 2" xfId="10195"/>
    <cellStyle name="20% - Accent3 4 2 2 5" xfId="10196"/>
    <cellStyle name="20% - Accent3 4 2 3" xfId="10197"/>
    <cellStyle name="20% - Accent3 4 2 3 2" xfId="10198"/>
    <cellStyle name="20% - Accent3 4 2 3 2 2" xfId="10199"/>
    <cellStyle name="20% - Accent3 4 2 3 2 2 2" xfId="10200"/>
    <cellStyle name="20% - Accent3 4 2 3 2 2 2 2" xfId="10201"/>
    <cellStyle name="20% - Accent3 4 2 3 2 2 3" xfId="10202"/>
    <cellStyle name="20% - Accent3 4 2 3 2 3" xfId="10203"/>
    <cellStyle name="20% - Accent3 4 2 3 2 3 2" xfId="10204"/>
    <cellStyle name="20% - Accent3 4 2 3 2 4" xfId="10205"/>
    <cellStyle name="20% - Accent3 4 2 3 3" xfId="10206"/>
    <cellStyle name="20% - Accent3 4 2 3 3 2" xfId="10207"/>
    <cellStyle name="20% - Accent3 4 2 3 3 2 2" xfId="10208"/>
    <cellStyle name="20% - Accent3 4 2 3 3 3" xfId="10209"/>
    <cellStyle name="20% - Accent3 4 2 3 4" xfId="10210"/>
    <cellStyle name="20% - Accent3 4 2 3 4 2" xfId="10211"/>
    <cellStyle name="20% - Accent3 4 2 3 5" xfId="10212"/>
    <cellStyle name="20% - Accent3 4 2 4" xfId="10213"/>
    <cellStyle name="20% - Accent3 4 2 4 2" xfId="10214"/>
    <cellStyle name="20% - Accent3 4 2 4 2 2" xfId="10215"/>
    <cellStyle name="20% - Accent3 4 2 4 2 2 2" xfId="10216"/>
    <cellStyle name="20% - Accent3 4 2 4 2 2 2 2" xfId="10217"/>
    <cellStyle name="20% - Accent3 4 2 4 2 2 3" xfId="10218"/>
    <cellStyle name="20% - Accent3 4 2 4 2 3" xfId="10219"/>
    <cellStyle name="20% - Accent3 4 2 4 2 3 2" xfId="10220"/>
    <cellStyle name="20% - Accent3 4 2 4 2 4" xfId="10221"/>
    <cellStyle name="20% - Accent3 4 2 4 3" xfId="10222"/>
    <cellStyle name="20% - Accent3 4 2 4 3 2" xfId="10223"/>
    <cellStyle name="20% - Accent3 4 2 4 3 2 2" xfId="10224"/>
    <cellStyle name="20% - Accent3 4 2 4 3 3" xfId="10225"/>
    <cellStyle name="20% - Accent3 4 2 4 4" xfId="10226"/>
    <cellStyle name="20% - Accent3 4 2 4 4 2" xfId="10227"/>
    <cellStyle name="20% - Accent3 4 2 4 5" xfId="10228"/>
    <cellStyle name="20% - Accent3 4 2 5" xfId="10229"/>
    <cellStyle name="20% - Accent3 4 2 5 2" xfId="10230"/>
    <cellStyle name="20% - Accent3 4 2 5 2 2" xfId="10231"/>
    <cellStyle name="20% - Accent3 4 2 5 2 2 2" xfId="10232"/>
    <cellStyle name="20% - Accent3 4 2 5 2 2 2 2" xfId="10233"/>
    <cellStyle name="20% - Accent3 4 2 5 2 2 3" xfId="10234"/>
    <cellStyle name="20% - Accent3 4 2 5 2 3" xfId="10235"/>
    <cellStyle name="20% - Accent3 4 2 5 2 3 2" xfId="10236"/>
    <cellStyle name="20% - Accent3 4 2 5 2 4" xfId="10237"/>
    <cellStyle name="20% - Accent3 4 2 5 3" xfId="10238"/>
    <cellStyle name="20% - Accent3 4 2 5 3 2" xfId="10239"/>
    <cellStyle name="20% - Accent3 4 2 5 3 2 2" xfId="10240"/>
    <cellStyle name="20% - Accent3 4 2 5 3 3" xfId="10241"/>
    <cellStyle name="20% - Accent3 4 2 5 4" xfId="10242"/>
    <cellStyle name="20% - Accent3 4 2 5 4 2" xfId="10243"/>
    <cellStyle name="20% - Accent3 4 2 5 5" xfId="10244"/>
    <cellStyle name="20% - Accent3 4 2 6" xfId="10245"/>
    <cellStyle name="20% - Accent3 4 2 6 2" xfId="10246"/>
    <cellStyle name="20% - Accent3 4 2 6 2 2" xfId="10247"/>
    <cellStyle name="20% - Accent3 4 2 6 2 2 2" xfId="10248"/>
    <cellStyle name="20% - Accent3 4 2 6 2 2 2 2" xfId="10249"/>
    <cellStyle name="20% - Accent3 4 2 6 2 2 3" xfId="10250"/>
    <cellStyle name="20% - Accent3 4 2 6 2 3" xfId="10251"/>
    <cellStyle name="20% - Accent3 4 2 6 2 3 2" xfId="10252"/>
    <cellStyle name="20% - Accent3 4 2 6 2 4" xfId="10253"/>
    <cellStyle name="20% - Accent3 4 2 6 3" xfId="10254"/>
    <cellStyle name="20% - Accent3 4 2 6 3 2" xfId="10255"/>
    <cellStyle name="20% - Accent3 4 2 6 3 2 2" xfId="10256"/>
    <cellStyle name="20% - Accent3 4 2 6 3 3" xfId="10257"/>
    <cellStyle name="20% - Accent3 4 2 6 4" xfId="10258"/>
    <cellStyle name="20% - Accent3 4 2 6 4 2" xfId="10259"/>
    <cellStyle name="20% - Accent3 4 2 6 5" xfId="10260"/>
    <cellStyle name="20% - Accent3 4 2 7" xfId="10261"/>
    <cellStyle name="20% - Accent3 4 2 7 2" xfId="10262"/>
    <cellStyle name="20% - Accent3 4 2 7 2 2" xfId="10263"/>
    <cellStyle name="20% - Accent3 4 2 7 2 2 2" xfId="10264"/>
    <cellStyle name="20% - Accent3 4 2 7 2 3" xfId="10265"/>
    <cellStyle name="20% - Accent3 4 2 7 3" xfId="10266"/>
    <cellStyle name="20% - Accent3 4 2 7 3 2" xfId="10267"/>
    <cellStyle name="20% - Accent3 4 2 7 4" xfId="10268"/>
    <cellStyle name="20% - Accent3 4 2 8" xfId="10269"/>
    <cellStyle name="20% - Accent3 4 2 8 2" xfId="10270"/>
    <cellStyle name="20% - Accent3 4 2 8 2 2" xfId="10271"/>
    <cellStyle name="20% - Accent3 4 2 8 3" xfId="10272"/>
    <cellStyle name="20% - Accent3 4 2 9" xfId="10273"/>
    <cellStyle name="20% - Accent3 4 2 9 2" xfId="10274"/>
    <cellStyle name="20% - Accent3 4 3" xfId="10275"/>
    <cellStyle name="20% - Accent3 4 3 2" xfId="10276"/>
    <cellStyle name="20% - Accent3 4 3 2 2" xfId="10277"/>
    <cellStyle name="20% - Accent3 4 3 2 2 2" xfId="10278"/>
    <cellStyle name="20% - Accent3 4 3 2 2 2 2" xfId="10279"/>
    <cellStyle name="20% - Accent3 4 3 2 2 3" xfId="10280"/>
    <cellStyle name="20% - Accent3 4 3 2 3" xfId="10281"/>
    <cellStyle name="20% - Accent3 4 3 2 3 2" xfId="10282"/>
    <cellStyle name="20% - Accent3 4 3 2 4" xfId="10283"/>
    <cellStyle name="20% - Accent3 4 3 3" xfId="10284"/>
    <cellStyle name="20% - Accent3 4 3 3 2" xfId="10285"/>
    <cellStyle name="20% - Accent3 4 3 3 2 2" xfId="10286"/>
    <cellStyle name="20% - Accent3 4 3 3 3" xfId="10287"/>
    <cellStyle name="20% - Accent3 4 3 4" xfId="10288"/>
    <cellStyle name="20% - Accent3 4 3 4 2" xfId="10289"/>
    <cellStyle name="20% - Accent3 4 3 5" xfId="10290"/>
    <cellStyle name="20% - Accent3 4 4" xfId="10291"/>
    <cellStyle name="20% - Accent3 4 4 2" xfId="10292"/>
    <cellStyle name="20% - Accent3 4 4 2 2" xfId="10293"/>
    <cellStyle name="20% - Accent3 4 4 2 2 2" xfId="10294"/>
    <cellStyle name="20% - Accent3 4 4 2 2 2 2" xfId="10295"/>
    <cellStyle name="20% - Accent3 4 4 2 2 3" xfId="10296"/>
    <cellStyle name="20% - Accent3 4 4 2 3" xfId="10297"/>
    <cellStyle name="20% - Accent3 4 4 2 3 2" xfId="10298"/>
    <cellStyle name="20% - Accent3 4 4 2 4" xfId="10299"/>
    <cellStyle name="20% - Accent3 4 4 3" xfId="10300"/>
    <cellStyle name="20% - Accent3 4 4 3 2" xfId="10301"/>
    <cellStyle name="20% - Accent3 4 4 3 2 2" xfId="10302"/>
    <cellStyle name="20% - Accent3 4 4 3 3" xfId="10303"/>
    <cellStyle name="20% - Accent3 4 4 4" xfId="10304"/>
    <cellStyle name="20% - Accent3 4 4 4 2" xfId="10305"/>
    <cellStyle name="20% - Accent3 4 4 5" xfId="10306"/>
    <cellStyle name="20% - Accent3 4 5" xfId="10307"/>
    <cellStyle name="20% - Accent3 4 5 2" xfId="10308"/>
    <cellStyle name="20% - Accent3 4 5 2 2" xfId="10309"/>
    <cellStyle name="20% - Accent3 4 5 2 2 2" xfId="10310"/>
    <cellStyle name="20% - Accent3 4 5 2 2 2 2" xfId="10311"/>
    <cellStyle name="20% - Accent3 4 5 2 2 3" xfId="10312"/>
    <cellStyle name="20% - Accent3 4 5 2 3" xfId="10313"/>
    <cellStyle name="20% - Accent3 4 5 2 3 2" xfId="10314"/>
    <cellStyle name="20% - Accent3 4 5 2 4" xfId="10315"/>
    <cellStyle name="20% - Accent3 4 5 3" xfId="10316"/>
    <cellStyle name="20% - Accent3 4 5 3 2" xfId="10317"/>
    <cellStyle name="20% - Accent3 4 5 3 2 2" xfId="10318"/>
    <cellStyle name="20% - Accent3 4 5 3 3" xfId="10319"/>
    <cellStyle name="20% - Accent3 4 5 4" xfId="10320"/>
    <cellStyle name="20% - Accent3 4 5 4 2" xfId="10321"/>
    <cellStyle name="20% - Accent3 4 5 5" xfId="10322"/>
    <cellStyle name="20% - Accent3 4 6" xfId="10323"/>
    <cellStyle name="20% - Accent3 4 6 2" xfId="10324"/>
    <cellStyle name="20% - Accent3 4 6 2 2" xfId="10325"/>
    <cellStyle name="20% - Accent3 4 6 2 2 2" xfId="10326"/>
    <cellStyle name="20% - Accent3 4 6 2 2 2 2" xfId="10327"/>
    <cellStyle name="20% - Accent3 4 6 2 2 3" xfId="10328"/>
    <cellStyle name="20% - Accent3 4 6 2 3" xfId="10329"/>
    <cellStyle name="20% - Accent3 4 6 2 3 2" xfId="10330"/>
    <cellStyle name="20% - Accent3 4 6 2 4" xfId="10331"/>
    <cellStyle name="20% - Accent3 4 6 3" xfId="10332"/>
    <cellStyle name="20% - Accent3 4 6 3 2" xfId="10333"/>
    <cellStyle name="20% - Accent3 4 6 3 2 2" xfId="10334"/>
    <cellStyle name="20% - Accent3 4 6 3 3" xfId="10335"/>
    <cellStyle name="20% - Accent3 4 6 4" xfId="10336"/>
    <cellStyle name="20% - Accent3 4 6 4 2" xfId="10337"/>
    <cellStyle name="20% - Accent3 4 6 5" xfId="10338"/>
    <cellStyle name="20% - Accent3 4 7" xfId="10339"/>
    <cellStyle name="20% - Accent3 4 7 2" xfId="10340"/>
    <cellStyle name="20% - Accent3 4 7 2 2" xfId="10341"/>
    <cellStyle name="20% - Accent3 4 7 2 2 2" xfId="10342"/>
    <cellStyle name="20% - Accent3 4 7 2 2 2 2" xfId="10343"/>
    <cellStyle name="20% - Accent3 4 7 2 2 3" xfId="10344"/>
    <cellStyle name="20% - Accent3 4 7 2 3" xfId="10345"/>
    <cellStyle name="20% - Accent3 4 7 2 3 2" xfId="10346"/>
    <cellStyle name="20% - Accent3 4 7 2 4" xfId="10347"/>
    <cellStyle name="20% - Accent3 4 7 3" xfId="10348"/>
    <cellStyle name="20% - Accent3 4 7 3 2" xfId="10349"/>
    <cellStyle name="20% - Accent3 4 7 3 2 2" xfId="10350"/>
    <cellStyle name="20% - Accent3 4 7 3 3" xfId="10351"/>
    <cellStyle name="20% - Accent3 4 7 4" xfId="10352"/>
    <cellStyle name="20% - Accent3 4 7 4 2" xfId="10353"/>
    <cellStyle name="20% - Accent3 4 7 5" xfId="10354"/>
    <cellStyle name="20% - Accent3 4 8" xfId="10355"/>
    <cellStyle name="20% - Accent3 4 8 2" xfId="10356"/>
    <cellStyle name="20% - Accent3 4 8 2 2" xfId="10357"/>
    <cellStyle name="20% - Accent3 4 8 2 2 2" xfId="10358"/>
    <cellStyle name="20% - Accent3 4 8 2 3" xfId="10359"/>
    <cellStyle name="20% - Accent3 4 8 3" xfId="10360"/>
    <cellStyle name="20% - Accent3 4 8 3 2" xfId="10361"/>
    <cellStyle name="20% - Accent3 4 8 4" xfId="10362"/>
    <cellStyle name="20% - Accent3 4 9" xfId="10363"/>
    <cellStyle name="20% - Accent3 4 9 2" xfId="10364"/>
    <cellStyle name="20% - Accent3 4 9 2 2" xfId="10365"/>
    <cellStyle name="20% - Accent3 4 9 3" xfId="10366"/>
    <cellStyle name="20% - Accent3 5" xfId="10367"/>
    <cellStyle name="20% - Accent3 5 10" xfId="10368"/>
    <cellStyle name="20% - Accent3 5 10 2" xfId="10369"/>
    <cellStyle name="20% - Accent3 5 11" xfId="10370"/>
    <cellStyle name="20% - Accent3 5 2" xfId="10371"/>
    <cellStyle name="20% - Accent3 5 2 10" xfId="10372"/>
    <cellStyle name="20% - Accent3 5 2 2" xfId="10373"/>
    <cellStyle name="20% - Accent3 5 2 2 2" xfId="10374"/>
    <cellStyle name="20% - Accent3 5 2 2 2 2" xfId="10375"/>
    <cellStyle name="20% - Accent3 5 2 2 2 2 2" xfId="10376"/>
    <cellStyle name="20% - Accent3 5 2 2 2 2 2 2" xfId="10377"/>
    <cellStyle name="20% - Accent3 5 2 2 2 2 3" xfId="10378"/>
    <cellStyle name="20% - Accent3 5 2 2 2 3" xfId="10379"/>
    <cellStyle name="20% - Accent3 5 2 2 2 3 2" xfId="10380"/>
    <cellStyle name="20% - Accent3 5 2 2 2 4" xfId="10381"/>
    <cellStyle name="20% - Accent3 5 2 2 3" xfId="10382"/>
    <cellStyle name="20% - Accent3 5 2 2 3 2" xfId="10383"/>
    <cellStyle name="20% - Accent3 5 2 2 3 2 2" xfId="10384"/>
    <cellStyle name="20% - Accent3 5 2 2 3 3" xfId="10385"/>
    <cellStyle name="20% - Accent3 5 2 2 4" xfId="10386"/>
    <cellStyle name="20% - Accent3 5 2 2 4 2" xfId="10387"/>
    <cellStyle name="20% - Accent3 5 2 2 5" xfId="10388"/>
    <cellStyle name="20% - Accent3 5 2 3" xfId="10389"/>
    <cellStyle name="20% - Accent3 5 2 3 2" xfId="10390"/>
    <cellStyle name="20% - Accent3 5 2 3 2 2" xfId="10391"/>
    <cellStyle name="20% - Accent3 5 2 3 2 2 2" xfId="10392"/>
    <cellStyle name="20% - Accent3 5 2 3 2 2 2 2" xfId="10393"/>
    <cellStyle name="20% - Accent3 5 2 3 2 2 3" xfId="10394"/>
    <cellStyle name="20% - Accent3 5 2 3 2 3" xfId="10395"/>
    <cellStyle name="20% - Accent3 5 2 3 2 3 2" xfId="10396"/>
    <cellStyle name="20% - Accent3 5 2 3 2 4" xfId="10397"/>
    <cellStyle name="20% - Accent3 5 2 3 3" xfId="10398"/>
    <cellStyle name="20% - Accent3 5 2 3 3 2" xfId="10399"/>
    <cellStyle name="20% - Accent3 5 2 3 3 2 2" xfId="10400"/>
    <cellStyle name="20% - Accent3 5 2 3 3 3" xfId="10401"/>
    <cellStyle name="20% - Accent3 5 2 3 4" xfId="10402"/>
    <cellStyle name="20% - Accent3 5 2 3 4 2" xfId="10403"/>
    <cellStyle name="20% - Accent3 5 2 3 5" xfId="10404"/>
    <cellStyle name="20% - Accent3 5 2 4" xfId="10405"/>
    <cellStyle name="20% - Accent3 5 2 4 2" xfId="10406"/>
    <cellStyle name="20% - Accent3 5 2 4 2 2" xfId="10407"/>
    <cellStyle name="20% - Accent3 5 2 4 2 2 2" xfId="10408"/>
    <cellStyle name="20% - Accent3 5 2 4 2 2 2 2" xfId="10409"/>
    <cellStyle name="20% - Accent3 5 2 4 2 2 3" xfId="10410"/>
    <cellStyle name="20% - Accent3 5 2 4 2 3" xfId="10411"/>
    <cellStyle name="20% - Accent3 5 2 4 2 3 2" xfId="10412"/>
    <cellStyle name="20% - Accent3 5 2 4 2 4" xfId="10413"/>
    <cellStyle name="20% - Accent3 5 2 4 3" xfId="10414"/>
    <cellStyle name="20% - Accent3 5 2 4 3 2" xfId="10415"/>
    <cellStyle name="20% - Accent3 5 2 4 3 2 2" xfId="10416"/>
    <cellStyle name="20% - Accent3 5 2 4 3 3" xfId="10417"/>
    <cellStyle name="20% - Accent3 5 2 4 4" xfId="10418"/>
    <cellStyle name="20% - Accent3 5 2 4 4 2" xfId="10419"/>
    <cellStyle name="20% - Accent3 5 2 4 5" xfId="10420"/>
    <cellStyle name="20% - Accent3 5 2 5" xfId="10421"/>
    <cellStyle name="20% - Accent3 5 2 5 2" xfId="10422"/>
    <cellStyle name="20% - Accent3 5 2 5 2 2" xfId="10423"/>
    <cellStyle name="20% - Accent3 5 2 5 2 2 2" xfId="10424"/>
    <cellStyle name="20% - Accent3 5 2 5 2 2 2 2" xfId="10425"/>
    <cellStyle name="20% - Accent3 5 2 5 2 2 3" xfId="10426"/>
    <cellStyle name="20% - Accent3 5 2 5 2 3" xfId="10427"/>
    <cellStyle name="20% - Accent3 5 2 5 2 3 2" xfId="10428"/>
    <cellStyle name="20% - Accent3 5 2 5 2 4" xfId="10429"/>
    <cellStyle name="20% - Accent3 5 2 5 3" xfId="10430"/>
    <cellStyle name="20% - Accent3 5 2 5 3 2" xfId="10431"/>
    <cellStyle name="20% - Accent3 5 2 5 3 2 2" xfId="10432"/>
    <cellStyle name="20% - Accent3 5 2 5 3 3" xfId="10433"/>
    <cellStyle name="20% - Accent3 5 2 5 4" xfId="10434"/>
    <cellStyle name="20% - Accent3 5 2 5 4 2" xfId="10435"/>
    <cellStyle name="20% - Accent3 5 2 5 5" xfId="10436"/>
    <cellStyle name="20% - Accent3 5 2 6" xfId="10437"/>
    <cellStyle name="20% - Accent3 5 2 6 2" xfId="10438"/>
    <cellStyle name="20% - Accent3 5 2 6 2 2" xfId="10439"/>
    <cellStyle name="20% - Accent3 5 2 6 2 2 2" xfId="10440"/>
    <cellStyle name="20% - Accent3 5 2 6 2 2 2 2" xfId="10441"/>
    <cellStyle name="20% - Accent3 5 2 6 2 2 3" xfId="10442"/>
    <cellStyle name="20% - Accent3 5 2 6 2 3" xfId="10443"/>
    <cellStyle name="20% - Accent3 5 2 6 2 3 2" xfId="10444"/>
    <cellStyle name="20% - Accent3 5 2 6 2 4" xfId="10445"/>
    <cellStyle name="20% - Accent3 5 2 6 3" xfId="10446"/>
    <cellStyle name="20% - Accent3 5 2 6 3 2" xfId="10447"/>
    <cellStyle name="20% - Accent3 5 2 6 3 2 2" xfId="10448"/>
    <cellStyle name="20% - Accent3 5 2 6 3 3" xfId="10449"/>
    <cellStyle name="20% - Accent3 5 2 6 4" xfId="10450"/>
    <cellStyle name="20% - Accent3 5 2 6 4 2" xfId="10451"/>
    <cellStyle name="20% - Accent3 5 2 6 5" xfId="10452"/>
    <cellStyle name="20% - Accent3 5 2 7" xfId="10453"/>
    <cellStyle name="20% - Accent3 5 2 7 2" xfId="10454"/>
    <cellStyle name="20% - Accent3 5 2 7 2 2" xfId="10455"/>
    <cellStyle name="20% - Accent3 5 2 7 2 2 2" xfId="10456"/>
    <cellStyle name="20% - Accent3 5 2 7 2 3" xfId="10457"/>
    <cellStyle name="20% - Accent3 5 2 7 3" xfId="10458"/>
    <cellStyle name="20% - Accent3 5 2 7 3 2" xfId="10459"/>
    <cellStyle name="20% - Accent3 5 2 7 4" xfId="10460"/>
    <cellStyle name="20% - Accent3 5 2 8" xfId="10461"/>
    <cellStyle name="20% - Accent3 5 2 8 2" xfId="10462"/>
    <cellStyle name="20% - Accent3 5 2 8 2 2" xfId="10463"/>
    <cellStyle name="20% - Accent3 5 2 8 3" xfId="10464"/>
    <cellStyle name="20% - Accent3 5 2 9" xfId="10465"/>
    <cellStyle name="20% - Accent3 5 2 9 2" xfId="10466"/>
    <cellStyle name="20% - Accent3 5 3" xfId="10467"/>
    <cellStyle name="20% - Accent3 5 3 2" xfId="10468"/>
    <cellStyle name="20% - Accent3 5 3 2 2" xfId="10469"/>
    <cellStyle name="20% - Accent3 5 3 2 2 2" xfId="10470"/>
    <cellStyle name="20% - Accent3 5 3 2 2 2 2" xfId="10471"/>
    <cellStyle name="20% - Accent3 5 3 2 2 3" xfId="10472"/>
    <cellStyle name="20% - Accent3 5 3 2 3" xfId="10473"/>
    <cellStyle name="20% - Accent3 5 3 2 3 2" xfId="10474"/>
    <cellStyle name="20% - Accent3 5 3 2 4" xfId="10475"/>
    <cellStyle name="20% - Accent3 5 3 3" xfId="10476"/>
    <cellStyle name="20% - Accent3 5 3 3 2" xfId="10477"/>
    <cellStyle name="20% - Accent3 5 3 3 2 2" xfId="10478"/>
    <cellStyle name="20% - Accent3 5 3 3 3" xfId="10479"/>
    <cellStyle name="20% - Accent3 5 3 4" xfId="10480"/>
    <cellStyle name="20% - Accent3 5 3 4 2" xfId="10481"/>
    <cellStyle name="20% - Accent3 5 3 5" xfId="10482"/>
    <cellStyle name="20% - Accent3 5 4" xfId="10483"/>
    <cellStyle name="20% - Accent3 5 4 2" xfId="10484"/>
    <cellStyle name="20% - Accent3 5 4 2 2" xfId="10485"/>
    <cellStyle name="20% - Accent3 5 4 2 2 2" xfId="10486"/>
    <cellStyle name="20% - Accent3 5 4 2 2 2 2" xfId="10487"/>
    <cellStyle name="20% - Accent3 5 4 2 2 3" xfId="10488"/>
    <cellStyle name="20% - Accent3 5 4 2 3" xfId="10489"/>
    <cellStyle name="20% - Accent3 5 4 2 3 2" xfId="10490"/>
    <cellStyle name="20% - Accent3 5 4 2 4" xfId="10491"/>
    <cellStyle name="20% - Accent3 5 4 3" xfId="10492"/>
    <cellStyle name="20% - Accent3 5 4 3 2" xfId="10493"/>
    <cellStyle name="20% - Accent3 5 4 3 2 2" xfId="10494"/>
    <cellStyle name="20% - Accent3 5 4 3 3" xfId="10495"/>
    <cellStyle name="20% - Accent3 5 4 4" xfId="10496"/>
    <cellStyle name="20% - Accent3 5 4 4 2" xfId="10497"/>
    <cellStyle name="20% - Accent3 5 4 5" xfId="10498"/>
    <cellStyle name="20% - Accent3 5 5" xfId="10499"/>
    <cellStyle name="20% - Accent3 5 5 2" xfId="10500"/>
    <cellStyle name="20% - Accent3 5 5 2 2" xfId="10501"/>
    <cellStyle name="20% - Accent3 5 5 2 2 2" xfId="10502"/>
    <cellStyle name="20% - Accent3 5 5 2 2 2 2" xfId="10503"/>
    <cellStyle name="20% - Accent3 5 5 2 2 3" xfId="10504"/>
    <cellStyle name="20% - Accent3 5 5 2 3" xfId="10505"/>
    <cellStyle name="20% - Accent3 5 5 2 3 2" xfId="10506"/>
    <cellStyle name="20% - Accent3 5 5 2 4" xfId="10507"/>
    <cellStyle name="20% - Accent3 5 5 3" xfId="10508"/>
    <cellStyle name="20% - Accent3 5 5 3 2" xfId="10509"/>
    <cellStyle name="20% - Accent3 5 5 3 2 2" xfId="10510"/>
    <cellStyle name="20% - Accent3 5 5 3 3" xfId="10511"/>
    <cellStyle name="20% - Accent3 5 5 4" xfId="10512"/>
    <cellStyle name="20% - Accent3 5 5 4 2" xfId="10513"/>
    <cellStyle name="20% - Accent3 5 5 5" xfId="10514"/>
    <cellStyle name="20% - Accent3 5 6" xfId="10515"/>
    <cellStyle name="20% - Accent3 5 6 2" xfId="10516"/>
    <cellStyle name="20% - Accent3 5 6 2 2" xfId="10517"/>
    <cellStyle name="20% - Accent3 5 6 2 2 2" xfId="10518"/>
    <cellStyle name="20% - Accent3 5 6 2 2 2 2" xfId="10519"/>
    <cellStyle name="20% - Accent3 5 6 2 2 3" xfId="10520"/>
    <cellStyle name="20% - Accent3 5 6 2 3" xfId="10521"/>
    <cellStyle name="20% - Accent3 5 6 2 3 2" xfId="10522"/>
    <cellStyle name="20% - Accent3 5 6 2 4" xfId="10523"/>
    <cellStyle name="20% - Accent3 5 6 3" xfId="10524"/>
    <cellStyle name="20% - Accent3 5 6 3 2" xfId="10525"/>
    <cellStyle name="20% - Accent3 5 6 3 2 2" xfId="10526"/>
    <cellStyle name="20% - Accent3 5 6 3 3" xfId="10527"/>
    <cellStyle name="20% - Accent3 5 6 4" xfId="10528"/>
    <cellStyle name="20% - Accent3 5 6 4 2" xfId="10529"/>
    <cellStyle name="20% - Accent3 5 6 5" xfId="10530"/>
    <cellStyle name="20% - Accent3 5 7" xfId="10531"/>
    <cellStyle name="20% - Accent3 5 7 2" xfId="10532"/>
    <cellStyle name="20% - Accent3 5 7 2 2" xfId="10533"/>
    <cellStyle name="20% - Accent3 5 7 2 2 2" xfId="10534"/>
    <cellStyle name="20% - Accent3 5 7 2 2 2 2" xfId="10535"/>
    <cellStyle name="20% - Accent3 5 7 2 2 3" xfId="10536"/>
    <cellStyle name="20% - Accent3 5 7 2 3" xfId="10537"/>
    <cellStyle name="20% - Accent3 5 7 2 3 2" xfId="10538"/>
    <cellStyle name="20% - Accent3 5 7 2 4" xfId="10539"/>
    <cellStyle name="20% - Accent3 5 7 3" xfId="10540"/>
    <cellStyle name="20% - Accent3 5 7 3 2" xfId="10541"/>
    <cellStyle name="20% - Accent3 5 7 3 2 2" xfId="10542"/>
    <cellStyle name="20% - Accent3 5 7 3 3" xfId="10543"/>
    <cellStyle name="20% - Accent3 5 7 4" xfId="10544"/>
    <cellStyle name="20% - Accent3 5 7 4 2" xfId="10545"/>
    <cellStyle name="20% - Accent3 5 7 5" xfId="10546"/>
    <cellStyle name="20% - Accent3 5 8" xfId="10547"/>
    <cellStyle name="20% - Accent3 5 8 2" xfId="10548"/>
    <cellStyle name="20% - Accent3 5 8 2 2" xfId="10549"/>
    <cellStyle name="20% - Accent3 5 8 2 2 2" xfId="10550"/>
    <cellStyle name="20% - Accent3 5 8 2 3" xfId="10551"/>
    <cellStyle name="20% - Accent3 5 8 3" xfId="10552"/>
    <cellStyle name="20% - Accent3 5 8 3 2" xfId="10553"/>
    <cellStyle name="20% - Accent3 5 8 4" xfId="10554"/>
    <cellStyle name="20% - Accent3 5 9" xfId="10555"/>
    <cellStyle name="20% - Accent3 5 9 2" xfId="10556"/>
    <cellStyle name="20% - Accent3 5 9 2 2" xfId="10557"/>
    <cellStyle name="20% - Accent3 5 9 3" xfId="10558"/>
    <cellStyle name="20% - Accent3 6" xfId="10559"/>
    <cellStyle name="20% - Accent3 6 10" xfId="10560"/>
    <cellStyle name="20% - Accent3 6 10 2" xfId="10561"/>
    <cellStyle name="20% - Accent3 6 11" xfId="10562"/>
    <cellStyle name="20% - Accent3 6 2" xfId="10563"/>
    <cellStyle name="20% - Accent3 6 2 10" xfId="10564"/>
    <cellStyle name="20% - Accent3 6 2 2" xfId="10565"/>
    <cellStyle name="20% - Accent3 6 2 2 2" xfId="10566"/>
    <cellStyle name="20% - Accent3 6 2 2 2 2" xfId="10567"/>
    <cellStyle name="20% - Accent3 6 2 2 2 2 2" xfId="10568"/>
    <cellStyle name="20% - Accent3 6 2 2 2 2 2 2" xfId="10569"/>
    <cellStyle name="20% - Accent3 6 2 2 2 2 3" xfId="10570"/>
    <cellStyle name="20% - Accent3 6 2 2 2 3" xfId="10571"/>
    <cellStyle name="20% - Accent3 6 2 2 2 3 2" xfId="10572"/>
    <cellStyle name="20% - Accent3 6 2 2 2 4" xfId="10573"/>
    <cellStyle name="20% - Accent3 6 2 2 3" xfId="10574"/>
    <cellStyle name="20% - Accent3 6 2 2 3 2" xfId="10575"/>
    <cellStyle name="20% - Accent3 6 2 2 3 2 2" xfId="10576"/>
    <cellStyle name="20% - Accent3 6 2 2 3 3" xfId="10577"/>
    <cellStyle name="20% - Accent3 6 2 2 4" xfId="10578"/>
    <cellStyle name="20% - Accent3 6 2 2 4 2" xfId="10579"/>
    <cellStyle name="20% - Accent3 6 2 2 5" xfId="10580"/>
    <cellStyle name="20% - Accent3 6 2 3" xfId="10581"/>
    <cellStyle name="20% - Accent3 6 2 3 2" xfId="10582"/>
    <cellStyle name="20% - Accent3 6 2 3 2 2" xfId="10583"/>
    <cellStyle name="20% - Accent3 6 2 3 2 2 2" xfId="10584"/>
    <cellStyle name="20% - Accent3 6 2 3 2 2 2 2" xfId="10585"/>
    <cellStyle name="20% - Accent3 6 2 3 2 2 3" xfId="10586"/>
    <cellStyle name="20% - Accent3 6 2 3 2 3" xfId="10587"/>
    <cellStyle name="20% - Accent3 6 2 3 2 3 2" xfId="10588"/>
    <cellStyle name="20% - Accent3 6 2 3 2 4" xfId="10589"/>
    <cellStyle name="20% - Accent3 6 2 3 3" xfId="10590"/>
    <cellStyle name="20% - Accent3 6 2 3 3 2" xfId="10591"/>
    <cellStyle name="20% - Accent3 6 2 3 3 2 2" xfId="10592"/>
    <cellStyle name="20% - Accent3 6 2 3 3 3" xfId="10593"/>
    <cellStyle name="20% - Accent3 6 2 3 4" xfId="10594"/>
    <cellStyle name="20% - Accent3 6 2 3 4 2" xfId="10595"/>
    <cellStyle name="20% - Accent3 6 2 3 5" xfId="10596"/>
    <cellStyle name="20% - Accent3 6 2 4" xfId="10597"/>
    <cellStyle name="20% - Accent3 6 2 4 2" xfId="10598"/>
    <cellStyle name="20% - Accent3 6 2 4 2 2" xfId="10599"/>
    <cellStyle name="20% - Accent3 6 2 4 2 2 2" xfId="10600"/>
    <cellStyle name="20% - Accent3 6 2 4 2 2 2 2" xfId="10601"/>
    <cellStyle name="20% - Accent3 6 2 4 2 2 3" xfId="10602"/>
    <cellStyle name="20% - Accent3 6 2 4 2 3" xfId="10603"/>
    <cellStyle name="20% - Accent3 6 2 4 2 3 2" xfId="10604"/>
    <cellStyle name="20% - Accent3 6 2 4 2 4" xfId="10605"/>
    <cellStyle name="20% - Accent3 6 2 4 3" xfId="10606"/>
    <cellStyle name="20% - Accent3 6 2 4 3 2" xfId="10607"/>
    <cellStyle name="20% - Accent3 6 2 4 3 2 2" xfId="10608"/>
    <cellStyle name="20% - Accent3 6 2 4 3 3" xfId="10609"/>
    <cellStyle name="20% - Accent3 6 2 4 4" xfId="10610"/>
    <cellStyle name="20% - Accent3 6 2 4 4 2" xfId="10611"/>
    <cellStyle name="20% - Accent3 6 2 4 5" xfId="10612"/>
    <cellStyle name="20% - Accent3 6 2 5" xfId="10613"/>
    <cellStyle name="20% - Accent3 6 2 5 2" xfId="10614"/>
    <cellStyle name="20% - Accent3 6 2 5 2 2" xfId="10615"/>
    <cellStyle name="20% - Accent3 6 2 5 2 2 2" xfId="10616"/>
    <cellStyle name="20% - Accent3 6 2 5 2 2 2 2" xfId="10617"/>
    <cellStyle name="20% - Accent3 6 2 5 2 2 3" xfId="10618"/>
    <cellStyle name="20% - Accent3 6 2 5 2 3" xfId="10619"/>
    <cellStyle name="20% - Accent3 6 2 5 2 3 2" xfId="10620"/>
    <cellStyle name="20% - Accent3 6 2 5 2 4" xfId="10621"/>
    <cellStyle name="20% - Accent3 6 2 5 3" xfId="10622"/>
    <cellStyle name="20% - Accent3 6 2 5 3 2" xfId="10623"/>
    <cellStyle name="20% - Accent3 6 2 5 3 2 2" xfId="10624"/>
    <cellStyle name="20% - Accent3 6 2 5 3 3" xfId="10625"/>
    <cellStyle name="20% - Accent3 6 2 5 4" xfId="10626"/>
    <cellStyle name="20% - Accent3 6 2 5 4 2" xfId="10627"/>
    <cellStyle name="20% - Accent3 6 2 5 5" xfId="10628"/>
    <cellStyle name="20% - Accent3 6 2 6" xfId="10629"/>
    <cellStyle name="20% - Accent3 6 2 6 2" xfId="10630"/>
    <cellStyle name="20% - Accent3 6 2 6 2 2" xfId="10631"/>
    <cellStyle name="20% - Accent3 6 2 6 2 2 2" xfId="10632"/>
    <cellStyle name="20% - Accent3 6 2 6 2 2 2 2" xfId="10633"/>
    <cellStyle name="20% - Accent3 6 2 6 2 2 3" xfId="10634"/>
    <cellStyle name="20% - Accent3 6 2 6 2 3" xfId="10635"/>
    <cellStyle name="20% - Accent3 6 2 6 2 3 2" xfId="10636"/>
    <cellStyle name="20% - Accent3 6 2 6 2 4" xfId="10637"/>
    <cellStyle name="20% - Accent3 6 2 6 3" xfId="10638"/>
    <cellStyle name="20% - Accent3 6 2 6 3 2" xfId="10639"/>
    <cellStyle name="20% - Accent3 6 2 6 3 2 2" xfId="10640"/>
    <cellStyle name="20% - Accent3 6 2 6 3 3" xfId="10641"/>
    <cellStyle name="20% - Accent3 6 2 6 4" xfId="10642"/>
    <cellStyle name="20% - Accent3 6 2 6 4 2" xfId="10643"/>
    <cellStyle name="20% - Accent3 6 2 6 5" xfId="10644"/>
    <cellStyle name="20% - Accent3 6 2 7" xfId="10645"/>
    <cellStyle name="20% - Accent3 6 2 7 2" xfId="10646"/>
    <cellStyle name="20% - Accent3 6 2 7 2 2" xfId="10647"/>
    <cellStyle name="20% - Accent3 6 2 7 2 2 2" xfId="10648"/>
    <cellStyle name="20% - Accent3 6 2 7 2 3" xfId="10649"/>
    <cellStyle name="20% - Accent3 6 2 7 3" xfId="10650"/>
    <cellStyle name="20% - Accent3 6 2 7 3 2" xfId="10651"/>
    <cellStyle name="20% - Accent3 6 2 7 4" xfId="10652"/>
    <cellStyle name="20% - Accent3 6 2 8" xfId="10653"/>
    <cellStyle name="20% - Accent3 6 2 8 2" xfId="10654"/>
    <cellStyle name="20% - Accent3 6 2 8 2 2" xfId="10655"/>
    <cellStyle name="20% - Accent3 6 2 8 3" xfId="10656"/>
    <cellStyle name="20% - Accent3 6 2 9" xfId="10657"/>
    <cellStyle name="20% - Accent3 6 2 9 2" xfId="10658"/>
    <cellStyle name="20% - Accent3 6 3" xfId="10659"/>
    <cellStyle name="20% - Accent3 6 3 2" xfId="10660"/>
    <cellStyle name="20% - Accent3 6 3 2 2" xfId="10661"/>
    <cellStyle name="20% - Accent3 6 3 2 2 2" xfId="10662"/>
    <cellStyle name="20% - Accent3 6 3 2 2 2 2" xfId="10663"/>
    <cellStyle name="20% - Accent3 6 3 2 2 3" xfId="10664"/>
    <cellStyle name="20% - Accent3 6 3 2 3" xfId="10665"/>
    <cellStyle name="20% - Accent3 6 3 2 3 2" xfId="10666"/>
    <cellStyle name="20% - Accent3 6 3 2 4" xfId="10667"/>
    <cellStyle name="20% - Accent3 6 3 3" xfId="10668"/>
    <cellStyle name="20% - Accent3 6 3 3 2" xfId="10669"/>
    <cellStyle name="20% - Accent3 6 3 3 2 2" xfId="10670"/>
    <cellStyle name="20% - Accent3 6 3 3 3" xfId="10671"/>
    <cellStyle name="20% - Accent3 6 3 4" xfId="10672"/>
    <cellStyle name="20% - Accent3 6 3 4 2" xfId="10673"/>
    <cellStyle name="20% - Accent3 6 3 5" xfId="10674"/>
    <cellStyle name="20% - Accent3 6 4" xfId="10675"/>
    <cellStyle name="20% - Accent3 6 4 2" xfId="10676"/>
    <cellStyle name="20% - Accent3 6 4 2 2" xfId="10677"/>
    <cellStyle name="20% - Accent3 6 4 2 2 2" xfId="10678"/>
    <cellStyle name="20% - Accent3 6 4 2 2 2 2" xfId="10679"/>
    <cellStyle name="20% - Accent3 6 4 2 2 3" xfId="10680"/>
    <cellStyle name="20% - Accent3 6 4 2 3" xfId="10681"/>
    <cellStyle name="20% - Accent3 6 4 2 3 2" xfId="10682"/>
    <cellStyle name="20% - Accent3 6 4 2 4" xfId="10683"/>
    <cellStyle name="20% - Accent3 6 4 3" xfId="10684"/>
    <cellStyle name="20% - Accent3 6 4 3 2" xfId="10685"/>
    <cellStyle name="20% - Accent3 6 4 3 2 2" xfId="10686"/>
    <cellStyle name="20% - Accent3 6 4 3 3" xfId="10687"/>
    <cellStyle name="20% - Accent3 6 4 4" xfId="10688"/>
    <cellStyle name="20% - Accent3 6 4 4 2" xfId="10689"/>
    <cellStyle name="20% - Accent3 6 4 5" xfId="10690"/>
    <cellStyle name="20% - Accent3 6 5" xfId="10691"/>
    <cellStyle name="20% - Accent3 6 5 2" xfId="10692"/>
    <cellStyle name="20% - Accent3 6 5 2 2" xfId="10693"/>
    <cellStyle name="20% - Accent3 6 5 2 2 2" xfId="10694"/>
    <cellStyle name="20% - Accent3 6 5 2 2 2 2" xfId="10695"/>
    <cellStyle name="20% - Accent3 6 5 2 2 3" xfId="10696"/>
    <cellStyle name="20% - Accent3 6 5 2 3" xfId="10697"/>
    <cellStyle name="20% - Accent3 6 5 2 3 2" xfId="10698"/>
    <cellStyle name="20% - Accent3 6 5 2 4" xfId="10699"/>
    <cellStyle name="20% - Accent3 6 5 3" xfId="10700"/>
    <cellStyle name="20% - Accent3 6 5 3 2" xfId="10701"/>
    <cellStyle name="20% - Accent3 6 5 3 2 2" xfId="10702"/>
    <cellStyle name="20% - Accent3 6 5 3 3" xfId="10703"/>
    <cellStyle name="20% - Accent3 6 5 4" xfId="10704"/>
    <cellStyle name="20% - Accent3 6 5 4 2" xfId="10705"/>
    <cellStyle name="20% - Accent3 6 5 5" xfId="10706"/>
    <cellStyle name="20% - Accent3 6 6" xfId="10707"/>
    <cellStyle name="20% - Accent3 6 6 2" xfId="10708"/>
    <cellStyle name="20% - Accent3 6 6 2 2" xfId="10709"/>
    <cellStyle name="20% - Accent3 6 6 2 2 2" xfId="10710"/>
    <cellStyle name="20% - Accent3 6 6 2 2 2 2" xfId="10711"/>
    <cellStyle name="20% - Accent3 6 6 2 2 3" xfId="10712"/>
    <cellStyle name="20% - Accent3 6 6 2 3" xfId="10713"/>
    <cellStyle name="20% - Accent3 6 6 2 3 2" xfId="10714"/>
    <cellStyle name="20% - Accent3 6 6 2 4" xfId="10715"/>
    <cellStyle name="20% - Accent3 6 6 3" xfId="10716"/>
    <cellStyle name="20% - Accent3 6 6 3 2" xfId="10717"/>
    <cellStyle name="20% - Accent3 6 6 3 2 2" xfId="10718"/>
    <cellStyle name="20% - Accent3 6 6 3 3" xfId="10719"/>
    <cellStyle name="20% - Accent3 6 6 4" xfId="10720"/>
    <cellStyle name="20% - Accent3 6 6 4 2" xfId="10721"/>
    <cellStyle name="20% - Accent3 6 6 5" xfId="10722"/>
    <cellStyle name="20% - Accent3 6 7" xfId="10723"/>
    <cellStyle name="20% - Accent3 6 7 2" xfId="10724"/>
    <cellStyle name="20% - Accent3 6 7 2 2" xfId="10725"/>
    <cellStyle name="20% - Accent3 6 7 2 2 2" xfId="10726"/>
    <cellStyle name="20% - Accent3 6 7 2 2 2 2" xfId="10727"/>
    <cellStyle name="20% - Accent3 6 7 2 2 3" xfId="10728"/>
    <cellStyle name="20% - Accent3 6 7 2 3" xfId="10729"/>
    <cellStyle name="20% - Accent3 6 7 2 3 2" xfId="10730"/>
    <cellStyle name="20% - Accent3 6 7 2 4" xfId="10731"/>
    <cellStyle name="20% - Accent3 6 7 3" xfId="10732"/>
    <cellStyle name="20% - Accent3 6 7 3 2" xfId="10733"/>
    <cellStyle name="20% - Accent3 6 7 3 2 2" xfId="10734"/>
    <cellStyle name="20% - Accent3 6 7 3 3" xfId="10735"/>
    <cellStyle name="20% - Accent3 6 7 4" xfId="10736"/>
    <cellStyle name="20% - Accent3 6 7 4 2" xfId="10737"/>
    <cellStyle name="20% - Accent3 6 7 5" xfId="10738"/>
    <cellStyle name="20% - Accent3 6 8" xfId="10739"/>
    <cellStyle name="20% - Accent3 6 8 2" xfId="10740"/>
    <cellStyle name="20% - Accent3 6 8 2 2" xfId="10741"/>
    <cellStyle name="20% - Accent3 6 8 2 2 2" xfId="10742"/>
    <cellStyle name="20% - Accent3 6 8 2 3" xfId="10743"/>
    <cellStyle name="20% - Accent3 6 8 3" xfId="10744"/>
    <cellStyle name="20% - Accent3 6 8 3 2" xfId="10745"/>
    <cellStyle name="20% - Accent3 6 8 4" xfId="10746"/>
    <cellStyle name="20% - Accent3 6 9" xfId="10747"/>
    <cellStyle name="20% - Accent3 6 9 2" xfId="10748"/>
    <cellStyle name="20% - Accent3 6 9 2 2" xfId="10749"/>
    <cellStyle name="20% - Accent3 6 9 3" xfId="10750"/>
    <cellStyle name="20% - Accent3 7" xfId="10751"/>
    <cellStyle name="20% - Accent3 7 10" xfId="10752"/>
    <cellStyle name="20% - Accent3 7 10 2" xfId="10753"/>
    <cellStyle name="20% - Accent3 7 11" xfId="10754"/>
    <cellStyle name="20% - Accent3 7 2" xfId="10755"/>
    <cellStyle name="20% - Accent3 7 2 10" xfId="10756"/>
    <cellStyle name="20% - Accent3 7 2 2" xfId="10757"/>
    <cellStyle name="20% - Accent3 7 2 2 2" xfId="10758"/>
    <cellStyle name="20% - Accent3 7 2 2 2 2" xfId="10759"/>
    <cellStyle name="20% - Accent3 7 2 2 2 2 2" xfId="10760"/>
    <cellStyle name="20% - Accent3 7 2 2 2 2 2 2" xfId="10761"/>
    <cellStyle name="20% - Accent3 7 2 2 2 2 3" xfId="10762"/>
    <cellStyle name="20% - Accent3 7 2 2 2 3" xfId="10763"/>
    <cellStyle name="20% - Accent3 7 2 2 2 3 2" xfId="10764"/>
    <cellStyle name="20% - Accent3 7 2 2 2 4" xfId="10765"/>
    <cellStyle name="20% - Accent3 7 2 2 3" xfId="10766"/>
    <cellStyle name="20% - Accent3 7 2 2 3 2" xfId="10767"/>
    <cellStyle name="20% - Accent3 7 2 2 3 2 2" xfId="10768"/>
    <cellStyle name="20% - Accent3 7 2 2 3 3" xfId="10769"/>
    <cellStyle name="20% - Accent3 7 2 2 4" xfId="10770"/>
    <cellStyle name="20% - Accent3 7 2 2 4 2" xfId="10771"/>
    <cellStyle name="20% - Accent3 7 2 2 5" xfId="10772"/>
    <cellStyle name="20% - Accent3 7 2 3" xfId="10773"/>
    <cellStyle name="20% - Accent3 7 2 3 2" xfId="10774"/>
    <cellStyle name="20% - Accent3 7 2 3 2 2" xfId="10775"/>
    <cellStyle name="20% - Accent3 7 2 3 2 2 2" xfId="10776"/>
    <cellStyle name="20% - Accent3 7 2 3 2 2 2 2" xfId="10777"/>
    <cellStyle name="20% - Accent3 7 2 3 2 2 3" xfId="10778"/>
    <cellStyle name="20% - Accent3 7 2 3 2 3" xfId="10779"/>
    <cellStyle name="20% - Accent3 7 2 3 2 3 2" xfId="10780"/>
    <cellStyle name="20% - Accent3 7 2 3 2 4" xfId="10781"/>
    <cellStyle name="20% - Accent3 7 2 3 3" xfId="10782"/>
    <cellStyle name="20% - Accent3 7 2 3 3 2" xfId="10783"/>
    <cellStyle name="20% - Accent3 7 2 3 3 2 2" xfId="10784"/>
    <cellStyle name="20% - Accent3 7 2 3 3 3" xfId="10785"/>
    <cellStyle name="20% - Accent3 7 2 3 4" xfId="10786"/>
    <cellStyle name="20% - Accent3 7 2 3 4 2" xfId="10787"/>
    <cellStyle name="20% - Accent3 7 2 3 5" xfId="10788"/>
    <cellStyle name="20% - Accent3 7 2 4" xfId="10789"/>
    <cellStyle name="20% - Accent3 7 2 4 2" xfId="10790"/>
    <cellStyle name="20% - Accent3 7 2 4 2 2" xfId="10791"/>
    <cellStyle name="20% - Accent3 7 2 4 2 2 2" xfId="10792"/>
    <cellStyle name="20% - Accent3 7 2 4 2 2 2 2" xfId="10793"/>
    <cellStyle name="20% - Accent3 7 2 4 2 2 3" xfId="10794"/>
    <cellStyle name="20% - Accent3 7 2 4 2 3" xfId="10795"/>
    <cellStyle name="20% - Accent3 7 2 4 2 3 2" xfId="10796"/>
    <cellStyle name="20% - Accent3 7 2 4 2 4" xfId="10797"/>
    <cellStyle name="20% - Accent3 7 2 4 3" xfId="10798"/>
    <cellStyle name="20% - Accent3 7 2 4 3 2" xfId="10799"/>
    <cellStyle name="20% - Accent3 7 2 4 3 2 2" xfId="10800"/>
    <cellStyle name="20% - Accent3 7 2 4 3 3" xfId="10801"/>
    <cellStyle name="20% - Accent3 7 2 4 4" xfId="10802"/>
    <cellStyle name="20% - Accent3 7 2 4 4 2" xfId="10803"/>
    <cellStyle name="20% - Accent3 7 2 4 5" xfId="10804"/>
    <cellStyle name="20% - Accent3 7 2 5" xfId="10805"/>
    <cellStyle name="20% - Accent3 7 2 5 2" xfId="10806"/>
    <cellStyle name="20% - Accent3 7 2 5 2 2" xfId="10807"/>
    <cellStyle name="20% - Accent3 7 2 5 2 2 2" xfId="10808"/>
    <cellStyle name="20% - Accent3 7 2 5 2 2 2 2" xfId="10809"/>
    <cellStyle name="20% - Accent3 7 2 5 2 2 3" xfId="10810"/>
    <cellStyle name="20% - Accent3 7 2 5 2 3" xfId="10811"/>
    <cellStyle name="20% - Accent3 7 2 5 2 3 2" xfId="10812"/>
    <cellStyle name="20% - Accent3 7 2 5 2 4" xfId="10813"/>
    <cellStyle name="20% - Accent3 7 2 5 3" xfId="10814"/>
    <cellStyle name="20% - Accent3 7 2 5 3 2" xfId="10815"/>
    <cellStyle name="20% - Accent3 7 2 5 3 2 2" xfId="10816"/>
    <cellStyle name="20% - Accent3 7 2 5 3 3" xfId="10817"/>
    <cellStyle name="20% - Accent3 7 2 5 4" xfId="10818"/>
    <cellStyle name="20% - Accent3 7 2 5 4 2" xfId="10819"/>
    <cellStyle name="20% - Accent3 7 2 5 5" xfId="10820"/>
    <cellStyle name="20% - Accent3 7 2 6" xfId="10821"/>
    <cellStyle name="20% - Accent3 7 2 6 2" xfId="10822"/>
    <cellStyle name="20% - Accent3 7 2 6 2 2" xfId="10823"/>
    <cellStyle name="20% - Accent3 7 2 6 2 2 2" xfId="10824"/>
    <cellStyle name="20% - Accent3 7 2 6 2 2 2 2" xfId="10825"/>
    <cellStyle name="20% - Accent3 7 2 6 2 2 3" xfId="10826"/>
    <cellStyle name="20% - Accent3 7 2 6 2 3" xfId="10827"/>
    <cellStyle name="20% - Accent3 7 2 6 2 3 2" xfId="10828"/>
    <cellStyle name="20% - Accent3 7 2 6 2 4" xfId="10829"/>
    <cellStyle name="20% - Accent3 7 2 6 3" xfId="10830"/>
    <cellStyle name="20% - Accent3 7 2 6 3 2" xfId="10831"/>
    <cellStyle name="20% - Accent3 7 2 6 3 2 2" xfId="10832"/>
    <cellStyle name="20% - Accent3 7 2 6 3 3" xfId="10833"/>
    <cellStyle name="20% - Accent3 7 2 6 4" xfId="10834"/>
    <cellStyle name="20% - Accent3 7 2 6 4 2" xfId="10835"/>
    <cellStyle name="20% - Accent3 7 2 6 5" xfId="10836"/>
    <cellStyle name="20% - Accent3 7 2 7" xfId="10837"/>
    <cellStyle name="20% - Accent3 7 2 7 2" xfId="10838"/>
    <cellStyle name="20% - Accent3 7 2 7 2 2" xfId="10839"/>
    <cellStyle name="20% - Accent3 7 2 7 2 2 2" xfId="10840"/>
    <cellStyle name="20% - Accent3 7 2 7 2 3" xfId="10841"/>
    <cellStyle name="20% - Accent3 7 2 7 3" xfId="10842"/>
    <cellStyle name="20% - Accent3 7 2 7 3 2" xfId="10843"/>
    <cellStyle name="20% - Accent3 7 2 7 4" xfId="10844"/>
    <cellStyle name="20% - Accent3 7 2 8" xfId="10845"/>
    <cellStyle name="20% - Accent3 7 2 8 2" xfId="10846"/>
    <cellStyle name="20% - Accent3 7 2 8 2 2" xfId="10847"/>
    <cellStyle name="20% - Accent3 7 2 8 3" xfId="10848"/>
    <cellStyle name="20% - Accent3 7 2 9" xfId="10849"/>
    <cellStyle name="20% - Accent3 7 2 9 2" xfId="10850"/>
    <cellStyle name="20% - Accent3 7 3" xfId="10851"/>
    <cellStyle name="20% - Accent3 7 3 2" xfId="10852"/>
    <cellStyle name="20% - Accent3 7 3 2 2" xfId="10853"/>
    <cellStyle name="20% - Accent3 7 3 2 2 2" xfId="10854"/>
    <cellStyle name="20% - Accent3 7 3 2 2 2 2" xfId="10855"/>
    <cellStyle name="20% - Accent3 7 3 2 2 3" xfId="10856"/>
    <cellStyle name="20% - Accent3 7 3 2 3" xfId="10857"/>
    <cellStyle name="20% - Accent3 7 3 2 3 2" xfId="10858"/>
    <cellStyle name="20% - Accent3 7 3 2 4" xfId="10859"/>
    <cellStyle name="20% - Accent3 7 3 3" xfId="10860"/>
    <cellStyle name="20% - Accent3 7 3 3 2" xfId="10861"/>
    <cellStyle name="20% - Accent3 7 3 3 2 2" xfId="10862"/>
    <cellStyle name="20% - Accent3 7 3 3 3" xfId="10863"/>
    <cellStyle name="20% - Accent3 7 3 4" xfId="10864"/>
    <cellStyle name="20% - Accent3 7 3 4 2" xfId="10865"/>
    <cellStyle name="20% - Accent3 7 3 5" xfId="10866"/>
    <cellStyle name="20% - Accent3 7 4" xfId="10867"/>
    <cellStyle name="20% - Accent3 7 4 2" xfId="10868"/>
    <cellStyle name="20% - Accent3 7 4 2 2" xfId="10869"/>
    <cellStyle name="20% - Accent3 7 4 2 2 2" xfId="10870"/>
    <cellStyle name="20% - Accent3 7 4 2 2 2 2" xfId="10871"/>
    <cellStyle name="20% - Accent3 7 4 2 2 3" xfId="10872"/>
    <cellStyle name="20% - Accent3 7 4 2 3" xfId="10873"/>
    <cellStyle name="20% - Accent3 7 4 2 3 2" xfId="10874"/>
    <cellStyle name="20% - Accent3 7 4 2 4" xfId="10875"/>
    <cellStyle name="20% - Accent3 7 4 3" xfId="10876"/>
    <cellStyle name="20% - Accent3 7 4 3 2" xfId="10877"/>
    <cellStyle name="20% - Accent3 7 4 3 2 2" xfId="10878"/>
    <cellStyle name="20% - Accent3 7 4 3 3" xfId="10879"/>
    <cellStyle name="20% - Accent3 7 4 4" xfId="10880"/>
    <cellStyle name="20% - Accent3 7 4 4 2" xfId="10881"/>
    <cellStyle name="20% - Accent3 7 4 5" xfId="10882"/>
    <cellStyle name="20% - Accent3 7 5" xfId="10883"/>
    <cellStyle name="20% - Accent3 7 5 2" xfId="10884"/>
    <cellStyle name="20% - Accent3 7 5 2 2" xfId="10885"/>
    <cellStyle name="20% - Accent3 7 5 2 2 2" xfId="10886"/>
    <cellStyle name="20% - Accent3 7 5 2 2 2 2" xfId="10887"/>
    <cellStyle name="20% - Accent3 7 5 2 2 3" xfId="10888"/>
    <cellStyle name="20% - Accent3 7 5 2 3" xfId="10889"/>
    <cellStyle name="20% - Accent3 7 5 2 3 2" xfId="10890"/>
    <cellStyle name="20% - Accent3 7 5 2 4" xfId="10891"/>
    <cellStyle name="20% - Accent3 7 5 3" xfId="10892"/>
    <cellStyle name="20% - Accent3 7 5 3 2" xfId="10893"/>
    <cellStyle name="20% - Accent3 7 5 3 2 2" xfId="10894"/>
    <cellStyle name="20% - Accent3 7 5 3 3" xfId="10895"/>
    <cellStyle name="20% - Accent3 7 5 4" xfId="10896"/>
    <cellStyle name="20% - Accent3 7 5 4 2" xfId="10897"/>
    <cellStyle name="20% - Accent3 7 5 5" xfId="10898"/>
    <cellStyle name="20% - Accent3 7 6" xfId="10899"/>
    <cellStyle name="20% - Accent3 7 6 2" xfId="10900"/>
    <cellStyle name="20% - Accent3 7 6 2 2" xfId="10901"/>
    <cellStyle name="20% - Accent3 7 6 2 2 2" xfId="10902"/>
    <cellStyle name="20% - Accent3 7 6 2 2 2 2" xfId="10903"/>
    <cellStyle name="20% - Accent3 7 6 2 2 3" xfId="10904"/>
    <cellStyle name="20% - Accent3 7 6 2 3" xfId="10905"/>
    <cellStyle name="20% - Accent3 7 6 2 3 2" xfId="10906"/>
    <cellStyle name="20% - Accent3 7 6 2 4" xfId="10907"/>
    <cellStyle name="20% - Accent3 7 6 3" xfId="10908"/>
    <cellStyle name="20% - Accent3 7 6 3 2" xfId="10909"/>
    <cellStyle name="20% - Accent3 7 6 3 2 2" xfId="10910"/>
    <cellStyle name="20% - Accent3 7 6 3 3" xfId="10911"/>
    <cellStyle name="20% - Accent3 7 6 4" xfId="10912"/>
    <cellStyle name="20% - Accent3 7 6 4 2" xfId="10913"/>
    <cellStyle name="20% - Accent3 7 6 5" xfId="10914"/>
    <cellStyle name="20% - Accent3 7 7" xfId="10915"/>
    <cellStyle name="20% - Accent3 7 7 2" xfId="10916"/>
    <cellStyle name="20% - Accent3 7 7 2 2" xfId="10917"/>
    <cellStyle name="20% - Accent3 7 7 2 2 2" xfId="10918"/>
    <cellStyle name="20% - Accent3 7 7 2 2 2 2" xfId="10919"/>
    <cellStyle name="20% - Accent3 7 7 2 2 3" xfId="10920"/>
    <cellStyle name="20% - Accent3 7 7 2 3" xfId="10921"/>
    <cellStyle name="20% - Accent3 7 7 2 3 2" xfId="10922"/>
    <cellStyle name="20% - Accent3 7 7 2 4" xfId="10923"/>
    <cellStyle name="20% - Accent3 7 7 3" xfId="10924"/>
    <cellStyle name="20% - Accent3 7 7 3 2" xfId="10925"/>
    <cellStyle name="20% - Accent3 7 7 3 2 2" xfId="10926"/>
    <cellStyle name="20% - Accent3 7 7 3 3" xfId="10927"/>
    <cellStyle name="20% - Accent3 7 7 4" xfId="10928"/>
    <cellStyle name="20% - Accent3 7 7 4 2" xfId="10929"/>
    <cellStyle name="20% - Accent3 7 7 5" xfId="10930"/>
    <cellStyle name="20% - Accent3 7 8" xfId="10931"/>
    <cellStyle name="20% - Accent3 7 8 2" xfId="10932"/>
    <cellStyle name="20% - Accent3 7 8 2 2" xfId="10933"/>
    <cellStyle name="20% - Accent3 7 8 2 2 2" xfId="10934"/>
    <cellStyle name="20% - Accent3 7 8 2 3" xfId="10935"/>
    <cellStyle name="20% - Accent3 7 8 3" xfId="10936"/>
    <cellStyle name="20% - Accent3 7 8 3 2" xfId="10937"/>
    <cellStyle name="20% - Accent3 7 8 4" xfId="10938"/>
    <cellStyle name="20% - Accent3 7 9" xfId="10939"/>
    <cellStyle name="20% - Accent3 7 9 2" xfId="10940"/>
    <cellStyle name="20% - Accent3 7 9 2 2" xfId="10941"/>
    <cellStyle name="20% - Accent3 7 9 3" xfId="10942"/>
    <cellStyle name="20% - Accent3 8" xfId="10943"/>
    <cellStyle name="20% - Accent3 8 10" xfId="10944"/>
    <cellStyle name="20% - Accent3 8 10 2" xfId="10945"/>
    <cellStyle name="20% - Accent3 8 11" xfId="10946"/>
    <cellStyle name="20% - Accent3 8 2" xfId="10947"/>
    <cellStyle name="20% - Accent3 8 2 10" xfId="10948"/>
    <cellStyle name="20% - Accent3 8 2 2" xfId="10949"/>
    <cellStyle name="20% - Accent3 8 2 2 2" xfId="10950"/>
    <cellStyle name="20% - Accent3 8 2 2 2 2" xfId="10951"/>
    <cellStyle name="20% - Accent3 8 2 2 2 2 2" xfId="10952"/>
    <cellStyle name="20% - Accent3 8 2 2 2 2 2 2" xfId="10953"/>
    <cellStyle name="20% - Accent3 8 2 2 2 2 3" xfId="10954"/>
    <cellStyle name="20% - Accent3 8 2 2 2 3" xfId="10955"/>
    <cellStyle name="20% - Accent3 8 2 2 2 3 2" xfId="10956"/>
    <cellStyle name="20% - Accent3 8 2 2 2 4" xfId="10957"/>
    <cellStyle name="20% - Accent3 8 2 2 3" xfId="10958"/>
    <cellStyle name="20% - Accent3 8 2 2 3 2" xfId="10959"/>
    <cellStyle name="20% - Accent3 8 2 2 3 2 2" xfId="10960"/>
    <cellStyle name="20% - Accent3 8 2 2 3 3" xfId="10961"/>
    <cellStyle name="20% - Accent3 8 2 2 4" xfId="10962"/>
    <cellStyle name="20% - Accent3 8 2 2 4 2" xfId="10963"/>
    <cellStyle name="20% - Accent3 8 2 2 5" xfId="10964"/>
    <cellStyle name="20% - Accent3 8 2 3" xfId="10965"/>
    <cellStyle name="20% - Accent3 8 2 3 2" xfId="10966"/>
    <cellStyle name="20% - Accent3 8 2 3 2 2" xfId="10967"/>
    <cellStyle name="20% - Accent3 8 2 3 2 2 2" xfId="10968"/>
    <cellStyle name="20% - Accent3 8 2 3 2 2 2 2" xfId="10969"/>
    <cellStyle name="20% - Accent3 8 2 3 2 2 3" xfId="10970"/>
    <cellStyle name="20% - Accent3 8 2 3 2 3" xfId="10971"/>
    <cellStyle name="20% - Accent3 8 2 3 2 3 2" xfId="10972"/>
    <cellStyle name="20% - Accent3 8 2 3 2 4" xfId="10973"/>
    <cellStyle name="20% - Accent3 8 2 3 3" xfId="10974"/>
    <cellStyle name="20% - Accent3 8 2 3 3 2" xfId="10975"/>
    <cellStyle name="20% - Accent3 8 2 3 3 2 2" xfId="10976"/>
    <cellStyle name="20% - Accent3 8 2 3 3 3" xfId="10977"/>
    <cellStyle name="20% - Accent3 8 2 3 4" xfId="10978"/>
    <cellStyle name="20% - Accent3 8 2 3 4 2" xfId="10979"/>
    <cellStyle name="20% - Accent3 8 2 3 5" xfId="10980"/>
    <cellStyle name="20% - Accent3 8 2 4" xfId="10981"/>
    <cellStyle name="20% - Accent3 8 2 4 2" xfId="10982"/>
    <cellStyle name="20% - Accent3 8 2 4 2 2" xfId="10983"/>
    <cellStyle name="20% - Accent3 8 2 4 2 2 2" xfId="10984"/>
    <cellStyle name="20% - Accent3 8 2 4 2 2 2 2" xfId="10985"/>
    <cellStyle name="20% - Accent3 8 2 4 2 2 3" xfId="10986"/>
    <cellStyle name="20% - Accent3 8 2 4 2 3" xfId="10987"/>
    <cellStyle name="20% - Accent3 8 2 4 2 3 2" xfId="10988"/>
    <cellStyle name="20% - Accent3 8 2 4 2 4" xfId="10989"/>
    <cellStyle name="20% - Accent3 8 2 4 3" xfId="10990"/>
    <cellStyle name="20% - Accent3 8 2 4 3 2" xfId="10991"/>
    <cellStyle name="20% - Accent3 8 2 4 3 2 2" xfId="10992"/>
    <cellStyle name="20% - Accent3 8 2 4 3 3" xfId="10993"/>
    <cellStyle name="20% - Accent3 8 2 4 4" xfId="10994"/>
    <cellStyle name="20% - Accent3 8 2 4 4 2" xfId="10995"/>
    <cellStyle name="20% - Accent3 8 2 4 5" xfId="10996"/>
    <cellStyle name="20% - Accent3 8 2 5" xfId="10997"/>
    <cellStyle name="20% - Accent3 8 2 5 2" xfId="10998"/>
    <cellStyle name="20% - Accent3 8 2 5 2 2" xfId="10999"/>
    <cellStyle name="20% - Accent3 8 2 5 2 2 2" xfId="11000"/>
    <cellStyle name="20% - Accent3 8 2 5 2 2 2 2" xfId="11001"/>
    <cellStyle name="20% - Accent3 8 2 5 2 2 3" xfId="11002"/>
    <cellStyle name="20% - Accent3 8 2 5 2 3" xfId="11003"/>
    <cellStyle name="20% - Accent3 8 2 5 2 3 2" xfId="11004"/>
    <cellStyle name="20% - Accent3 8 2 5 2 4" xfId="11005"/>
    <cellStyle name="20% - Accent3 8 2 5 3" xfId="11006"/>
    <cellStyle name="20% - Accent3 8 2 5 3 2" xfId="11007"/>
    <cellStyle name="20% - Accent3 8 2 5 3 2 2" xfId="11008"/>
    <cellStyle name="20% - Accent3 8 2 5 3 3" xfId="11009"/>
    <cellStyle name="20% - Accent3 8 2 5 4" xfId="11010"/>
    <cellStyle name="20% - Accent3 8 2 5 4 2" xfId="11011"/>
    <cellStyle name="20% - Accent3 8 2 5 5" xfId="11012"/>
    <cellStyle name="20% - Accent3 8 2 6" xfId="11013"/>
    <cellStyle name="20% - Accent3 8 2 6 2" xfId="11014"/>
    <cellStyle name="20% - Accent3 8 2 6 2 2" xfId="11015"/>
    <cellStyle name="20% - Accent3 8 2 6 2 2 2" xfId="11016"/>
    <cellStyle name="20% - Accent3 8 2 6 2 2 2 2" xfId="11017"/>
    <cellStyle name="20% - Accent3 8 2 6 2 2 3" xfId="11018"/>
    <cellStyle name="20% - Accent3 8 2 6 2 3" xfId="11019"/>
    <cellStyle name="20% - Accent3 8 2 6 2 3 2" xfId="11020"/>
    <cellStyle name="20% - Accent3 8 2 6 2 4" xfId="11021"/>
    <cellStyle name="20% - Accent3 8 2 6 3" xfId="11022"/>
    <cellStyle name="20% - Accent3 8 2 6 3 2" xfId="11023"/>
    <cellStyle name="20% - Accent3 8 2 6 3 2 2" xfId="11024"/>
    <cellStyle name="20% - Accent3 8 2 6 3 3" xfId="11025"/>
    <cellStyle name="20% - Accent3 8 2 6 4" xfId="11026"/>
    <cellStyle name="20% - Accent3 8 2 6 4 2" xfId="11027"/>
    <cellStyle name="20% - Accent3 8 2 6 5" xfId="11028"/>
    <cellStyle name="20% - Accent3 8 2 7" xfId="11029"/>
    <cellStyle name="20% - Accent3 8 2 7 2" xfId="11030"/>
    <cellStyle name="20% - Accent3 8 2 7 2 2" xfId="11031"/>
    <cellStyle name="20% - Accent3 8 2 7 2 2 2" xfId="11032"/>
    <cellStyle name="20% - Accent3 8 2 7 2 3" xfId="11033"/>
    <cellStyle name="20% - Accent3 8 2 7 3" xfId="11034"/>
    <cellStyle name="20% - Accent3 8 2 7 3 2" xfId="11035"/>
    <cellStyle name="20% - Accent3 8 2 7 4" xfId="11036"/>
    <cellStyle name="20% - Accent3 8 2 8" xfId="11037"/>
    <cellStyle name="20% - Accent3 8 2 8 2" xfId="11038"/>
    <cellStyle name="20% - Accent3 8 2 8 2 2" xfId="11039"/>
    <cellStyle name="20% - Accent3 8 2 8 3" xfId="11040"/>
    <cellStyle name="20% - Accent3 8 2 9" xfId="11041"/>
    <cellStyle name="20% - Accent3 8 2 9 2" xfId="11042"/>
    <cellStyle name="20% - Accent3 8 3" xfId="11043"/>
    <cellStyle name="20% - Accent3 8 3 2" xfId="11044"/>
    <cellStyle name="20% - Accent3 8 3 2 2" xfId="11045"/>
    <cellStyle name="20% - Accent3 8 3 2 2 2" xfId="11046"/>
    <cellStyle name="20% - Accent3 8 3 2 2 2 2" xfId="11047"/>
    <cellStyle name="20% - Accent3 8 3 2 2 3" xfId="11048"/>
    <cellStyle name="20% - Accent3 8 3 2 3" xfId="11049"/>
    <cellStyle name="20% - Accent3 8 3 2 3 2" xfId="11050"/>
    <cellStyle name="20% - Accent3 8 3 2 4" xfId="11051"/>
    <cellStyle name="20% - Accent3 8 3 3" xfId="11052"/>
    <cellStyle name="20% - Accent3 8 3 3 2" xfId="11053"/>
    <cellStyle name="20% - Accent3 8 3 3 2 2" xfId="11054"/>
    <cellStyle name="20% - Accent3 8 3 3 3" xfId="11055"/>
    <cellStyle name="20% - Accent3 8 3 4" xfId="11056"/>
    <cellStyle name="20% - Accent3 8 3 4 2" xfId="11057"/>
    <cellStyle name="20% - Accent3 8 3 5" xfId="11058"/>
    <cellStyle name="20% - Accent3 8 4" xfId="11059"/>
    <cellStyle name="20% - Accent3 8 4 2" xfId="11060"/>
    <cellStyle name="20% - Accent3 8 4 2 2" xfId="11061"/>
    <cellStyle name="20% - Accent3 8 4 2 2 2" xfId="11062"/>
    <cellStyle name="20% - Accent3 8 4 2 2 2 2" xfId="11063"/>
    <cellStyle name="20% - Accent3 8 4 2 2 3" xfId="11064"/>
    <cellStyle name="20% - Accent3 8 4 2 3" xfId="11065"/>
    <cellStyle name="20% - Accent3 8 4 2 3 2" xfId="11066"/>
    <cellStyle name="20% - Accent3 8 4 2 4" xfId="11067"/>
    <cellStyle name="20% - Accent3 8 4 3" xfId="11068"/>
    <cellStyle name="20% - Accent3 8 4 3 2" xfId="11069"/>
    <cellStyle name="20% - Accent3 8 4 3 2 2" xfId="11070"/>
    <cellStyle name="20% - Accent3 8 4 3 3" xfId="11071"/>
    <cellStyle name="20% - Accent3 8 4 4" xfId="11072"/>
    <cellStyle name="20% - Accent3 8 4 4 2" xfId="11073"/>
    <cellStyle name="20% - Accent3 8 4 5" xfId="11074"/>
    <cellStyle name="20% - Accent3 8 5" xfId="11075"/>
    <cellStyle name="20% - Accent3 8 5 2" xfId="11076"/>
    <cellStyle name="20% - Accent3 8 5 2 2" xfId="11077"/>
    <cellStyle name="20% - Accent3 8 5 2 2 2" xfId="11078"/>
    <cellStyle name="20% - Accent3 8 5 2 2 2 2" xfId="11079"/>
    <cellStyle name="20% - Accent3 8 5 2 2 3" xfId="11080"/>
    <cellStyle name="20% - Accent3 8 5 2 3" xfId="11081"/>
    <cellStyle name="20% - Accent3 8 5 2 3 2" xfId="11082"/>
    <cellStyle name="20% - Accent3 8 5 2 4" xfId="11083"/>
    <cellStyle name="20% - Accent3 8 5 3" xfId="11084"/>
    <cellStyle name="20% - Accent3 8 5 3 2" xfId="11085"/>
    <cellStyle name="20% - Accent3 8 5 3 2 2" xfId="11086"/>
    <cellStyle name="20% - Accent3 8 5 3 3" xfId="11087"/>
    <cellStyle name="20% - Accent3 8 5 4" xfId="11088"/>
    <cellStyle name="20% - Accent3 8 5 4 2" xfId="11089"/>
    <cellStyle name="20% - Accent3 8 5 5" xfId="11090"/>
    <cellStyle name="20% - Accent3 8 6" xfId="11091"/>
    <cellStyle name="20% - Accent3 8 6 2" xfId="11092"/>
    <cellStyle name="20% - Accent3 8 6 2 2" xfId="11093"/>
    <cellStyle name="20% - Accent3 8 6 2 2 2" xfId="11094"/>
    <cellStyle name="20% - Accent3 8 6 2 2 2 2" xfId="11095"/>
    <cellStyle name="20% - Accent3 8 6 2 2 3" xfId="11096"/>
    <cellStyle name="20% - Accent3 8 6 2 3" xfId="11097"/>
    <cellStyle name="20% - Accent3 8 6 2 3 2" xfId="11098"/>
    <cellStyle name="20% - Accent3 8 6 2 4" xfId="11099"/>
    <cellStyle name="20% - Accent3 8 6 3" xfId="11100"/>
    <cellStyle name="20% - Accent3 8 6 3 2" xfId="11101"/>
    <cellStyle name="20% - Accent3 8 6 3 2 2" xfId="11102"/>
    <cellStyle name="20% - Accent3 8 6 3 3" xfId="11103"/>
    <cellStyle name="20% - Accent3 8 6 4" xfId="11104"/>
    <cellStyle name="20% - Accent3 8 6 4 2" xfId="11105"/>
    <cellStyle name="20% - Accent3 8 6 5" xfId="11106"/>
    <cellStyle name="20% - Accent3 8 7" xfId="11107"/>
    <cellStyle name="20% - Accent3 8 7 2" xfId="11108"/>
    <cellStyle name="20% - Accent3 8 7 2 2" xfId="11109"/>
    <cellStyle name="20% - Accent3 8 7 2 2 2" xfId="11110"/>
    <cellStyle name="20% - Accent3 8 7 2 2 2 2" xfId="11111"/>
    <cellStyle name="20% - Accent3 8 7 2 2 3" xfId="11112"/>
    <cellStyle name="20% - Accent3 8 7 2 3" xfId="11113"/>
    <cellStyle name="20% - Accent3 8 7 2 3 2" xfId="11114"/>
    <cellStyle name="20% - Accent3 8 7 2 4" xfId="11115"/>
    <cellStyle name="20% - Accent3 8 7 3" xfId="11116"/>
    <cellStyle name="20% - Accent3 8 7 3 2" xfId="11117"/>
    <cellStyle name="20% - Accent3 8 7 3 2 2" xfId="11118"/>
    <cellStyle name="20% - Accent3 8 7 3 3" xfId="11119"/>
    <cellStyle name="20% - Accent3 8 7 4" xfId="11120"/>
    <cellStyle name="20% - Accent3 8 7 4 2" xfId="11121"/>
    <cellStyle name="20% - Accent3 8 7 5" xfId="11122"/>
    <cellStyle name="20% - Accent3 8 8" xfId="11123"/>
    <cellStyle name="20% - Accent3 8 8 2" xfId="11124"/>
    <cellStyle name="20% - Accent3 8 8 2 2" xfId="11125"/>
    <cellStyle name="20% - Accent3 8 8 2 2 2" xfId="11126"/>
    <cellStyle name="20% - Accent3 8 8 2 3" xfId="11127"/>
    <cellStyle name="20% - Accent3 8 8 3" xfId="11128"/>
    <cellStyle name="20% - Accent3 8 8 3 2" xfId="11129"/>
    <cellStyle name="20% - Accent3 8 8 4" xfId="11130"/>
    <cellStyle name="20% - Accent3 8 9" xfId="11131"/>
    <cellStyle name="20% - Accent3 8 9 2" xfId="11132"/>
    <cellStyle name="20% - Accent3 8 9 2 2" xfId="11133"/>
    <cellStyle name="20% - Accent3 8 9 3" xfId="11134"/>
    <cellStyle name="20% - Accent3 9" xfId="11135"/>
    <cellStyle name="20% - Accent3 9 10" xfId="11136"/>
    <cellStyle name="20% - Accent3 9 10 2" xfId="11137"/>
    <cellStyle name="20% - Accent3 9 11" xfId="11138"/>
    <cellStyle name="20% - Accent3 9 2" xfId="11139"/>
    <cellStyle name="20% - Accent3 9 2 10" xfId="11140"/>
    <cellStyle name="20% - Accent3 9 2 2" xfId="11141"/>
    <cellStyle name="20% - Accent3 9 2 2 2" xfId="11142"/>
    <cellStyle name="20% - Accent3 9 2 2 2 2" xfId="11143"/>
    <cellStyle name="20% - Accent3 9 2 2 2 2 2" xfId="11144"/>
    <cellStyle name="20% - Accent3 9 2 2 2 2 2 2" xfId="11145"/>
    <cellStyle name="20% - Accent3 9 2 2 2 2 3" xfId="11146"/>
    <cellStyle name="20% - Accent3 9 2 2 2 3" xfId="11147"/>
    <cellStyle name="20% - Accent3 9 2 2 2 3 2" xfId="11148"/>
    <cellStyle name="20% - Accent3 9 2 2 2 4" xfId="11149"/>
    <cellStyle name="20% - Accent3 9 2 2 3" xfId="11150"/>
    <cellStyle name="20% - Accent3 9 2 2 3 2" xfId="11151"/>
    <cellStyle name="20% - Accent3 9 2 2 3 2 2" xfId="11152"/>
    <cellStyle name="20% - Accent3 9 2 2 3 3" xfId="11153"/>
    <cellStyle name="20% - Accent3 9 2 2 4" xfId="11154"/>
    <cellStyle name="20% - Accent3 9 2 2 4 2" xfId="11155"/>
    <cellStyle name="20% - Accent3 9 2 2 5" xfId="11156"/>
    <cellStyle name="20% - Accent3 9 2 3" xfId="11157"/>
    <cellStyle name="20% - Accent3 9 2 3 2" xfId="11158"/>
    <cellStyle name="20% - Accent3 9 2 3 2 2" xfId="11159"/>
    <cellStyle name="20% - Accent3 9 2 3 2 2 2" xfId="11160"/>
    <cellStyle name="20% - Accent3 9 2 3 2 2 2 2" xfId="11161"/>
    <cellStyle name="20% - Accent3 9 2 3 2 2 3" xfId="11162"/>
    <cellStyle name="20% - Accent3 9 2 3 2 3" xfId="11163"/>
    <cellStyle name="20% - Accent3 9 2 3 2 3 2" xfId="11164"/>
    <cellStyle name="20% - Accent3 9 2 3 2 4" xfId="11165"/>
    <cellStyle name="20% - Accent3 9 2 3 3" xfId="11166"/>
    <cellStyle name="20% - Accent3 9 2 3 3 2" xfId="11167"/>
    <cellStyle name="20% - Accent3 9 2 3 3 2 2" xfId="11168"/>
    <cellStyle name="20% - Accent3 9 2 3 3 3" xfId="11169"/>
    <cellStyle name="20% - Accent3 9 2 3 4" xfId="11170"/>
    <cellStyle name="20% - Accent3 9 2 3 4 2" xfId="11171"/>
    <cellStyle name="20% - Accent3 9 2 3 5" xfId="11172"/>
    <cellStyle name="20% - Accent3 9 2 4" xfId="11173"/>
    <cellStyle name="20% - Accent3 9 2 4 2" xfId="11174"/>
    <cellStyle name="20% - Accent3 9 2 4 2 2" xfId="11175"/>
    <cellStyle name="20% - Accent3 9 2 4 2 2 2" xfId="11176"/>
    <cellStyle name="20% - Accent3 9 2 4 2 2 2 2" xfId="11177"/>
    <cellStyle name="20% - Accent3 9 2 4 2 2 3" xfId="11178"/>
    <cellStyle name="20% - Accent3 9 2 4 2 3" xfId="11179"/>
    <cellStyle name="20% - Accent3 9 2 4 2 3 2" xfId="11180"/>
    <cellStyle name="20% - Accent3 9 2 4 2 4" xfId="11181"/>
    <cellStyle name="20% - Accent3 9 2 4 3" xfId="11182"/>
    <cellStyle name="20% - Accent3 9 2 4 3 2" xfId="11183"/>
    <cellStyle name="20% - Accent3 9 2 4 3 2 2" xfId="11184"/>
    <cellStyle name="20% - Accent3 9 2 4 3 3" xfId="11185"/>
    <cellStyle name="20% - Accent3 9 2 4 4" xfId="11186"/>
    <cellStyle name="20% - Accent3 9 2 4 4 2" xfId="11187"/>
    <cellStyle name="20% - Accent3 9 2 4 5" xfId="11188"/>
    <cellStyle name="20% - Accent3 9 2 5" xfId="11189"/>
    <cellStyle name="20% - Accent3 9 2 5 2" xfId="11190"/>
    <cellStyle name="20% - Accent3 9 2 5 2 2" xfId="11191"/>
    <cellStyle name="20% - Accent3 9 2 5 2 2 2" xfId="11192"/>
    <cellStyle name="20% - Accent3 9 2 5 2 2 2 2" xfId="11193"/>
    <cellStyle name="20% - Accent3 9 2 5 2 2 3" xfId="11194"/>
    <cellStyle name="20% - Accent3 9 2 5 2 3" xfId="11195"/>
    <cellStyle name="20% - Accent3 9 2 5 2 3 2" xfId="11196"/>
    <cellStyle name="20% - Accent3 9 2 5 2 4" xfId="11197"/>
    <cellStyle name="20% - Accent3 9 2 5 3" xfId="11198"/>
    <cellStyle name="20% - Accent3 9 2 5 3 2" xfId="11199"/>
    <cellStyle name="20% - Accent3 9 2 5 3 2 2" xfId="11200"/>
    <cellStyle name="20% - Accent3 9 2 5 3 3" xfId="11201"/>
    <cellStyle name="20% - Accent3 9 2 5 4" xfId="11202"/>
    <cellStyle name="20% - Accent3 9 2 5 4 2" xfId="11203"/>
    <cellStyle name="20% - Accent3 9 2 5 5" xfId="11204"/>
    <cellStyle name="20% - Accent3 9 2 6" xfId="11205"/>
    <cellStyle name="20% - Accent3 9 2 6 2" xfId="11206"/>
    <cellStyle name="20% - Accent3 9 2 6 2 2" xfId="11207"/>
    <cellStyle name="20% - Accent3 9 2 6 2 2 2" xfId="11208"/>
    <cellStyle name="20% - Accent3 9 2 6 2 2 2 2" xfId="11209"/>
    <cellStyle name="20% - Accent3 9 2 6 2 2 3" xfId="11210"/>
    <cellStyle name="20% - Accent3 9 2 6 2 3" xfId="11211"/>
    <cellStyle name="20% - Accent3 9 2 6 2 3 2" xfId="11212"/>
    <cellStyle name="20% - Accent3 9 2 6 2 4" xfId="11213"/>
    <cellStyle name="20% - Accent3 9 2 6 3" xfId="11214"/>
    <cellStyle name="20% - Accent3 9 2 6 3 2" xfId="11215"/>
    <cellStyle name="20% - Accent3 9 2 6 3 2 2" xfId="11216"/>
    <cellStyle name="20% - Accent3 9 2 6 3 3" xfId="11217"/>
    <cellStyle name="20% - Accent3 9 2 6 4" xfId="11218"/>
    <cellStyle name="20% - Accent3 9 2 6 4 2" xfId="11219"/>
    <cellStyle name="20% - Accent3 9 2 6 5" xfId="11220"/>
    <cellStyle name="20% - Accent3 9 2 7" xfId="11221"/>
    <cellStyle name="20% - Accent3 9 2 7 2" xfId="11222"/>
    <cellStyle name="20% - Accent3 9 2 7 2 2" xfId="11223"/>
    <cellStyle name="20% - Accent3 9 2 7 2 2 2" xfId="11224"/>
    <cellStyle name="20% - Accent3 9 2 7 2 3" xfId="11225"/>
    <cellStyle name="20% - Accent3 9 2 7 3" xfId="11226"/>
    <cellStyle name="20% - Accent3 9 2 7 3 2" xfId="11227"/>
    <cellStyle name="20% - Accent3 9 2 7 4" xfId="11228"/>
    <cellStyle name="20% - Accent3 9 2 8" xfId="11229"/>
    <cellStyle name="20% - Accent3 9 2 8 2" xfId="11230"/>
    <cellStyle name="20% - Accent3 9 2 8 2 2" xfId="11231"/>
    <cellStyle name="20% - Accent3 9 2 8 3" xfId="11232"/>
    <cellStyle name="20% - Accent3 9 2 9" xfId="11233"/>
    <cellStyle name="20% - Accent3 9 2 9 2" xfId="11234"/>
    <cellStyle name="20% - Accent3 9 3" xfId="11235"/>
    <cellStyle name="20% - Accent3 9 3 2" xfId="11236"/>
    <cellStyle name="20% - Accent3 9 3 2 2" xfId="11237"/>
    <cellStyle name="20% - Accent3 9 3 2 2 2" xfId="11238"/>
    <cellStyle name="20% - Accent3 9 3 2 2 2 2" xfId="11239"/>
    <cellStyle name="20% - Accent3 9 3 2 2 3" xfId="11240"/>
    <cellStyle name="20% - Accent3 9 3 2 3" xfId="11241"/>
    <cellStyle name="20% - Accent3 9 3 2 3 2" xfId="11242"/>
    <cellStyle name="20% - Accent3 9 3 2 4" xfId="11243"/>
    <cellStyle name="20% - Accent3 9 3 3" xfId="11244"/>
    <cellStyle name="20% - Accent3 9 3 3 2" xfId="11245"/>
    <cellStyle name="20% - Accent3 9 3 3 2 2" xfId="11246"/>
    <cellStyle name="20% - Accent3 9 3 3 3" xfId="11247"/>
    <cellStyle name="20% - Accent3 9 3 4" xfId="11248"/>
    <cellStyle name="20% - Accent3 9 3 4 2" xfId="11249"/>
    <cellStyle name="20% - Accent3 9 3 5" xfId="11250"/>
    <cellStyle name="20% - Accent3 9 4" xfId="11251"/>
    <cellStyle name="20% - Accent3 9 4 2" xfId="11252"/>
    <cellStyle name="20% - Accent3 9 4 2 2" xfId="11253"/>
    <cellStyle name="20% - Accent3 9 4 2 2 2" xfId="11254"/>
    <cellStyle name="20% - Accent3 9 4 2 2 2 2" xfId="11255"/>
    <cellStyle name="20% - Accent3 9 4 2 2 3" xfId="11256"/>
    <cellStyle name="20% - Accent3 9 4 2 3" xfId="11257"/>
    <cellStyle name="20% - Accent3 9 4 2 3 2" xfId="11258"/>
    <cellStyle name="20% - Accent3 9 4 2 4" xfId="11259"/>
    <cellStyle name="20% - Accent3 9 4 3" xfId="11260"/>
    <cellStyle name="20% - Accent3 9 4 3 2" xfId="11261"/>
    <cellStyle name="20% - Accent3 9 4 3 2 2" xfId="11262"/>
    <cellStyle name="20% - Accent3 9 4 3 3" xfId="11263"/>
    <cellStyle name="20% - Accent3 9 4 4" xfId="11264"/>
    <cellStyle name="20% - Accent3 9 4 4 2" xfId="11265"/>
    <cellStyle name="20% - Accent3 9 4 5" xfId="11266"/>
    <cellStyle name="20% - Accent3 9 5" xfId="11267"/>
    <cellStyle name="20% - Accent3 9 5 2" xfId="11268"/>
    <cellStyle name="20% - Accent3 9 5 2 2" xfId="11269"/>
    <cellStyle name="20% - Accent3 9 5 2 2 2" xfId="11270"/>
    <cellStyle name="20% - Accent3 9 5 2 2 2 2" xfId="11271"/>
    <cellStyle name="20% - Accent3 9 5 2 2 3" xfId="11272"/>
    <cellStyle name="20% - Accent3 9 5 2 3" xfId="11273"/>
    <cellStyle name="20% - Accent3 9 5 2 3 2" xfId="11274"/>
    <cellStyle name="20% - Accent3 9 5 2 4" xfId="11275"/>
    <cellStyle name="20% - Accent3 9 5 3" xfId="11276"/>
    <cellStyle name="20% - Accent3 9 5 3 2" xfId="11277"/>
    <cellStyle name="20% - Accent3 9 5 3 2 2" xfId="11278"/>
    <cellStyle name="20% - Accent3 9 5 3 3" xfId="11279"/>
    <cellStyle name="20% - Accent3 9 5 4" xfId="11280"/>
    <cellStyle name="20% - Accent3 9 5 4 2" xfId="11281"/>
    <cellStyle name="20% - Accent3 9 5 5" xfId="11282"/>
    <cellStyle name="20% - Accent3 9 6" xfId="11283"/>
    <cellStyle name="20% - Accent3 9 6 2" xfId="11284"/>
    <cellStyle name="20% - Accent3 9 6 2 2" xfId="11285"/>
    <cellStyle name="20% - Accent3 9 6 2 2 2" xfId="11286"/>
    <cellStyle name="20% - Accent3 9 6 2 2 2 2" xfId="11287"/>
    <cellStyle name="20% - Accent3 9 6 2 2 3" xfId="11288"/>
    <cellStyle name="20% - Accent3 9 6 2 3" xfId="11289"/>
    <cellStyle name="20% - Accent3 9 6 2 3 2" xfId="11290"/>
    <cellStyle name="20% - Accent3 9 6 2 4" xfId="11291"/>
    <cellStyle name="20% - Accent3 9 6 3" xfId="11292"/>
    <cellStyle name="20% - Accent3 9 6 3 2" xfId="11293"/>
    <cellStyle name="20% - Accent3 9 6 3 2 2" xfId="11294"/>
    <cellStyle name="20% - Accent3 9 6 3 3" xfId="11295"/>
    <cellStyle name="20% - Accent3 9 6 4" xfId="11296"/>
    <cellStyle name="20% - Accent3 9 6 4 2" xfId="11297"/>
    <cellStyle name="20% - Accent3 9 6 5" xfId="11298"/>
    <cellStyle name="20% - Accent3 9 7" xfId="11299"/>
    <cellStyle name="20% - Accent3 9 7 2" xfId="11300"/>
    <cellStyle name="20% - Accent3 9 7 2 2" xfId="11301"/>
    <cellStyle name="20% - Accent3 9 7 2 2 2" xfId="11302"/>
    <cellStyle name="20% - Accent3 9 7 2 2 2 2" xfId="11303"/>
    <cellStyle name="20% - Accent3 9 7 2 2 3" xfId="11304"/>
    <cellStyle name="20% - Accent3 9 7 2 3" xfId="11305"/>
    <cellStyle name="20% - Accent3 9 7 2 3 2" xfId="11306"/>
    <cellStyle name="20% - Accent3 9 7 2 4" xfId="11307"/>
    <cellStyle name="20% - Accent3 9 7 3" xfId="11308"/>
    <cellStyle name="20% - Accent3 9 7 3 2" xfId="11309"/>
    <cellStyle name="20% - Accent3 9 7 3 2 2" xfId="11310"/>
    <cellStyle name="20% - Accent3 9 7 3 3" xfId="11311"/>
    <cellStyle name="20% - Accent3 9 7 4" xfId="11312"/>
    <cellStyle name="20% - Accent3 9 7 4 2" xfId="11313"/>
    <cellStyle name="20% - Accent3 9 7 5" xfId="11314"/>
    <cellStyle name="20% - Accent3 9 8" xfId="11315"/>
    <cellStyle name="20% - Accent3 9 8 2" xfId="11316"/>
    <cellStyle name="20% - Accent3 9 8 2 2" xfId="11317"/>
    <cellStyle name="20% - Accent3 9 8 2 2 2" xfId="11318"/>
    <cellStyle name="20% - Accent3 9 8 2 3" xfId="11319"/>
    <cellStyle name="20% - Accent3 9 8 3" xfId="11320"/>
    <cellStyle name="20% - Accent3 9 8 3 2" xfId="11321"/>
    <cellStyle name="20% - Accent3 9 8 4" xfId="11322"/>
    <cellStyle name="20% - Accent3 9 9" xfId="11323"/>
    <cellStyle name="20% - Accent3 9 9 2" xfId="11324"/>
    <cellStyle name="20% - Accent3 9 9 2 2" xfId="11325"/>
    <cellStyle name="20% - Accent3 9 9 3" xfId="11326"/>
    <cellStyle name="20% - Accent4 10" xfId="11327"/>
    <cellStyle name="20% - Accent4 10 10" xfId="11328"/>
    <cellStyle name="20% - Accent4 10 10 2" xfId="11329"/>
    <cellStyle name="20% - Accent4 10 11" xfId="11330"/>
    <cellStyle name="20% - Accent4 10 2" xfId="11331"/>
    <cellStyle name="20% - Accent4 10 2 10" xfId="11332"/>
    <cellStyle name="20% - Accent4 10 2 2" xfId="11333"/>
    <cellStyle name="20% - Accent4 10 2 2 2" xfId="11334"/>
    <cellStyle name="20% - Accent4 10 2 2 2 2" xfId="11335"/>
    <cellStyle name="20% - Accent4 10 2 2 2 2 2" xfId="11336"/>
    <cellStyle name="20% - Accent4 10 2 2 2 2 2 2" xfId="11337"/>
    <cellStyle name="20% - Accent4 10 2 2 2 2 3" xfId="11338"/>
    <cellStyle name="20% - Accent4 10 2 2 2 3" xfId="11339"/>
    <cellStyle name="20% - Accent4 10 2 2 2 3 2" xfId="11340"/>
    <cellStyle name="20% - Accent4 10 2 2 2 4" xfId="11341"/>
    <cellStyle name="20% - Accent4 10 2 2 3" xfId="11342"/>
    <cellStyle name="20% - Accent4 10 2 2 3 2" xfId="11343"/>
    <cellStyle name="20% - Accent4 10 2 2 3 2 2" xfId="11344"/>
    <cellStyle name="20% - Accent4 10 2 2 3 3" xfId="11345"/>
    <cellStyle name="20% - Accent4 10 2 2 4" xfId="11346"/>
    <cellStyle name="20% - Accent4 10 2 2 4 2" xfId="11347"/>
    <cellStyle name="20% - Accent4 10 2 2 5" xfId="11348"/>
    <cellStyle name="20% - Accent4 10 2 3" xfId="11349"/>
    <cellStyle name="20% - Accent4 10 2 3 2" xfId="11350"/>
    <cellStyle name="20% - Accent4 10 2 3 2 2" xfId="11351"/>
    <cellStyle name="20% - Accent4 10 2 3 2 2 2" xfId="11352"/>
    <cellStyle name="20% - Accent4 10 2 3 2 2 2 2" xfId="11353"/>
    <cellStyle name="20% - Accent4 10 2 3 2 2 3" xfId="11354"/>
    <cellStyle name="20% - Accent4 10 2 3 2 3" xfId="11355"/>
    <cellStyle name="20% - Accent4 10 2 3 2 3 2" xfId="11356"/>
    <cellStyle name="20% - Accent4 10 2 3 2 4" xfId="11357"/>
    <cellStyle name="20% - Accent4 10 2 3 3" xfId="11358"/>
    <cellStyle name="20% - Accent4 10 2 3 3 2" xfId="11359"/>
    <cellStyle name="20% - Accent4 10 2 3 3 2 2" xfId="11360"/>
    <cellStyle name="20% - Accent4 10 2 3 3 3" xfId="11361"/>
    <cellStyle name="20% - Accent4 10 2 3 4" xfId="11362"/>
    <cellStyle name="20% - Accent4 10 2 3 4 2" xfId="11363"/>
    <cellStyle name="20% - Accent4 10 2 3 5" xfId="11364"/>
    <cellStyle name="20% - Accent4 10 2 4" xfId="11365"/>
    <cellStyle name="20% - Accent4 10 2 4 2" xfId="11366"/>
    <cellStyle name="20% - Accent4 10 2 4 2 2" xfId="11367"/>
    <cellStyle name="20% - Accent4 10 2 4 2 2 2" xfId="11368"/>
    <cellStyle name="20% - Accent4 10 2 4 2 2 2 2" xfId="11369"/>
    <cellStyle name="20% - Accent4 10 2 4 2 2 3" xfId="11370"/>
    <cellStyle name="20% - Accent4 10 2 4 2 3" xfId="11371"/>
    <cellStyle name="20% - Accent4 10 2 4 2 3 2" xfId="11372"/>
    <cellStyle name="20% - Accent4 10 2 4 2 4" xfId="11373"/>
    <cellStyle name="20% - Accent4 10 2 4 3" xfId="11374"/>
    <cellStyle name="20% - Accent4 10 2 4 3 2" xfId="11375"/>
    <cellStyle name="20% - Accent4 10 2 4 3 2 2" xfId="11376"/>
    <cellStyle name="20% - Accent4 10 2 4 3 3" xfId="11377"/>
    <cellStyle name="20% - Accent4 10 2 4 4" xfId="11378"/>
    <cellStyle name="20% - Accent4 10 2 4 4 2" xfId="11379"/>
    <cellStyle name="20% - Accent4 10 2 4 5" xfId="11380"/>
    <cellStyle name="20% - Accent4 10 2 5" xfId="11381"/>
    <cellStyle name="20% - Accent4 10 2 5 2" xfId="11382"/>
    <cellStyle name="20% - Accent4 10 2 5 2 2" xfId="11383"/>
    <cellStyle name="20% - Accent4 10 2 5 2 2 2" xfId="11384"/>
    <cellStyle name="20% - Accent4 10 2 5 2 2 2 2" xfId="11385"/>
    <cellStyle name="20% - Accent4 10 2 5 2 2 3" xfId="11386"/>
    <cellStyle name="20% - Accent4 10 2 5 2 3" xfId="11387"/>
    <cellStyle name="20% - Accent4 10 2 5 2 3 2" xfId="11388"/>
    <cellStyle name="20% - Accent4 10 2 5 2 4" xfId="11389"/>
    <cellStyle name="20% - Accent4 10 2 5 3" xfId="11390"/>
    <cellStyle name="20% - Accent4 10 2 5 3 2" xfId="11391"/>
    <cellStyle name="20% - Accent4 10 2 5 3 2 2" xfId="11392"/>
    <cellStyle name="20% - Accent4 10 2 5 3 3" xfId="11393"/>
    <cellStyle name="20% - Accent4 10 2 5 4" xfId="11394"/>
    <cellStyle name="20% - Accent4 10 2 5 4 2" xfId="11395"/>
    <cellStyle name="20% - Accent4 10 2 5 5" xfId="11396"/>
    <cellStyle name="20% - Accent4 10 2 6" xfId="11397"/>
    <cellStyle name="20% - Accent4 10 2 6 2" xfId="11398"/>
    <cellStyle name="20% - Accent4 10 2 6 2 2" xfId="11399"/>
    <cellStyle name="20% - Accent4 10 2 6 2 2 2" xfId="11400"/>
    <cellStyle name="20% - Accent4 10 2 6 2 2 2 2" xfId="11401"/>
    <cellStyle name="20% - Accent4 10 2 6 2 2 3" xfId="11402"/>
    <cellStyle name="20% - Accent4 10 2 6 2 3" xfId="11403"/>
    <cellStyle name="20% - Accent4 10 2 6 2 3 2" xfId="11404"/>
    <cellStyle name="20% - Accent4 10 2 6 2 4" xfId="11405"/>
    <cellStyle name="20% - Accent4 10 2 6 3" xfId="11406"/>
    <cellStyle name="20% - Accent4 10 2 6 3 2" xfId="11407"/>
    <cellStyle name="20% - Accent4 10 2 6 3 2 2" xfId="11408"/>
    <cellStyle name="20% - Accent4 10 2 6 3 3" xfId="11409"/>
    <cellStyle name="20% - Accent4 10 2 6 4" xfId="11410"/>
    <cellStyle name="20% - Accent4 10 2 6 4 2" xfId="11411"/>
    <cellStyle name="20% - Accent4 10 2 6 5" xfId="11412"/>
    <cellStyle name="20% - Accent4 10 2 7" xfId="11413"/>
    <cellStyle name="20% - Accent4 10 2 7 2" xfId="11414"/>
    <cellStyle name="20% - Accent4 10 2 7 2 2" xfId="11415"/>
    <cellStyle name="20% - Accent4 10 2 7 2 2 2" xfId="11416"/>
    <cellStyle name="20% - Accent4 10 2 7 2 3" xfId="11417"/>
    <cellStyle name="20% - Accent4 10 2 7 3" xfId="11418"/>
    <cellStyle name="20% - Accent4 10 2 7 3 2" xfId="11419"/>
    <cellStyle name="20% - Accent4 10 2 7 4" xfId="11420"/>
    <cellStyle name="20% - Accent4 10 2 8" xfId="11421"/>
    <cellStyle name="20% - Accent4 10 2 8 2" xfId="11422"/>
    <cellStyle name="20% - Accent4 10 2 8 2 2" xfId="11423"/>
    <cellStyle name="20% - Accent4 10 2 8 3" xfId="11424"/>
    <cellStyle name="20% - Accent4 10 2 9" xfId="11425"/>
    <cellStyle name="20% - Accent4 10 2 9 2" xfId="11426"/>
    <cellStyle name="20% - Accent4 10 3" xfId="11427"/>
    <cellStyle name="20% - Accent4 10 3 2" xfId="11428"/>
    <cellStyle name="20% - Accent4 10 3 2 2" xfId="11429"/>
    <cellStyle name="20% - Accent4 10 3 2 2 2" xfId="11430"/>
    <cellStyle name="20% - Accent4 10 3 2 2 2 2" xfId="11431"/>
    <cellStyle name="20% - Accent4 10 3 2 2 3" xfId="11432"/>
    <cellStyle name="20% - Accent4 10 3 2 3" xfId="11433"/>
    <cellStyle name="20% - Accent4 10 3 2 3 2" xfId="11434"/>
    <cellStyle name="20% - Accent4 10 3 2 4" xfId="11435"/>
    <cellStyle name="20% - Accent4 10 3 3" xfId="11436"/>
    <cellStyle name="20% - Accent4 10 3 3 2" xfId="11437"/>
    <cellStyle name="20% - Accent4 10 3 3 2 2" xfId="11438"/>
    <cellStyle name="20% - Accent4 10 3 3 3" xfId="11439"/>
    <cellStyle name="20% - Accent4 10 3 4" xfId="11440"/>
    <cellStyle name="20% - Accent4 10 3 4 2" xfId="11441"/>
    <cellStyle name="20% - Accent4 10 3 5" xfId="11442"/>
    <cellStyle name="20% - Accent4 10 4" xfId="11443"/>
    <cellStyle name="20% - Accent4 10 4 2" xfId="11444"/>
    <cellStyle name="20% - Accent4 10 4 2 2" xfId="11445"/>
    <cellStyle name="20% - Accent4 10 4 2 2 2" xfId="11446"/>
    <cellStyle name="20% - Accent4 10 4 2 2 2 2" xfId="11447"/>
    <cellStyle name="20% - Accent4 10 4 2 2 3" xfId="11448"/>
    <cellStyle name="20% - Accent4 10 4 2 3" xfId="11449"/>
    <cellStyle name="20% - Accent4 10 4 2 3 2" xfId="11450"/>
    <cellStyle name="20% - Accent4 10 4 2 4" xfId="11451"/>
    <cellStyle name="20% - Accent4 10 4 3" xfId="11452"/>
    <cellStyle name="20% - Accent4 10 4 3 2" xfId="11453"/>
    <cellStyle name="20% - Accent4 10 4 3 2 2" xfId="11454"/>
    <cellStyle name="20% - Accent4 10 4 3 3" xfId="11455"/>
    <cellStyle name="20% - Accent4 10 4 4" xfId="11456"/>
    <cellStyle name="20% - Accent4 10 4 4 2" xfId="11457"/>
    <cellStyle name="20% - Accent4 10 4 5" xfId="11458"/>
    <cellStyle name="20% - Accent4 10 5" xfId="11459"/>
    <cellStyle name="20% - Accent4 10 5 2" xfId="11460"/>
    <cellStyle name="20% - Accent4 10 5 2 2" xfId="11461"/>
    <cellStyle name="20% - Accent4 10 5 2 2 2" xfId="11462"/>
    <cellStyle name="20% - Accent4 10 5 2 2 2 2" xfId="11463"/>
    <cellStyle name="20% - Accent4 10 5 2 2 3" xfId="11464"/>
    <cellStyle name="20% - Accent4 10 5 2 3" xfId="11465"/>
    <cellStyle name="20% - Accent4 10 5 2 3 2" xfId="11466"/>
    <cellStyle name="20% - Accent4 10 5 2 4" xfId="11467"/>
    <cellStyle name="20% - Accent4 10 5 3" xfId="11468"/>
    <cellStyle name="20% - Accent4 10 5 3 2" xfId="11469"/>
    <cellStyle name="20% - Accent4 10 5 3 2 2" xfId="11470"/>
    <cellStyle name="20% - Accent4 10 5 3 3" xfId="11471"/>
    <cellStyle name="20% - Accent4 10 5 4" xfId="11472"/>
    <cellStyle name="20% - Accent4 10 5 4 2" xfId="11473"/>
    <cellStyle name="20% - Accent4 10 5 5" xfId="11474"/>
    <cellStyle name="20% - Accent4 10 6" xfId="11475"/>
    <cellStyle name="20% - Accent4 10 6 2" xfId="11476"/>
    <cellStyle name="20% - Accent4 10 6 2 2" xfId="11477"/>
    <cellStyle name="20% - Accent4 10 6 2 2 2" xfId="11478"/>
    <cellStyle name="20% - Accent4 10 6 2 2 2 2" xfId="11479"/>
    <cellStyle name="20% - Accent4 10 6 2 2 3" xfId="11480"/>
    <cellStyle name="20% - Accent4 10 6 2 3" xfId="11481"/>
    <cellStyle name="20% - Accent4 10 6 2 3 2" xfId="11482"/>
    <cellStyle name="20% - Accent4 10 6 2 4" xfId="11483"/>
    <cellStyle name="20% - Accent4 10 6 3" xfId="11484"/>
    <cellStyle name="20% - Accent4 10 6 3 2" xfId="11485"/>
    <cellStyle name="20% - Accent4 10 6 3 2 2" xfId="11486"/>
    <cellStyle name="20% - Accent4 10 6 3 3" xfId="11487"/>
    <cellStyle name="20% - Accent4 10 6 4" xfId="11488"/>
    <cellStyle name="20% - Accent4 10 6 4 2" xfId="11489"/>
    <cellStyle name="20% - Accent4 10 6 5" xfId="11490"/>
    <cellStyle name="20% - Accent4 10 7" xfId="11491"/>
    <cellStyle name="20% - Accent4 10 7 2" xfId="11492"/>
    <cellStyle name="20% - Accent4 10 7 2 2" xfId="11493"/>
    <cellStyle name="20% - Accent4 10 7 2 2 2" xfId="11494"/>
    <cellStyle name="20% - Accent4 10 7 2 2 2 2" xfId="11495"/>
    <cellStyle name="20% - Accent4 10 7 2 2 3" xfId="11496"/>
    <cellStyle name="20% - Accent4 10 7 2 3" xfId="11497"/>
    <cellStyle name="20% - Accent4 10 7 2 3 2" xfId="11498"/>
    <cellStyle name="20% - Accent4 10 7 2 4" xfId="11499"/>
    <cellStyle name="20% - Accent4 10 7 3" xfId="11500"/>
    <cellStyle name="20% - Accent4 10 7 3 2" xfId="11501"/>
    <cellStyle name="20% - Accent4 10 7 3 2 2" xfId="11502"/>
    <cellStyle name="20% - Accent4 10 7 3 3" xfId="11503"/>
    <cellStyle name="20% - Accent4 10 7 4" xfId="11504"/>
    <cellStyle name="20% - Accent4 10 7 4 2" xfId="11505"/>
    <cellStyle name="20% - Accent4 10 7 5" xfId="11506"/>
    <cellStyle name="20% - Accent4 10 8" xfId="11507"/>
    <cellStyle name="20% - Accent4 10 8 2" xfId="11508"/>
    <cellStyle name="20% - Accent4 10 8 2 2" xfId="11509"/>
    <cellStyle name="20% - Accent4 10 8 2 2 2" xfId="11510"/>
    <cellStyle name="20% - Accent4 10 8 2 3" xfId="11511"/>
    <cellStyle name="20% - Accent4 10 8 3" xfId="11512"/>
    <cellStyle name="20% - Accent4 10 8 3 2" xfId="11513"/>
    <cellStyle name="20% - Accent4 10 8 4" xfId="11514"/>
    <cellStyle name="20% - Accent4 10 9" xfId="11515"/>
    <cellStyle name="20% - Accent4 10 9 2" xfId="11516"/>
    <cellStyle name="20% - Accent4 10 9 2 2" xfId="11517"/>
    <cellStyle name="20% - Accent4 10 9 3" xfId="11518"/>
    <cellStyle name="20% - Accent4 11" xfId="11519"/>
    <cellStyle name="20% - Accent4 11 10" xfId="11520"/>
    <cellStyle name="20% - Accent4 11 10 2" xfId="11521"/>
    <cellStyle name="20% - Accent4 11 11" xfId="11522"/>
    <cellStyle name="20% - Accent4 11 2" xfId="11523"/>
    <cellStyle name="20% - Accent4 11 2 10" xfId="11524"/>
    <cellStyle name="20% - Accent4 11 2 2" xfId="11525"/>
    <cellStyle name="20% - Accent4 11 2 2 2" xfId="11526"/>
    <cellStyle name="20% - Accent4 11 2 2 2 2" xfId="11527"/>
    <cellStyle name="20% - Accent4 11 2 2 2 2 2" xfId="11528"/>
    <cellStyle name="20% - Accent4 11 2 2 2 2 2 2" xfId="11529"/>
    <cellStyle name="20% - Accent4 11 2 2 2 2 3" xfId="11530"/>
    <cellStyle name="20% - Accent4 11 2 2 2 3" xfId="11531"/>
    <cellStyle name="20% - Accent4 11 2 2 2 3 2" xfId="11532"/>
    <cellStyle name="20% - Accent4 11 2 2 2 4" xfId="11533"/>
    <cellStyle name="20% - Accent4 11 2 2 3" xfId="11534"/>
    <cellStyle name="20% - Accent4 11 2 2 3 2" xfId="11535"/>
    <cellStyle name="20% - Accent4 11 2 2 3 2 2" xfId="11536"/>
    <cellStyle name="20% - Accent4 11 2 2 3 3" xfId="11537"/>
    <cellStyle name="20% - Accent4 11 2 2 4" xfId="11538"/>
    <cellStyle name="20% - Accent4 11 2 2 4 2" xfId="11539"/>
    <cellStyle name="20% - Accent4 11 2 2 5" xfId="11540"/>
    <cellStyle name="20% - Accent4 11 2 3" xfId="11541"/>
    <cellStyle name="20% - Accent4 11 2 3 2" xfId="11542"/>
    <cellStyle name="20% - Accent4 11 2 3 2 2" xfId="11543"/>
    <cellStyle name="20% - Accent4 11 2 3 2 2 2" xfId="11544"/>
    <cellStyle name="20% - Accent4 11 2 3 2 2 2 2" xfId="11545"/>
    <cellStyle name="20% - Accent4 11 2 3 2 2 3" xfId="11546"/>
    <cellStyle name="20% - Accent4 11 2 3 2 3" xfId="11547"/>
    <cellStyle name="20% - Accent4 11 2 3 2 3 2" xfId="11548"/>
    <cellStyle name="20% - Accent4 11 2 3 2 4" xfId="11549"/>
    <cellStyle name="20% - Accent4 11 2 3 3" xfId="11550"/>
    <cellStyle name="20% - Accent4 11 2 3 3 2" xfId="11551"/>
    <cellStyle name="20% - Accent4 11 2 3 3 2 2" xfId="11552"/>
    <cellStyle name="20% - Accent4 11 2 3 3 3" xfId="11553"/>
    <cellStyle name="20% - Accent4 11 2 3 4" xfId="11554"/>
    <cellStyle name="20% - Accent4 11 2 3 4 2" xfId="11555"/>
    <cellStyle name="20% - Accent4 11 2 3 5" xfId="11556"/>
    <cellStyle name="20% - Accent4 11 2 4" xfId="11557"/>
    <cellStyle name="20% - Accent4 11 2 4 2" xfId="11558"/>
    <cellStyle name="20% - Accent4 11 2 4 2 2" xfId="11559"/>
    <cellStyle name="20% - Accent4 11 2 4 2 2 2" xfId="11560"/>
    <cellStyle name="20% - Accent4 11 2 4 2 2 2 2" xfId="11561"/>
    <cellStyle name="20% - Accent4 11 2 4 2 2 3" xfId="11562"/>
    <cellStyle name="20% - Accent4 11 2 4 2 3" xfId="11563"/>
    <cellStyle name="20% - Accent4 11 2 4 2 3 2" xfId="11564"/>
    <cellStyle name="20% - Accent4 11 2 4 2 4" xfId="11565"/>
    <cellStyle name="20% - Accent4 11 2 4 3" xfId="11566"/>
    <cellStyle name="20% - Accent4 11 2 4 3 2" xfId="11567"/>
    <cellStyle name="20% - Accent4 11 2 4 3 2 2" xfId="11568"/>
    <cellStyle name="20% - Accent4 11 2 4 3 3" xfId="11569"/>
    <cellStyle name="20% - Accent4 11 2 4 4" xfId="11570"/>
    <cellStyle name="20% - Accent4 11 2 4 4 2" xfId="11571"/>
    <cellStyle name="20% - Accent4 11 2 4 5" xfId="11572"/>
    <cellStyle name="20% - Accent4 11 2 5" xfId="11573"/>
    <cellStyle name="20% - Accent4 11 2 5 2" xfId="11574"/>
    <cellStyle name="20% - Accent4 11 2 5 2 2" xfId="11575"/>
    <cellStyle name="20% - Accent4 11 2 5 2 2 2" xfId="11576"/>
    <cellStyle name="20% - Accent4 11 2 5 2 2 2 2" xfId="11577"/>
    <cellStyle name="20% - Accent4 11 2 5 2 2 3" xfId="11578"/>
    <cellStyle name="20% - Accent4 11 2 5 2 3" xfId="11579"/>
    <cellStyle name="20% - Accent4 11 2 5 2 3 2" xfId="11580"/>
    <cellStyle name="20% - Accent4 11 2 5 2 4" xfId="11581"/>
    <cellStyle name="20% - Accent4 11 2 5 3" xfId="11582"/>
    <cellStyle name="20% - Accent4 11 2 5 3 2" xfId="11583"/>
    <cellStyle name="20% - Accent4 11 2 5 3 2 2" xfId="11584"/>
    <cellStyle name="20% - Accent4 11 2 5 3 3" xfId="11585"/>
    <cellStyle name="20% - Accent4 11 2 5 4" xfId="11586"/>
    <cellStyle name="20% - Accent4 11 2 5 4 2" xfId="11587"/>
    <cellStyle name="20% - Accent4 11 2 5 5" xfId="11588"/>
    <cellStyle name="20% - Accent4 11 2 6" xfId="11589"/>
    <cellStyle name="20% - Accent4 11 2 6 2" xfId="11590"/>
    <cellStyle name="20% - Accent4 11 2 6 2 2" xfId="11591"/>
    <cellStyle name="20% - Accent4 11 2 6 2 2 2" xfId="11592"/>
    <cellStyle name="20% - Accent4 11 2 6 2 2 2 2" xfId="11593"/>
    <cellStyle name="20% - Accent4 11 2 6 2 2 3" xfId="11594"/>
    <cellStyle name="20% - Accent4 11 2 6 2 3" xfId="11595"/>
    <cellStyle name="20% - Accent4 11 2 6 2 3 2" xfId="11596"/>
    <cellStyle name="20% - Accent4 11 2 6 2 4" xfId="11597"/>
    <cellStyle name="20% - Accent4 11 2 6 3" xfId="11598"/>
    <cellStyle name="20% - Accent4 11 2 6 3 2" xfId="11599"/>
    <cellStyle name="20% - Accent4 11 2 6 3 2 2" xfId="11600"/>
    <cellStyle name="20% - Accent4 11 2 6 3 3" xfId="11601"/>
    <cellStyle name="20% - Accent4 11 2 6 4" xfId="11602"/>
    <cellStyle name="20% - Accent4 11 2 6 4 2" xfId="11603"/>
    <cellStyle name="20% - Accent4 11 2 6 5" xfId="11604"/>
    <cellStyle name="20% - Accent4 11 2 7" xfId="11605"/>
    <cellStyle name="20% - Accent4 11 2 7 2" xfId="11606"/>
    <cellStyle name="20% - Accent4 11 2 7 2 2" xfId="11607"/>
    <cellStyle name="20% - Accent4 11 2 7 2 2 2" xfId="11608"/>
    <cellStyle name="20% - Accent4 11 2 7 2 3" xfId="11609"/>
    <cellStyle name="20% - Accent4 11 2 7 3" xfId="11610"/>
    <cellStyle name="20% - Accent4 11 2 7 3 2" xfId="11611"/>
    <cellStyle name="20% - Accent4 11 2 7 4" xfId="11612"/>
    <cellStyle name="20% - Accent4 11 2 8" xfId="11613"/>
    <cellStyle name="20% - Accent4 11 2 8 2" xfId="11614"/>
    <cellStyle name="20% - Accent4 11 2 8 2 2" xfId="11615"/>
    <cellStyle name="20% - Accent4 11 2 8 3" xfId="11616"/>
    <cellStyle name="20% - Accent4 11 2 9" xfId="11617"/>
    <cellStyle name="20% - Accent4 11 2 9 2" xfId="11618"/>
    <cellStyle name="20% - Accent4 11 3" xfId="11619"/>
    <cellStyle name="20% - Accent4 11 3 2" xfId="11620"/>
    <cellStyle name="20% - Accent4 11 3 2 2" xfId="11621"/>
    <cellStyle name="20% - Accent4 11 3 2 2 2" xfId="11622"/>
    <cellStyle name="20% - Accent4 11 3 2 2 2 2" xfId="11623"/>
    <cellStyle name="20% - Accent4 11 3 2 2 3" xfId="11624"/>
    <cellStyle name="20% - Accent4 11 3 2 3" xfId="11625"/>
    <cellStyle name="20% - Accent4 11 3 2 3 2" xfId="11626"/>
    <cellStyle name="20% - Accent4 11 3 2 4" xfId="11627"/>
    <cellStyle name="20% - Accent4 11 3 3" xfId="11628"/>
    <cellStyle name="20% - Accent4 11 3 3 2" xfId="11629"/>
    <cellStyle name="20% - Accent4 11 3 3 2 2" xfId="11630"/>
    <cellStyle name="20% - Accent4 11 3 3 3" xfId="11631"/>
    <cellStyle name="20% - Accent4 11 3 4" xfId="11632"/>
    <cellStyle name="20% - Accent4 11 3 4 2" xfId="11633"/>
    <cellStyle name="20% - Accent4 11 3 5" xfId="11634"/>
    <cellStyle name="20% - Accent4 11 4" xfId="11635"/>
    <cellStyle name="20% - Accent4 11 4 2" xfId="11636"/>
    <cellStyle name="20% - Accent4 11 4 2 2" xfId="11637"/>
    <cellStyle name="20% - Accent4 11 4 2 2 2" xfId="11638"/>
    <cellStyle name="20% - Accent4 11 4 2 2 2 2" xfId="11639"/>
    <cellStyle name="20% - Accent4 11 4 2 2 3" xfId="11640"/>
    <cellStyle name="20% - Accent4 11 4 2 3" xfId="11641"/>
    <cellStyle name="20% - Accent4 11 4 2 3 2" xfId="11642"/>
    <cellStyle name="20% - Accent4 11 4 2 4" xfId="11643"/>
    <cellStyle name="20% - Accent4 11 4 3" xfId="11644"/>
    <cellStyle name="20% - Accent4 11 4 3 2" xfId="11645"/>
    <cellStyle name="20% - Accent4 11 4 3 2 2" xfId="11646"/>
    <cellStyle name="20% - Accent4 11 4 3 3" xfId="11647"/>
    <cellStyle name="20% - Accent4 11 4 4" xfId="11648"/>
    <cellStyle name="20% - Accent4 11 4 4 2" xfId="11649"/>
    <cellStyle name="20% - Accent4 11 4 5" xfId="11650"/>
    <cellStyle name="20% - Accent4 11 5" xfId="11651"/>
    <cellStyle name="20% - Accent4 11 5 2" xfId="11652"/>
    <cellStyle name="20% - Accent4 11 5 2 2" xfId="11653"/>
    <cellStyle name="20% - Accent4 11 5 2 2 2" xfId="11654"/>
    <cellStyle name="20% - Accent4 11 5 2 2 2 2" xfId="11655"/>
    <cellStyle name="20% - Accent4 11 5 2 2 3" xfId="11656"/>
    <cellStyle name="20% - Accent4 11 5 2 3" xfId="11657"/>
    <cellStyle name="20% - Accent4 11 5 2 3 2" xfId="11658"/>
    <cellStyle name="20% - Accent4 11 5 2 4" xfId="11659"/>
    <cellStyle name="20% - Accent4 11 5 3" xfId="11660"/>
    <cellStyle name="20% - Accent4 11 5 3 2" xfId="11661"/>
    <cellStyle name="20% - Accent4 11 5 3 2 2" xfId="11662"/>
    <cellStyle name="20% - Accent4 11 5 3 3" xfId="11663"/>
    <cellStyle name="20% - Accent4 11 5 4" xfId="11664"/>
    <cellStyle name="20% - Accent4 11 5 4 2" xfId="11665"/>
    <cellStyle name="20% - Accent4 11 5 5" xfId="11666"/>
    <cellStyle name="20% - Accent4 11 6" xfId="11667"/>
    <cellStyle name="20% - Accent4 11 6 2" xfId="11668"/>
    <cellStyle name="20% - Accent4 11 6 2 2" xfId="11669"/>
    <cellStyle name="20% - Accent4 11 6 2 2 2" xfId="11670"/>
    <cellStyle name="20% - Accent4 11 6 2 2 2 2" xfId="11671"/>
    <cellStyle name="20% - Accent4 11 6 2 2 3" xfId="11672"/>
    <cellStyle name="20% - Accent4 11 6 2 3" xfId="11673"/>
    <cellStyle name="20% - Accent4 11 6 2 3 2" xfId="11674"/>
    <cellStyle name="20% - Accent4 11 6 2 4" xfId="11675"/>
    <cellStyle name="20% - Accent4 11 6 3" xfId="11676"/>
    <cellStyle name="20% - Accent4 11 6 3 2" xfId="11677"/>
    <cellStyle name="20% - Accent4 11 6 3 2 2" xfId="11678"/>
    <cellStyle name="20% - Accent4 11 6 3 3" xfId="11679"/>
    <cellStyle name="20% - Accent4 11 6 4" xfId="11680"/>
    <cellStyle name="20% - Accent4 11 6 4 2" xfId="11681"/>
    <cellStyle name="20% - Accent4 11 6 5" xfId="11682"/>
    <cellStyle name="20% - Accent4 11 7" xfId="11683"/>
    <cellStyle name="20% - Accent4 11 7 2" xfId="11684"/>
    <cellStyle name="20% - Accent4 11 7 2 2" xfId="11685"/>
    <cellStyle name="20% - Accent4 11 7 2 2 2" xfId="11686"/>
    <cellStyle name="20% - Accent4 11 7 2 2 2 2" xfId="11687"/>
    <cellStyle name="20% - Accent4 11 7 2 2 3" xfId="11688"/>
    <cellStyle name="20% - Accent4 11 7 2 3" xfId="11689"/>
    <cellStyle name="20% - Accent4 11 7 2 3 2" xfId="11690"/>
    <cellStyle name="20% - Accent4 11 7 2 4" xfId="11691"/>
    <cellStyle name="20% - Accent4 11 7 3" xfId="11692"/>
    <cellStyle name="20% - Accent4 11 7 3 2" xfId="11693"/>
    <cellStyle name="20% - Accent4 11 7 3 2 2" xfId="11694"/>
    <cellStyle name="20% - Accent4 11 7 3 3" xfId="11695"/>
    <cellStyle name="20% - Accent4 11 7 4" xfId="11696"/>
    <cellStyle name="20% - Accent4 11 7 4 2" xfId="11697"/>
    <cellStyle name="20% - Accent4 11 7 5" xfId="11698"/>
    <cellStyle name="20% - Accent4 11 8" xfId="11699"/>
    <cellStyle name="20% - Accent4 11 8 2" xfId="11700"/>
    <cellStyle name="20% - Accent4 11 8 2 2" xfId="11701"/>
    <cellStyle name="20% - Accent4 11 8 2 2 2" xfId="11702"/>
    <cellStyle name="20% - Accent4 11 8 2 3" xfId="11703"/>
    <cellStyle name="20% - Accent4 11 8 3" xfId="11704"/>
    <cellStyle name="20% - Accent4 11 8 3 2" xfId="11705"/>
    <cellStyle name="20% - Accent4 11 8 4" xfId="11706"/>
    <cellStyle name="20% - Accent4 11 9" xfId="11707"/>
    <cellStyle name="20% - Accent4 11 9 2" xfId="11708"/>
    <cellStyle name="20% - Accent4 11 9 2 2" xfId="11709"/>
    <cellStyle name="20% - Accent4 11 9 3" xfId="11710"/>
    <cellStyle name="20% - Accent4 12" xfId="11711"/>
    <cellStyle name="20% - Accent4 12 10" xfId="11712"/>
    <cellStyle name="20% - Accent4 12 2" xfId="11713"/>
    <cellStyle name="20% - Accent4 12 2 2" xfId="11714"/>
    <cellStyle name="20% - Accent4 12 2 2 2" xfId="11715"/>
    <cellStyle name="20% - Accent4 12 2 2 2 2" xfId="11716"/>
    <cellStyle name="20% - Accent4 12 2 2 2 2 2" xfId="11717"/>
    <cellStyle name="20% - Accent4 12 2 2 2 3" xfId="11718"/>
    <cellStyle name="20% - Accent4 12 2 2 3" xfId="11719"/>
    <cellStyle name="20% - Accent4 12 2 2 3 2" xfId="11720"/>
    <cellStyle name="20% - Accent4 12 2 2 4" xfId="11721"/>
    <cellStyle name="20% - Accent4 12 2 3" xfId="11722"/>
    <cellStyle name="20% - Accent4 12 2 3 2" xfId="11723"/>
    <cellStyle name="20% - Accent4 12 2 3 2 2" xfId="11724"/>
    <cellStyle name="20% - Accent4 12 2 3 3" xfId="11725"/>
    <cellStyle name="20% - Accent4 12 2 4" xfId="11726"/>
    <cellStyle name="20% - Accent4 12 2 4 2" xfId="11727"/>
    <cellStyle name="20% - Accent4 12 2 5" xfId="11728"/>
    <cellStyle name="20% - Accent4 12 3" xfId="11729"/>
    <cellStyle name="20% - Accent4 12 3 2" xfId="11730"/>
    <cellStyle name="20% - Accent4 12 3 2 2" xfId="11731"/>
    <cellStyle name="20% - Accent4 12 3 2 2 2" xfId="11732"/>
    <cellStyle name="20% - Accent4 12 3 2 2 2 2" xfId="11733"/>
    <cellStyle name="20% - Accent4 12 3 2 2 3" xfId="11734"/>
    <cellStyle name="20% - Accent4 12 3 2 3" xfId="11735"/>
    <cellStyle name="20% - Accent4 12 3 2 3 2" xfId="11736"/>
    <cellStyle name="20% - Accent4 12 3 2 4" xfId="11737"/>
    <cellStyle name="20% - Accent4 12 3 3" xfId="11738"/>
    <cellStyle name="20% - Accent4 12 3 3 2" xfId="11739"/>
    <cellStyle name="20% - Accent4 12 3 3 2 2" xfId="11740"/>
    <cellStyle name="20% - Accent4 12 3 3 3" xfId="11741"/>
    <cellStyle name="20% - Accent4 12 3 4" xfId="11742"/>
    <cellStyle name="20% - Accent4 12 3 4 2" xfId="11743"/>
    <cellStyle name="20% - Accent4 12 3 5" xfId="11744"/>
    <cellStyle name="20% - Accent4 12 4" xfId="11745"/>
    <cellStyle name="20% - Accent4 12 4 2" xfId="11746"/>
    <cellStyle name="20% - Accent4 12 4 2 2" xfId="11747"/>
    <cellStyle name="20% - Accent4 12 4 2 2 2" xfId="11748"/>
    <cellStyle name="20% - Accent4 12 4 2 2 2 2" xfId="11749"/>
    <cellStyle name="20% - Accent4 12 4 2 2 3" xfId="11750"/>
    <cellStyle name="20% - Accent4 12 4 2 3" xfId="11751"/>
    <cellStyle name="20% - Accent4 12 4 2 3 2" xfId="11752"/>
    <cellStyle name="20% - Accent4 12 4 2 4" xfId="11753"/>
    <cellStyle name="20% - Accent4 12 4 3" xfId="11754"/>
    <cellStyle name="20% - Accent4 12 4 3 2" xfId="11755"/>
    <cellStyle name="20% - Accent4 12 4 3 2 2" xfId="11756"/>
    <cellStyle name="20% - Accent4 12 4 3 3" xfId="11757"/>
    <cellStyle name="20% - Accent4 12 4 4" xfId="11758"/>
    <cellStyle name="20% - Accent4 12 4 4 2" xfId="11759"/>
    <cellStyle name="20% - Accent4 12 4 5" xfId="11760"/>
    <cellStyle name="20% - Accent4 12 5" xfId="11761"/>
    <cellStyle name="20% - Accent4 12 5 2" xfId="11762"/>
    <cellStyle name="20% - Accent4 12 5 2 2" xfId="11763"/>
    <cellStyle name="20% - Accent4 12 5 2 2 2" xfId="11764"/>
    <cellStyle name="20% - Accent4 12 5 2 2 2 2" xfId="11765"/>
    <cellStyle name="20% - Accent4 12 5 2 2 3" xfId="11766"/>
    <cellStyle name="20% - Accent4 12 5 2 3" xfId="11767"/>
    <cellStyle name="20% - Accent4 12 5 2 3 2" xfId="11768"/>
    <cellStyle name="20% - Accent4 12 5 2 4" xfId="11769"/>
    <cellStyle name="20% - Accent4 12 5 3" xfId="11770"/>
    <cellStyle name="20% - Accent4 12 5 3 2" xfId="11771"/>
    <cellStyle name="20% - Accent4 12 5 3 2 2" xfId="11772"/>
    <cellStyle name="20% - Accent4 12 5 3 3" xfId="11773"/>
    <cellStyle name="20% - Accent4 12 5 4" xfId="11774"/>
    <cellStyle name="20% - Accent4 12 5 4 2" xfId="11775"/>
    <cellStyle name="20% - Accent4 12 5 5" xfId="11776"/>
    <cellStyle name="20% - Accent4 12 6" xfId="11777"/>
    <cellStyle name="20% - Accent4 12 6 2" xfId="11778"/>
    <cellStyle name="20% - Accent4 12 6 2 2" xfId="11779"/>
    <cellStyle name="20% - Accent4 12 6 2 2 2" xfId="11780"/>
    <cellStyle name="20% - Accent4 12 6 2 2 2 2" xfId="11781"/>
    <cellStyle name="20% - Accent4 12 6 2 2 3" xfId="11782"/>
    <cellStyle name="20% - Accent4 12 6 2 3" xfId="11783"/>
    <cellStyle name="20% - Accent4 12 6 2 3 2" xfId="11784"/>
    <cellStyle name="20% - Accent4 12 6 2 4" xfId="11785"/>
    <cellStyle name="20% - Accent4 12 6 3" xfId="11786"/>
    <cellStyle name="20% - Accent4 12 6 3 2" xfId="11787"/>
    <cellStyle name="20% - Accent4 12 6 3 2 2" xfId="11788"/>
    <cellStyle name="20% - Accent4 12 6 3 3" xfId="11789"/>
    <cellStyle name="20% - Accent4 12 6 4" xfId="11790"/>
    <cellStyle name="20% - Accent4 12 6 4 2" xfId="11791"/>
    <cellStyle name="20% - Accent4 12 6 5" xfId="11792"/>
    <cellStyle name="20% - Accent4 12 7" xfId="11793"/>
    <cellStyle name="20% - Accent4 12 7 2" xfId="11794"/>
    <cellStyle name="20% - Accent4 12 7 2 2" xfId="11795"/>
    <cellStyle name="20% - Accent4 12 7 2 2 2" xfId="11796"/>
    <cellStyle name="20% - Accent4 12 7 2 3" xfId="11797"/>
    <cellStyle name="20% - Accent4 12 7 3" xfId="11798"/>
    <cellStyle name="20% - Accent4 12 7 3 2" xfId="11799"/>
    <cellStyle name="20% - Accent4 12 7 4" xfId="11800"/>
    <cellStyle name="20% - Accent4 12 8" xfId="11801"/>
    <cellStyle name="20% - Accent4 12 8 2" xfId="11802"/>
    <cellStyle name="20% - Accent4 12 8 2 2" xfId="11803"/>
    <cellStyle name="20% - Accent4 12 8 3" xfId="11804"/>
    <cellStyle name="20% - Accent4 12 9" xfId="11805"/>
    <cellStyle name="20% - Accent4 12 9 2" xfId="11806"/>
    <cellStyle name="20% - Accent4 13" xfId="11807"/>
    <cellStyle name="20% - Accent4 13 10" xfId="11808"/>
    <cellStyle name="20% - Accent4 13 2" xfId="11809"/>
    <cellStyle name="20% - Accent4 13 2 2" xfId="11810"/>
    <cellStyle name="20% - Accent4 13 2 2 2" xfId="11811"/>
    <cellStyle name="20% - Accent4 13 2 2 2 2" xfId="11812"/>
    <cellStyle name="20% - Accent4 13 2 2 2 2 2" xfId="11813"/>
    <cellStyle name="20% - Accent4 13 2 2 2 3" xfId="11814"/>
    <cellStyle name="20% - Accent4 13 2 2 3" xfId="11815"/>
    <cellStyle name="20% - Accent4 13 2 2 3 2" xfId="11816"/>
    <cellStyle name="20% - Accent4 13 2 2 4" xfId="11817"/>
    <cellStyle name="20% - Accent4 13 2 3" xfId="11818"/>
    <cellStyle name="20% - Accent4 13 2 3 2" xfId="11819"/>
    <cellStyle name="20% - Accent4 13 2 3 2 2" xfId="11820"/>
    <cellStyle name="20% - Accent4 13 2 3 3" xfId="11821"/>
    <cellStyle name="20% - Accent4 13 2 4" xfId="11822"/>
    <cellStyle name="20% - Accent4 13 2 4 2" xfId="11823"/>
    <cellStyle name="20% - Accent4 13 2 5" xfId="11824"/>
    <cellStyle name="20% - Accent4 13 3" xfId="11825"/>
    <cellStyle name="20% - Accent4 13 3 2" xfId="11826"/>
    <cellStyle name="20% - Accent4 13 3 2 2" xfId="11827"/>
    <cellStyle name="20% - Accent4 13 3 2 2 2" xfId="11828"/>
    <cellStyle name="20% - Accent4 13 3 2 2 2 2" xfId="11829"/>
    <cellStyle name="20% - Accent4 13 3 2 2 3" xfId="11830"/>
    <cellStyle name="20% - Accent4 13 3 2 3" xfId="11831"/>
    <cellStyle name="20% - Accent4 13 3 2 3 2" xfId="11832"/>
    <cellStyle name="20% - Accent4 13 3 2 4" xfId="11833"/>
    <cellStyle name="20% - Accent4 13 3 3" xfId="11834"/>
    <cellStyle name="20% - Accent4 13 3 3 2" xfId="11835"/>
    <cellStyle name="20% - Accent4 13 3 3 2 2" xfId="11836"/>
    <cellStyle name="20% - Accent4 13 3 3 3" xfId="11837"/>
    <cellStyle name="20% - Accent4 13 3 4" xfId="11838"/>
    <cellStyle name="20% - Accent4 13 3 4 2" xfId="11839"/>
    <cellStyle name="20% - Accent4 13 3 5" xfId="11840"/>
    <cellStyle name="20% - Accent4 13 4" xfId="11841"/>
    <cellStyle name="20% - Accent4 13 4 2" xfId="11842"/>
    <cellStyle name="20% - Accent4 13 4 2 2" xfId="11843"/>
    <cellStyle name="20% - Accent4 13 4 2 2 2" xfId="11844"/>
    <cellStyle name="20% - Accent4 13 4 2 2 2 2" xfId="11845"/>
    <cellStyle name="20% - Accent4 13 4 2 2 3" xfId="11846"/>
    <cellStyle name="20% - Accent4 13 4 2 3" xfId="11847"/>
    <cellStyle name="20% - Accent4 13 4 2 3 2" xfId="11848"/>
    <cellStyle name="20% - Accent4 13 4 2 4" xfId="11849"/>
    <cellStyle name="20% - Accent4 13 4 3" xfId="11850"/>
    <cellStyle name="20% - Accent4 13 4 3 2" xfId="11851"/>
    <cellStyle name="20% - Accent4 13 4 3 2 2" xfId="11852"/>
    <cellStyle name="20% - Accent4 13 4 3 3" xfId="11853"/>
    <cellStyle name="20% - Accent4 13 4 4" xfId="11854"/>
    <cellStyle name="20% - Accent4 13 4 4 2" xfId="11855"/>
    <cellStyle name="20% - Accent4 13 4 5" xfId="11856"/>
    <cellStyle name="20% - Accent4 13 5" xfId="11857"/>
    <cellStyle name="20% - Accent4 13 5 2" xfId="11858"/>
    <cellStyle name="20% - Accent4 13 5 2 2" xfId="11859"/>
    <cellStyle name="20% - Accent4 13 5 2 2 2" xfId="11860"/>
    <cellStyle name="20% - Accent4 13 5 2 2 2 2" xfId="11861"/>
    <cellStyle name="20% - Accent4 13 5 2 2 3" xfId="11862"/>
    <cellStyle name="20% - Accent4 13 5 2 3" xfId="11863"/>
    <cellStyle name="20% - Accent4 13 5 2 3 2" xfId="11864"/>
    <cellStyle name="20% - Accent4 13 5 2 4" xfId="11865"/>
    <cellStyle name="20% - Accent4 13 5 3" xfId="11866"/>
    <cellStyle name="20% - Accent4 13 5 3 2" xfId="11867"/>
    <cellStyle name="20% - Accent4 13 5 3 2 2" xfId="11868"/>
    <cellStyle name="20% - Accent4 13 5 3 3" xfId="11869"/>
    <cellStyle name="20% - Accent4 13 5 4" xfId="11870"/>
    <cellStyle name="20% - Accent4 13 5 4 2" xfId="11871"/>
    <cellStyle name="20% - Accent4 13 5 5" xfId="11872"/>
    <cellStyle name="20% - Accent4 13 6" xfId="11873"/>
    <cellStyle name="20% - Accent4 13 6 2" xfId="11874"/>
    <cellStyle name="20% - Accent4 13 6 2 2" xfId="11875"/>
    <cellStyle name="20% - Accent4 13 6 2 2 2" xfId="11876"/>
    <cellStyle name="20% - Accent4 13 6 2 2 2 2" xfId="11877"/>
    <cellStyle name="20% - Accent4 13 6 2 2 3" xfId="11878"/>
    <cellStyle name="20% - Accent4 13 6 2 3" xfId="11879"/>
    <cellStyle name="20% - Accent4 13 6 2 3 2" xfId="11880"/>
    <cellStyle name="20% - Accent4 13 6 2 4" xfId="11881"/>
    <cellStyle name="20% - Accent4 13 6 3" xfId="11882"/>
    <cellStyle name="20% - Accent4 13 6 3 2" xfId="11883"/>
    <cellStyle name="20% - Accent4 13 6 3 2 2" xfId="11884"/>
    <cellStyle name="20% - Accent4 13 6 3 3" xfId="11885"/>
    <cellStyle name="20% - Accent4 13 6 4" xfId="11886"/>
    <cellStyle name="20% - Accent4 13 6 4 2" xfId="11887"/>
    <cellStyle name="20% - Accent4 13 6 5" xfId="11888"/>
    <cellStyle name="20% - Accent4 13 7" xfId="11889"/>
    <cellStyle name="20% - Accent4 13 7 2" xfId="11890"/>
    <cellStyle name="20% - Accent4 13 7 2 2" xfId="11891"/>
    <cellStyle name="20% - Accent4 13 7 2 2 2" xfId="11892"/>
    <cellStyle name="20% - Accent4 13 7 2 3" xfId="11893"/>
    <cellStyle name="20% - Accent4 13 7 3" xfId="11894"/>
    <cellStyle name="20% - Accent4 13 7 3 2" xfId="11895"/>
    <cellStyle name="20% - Accent4 13 7 4" xfId="11896"/>
    <cellStyle name="20% - Accent4 13 8" xfId="11897"/>
    <cellStyle name="20% - Accent4 13 8 2" xfId="11898"/>
    <cellStyle name="20% - Accent4 13 8 2 2" xfId="11899"/>
    <cellStyle name="20% - Accent4 13 8 3" xfId="11900"/>
    <cellStyle name="20% - Accent4 13 9" xfId="11901"/>
    <cellStyle name="20% - Accent4 13 9 2" xfId="11902"/>
    <cellStyle name="20% - Accent4 14" xfId="11903"/>
    <cellStyle name="20% - Accent4 14 2" xfId="11904"/>
    <cellStyle name="20% - Accent4 14 2 2" xfId="11905"/>
    <cellStyle name="20% - Accent4 14 2 2 2" xfId="11906"/>
    <cellStyle name="20% - Accent4 14 2 2 2 2" xfId="11907"/>
    <cellStyle name="20% - Accent4 14 2 2 3" xfId="11908"/>
    <cellStyle name="20% - Accent4 14 2 3" xfId="11909"/>
    <cellStyle name="20% - Accent4 14 2 3 2" xfId="11910"/>
    <cellStyle name="20% - Accent4 14 2 4" xfId="11911"/>
    <cellStyle name="20% - Accent4 14 3" xfId="11912"/>
    <cellStyle name="20% - Accent4 14 3 2" xfId="11913"/>
    <cellStyle name="20% - Accent4 14 3 2 2" xfId="11914"/>
    <cellStyle name="20% - Accent4 14 3 3" xfId="11915"/>
    <cellStyle name="20% - Accent4 14 4" xfId="11916"/>
    <cellStyle name="20% - Accent4 14 4 2" xfId="11917"/>
    <cellStyle name="20% - Accent4 14 5" xfId="11918"/>
    <cellStyle name="20% - Accent4 15" xfId="11919"/>
    <cellStyle name="20% - Accent4 15 2" xfId="11920"/>
    <cellStyle name="20% - Accent4 15 2 2" xfId="11921"/>
    <cellStyle name="20% - Accent4 15 2 2 2" xfId="11922"/>
    <cellStyle name="20% - Accent4 15 2 2 2 2" xfId="11923"/>
    <cellStyle name="20% - Accent4 15 2 2 3" xfId="11924"/>
    <cellStyle name="20% - Accent4 15 2 3" xfId="11925"/>
    <cellStyle name="20% - Accent4 15 2 3 2" xfId="11926"/>
    <cellStyle name="20% - Accent4 15 2 4" xfId="11927"/>
    <cellStyle name="20% - Accent4 15 3" xfId="11928"/>
    <cellStyle name="20% - Accent4 15 3 2" xfId="11929"/>
    <cellStyle name="20% - Accent4 15 3 2 2" xfId="11930"/>
    <cellStyle name="20% - Accent4 15 3 3" xfId="11931"/>
    <cellStyle name="20% - Accent4 15 4" xfId="11932"/>
    <cellStyle name="20% - Accent4 15 4 2" xfId="11933"/>
    <cellStyle name="20% - Accent4 15 5" xfId="11934"/>
    <cellStyle name="20% - Accent4 16" xfId="11935"/>
    <cellStyle name="20% - Accent4 16 2" xfId="11936"/>
    <cellStyle name="20% - Accent4 16 2 2" xfId="11937"/>
    <cellStyle name="20% - Accent4 16 2 2 2" xfId="11938"/>
    <cellStyle name="20% - Accent4 16 2 2 2 2" xfId="11939"/>
    <cellStyle name="20% - Accent4 16 2 2 3" xfId="11940"/>
    <cellStyle name="20% - Accent4 16 2 3" xfId="11941"/>
    <cellStyle name="20% - Accent4 16 2 3 2" xfId="11942"/>
    <cellStyle name="20% - Accent4 16 2 4" xfId="11943"/>
    <cellStyle name="20% - Accent4 16 3" xfId="11944"/>
    <cellStyle name="20% - Accent4 16 3 2" xfId="11945"/>
    <cellStyle name="20% - Accent4 16 3 2 2" xfId="11946"/>
    <cellStyle name="20% - Accent4 16 3 3" xfId="11947"/>
    <cellStyle name="20% - Accent4 16 4" xfId="11948"/>
    <cellStyle name="20% - Accent4 16 4 2" xfId="11949"/>
    <cellStyle name="20% - Accent4 16 5" xfId="11950"/>
    <cellStyle name="20% - Accent4 17" xfId="11951"/>
    <cellStyle name="20% - Accent4 17 2" xfId="11952"/>
    <cellStyle name="20% - Accent4 17 2 2" xfId="11953"/>
    <cellStyle name="20% - Accent4 17 2 2 2" xfId="11954"/>
    <cellStyle name="20% - Accent4 17 2 2 2 2" xfId="11955"/>
    <cellStyle name="20% - Accent4 17 2 2 3" xfId="11956"/>
    <cellStyle name="20% - Accent4 17 2 3" xfId="11957"/>
    <cellStyle name="20% - Accent4 17 2 3 2" xfId="11958"/>
    <cellStyle name="20% - Accent4 17 2 4" xfId="11959"/>
    <cellStyle name="20% - Accent4 17 3" xfId="11960"/>
    <cellStyle name="20% - Accent4 17 3 2" xfId="11961"/>
    <cellStyle name="20% - Accent4 17 3 2 2" xfId="11962"/>
    <cellStyle name="20% - Accent4 17 3 3" xfId="11963"/>
    <cellStyle name="20% - Accent4 17 4" xfId="11964"/>
    <cellStyle name="20% - Accent4 17 4 2" xfId="11965"/>
    <cellStyle name="20% - Accent4 17 5" xfId="11966"/>
    <cellStyle name="20% - Accent4 18" xfId="11967"/>
    <cellStyle name="20% - Accent4 18 2" xfId="11968"/>
    <cellStyle name="20% - Accent4 18 2 2" xfId="11969"/>
    <cellStyle name="20% - Accent4 18 2 2 2" xfId="11970"/>
    <cellStyle name="20% - Accent4 18 2 2 2 2" xfId="11971"/>
    <cellStyle name="20% - Accent4 18 2 2 3" xfId="11972"/>
    <cellStyle name="20% - Accent4 18 2 3" xfId="11973"/>
    <cellStyle name="20% - Accent4 18 2 3 2" xfId="11974"/>
    <cellStyle name="20% - Accent4 18 2 4" xfId="11975"/>
    <cellStyle name="20% - Accent4 18 3" xfId="11976"/>
    <cellStyle name="20% - Accent4 18 3 2" xfId="11977"/>
    <cellStyle name="20% - Accent4 18 3 2 2" xfId="11978"/>
    <cellStyle name="20% - Accent4 18 3 3" xfId="11979"/>
    <cellStyle name="20% - Accent4 18 4" xfId="11980"/>
    <cellStyle name="20% - Accent4 18 4 2" xfId="11981"/>
    <cellStyle name="20% - Accent4 18 5" xfId="11982"/>
    <cellStyle name="20% - Accent4 19" xfId="11983"/>
    <cellStyle name="20% - Accent4 19 2" xfId="11984"/>
    <cellStyle name="20% - Accent4 19 2 2" xfId="11985"/>
    <cellStyle name="20% - Accent4 19 2 2 2" xfId="11986"/>
    <cellStyle name="20% - Accent4 19 2 2 2 2" xfId="11987"/>
    <cellStyle name="20% - Accent4 19 2 2 3" xfId="11988"/>
    <cellStyle name="20% - Accent4 19 2 3" xfId="11989"/>
    <cellStyle name="20% - Accent4 19 2 3 2" xfId="11990"/>
    <cellStyle name="20% - Accent4 19 2 4" xfId="11991"/>
    <cellStyle name="20% - Accent4 19 3" xfId="11992"/>
    <cellStyle name="20% - Accent4 19 3 2" xfId="11993"/>
    <cellStyle name="20% - Accent4 19 3 2 2" xfId="11994"/>
    <cellStyle name="20% - Accent4 19 3 3" xfId="11995"/>
    <cellStyle name="20% - Accent4 19 4" xfId="11996"/>
    <cellStyle name="20% - Accent4 19 4 2" xfId="11997"/>
    <cellStyle name="20% - Accent4 19 5" xfId="11998"/>
    <cellStyle name="20% - Accent4 2" xfId="11999"/>
    <cellStyle name="20% - Accent4 2 10" xfId="12000"/>
    <cellStyle name="20% - Accent4 2 10 10" xfId="12001"/>
    <cellStyle name="20% - Accent4 2 10 2" xfId="12002"/>
    <cellStyle name="20% - Accent4 2 10 2 2" xfId="12003"/>
    <cellStyle name="20% - Accent4 2 10 2 2 2" xfId="12004"/>
    <cellStyle name="20% - Accent4 2 10 2 2 2 2" xfId="12005"/>
    <cellStyle name="20% - Accent4 2 10 2 2 2 2 2" xfId="12006"/>
    <cellStyle name="20% - Accent4 2 10 2 2 2 3" xfId="12007"/>
    <cellStyle name="20% - Accent4 2 10 2 2 3" xfId="12008"/>
    <cellStyle name="20% - Accent4 2 10 2 2 3 2" xfId="12009"/>
    <cellStyle name="20% - Accent4 2 10 2 2 4" xfId="12010"/>
    <cellStyle name="20% - Accent4 2 10 2 3" xfId="12011"/>
    <cellStyle name="20% - Accent4 2 10 2 3 2" xfId="12012"/>
    <cellStyle name="20% - Accent4 2 10 2 3 2 2" xfId="12013"/>
    <cellStyle name="20% - Accent4 2 10 2 3 3" xfId="12014"/>
    <cellStyle name="20% - Accent4 2 10 2 4" xfId="12015"/>
    <cellStyle name="20% - Accent4 2 10 2 4 2" xfId="12016"/>
    <cellStyle name="20% - Accent4 2 10 2 5" xfId="12017"/>
    <cellStyle name="20% - Accent4 2 10 3" xfId="12018"/>
    <cellStyle name="20% - Accent4 2 10 3 2" xfId="12019"/>
    <cellStyle name="20% - Accent4 2 10 3 2 2" xfId="12020"/>
    <cellStyle name="20% - Accent4 2 10 3 2 2 2" xfId="12021"/>
    <cellStyle name="20% - Accent4 2 10 3 2 2 2 2" xfId="12022"/>
    <cellStyle name="20% - Accent4 2 10 3 2 2 3" xfId="12023"/>
    <cellStyle name="20% - Accent4 2 10 3 2 3" xfId="12024"/>
    <cellStyle name="20% - Accent4 2 10 3 2 3 2" xfId="12025"/>
    <cellStyle name="20% - Accent4 2 10 3 2 4" xfId="12026"/>
    <cellStyle name="20% - Accent4 2 10 3 3" xfId="12027"/>
    <cellStyle name="20% - Accent4 2 10 3 3 2" xfId="12028"/>
    <cellStyle name="20% - Accent4 2 10 3 3 2 2" xfId="12029"/>
    <cellStyle name="20% - Accent4 2 10 3 3 3" xfId="12030"/>
    <cellStyle name="20% - Accent4 2 10 3 4" xfId="12031"/>
    <cellStyle name="20% - Accent4 2 10 3 4 2" xfId="12032"/>
    <cellStyle name="20% - Accent4 2 10 3 5" xfId="12033"/>
    <cellStyle name="20% - Accent4 2 10 4" xfId="12034"/>
    <cellStyle name="20% - Accent4 2 10 4 2" xfId="12035"/>
    <cellStyle name="20% - Accent4 2 10 4 2 2" xfId="12036"/>
    <cellStyle name="20% - Accent4 2 10 4 2 2 2" xfId="12037"/>
    <cellStyle name="20% - Accent4 2 10 4 2 2 2 2" xfId="12038"/>
    <cellStyle name="20% - Accent4 2 10 4 2 2 3" xfId="12039"/>
    <cellStyle name="20% - Accent4 2 10 4 2 3" xfId="12040"/>
    <cellStyle name="20% - Accent4 2 10 4 2 3 2" xfId="12041"/>
    <cellStyle name="20% - Accent4 2 10 4 2 4" xfId="12042"/>
    <cellStyle name="20% - Accent4 2 10 4 3" xfId="12043"/>
    <cellStyle name="20% - Accent4 2 10 4 3 2" xfId="12044"/>
    <cellStyle name="20% - Accent4 2 10 4 3 2 2" xfId="12045"/>
    <cellStyle name="20% - Accent4 2 10 4 3 3" xfId="12046"/>
    <cellStyle name="20% - Accent4 2 10 4 4" xfId="12047"/>
    <cellStyle name="20% - Accent4 2 10 4 4 2" xfId="12048"/>
    <cellStyle name="20% - Accent4 2 10 4 5" xfId="12049"/>
    <cellStyle name="20% - Accent4 2 10 5" xfId="12050"/>
    <cellStyle name="20% - Accent4 2 10 5 2" xfId="12051"/>
    <cellStyle name="20% - Accent4 2 10 5 2 2" xfId="12052"/>
    <cellStyle name="20% - Accent4 2 10 5 2 2 2" xfId="12053"/>
    <cellStyle name="20% - Accent4 2 10 5 2 2 2 2" xfId="12054"/>
    <cellStyle name="20% - Accent4 2 10 5 2 2 3" xfId="12055"/>
    <cellStyle name="20% - Accent4 2 10 5 2 3" xfId="12056"/>
    <cellStyle name="20% - Accent4 2 10 5 2 3 2" xfId="12057"/>
    <cellStyle name="20% - Accent4 2 10 5 2 4" xfId="12058"/>
    <cellStyle name="20% - Accent4 2 10 5 3" xfId="12059"/>
    <cellStyle name="20% - Accent4 2 10 5 3 2" xfId="12060"/>
    <cellStyle name="20% - Accent4 2 10 5 3 2 2" xfId="12061"/>
    <cellStyle name="20% - Accent4 2 10 5 3 3" xfId="12062"/>
    <cellStyle name="20% - Accent4 2 10 5 4" xfId="12063"/>
    <cellStyle name="20% - Accent4 2 10 5 4 2" xfId="12064"/>
    <cellStyle name="20% - Accent4 2 10 5 5" xfId="12065"/>
    <cellStyle name="20% - Accent4 2 10 6" xfId="12066"/>
    <cellStyle name="20% - Accent4 2 10 6 2" xfId="12067"/>
    <cellStyle name="20% - Accent4 2 10 6 2 2" xfId="12068"/>
    <cellStyle name="20% - Accent4 2 10 6 2 2 2" xfId="12069"/>
    <cellStyle name="20% - Accent4 2 10 6 2 2 2 2" xfId="12070"/>
    <cellStyle name="20% - Accent4 2 10 6 2 2 3" xfId="12071"/>
    <cellStyle name="20% - Accent4 2 10 6 2 3" xfId="12072"/>
    <cellStyle name="20% - Accent4 2 10 6 2 3 2" xfId="12073"/>
    <cellStyle name="20% - Accent4 2 10 6 2 4" xfId="12074"/>
    <cellStyle name="20% - Accent4 2 10 6 3" xfId="12075"/>
    <cellStyle name="20% - Accent4 2 10 6 3 2" xfId="12076"/>
    <cellStyle name="20% - Accent4 2 10 6 3 2 2" xfId="12077"/>
    <cellStyle name="20% - Accent4 2 10 6 3 3" xfId="12078"/>
    <cellStyle name="20% - Accent4 2 10 6 4" xfId="12079"/>
    <cellStyle name="20% - Accent4 2 10 6 4 2" xfId="12080"/>
    <cellStyle name="20% - Accent4 2 10 6 5" xfId="12081"/>
    <cellStyle name="20% - Accent4 2 10 7" xfId="12082"/>
    <cellStyle name="20% - Accent4 2 10 7 2" xfId="12083"/>
    <cellStyle name="20% - Accent4 2 10 7 2 2" xfId="12084"/>
    <cellStyle name="20% - Accent4 2 10 7 2 2 2" xfId="12085"/>
    <cellStyle name="20% - Accent4 2 10 7 2 3" xfId="12086"/>
    <cellStyle name="20% - Accent4 2 10 7 3" xfId="12087"/>
    <cellStyle name="20% - Accent4 2 10 7 3 2" xfId="12088"/>
    <cellStyle name="20% - Accent4 2 10 7 4" xfId="12089"/>
    <cellStyle name="20% - Accent4 2 10 8" xfId="12090"/>
    <cellStyle name="20% - Accent4 2 10 8 2" xfId="12091"/>
    <cellStyle name="20% - Accent4 2 10 8 2 2" xfId="12092"/>
    <cellStyle name="20% - Accent4 2 10 8 3" xfId="12093"/>
    <cellStyle name="20% - Accent4 2 10 9" xfId="12094"/>
    <cellStyle name="20% - Accent4 2 10 9 2" xfId="12095"/>
    <cellStyle name="20% - Accent4 2 11" xfId="12096"/>
    <cellStyle name="20% - Accent4 2 11 2" xfId="12097"/>
    <cellStyle name="20% - Accent4 2 11 2 2" xfId="12098"/>
    <cellStyle name="20% - Accent4 2 11 2 2 2" xfId="12099"/>
    <cellStyle name="20% - Accent4 2 11 2 2 2 2" xfId="12100"/>
    <cellStyle name="20% - Accent4 2 11 2 2 3" xfId="12101"/>
    <cellStyle name="20% - Accent4 2 11 2 3" xfId="12102"/>
    <cellStyle name="20% - Accent4 2 11 2 3 2" xfId="12103"/>
    <cellStyle name="20% - Accent4 2 11 2 4" xfId="12104"/>
    <cellStyle name="20% - Accent4 2 11 3" xfId="12105"/>
    <cellStyle name="20% - Accent4 2 11 3 2" xfId="12106"/>
    <cellStyle name="20% - Accent4 2 11 3 2 2" xfId="12107"/>
    <cellStyle name="20% - Accent4 2 11 3 3" xfId="12108"/>
    <cellStyle name="20% - Accent4 2 11 4" xfId="12109"/>
    <cellStyle name="20% - Accent4 2 11 4 2" xfId="12110"/>
    <cellStyle name="20% - Accent4 2 11 5" xfId="12111"/>
    <cellStyle name="20% - Accent4 2 12" xfId="12112"/>
    <cellStyle name="20% - Accent4 2 12 2" xfId="12113"/>
    <cellStyle name="20% - Accent4 2 12 2 2" xfId="12114"/>
    <cellStyle name="20% - Accent4 2 12 2 2 2" xfId="12115"/>
    <cellStyle name="20% - Accent4 2 12 2 2 2 2" xfId="12116"/>
    <cellStyle name="20% - Accent4 2 12 2 2 3" xfId="12117"/>
    <cellStyle name="20% - Accent4 2 12 2 3" xfId="12118"/>
    <cellStyle name="20% - Accent4 2 12 2 3 2" xfId="12119"/>
    <cellStyle name="20% - Accent4 2 12 2 4" xfId="12120"/>
    <cellStyle name="20% - Accent4 2 12 3" xfId="12121"/>
    <cellStyle name="20% - Accent4 2 12 3 2" xfId="12122"/>
    <cellStyle name="20% - Accent4 2 12 3 2 2" xfId="12123"/>
    <cellStyle name="20% - Accent4 2 12 3 3" xfId="12124"/>
    <cellStyle name="20% - Accent4 2 12 4" xfId="12125"/>
    <cellStyle name="20% - Accent4 2 12 4 2" xfId="12126"/>
    <cellStyle name="20% - Accent4 2 12 5" xfId="12127"/>
    <cellStyle name="20% - Accent4 2 13" xfId="12128"/>
    <cellStyle name="20% - Accent4 2 13 2" xfId="12129"/>
    <cellStyle name="20% - Accent4 2 13 2 2" xfId="12130"/>
    <cellStyle name="20% - Accent4 2 13 2 2 2" xfId="12131"/>
    <cellStyle name="20% - Accent4 2 13 2 2 2 2" xfId="12132"/>
    <cellStyle name="20% - Accent4 2 13 2 2 3" xfId="12133"/>
    <cellStyle name="20% - Accent4 2 13 2 3" xfId="12134"/>
    <cellStyle name="20% - Accent4 2 13 2 3 2" xfId="12135"/>
    <cellStyle name="20% - Accent4 2 13 2 4" xfId="12136"/>
    <cellStyle name="20% - Accent4 2 13 3" xfId="12137"/>
    <cellStyle name="20% - Accent4 2 13 3 2" xfId="12138"/>
    <cellStyle name="20% - Accent4 2 13 3 2 2" xfId="12139"/>
    <cellStyle name="20% - Accent4 2 13 3 3" xfId="12140"/>
    <cellStyle name="20% - Accent4 2 13 4" xfId="12141"/>
    <cellStyle name="20% - Accent4 2 13 4 2" xfId="12142"/>
    <cellStyle name="20% - Accent4 2 13 5" xfId="12143"/>
    <cellStyle name="20% - Accent4 2 14" xfId="12144"/>
    <cellStyle name="20% - Accent4 2 14 2" xfId="12145"/>
    <cellStyle name="20% - Accent4 2 14 2 2" xfId="12146"/>
    <cellStyle name="20% - Accent4 2 14 2 2 2" xfId="12147"/>
    <cellStyle name="20% - Accent4 2 14 2 2 2 2" xfId="12148"/>
    <cellStyle name="20% - Accent4 2 14 2 2 3" xfId="12149"/>
    <cellStyle name="20% - Accent4 2 14 2 3" xfId="12150"/>
    <cellStyle name="20% - Accent4 2 14 2 3 2" xfId="12151"/>
    <cellStyle name="20% - Accent4 2 14 2 4" xfId="12152"/>
    <cellStyle name="20% - Accent4 2 14 3" xfId="12153"/>
    <cellStyle name="20% - Accent4 2 14 3 2" xfId="12154"/>
    <cellStyle name="20% - Accent4 2 14 3 2 2" xfId="12155"/>
    <cellStyle name="20% - Accent4 2 14 3 3" xfId="12156"/>
    <cellStyle name="20% - Accent4 2 14 4" xfId="12157"/>
    <cellStyle name="20% - Accent4 2 14 4 2" xfId="12158"/>
    <cellStyle name="20% - Accent4 2 14 5" xfId="12159"/>
    <cellStyle name="20% - Accent4 2 15" xfId="12160"/>
    <cellStyle name="20% - Accent4 2 15 2" xfId="12161"/>
    <cellStyle name="20% - Accent4 2 15 2 2" xfId="12162"/>
    <cellStyle name="20% - Accent4 2 15 2 2 2" xfId="12163"/>
    <cellStyle name="20% - Accent4 2 15 2 2 2 2" xfId="12164"/>
    <cellStyle name="20% - Accent4 2 15 2 2 3" xfId="12165"/>
    <cellStyle name="20% - Accent4 2 15 2 3" xfId="12166"/>
    <cellStyle name="20% - Accent4 2 15 2 3 2" xfId="12167"/>
    <cellStyle name="20% - Accent4 2 15 2 4" xfId="12168"/>
    <cellStyle name="20% - Accent4 2 15 3" xfId="12169"/>
    <cellStyle name="20% - Accent4 2 15 3 2" xfId="12170"/>
    <cellStyle name="20% - Accent4 2 15 3 2 2" xfId="12171"/>
    <cellStyle name="20% - Accent4 2 15 3 3" xfId="12172"/>
    <cellStyle name="20% - Accent4 2 15 4" xfId="12173"/>
    <cellStyle name="20% - Accent4 2 15 4 2" xfId="12174"/>
    <cellStyle name="20% - Accent4 2 15 5" xfId="12175"/>
    <cellStyle name="20% - Accent4 2 16" xfId="12176"/>
    <cellStyle name="20% - Accent4 2 16 2" xfId="12177"/>
    <cellStyle name="20% - Accent4 2 16 2 2" xfId="12178"/>
    <cellStyle name="20% - Accent4 2 16 2 2 2" xfId="12179"/>
    <cellStyle name="20% - Accent4 2 16 2 3" xfId="12180"/>
    <cellStyle name="20% - Accent4 2 16 3" xfId="12181"/>
    <cellStyle name="20% - Accent4 2 16 3 2" xfId="12182"/>
    <cellStyle name="20% - Accent4 2 16 4" xfId="12183"/>
    <cellStyle name="20% - Accent4 2 17" xfId="12184"/>
    <cellStyle name="20% - Accent4 2 17 2" xfId="12185"/>
    <cellStyle name="20% - Accent4 2 17 2 2" xfId="12186"/>
    <cellStyle name="20% - Accent4 2 17 3" xfId="12187"/>
    <cellStyle name="20% - Accent4 2 18" xfId="12188"/>
    <cellStyle name="20% - Accent4 2 18 2" xfId="12189"/>
    <cellStyle name="20% - Accent4 2 19" xfId="12190"/>
    <cellStyle name="20% - Accent4 2 2" xfId="12191"/>
    <cellStyle name="20% - Accent4 2 2 10" xfId="12192"/>
    <cellStyle name="20% - Accent4 2 2 10 2" xfId="12193"/>
    <cellStyle name="20% - Accent4 2 2 11" xfId="12194"/>
    <cellStyle name="20% - Accent4 2 2 2" xfId="12195"/>
    <cellStyle name="20% - Accent4 2 2 2 10" xfId="12196"/>
    <cellStyle name="20% - Accent4 2 2 2 2" xfId="12197"/>
    <cellStyle name="20% - Accent4 2 2 2 2 2" xfId="12198"/>
    <cellStyle name="20% - Accent4 2 2 2 2 2 2" xfId="12199"/>
    <cellStyle name="20% - Accent4 2 2 2 2 2 2 2" xfId="12200"/>
    <cellStyle name="20% - Accent4 2 2 2 2 2 2 2 2" xfId="12201"/>
    <cellStyle name="20% - Accent4 2 2 2 2 2 2 3" xfId="12202"/>
    <cellStyle name="20% - Accent4 2 2 2 2 2 3" xfId="12203"/>
    <cellStyle name="20% - Accent4 2 2 2 2 2 3 2" xfId="12204"/>
    <cellStyle name="20% - Accent4 2 2 2 2 2 4" xfId="12205"/>
    <cellStyle name="20% - Accent4 2 2 2 2 3" xfId="12206"/>
    <cellStyle name="20% - Accent4 2 2 2 2 3 2" xfId="12207"/>
    <cellStyle name="20% - Accent4 2 2 2 2 3 2 2" xfId="12208"/>
    <cellStyle name="20% - Accent4 2 2 2 2 3 3" xfId="12209"/>
    <cellStyle name="20% - Accent4 2 2 2 2 4" xfId="12210"/>
    <cellStyle name="20% - Accent4 2 2 2 2 4 2" xfId="12211"/>
    <cellStyle name="20% - Accent4 2 2 2 2 5" xfId="12212"/>
    <cellStyle name="20% - Accent4 2 2 2 3" xfId="12213"/>
    <cellStyle name="20% - Accent4 2 2 2 3 2" xfId="12214"/>
    <cellStyle name="20% - Accent4 2 2 2 3 2 2" xfId="12215"/>
    <cellStyle name="20% - Accent4 2 2 2 3 2 2 2" xfId="12216"/>
    <cellStyle name="20% - Accent4 2 2 2 3 2 2 2 2" xfId="12217"/>
    <cellStyle name="20% - Accent4 2 2 2 3 2 2 3" xfId="12218"/>
    <cellStyle name="20% - Accent4 2 2 2 3 2 3" xfId="12219"/>
    <cellStyle name="20% - Accent4 2 2 2 3 2 3 2" xfId="12220"/>
    <cellStyle name="20% - Accent4 2 2 2 3 2 4" xfId="12221"/>
    <cellStyle name="20% - Accent4 2 2 2 3 3" xfId="12222"/>
    <cellStyle name="20% - Accent4 2 2 2 3 3 2" xfId="12223"/>
    <cellStyle name="20% - Accent4 2 2 2 3 3 2 2" xfId="12224"/>
    <cellStyle name="20% - Accent4 2 2 2 3 3 3" xfId="12225"/>
    <cellStyle name="20% - Accent4 2 2 2 3 4" xfId="12226"/>
    <cellStyle name="20% - Accent4 2 2 2 3 4 2" xfId="12227"/>
    <cellStyle name="20% - Accent4 2 2 2 3 5" xfId="12228"/>
    <cellStyle name="20% - Accent4 2 2 2 4" xfId="12229"/>
    <cellStyle name="20% - Accent4 2 2 2 4 2" xfId="12230"/>
    <cellStyle name="20% - Accent4 2 2 2 4 2 2" xfId="12231"/>
    <cellStyle name="20% - Accent4 2 2 2 4 2 2 2" xfId="12232"/>
    <cellStyle name="20% - Accent4 2 2 2 4 2 2 2 2" xfId="12233"/>
    <cellStyle name="20% - Accent4 2 2 2 4 2 2 3" xfId="12234"/>
    <cellStyle name="20% - Accent4 2 2 2 4 2 3" xfId="12235"/>
    <cellStyle name="20% - Accent4 2 2 2 4 2 3 2" xfId="12236"/>
    <cellStyle name="20% - Accent4 2 2 2 4 2 4" xfId="12237"/>
    <cellStyle name="20% - Accent4 2 2 2 4 3" xfId="12238"/>
    <cellStyle name="20% - Accent4 2 2 2 4 3 2" xfId="12239"/>
    <cellStyle name="20% - Accent4 2 2 2 4 3 2 2" xfId="12240"/>
    <cellStyle name="20% - Accent4 2 2 2 4 3 3" xfId="12241"/>
    <cellStyle name="20% - Accent4 2 2 2 4 4" xfId="12242"/>
    <cellStyle name="20% - Accent4 2 2 2 4 4 2" xfId="12243"/>
    <cellStyle name="20% - Accent4 2 2 2 4 5" xfId="12244"/>
    <cellStyle name="20% - Accent4 2 2 2 5" xfId="12245"/>
    <cellStyle name="20% - Accent4 2 2 2 5 2" xfId="12246"/>
    <cellStyle name="20% - Accent4 2 2 2 5 2 2" xfId="12247"/>
    <cellStyle name="20% - Accent4 2 2 2 5 2 2 2" xfId="12248"/>
    <cellStyle name="20% - Accent4 2 2 2 5 2 2 2 2" xfId="12249"/>
    <cellStyle name="20% - Accent4 2 2 2 5 2 2 3" xfId="12250"/>
    <cellStyle name="20% - Accent4 2 2 2 5 2 3" xfId="12251"/>
    <cellStyle name="20% - Accent4 2 2 2 5 2 3 2" xfId="12252"/>
    <cellStyle name="20% - Accent4 2 2 2 5 2 4" xfId="12253"/>
    <cellStyle name="20% - Accent4 2 2 2 5 3" xfId="12254"/>
    <cellStyle name="20% - Accent4 2 2 2 5 3 2" xfId="12255"/>
    <cellStyle name="20% - Accent4 2 2 2 5 3 2 2" xfId="12256"/>
    <cellStyle name="20% - Accent4 2 2 2 5 3 3" xfId="12257"/>
    <cellStyle name="20% - Accent4 2 2 2 5 4" xfId="12258"/>
    <cellStyle name="20% - Accent4 2 2 2 5 4 2" xfId="12259"/>
    <cellStyle name="20% - Accent4 2 2 2 5 5" xfId="12260"/>
    <cellStyle name="20% - Accent4 2 2 2 6" xfId="12261"/>
    <cellStyle name="20% - Accent4 2 2 2 6 2" xfId="12262"/>
    <cellStyle name="20% - Accent4 2 2 2 6 2 2" xfId="12263"/>
    <cellStyle name="20% - Accent4 2 2 2 6 2 2 2" xfId="12264"/>
    <cellStyle name="20% - Accent4 2 2 2 6 2 2 2 2" xfId="12265"/>
    <cellStyle name="20% - Accent4 2 2 2 6 2 2 3" xfId="12266"/>
    <cellStyle name="20% - Accent4 2 2 2 6 2 3" xfId="12267"/>
    <cellStyle name="20% - Accent4 2 2 2 6 2 3 2" xfId="12268"/>
    <cellStyle name="20% - Accent4 2 2 2 6 2 4" xfId="12269"/>
    <cellStyle name="20% - Accent4 2 2 2 6 3" xfId="12270"/>
    <cellStyle name="20% - Accent4 2 2 2 6 3 2" xfId="12271"/>
    <cellStyle name="20% - Accent4 2 2 2 6 3 2 2" xfId="12272"/>
    <cellStyle name="20% - Accent4 2 2 2 6 3 3" xfId="12273"/>
    <cellStyle name="20% - Accent4 2 2 2 6 4" xfId="12274"/>
    <cellStyle name="20% - Accent4 2 2 2 6 4 2" xfId="12275"/>
    <cellStyle name="20% - Accent4 2 2 2 6 5" xfId="12276"/>
    <cellStyle name="20% - Accent4 2 2 2 7" xfId="12277"/>
    <cellStyle name="20% - Accent4 2 2 2 7 2" xfId="12278"/>
    <cellStyle name="20% - Accent4 2 2 2 7 2 2" xfId="12279"/>
    <cellStyle name="20% - Accent4 2 2 2 7 2 2 2" xfId="12280"/>
    <cellStyle name="20% - Accent4 2 2 2 7 2 3" xfId="12281"/>
    <cellStyle name="20% - Accent4 2 2 2 7 3" xfId="12282"/>
    <cellStyle name="20% - Accent4 2 2 2 7 3 2" xfId="12283"/>
    <cellStyle name="20% - Accent4 2 2 2 7 4" xfId="12284"/>
    <cellStyle name="20% - Accent4 2 2 2 8" xfId="12285"/>
    <cellStyle name="20% - Accent4 2 2 2 8 2" xfId="12286"/>
    <cellStyle name="20% - Accent4 2 2 2 8 2 2" xfId="12287"/>
    <cellStyle name="20% - Accent4 2 2 2 8 3" xfId="12288"/>
    <cellStyle name="20% - Accent4 2 2 2 9" xfId="12289"/>
    <cellStyle name="20% - Accent4 2 2 2 9 2" xfId="12290"/>
    <cellStyle name="20% - Accent4 2 2 3" xfId="12291"/>
    <cellStyle name="20% - Accent4 2 2 3 2" xfId="12292"/>
    <cellStyle name="20% - Accent4 2 2 3 2 2" xfId="12293"/>
    <cellStyle name="20% - Accent4 2 2 3 2 2 2" xfId="12294"/>
    <cellStyle name="20% - Accent4 2 2 3 2 2 2 2" xfId="12295"/>
    <cellStyle name="20% - Accent4 2 2 3 2 2 3" xfId="12296"/>
    <cellStyle name="20% - Accent4 2 2 3 2 3" xfId="12297"/>
    <cellStyle name="20% - Accent4 2 2 3 2 3 2" xfId="12298"/>
    <cellStyle name="20% - Accent4 2 2 3 2 4" xfId="12299"/>
    <cellStyle name="20% - Accent4 2 2 3 3" xfId="12300"/>
    <cellStyle name="20% - Accent4 2 2 3 3 2" xfId="12301"/>
    <cellStyle name="20% - Accent4 2 2 3 3 2 2" xfId="12302"/>
    <cellStyle name="20% - Accent4 2 2 3 3 3" xfId="12303"/>
    <cellStyle name="20% - Accent4 2 2 3 4" xfId="12304"/>
    <cellStyle name="20% - Accent4 2 2 3 4 2" xfId="12305"/>
    <cellStyle name="20% - Accent4 2 2 3 5" xfId="12306"/>
    <cellStyle name="20% - Accent4 2 2 4" xfId="12307"/>
    <cellStyle name="20% - Accent4 2 2 4 2" xfId="12308"/>
    <cellStyle name="20% - Accent4 2 2 4 2 2" xfId="12309"/>
    <cellStyle name="20% - Accent4 2 2 4 2 2 2" xfId="12310"/>
    <cellStyle name="20% - Accent4 2 2 4 2 2 2 2" xfId="12311"/>
    <cellStyle name="20% - Accent4 2 2 4 2 2 3" xfId="12312"/>
    <cellStyle name="20% - Accent4 2 2 4 2 3" xfId="12313"/>
    <cellStyle name="20% - Accent4 2 2 4 2 3 2" xfId="12314"/>
    <cellStyle name="20% - Accent4 2 2 4 2 4" xfId="12315"/>
    <cellStyle name="20% - Accent4 2 2 4 3" xfId="12316"/>
    <cellStyle name="20% - Accent4 2 2 4 3 2" xfId="12317"/>
    <cellStyle name="20% - Accent4 2 2 4 3 2 2" xfId="12318"/>
    <cellStyle name="20% - Accent4 2 2 4 3 3" xfId="12319"/>
    <cellStyle name="20% - Accent4 2 2 4 4" xfId="12320"/>
    <cellStyle name="20% - Accent4 2 2 4 4 2" xfId="12321"/>
    <cellStyle name="20% - Accent4 2 2 4 5" xfId="12322"/>
    <cellStyle name="20% - Accent4 2 2 5" xfId="12323"/>
    <cellStyle name="20% - Accent4 2 2 5 2" xfId="12324"/>
    <cellStyle name="20% - Accent4 2 2 5 2 2" xfId="12325"/>
    <cellStyle name="20% - Accent4 2 2 5 2 2 2" xfId="12326"/>
    <cellStyle name="20% - Accent4 2 2 5 2 2 2 2" xfId="12327"/>
    <cellStyle name="20% - Accent4 2 2 5 2 2 3" xfId="12328"/>
    <cellStyle name="20% - Accent4 2 2 5 2 3" xfId="12329"/>
    <cellStyle name="20% - Accent4 2 2 5 2 3 2" xfId="12330"/>
    <cellStyle name="20% - Accent4 2 2 5 2 4" xfId="12331"/>
    <cellStyle name="20% - Accent4 2 2 5 3" xfId="12332"/>
    <cellStyle name="20% - Accent4 2 2 5 3 2" xfId="12333"/>
    <cellStyle name="20% - Accent4 2 2 5 3 2 2" xfId="12334"/>
    <cellStyle name="20% - Accent4 2 2 5 3 3" xfId="12335"/>
    <cellStyle name="20% - Accent4 2 2 5 4" xfId="12336"/>
    <cellStyle name="20% - Accent4 2 2 5 4 2" xfId="12337"/>
    <cellStyle name="20% - Accent4 2 2 5 5" xfId="12338"/>
    <cellStyle name="20% - Accent4 2 2 6" xfId="12339"/>
    <cellStyle name="20% - Accent4 2 2 6 2" xfId="12340"/>
    <cellStyle name="20% - Accent4 2 2 6 2 2" xfId="12341"/>
    <cellStyle name="20% - Accent4 2 2 6 2 2 2" xfId="12342"/>
    <cellStyle name="20% - Accent4 2 2 6 2 2 2 2" xfId="12343"/>
    <cellStyle name="20% - Accent4 2 2 6 2 2 3" xfId="12344"/>
    <cellStyle name="20% - Accent4 2 2 6 2 3" xfId="12345"/>
    <cellStyle name="20% - Accent4 2 2 6 2 3 2" xfId="12346"/>
    <cellStyle name="20% - Accent4 2 2 6 2 4" xfId="12347"/>
    <cellStyle name="20% - Accent4 2 2 6 3" xfId="12348"/>
    <cellStyle name="20% - Accent4 2 2 6 3 2" xfId="12349"/>
    <cellStyle name="20% - Accent4 2 2 6 3 2 2" xfId="12350"/>
    <cellStyle name="20% - Accent4 2 2 6 3 3" xfId="12351"/>
    <cellStyle name="20% - Accent4 2 2 6 4" xfId="12352"/>
    <cellStyle name="20% - Accent4 2 2 6 4 2" xfId="12353"/>
    <cellStyle name="20% - Accent4 2 2 6 5" xfId="12354"/>
    <cellStyle name="20% - Accent4 2 2 7" xfId="12355"/>
    <cellStyle name="20% - Accent4 2 2 7 2" xfId="12356"/>
    <cellStyle name="20% - Accent4 2 2 7 2 2" xfId="12357"/>
    <cellStyle name="20% - Accent4 2 2 7 2 2 2" xfId="12358"/>
    <cellStyle name="20% - Accent4 2 2 7 2 2 2 2" xfId="12359"/>
    <cellStyle name="20% - Accent4 2 2 7 2 2 3" xfId="12360"/>
    <cellStyle name="20% - Accent4 2 2 7 2 3" xfId="12361"/>
    <cellStyle name="20% - Accent4 2 2 7 2 3 2" xfId="12362"/>
    <cellStyle name="20% - Accent4 2 2 7 2 4" xfId="12363"/>
    <cellStyle name="20% - Accent4 2 2 7 3" xfId="12364"/>
    <cellStyle name="20% - Accent4 2 2 7 3 2" xfId="12365"/>
    <cellStyle name="20% - Accent4 2 2 7 3 2 2" xfId="12366"/>
    <cellStyle name="20% - Accent4 2 2 7 3 3" xfId="12367"/>
    <cellStyle name="20% - Accent4 2 2 7 4" xfId="12368"/>
    <cellStyle name="20% - Accent4 2 2 7 4 2" xfId="12369"/>
    <cellStyle name="20% - Accent4 2 2 7 5" xfId="12370"/>
    <cellStyle name="20% - Accent4 2 2 8" xfId="12371"/>
    <cellStyle name="20% - Accent4 2 2 8 2" xfId="12372"/>
    <cellStyle name="20% - Accent4 2 2 8 2 2" xfId="12373"/>
    <cellStyle name="20% - Accent4 2 2 8 2 2 2" xfId="12374"/>
    <cellStyle name="20% - Accent4 2 2 8 2 3" xfId="12375"/>
    <cellStyle name="20% - Accent4 2 2 8 3" xfId="12376"/>
    <cellStyle name="20% - Accent4 2 2 8 3 2" xfId="12377"/>
    <cellStyle name="20% - Accent4 2 2 8 4" xfId="12378"/>
    <cellStyle name="20% - Accent4 2 2 9" xfId="12379"/>
    <cellStyle name="20% - Accent4 2 2 9 2" xfId="12380"/>
    <cellStyle name="20% - Accent4 2 2 9 2 2" xfId="12381"/>
    <cellStyle name="20% - Accent4 2 2 9 3" xfId="12382"/>
    <cellStyle name="20% - Accent4 2 3" xfId="12383"/>
    <cellStyle name="20% - Accent4 2 3 10" xfId="12384"/>
    <cellStyle name="20% - Accent4 2 3 10 2" xfId="12385"/>
    <cellStyle name="20% - Accent4 2 3 11" xfId="12386"/>
    <cellStyle name="20% - Accent4 2 3 2" xfId="12387"/>
    <cellStyle name="20% - Accent4 2 3 2 10" xfId="12388"/>
    <cellStyle name="20% - Accent4 2 3 2 2" xfId="12389"/>
    <cellStyle name="20% - Accent4 2 3 2 2 2" xfId="12390"/>
    <cellStyle name="20% - Accent4 2 3 2 2 2 2" xfId="12391"/>
    <cellStyle name="20% - Accent4 2 3 2 2 2 2 2" xfId="12392"/>
    <cellStyle name="20% - Accent4 2 3 2 2 2 2 2 2" xfId="12393"/>
    <cellStyle name="20% - Accent4 2 3 2 2 2 2 3" xfId="12394"/>
    <cellStyle name="20% - Accent4 2 3 2 2 2 3" xfId="12395"/>
    <cellStyle name="20% - Accent4 2 3 2 2 2 3 2" xfId="12396"/>
    <cellStyle name="20% - Accent4 2 3 2 2 2 4" xfId="12397"/>
    <cellStyle name="20% - Accent4 2 3 2 2 3" xfId="12398"/>
    <cellStyle name="20% - Accent4 2 3 2 2 3 2" xfId="12399"/>
    <cellStyle name="20% - Accent4 2 3 2 2 3 2 2" xfId="12400"/>
    <cellStyle name="20% - Accent4 2 3 2 2 3 3" xfId="12401"/>
    <cellStyle name="20% - Accent4 2 3 2 2 4" xfId="12402"/>
    <cellStyle name="20% - Accent4 2 3 2 2 4 2" xfId="12403"/>
    <cellStyle name="20% - Accent4 2 3 2 2 5" xfId="12404"/>
    <cellStyle name="20% - Accent4 2 3 2 3" xfId="12405"/>
    <cellStyle name="20% - Accent4 2 3 2 3 2" xfId="12406"/>
    <cellStyle name="20% - Accent4 2 3 2 3 2 2" xfId="12407"/>
    <cellStyle name="20% - Accent4 2 3 2 3 2 2 2" xfId="12408"/>
    <cellStyle name="20% - Accent4 2 3 2 3 2 2 2 2" xfId="12409"/>
    <cellStyle name="20% - Accent4 2 3 2 3 2 2 3" xfId="12410"/>
    <cellStyle name="20% - Accent4 2 3 2 3 2 3" xfId="12411"/>
    <cellStyle name="20% - Accent4 2 3 2 3 2 3 2" xfId="12412"/>
    <cellStyle name="20% - Accent4 2 3 2 3 2 4" xfId="12413"/>
    <cellStyle name="20% - Accent4 2 3 2 3 3" xfId="12414"/>
    <cellStyle name="20% - Accent4 2 3 2 3 3 2" xfId="12415"/>
    <cellStyle name="20% - Accent4 2 3 2 3 3 2 2" xfId="12416"/>
    <cellStyle name="20% - Accent4 2 3 2 3 3 3" xfId="12417"/>
    <cellStyle name="20% - Accent4 2 3 2 3 4" xfId="12418"/>
    <cellStyle name="20% - Accent4 2 3 2 3 4 2" xfId="12419"/>
    <cellStyle name="20% - Accent4 2 3 2 3 5" xfId="12420"/>
    <cellStyle name="20% - Accent4 2 3 2 4" xfId="12421"/>
    <cellStyle name="20% - Accent4 2 3 2 4 2" xfId="12422"/>
    <cellStyle name="20% - Accent4 2 3 2 4 2 2" xfId="12423"/>
    <cellStyle name="20% - Accent4 2 3 2 4 2 2 2" xfId="12424"/>
    <cellStyle name="20% - Accent4 2 3 2 4 2 2 2 2" xfId="12425"/>
    <cellStyle name="20% - Accent4 2 3 2 4 2 2 3" xfId="12426"/>
    <cellStyle name="20% - Accent4 2 3 2 4 2 3" xfId="12427"/>
    <cellStyle name="20% - Accent4 2 3 2 4 2 3 2" xfId="12428"/>
    <cellStyle name="20% - Accent4 2 3 2 4 2 4" xfId="12429"/>
    <cellStyle name="20% - Accent4 2 3 2 4 3" xfId="12430"/>
    <cellStyle name="20% - Accent4 2 3 2 4 3 2" xfId="12431"/>
    <cellStyle name="20% - Accent4 2 3 2 4 3 2 2" xfId="12432"/>
    <cellStyle name="20% - Accent4 2 3 2 4 3 3" xfId="12433"/>
    <cellStyle name="20% - Accent4 2 3 2 4 4" xfId="12434"/>
    <cellStyle name="20% - Accent4 2 3 2 4 4 2" xfId="12435"/>
    <cellStyle name="20% - Accent4 2 3 2 4 5" xfId="12436"/>
    <cellStyle name="20% - Accent4 2 3 2 5" xfId="12437"/>
    <cellStyle name="20% - Accent4 2 3 2 5 2" xfId="12438"/>
    <cellStyle name="20% - Accent4 2 3 2 5 2 2" xfId="12439"/>
    <cellStyle name="20% - Accent4 2 3 2 5 2 2 2" xfId="12440"/>
    <cellStyle name="20% - Accent4 2 3 2 5 2 2 2 2" xfId="12441"/>
    <cellStyle name="20% - Accent4 2 3 2 5 2 2 3" xfId="12442"/>
    <cellStyle name="20% - Accent4 2 3 2 5 2 3" xfId="12443"/>
    <cellStyle name="20% - Accent4 2 3 2 5 2 3 2" xfId="12444"/>
    <cellStyle name="20% - Accent4 2 3 2 5 2 4" xfId="12445"/>
    <cellStyle name="20% - Accent4 2 3 2 5 3" xfId="12446"/>
    <cellStyle name="20% - Accent4 2 3 2 5 3 2" xfId="12447"/>
    <cellStyle name="20% - Accent4 2 3 2 5 3 2 2" xfId="12448"/>
    <cellStyle name="20% - Accent4 2 3 2 5 3 3" xfId="12449"/>
    <cellStyle name="20% - Accent4 2 3 2 5 4" xfId="12450"/>
    <cellStyle name="20% - Accent4 2 3 2 5 4 2" xfId="12451"/>
    <cellStyle name="20% - Accent4 2 3 2 5 5" xfId="12452"/>
    <cellStyle name="20% - Accent4 2 3 2 6" xfId="12453"/>
    <cellStyle name="20% - Accent4 2 3 2 6 2" xfId="12454"/>
    <cellStyle name="20% - Accent4 2 3 2 6 2 2" xfId="12455"/>
    <cellStyle name="20% - Accent4 2 3 2 6 2 2 2" xfId="12456"/>
    <cellStyle name="20% - Accent4 2 3 2 6 2 2 2 2" xfId="12457"/>
    <cellStyle name="20% - Accent4 2 3 2 6 2 2 3" xfId="12458"/>
    <cellStyle name="20% - Accent4 2 3 2 6 2 3" xfId="12459"/>
    <cellStyle name="20% - Accent4 2 3 2 6 2 3 2" xfId="12460"/>
    <cellStyle name="20% - Accent4 2 3 2 6 2 4" xfId="12461"/>
    <cellStyle name="20% - Accent4 2 3 2 6 3" xfId="12462"/>
    <cellStyle name="20% - Accent4 2 3 2 6 3 2" xfId="12463"/>
    <cellStyle name="20% - Accent4 2 3 2 6 3 2 2" xfId="12464"/>
    <cellStyle name="20% - Accent4 2 3 2 6 3 3" xfId="12465"/>
    <cellStyle name="20% - Accent4 2 3 2 6 4" xfId="12466"/>
    <cellStyle name="20% - Accent4 2 3 2 6 4 2" xfId="12467"/>
    <cellStyle name="20% - Accent4 2 3 2 6 5" xfId="12468"/>
    <cellStyle name="20% - Accent4 2 3 2 7" xfId="12469"/>
    <cellStyle name="20% - Accent4 2 3 2 7 2" xfId="12470"/>
    <cellStyle name="20% - Accent4 2 3 2 7 2 2" xfId="12471"/>
    <cellStyle name="20% - Accent4 2 3 2 7 2 2 2" xfId="12472"/>
    <cellStyle name="20% - Accent4 2 3 2 7 2 3" xfId="12473"/>
    <cellStyle name="20% - Accent4 2 3 2 7 3" xfId="12474"/>
    <cellStyle name="20% - Accent4 2 3 2 7 3 2" xfId="12475"/>
    <cellStyle name="20% - Accent4 2 3 2 7 4" xfId="12476"/>
    <cellStyle name="20% - Accent4 2 3 2 8" xfId="12477"/>
    <cellStyle name="20% - Accent4 2 3 2 8 2" xfId="12478"/>
    <cellStyle name="20% - Accent4 2 3 2 8 2 2" xfId="12479"/>
    <cellStyle name="20% - Accent4 2 3 2 8 3" xfId="12480"/>
    <cellStyle name="20% - Accent4 2 3 2 9" xfId="12481"/>
    <cellStyle name="20% - Accent4 2 3 2 9 2" xfId="12482"/>
    <cellStyle name="20% - Accent4 2 3 3" xfId="12483"/>
    <cellStyle name="20% - Accent4 2 3 3 2" xfId="12484"/>
    <cellStyle name="20% - Accent4 2 3 3 2 2" xfId="12485"/>
    <cellStyle name="20% - Accent4 2 3 3 2 2 2" xfId="12486"/>
    <cellStyle name="20% - Accent4 2 3 3 2 2 2 2" xfId="12487"/>
    <cellStyle name="20% - Accent4 2 3 3 2 2 3" xfId="12488"/>
    <cellStyle name="20% - Accent4 2 3 3 2 3" xfId="12489"/>
    <cellStyle name="20% - Accent4 2 3 3 2 3 2" xfId="12490"/>
    <cellStyle name="20% - Accent4 2 3 3 2 4" xfId="12491"/>
    <cellStyle name="20% - Accent4 2 3 3 3" xfId="12492"/>
    <cellStyle name="20% - Accent4 2 3 3 3 2" xfId="12493"/>
    <cellStyle name="20% - Accent4 2 3 3 3 2 2" xfId="12494"/>
    <cellStyle name="20% - Accent4 2 3 3 3 3" xfId="12495"/>
    <cellStyle name="20% - Accent4 2 3 3 4" xfId="12496"/>
    <cellStyle name="20% - Accent4 2 3 3 4 2" xfId="12497"/>
    <cellStyle name="20% - Accent4 2 3 3 5" xfId="12498"/>
    <cellStyle name="20% - Accent4 2 3 4" xfId="12499"/>
    <cellStyle name="20% - Accent4 2 3 4 2" xfId="12500"/>
    <cellStyle name="20% - Accent4 2 3 4 2 2" xfId="12501"/>
    <cellStyle name="20% - Accent4 2 3 4 2 2 2" xfId="12502"/>
    <cellStyle name="20% - Accent4 2 3 4 2 2 2 2" xfId="12503"/>
    <cellStyle name="20% - Accent4 2 3 4 2 2 3" xfId="12504"/>
    <cellStyle name="20% - Accent4 2 3 4 2 3" xfId="12505"/>
    <cellStyle name="20% - Accent4 2 3 4 2 3 2" xfId="12506"/>
    <cellStyle name="20% - Accent4 2 3 4 2 4" xfId="12507"/>
    <cellStyle name="20% - Accent4 2 3 4 3" xfId="12508"/>
    <cellStyle name="20% - Accent4 2 3 4 3 2" xfId="12509"/>
    <cellStyle name="20% - Accent4 2 3 4 3 2 2" xfId="12510"/>
    <cellStyle name="20% - Accent4 2 3 4 3 3" xfId="12511"/>
    <cellStyle name="20% - Accent4 2 3 4 4" xfId="12512"/>
    <cellStyle name="20% - Accent4 2 3 4 4 2" xfId="12513"/>
    <cellStyle name="20% - Accent4 2 3 4 5" xfId="12514"/>
    <cellStyle name="20% - Accent4 2 3 5" xfId="12515"/>
    <cellStyle name="20% - Accent4 2 3 5 2" xfId="12516"/>
    <cellStyle name="20% - Accent4 2 3 5 2 2" xfId="12517"/>
    <cellStyle name="20% - Accent4 2 3 5 2 2 2" xfId="12518"/>
    <cellStyle name="20% - Accent4 2 3 5 2 2 2 2" xfId="12519"/>
    <cellStyle name="20% - Accent4 2 3 5 2 2 3" xfId="12520"/>
    <cellStyle name="20% - Accent4 2 3 5 2 3" xfId="12521"/>
    <cellStyle name="20% - Accent4 2 3 5 2 3 2" xfId="12522"/>
    <cellStyle name="20% - Accent4 2 3 5 2 4" xfId="12523"/>
    <cellStyle name="20% - Accent4 2 3 5 3" xfId="12524"/>
    <cellStyle name="20% - Accent4 2 3 5 3 2" xfId="12525"/>
    <cellStyle name="20% - Accent4 2 3 5 3 2 2" xfId="12526"/>
    <cellStyle name="20% - Accent4 2 3 5 3 3" xfId="12527"/>
    <cellStyle name="20% - Accent4 2 3 5 4" xfId="12528"/>
    <cellStyle name="20% - Accent4 2 3 5 4 2" xfId="12529"/>
    <cellStyle name="20% - Accent4 2 3 5 5" xfId="12530"/>
    <cellStyle name="20% - Accent4 2 3 6" xfId="12531"/>
    <cellStyle name="20% - Accent4 2 3 6 2" xfId="12532"/>
    <cellStyle name="20% - Accent4 2 3 6 2 2" xfId="12533"/>
    <cellStyle name="20% - Accent4 2 3 6 2 2 2" xfId="12534"/>
    <cellStyle name="20% - Accent4 2 3 6 2 2 2 2" xfId="12535"/>
    <cellStyle name="20% - Accent4 2 3 6 2 2 3" xfId="12536"/>
    <cellStyle name="20% - Accent4 2 3 6 2 3" xfId="12537"/>
    <cellStyle name="20% - Accent4 2 3 6 2 3 2" xfId="12538"/>
    <cellStyle name="20% - Accent4 2 3 6 2 4" xfId="12539"/>
    <cellStyle name="20% - Accent4 2 3 6 3" xfId="12540"/>
    <cellStyle name="20% - Accent4 2 3 6 3 2" xfId="12541"/>
    <cellStyle name="20% - Accent4 2 3 6 3 2 2" xfId="12542"/>
    <cellStyle name="20% - Accent4 2 3 6 3 3" xfId="12543"/>
    <cellStyle name="20% - Accent4 2 3 6 4" xfId="12544"/>
    <cellStyle name="20% - Accent4 2 3 6 4 2" xfId="12545"/>
    <cellStyle name="20% - Accent4 2 3 6 5" xfId="12546"/>
    <cellStyle name="20% - Accent4 2 3 7" xfId="12547"/>
    <cellStyle name="20% - Accent4 2 3 7 2" xfId="12548"/>
    <cellStyle name="20% - Accent4 2 3 7 2 2" xfId="12549"/>
    <cellStyle name="20% - Accent4 2 3 7 2 2 2" xfId="12550"/>
    <cellStyle name="20% - Accent4 2 3 7 2 2 2 2" xfId="12551"/>
    <cellStyle name="20% - Accent4 2 3 7 2 2 3" xfId="12552"/>
    <cellStyle name="20% - Accent4 2 3 7 2 3" xfId="12553"/>
    <cellStyle name="20% - Accent4 2 3 7 2 3 2" xfId="12554"/>
    <cellStyle name="20% - Accent4 2 3 7 2 4" xfId="12555"/>
    <cellStyle name="20% - Accent4 2 3 7 3" xfId="12556"/>
    <cellStyle name="20% - Accent4 2 3 7 3 2" xfId="12557"/>
    <cellStyle name="20% - Accent4 2 3 7 3 2 2" xfId="12558"/>
    <cellStyle name="20% - Accent4 2 3 7 3 3" xfId="12559"/>
    <cellStyle name="20% - Accent4 2 3 7 4" xfId="12560"/>
    <cellStyle name="20% - Accent4 2 3 7 4 2" xfId="12561"/>
    <cellStyle name="20% - Accent4 2 3 7 5" xfId="12562"/>
    <cellStyle name="20% - Accent4 2 3 8" xfId="12563"/>
    <cellStyle name="20% - Accent4 2 3 8 2" xfId="12564"/>
    <cellStyle name="20% - Accent4 2 3 8 2 2" xfId="12565"/>
    <cellStyle name="20% - Accent4 2 3 8 2 2 2" xfId="12566"/>
    <cellStyle name="20% - Accent4 2 3 8 2 3" xfId="12567"/>
    <cellStyle name="20% - Accent4 2 3 8 3" xfId="12568"/>
    <cellStyle name="20% - Accent4 2 3 8 3 2" xfId="12569"/>
    <cellStyle name="20% - Accent4 2 3 8 4" xfId="12570"/>
    <cellStyle name="20% - Accent4 2 3 9" xfId="12571"/>
    <cellStyle name="20% - Accent4 2 3 9 2" xfId="12572"/>
    <cellStyle name="20% - Accent4 2 3 9 2 2" xfId="12573"/>
    <cellStyle name="20% - Accent4 2 3 9 3" xfId="12574"/>
    <cellStyle name="20% - Accent4 2 4" xfId="12575"/>
    <cellStyle name="20% - Accent4 2 4 10" xfId="12576"/>
    <cellStyle name="20% - Accent4 2 4 10 2" xfId="12577"/>
    <cellStyle name="20% - Accent4 2 4 11" xfId="12578"/>
    <cellStyle name="20% - Accent4 2 4 2" xfId="12579"/>
    <cellStyle name="20% - Accent4 2 4 2 10" xfId="12580"/>
    <cellStyle name="20% - Accent4 2 4 2 2" xfId="12581"/>
    <cellStyle name="20% - Accent4 2 4 2 2 2" xfId="12582"/>
    <cellStyle name="20% - Accent4 2 4 2 2 2 2" xfId="12583"/>
    <cellStyle name="20% - Accent4 2 4 2 2 2 2 2" xfId="12584"/>
    <cellStyle name="20% - Accent4 2 4 2 2 2 2 2 2" xfId="12585"/>
    <cellStyle name="20% - Accent4 2 4 2 2 2 2 3" xfId="12586"/>
    <cellStyle name="20% - Accent4 2 4 2 2 2 3" xfId="12587"/>
    <cellStyle name="20% - Accent4 2 4 2 2 2 3 2" xfId="12588"/>
    <cellStyle name="20% - Accent4 2 4 2 2 2 4" xfId="12589"/>
    <cellStyle name="20% - Accent4 2 4 2 2 3" xfId="12590"/>
    <cellStyle name="20% - Accent4 2 4 2 2 3 2" xfId="12591"/>
    <cellStyle name="20% - Accent4 2 4 2 2 3 2 2" xfId="12592"/>
    <cellStyle name="20% - Accent4 2 4 2 2 3 3" xfId="12593"/>
    <cellStyle name="20% - Accent4 2 4 2 2 4" xfId="12594"/>
    <cellStyle name="20% - Accent4 2 4 2 2 4 2" xfId="12595"/>
    <cellStyle name="20% - Accent4 2 4 2 2 5" xfId="12596"/>
    <cellStyle name="20% - Accent4 2 4 2 3" xfId="12597"/>
    <cellStyle name="20% - Accent4 2 4 2 3 2" xfId="12598"/>
    <cellStyle name="20% - Accent4 2 4 2 3 2 2" xfId="12599"/>
    <cellStyle name="20% - Accent4 2 4 2 3 2 2 2" xfId="12600"/>
    <cellStyle name="20% - Accent4 2 4 2 3 2 2 2 2" xfId="12601"/>
    <cellStyle name="20% - Accent4 2 4 2 3 2 2 3" xfId="12602"/>
    <cellStyle name="20% - Accent4 2 4 2 3 2 3" xfId="12603"/>
    <cellStyle name="20% - Accent4 2 4 2 3 2 3 2" xfId="12604"/>
    <cellStyle name="20% - Accent4 2 4 2 3 2 4" xfId="12605"/>
    <cellStyle name="20% - Accent4 2 4 2 3 3" xfId="12606"/>
    <cellStyle name="20% - Accent4 2 4 2 3 3 2" xfId="12607"/>
    <cellStyle name="20% - Accent4 2 4 2 3 3 2 2" xfId="12608"/>
    <cellStyle name="20% - Accent4 2 4 2 3 3 3" xfId="12609"/>
    <cellStyle name="20% - Accent4 2 4 2 3 4" xfId="12610"/>
    <cellStyle name="20% - Accent4 2 4 2 3 4 2" xfId="12611"/>
    <cellStyle name="20% - Accent4 2 4 2 3 5" xfId="12612"/>
    <cellStyle name="20% - Accent4 2 4 2 4" xfId="12613"/>
    <cellStyle name="20% - Accent4 2 4 2 4 2" xfId="12614"/>
    <cellStyle name="20% - Accent4 2 4 2 4 2 2" xfId="12615"/>
    <cellStyle name="20% - Accent4 2 4 2 4 2 2 2" xfId="12616"/>
    <cellStyle name="20% - Accent4 2 4 2 4 2 2 2 2" xfId="12617"/>
    <cellStyle name="20% - Accent4 2 4 2 4 2 2 3" xfId="12618"/>
    <cellStyle name="20% - Accent4 2 4 2 4 2 3" xfId="12619"/>
    <cellStyle name="20% - Accent4 2 4 2 4 2 3 2" xfId="12620"/>
    <cellStyle name="20% - Accent4 2 4 2 4 2 4" xfId="12621"/>
    <cellStyle name="20% - Accent4 2 4 2 4 3" xfId="12622"/>
    <cellStyle name="20% - Accent4 2 4 2 4 3 2" xfId="12623"/>
    <cellStyle name="20% - Accent4 2 4 2 4 3 2 2" xfId="12624"/>
    <cellStyle name="20% - Accent4 2 4 2 4 3 3" xfId="12625"/>
    <cellStyle name="20% - Accent4 2 4 2 4 4" xfId="12626"/>
    <cellStyle name="20% - Accent4 2 4 2 4 4 2" xfId="12627"/>
    <cellStyle name="20% - Accent4 2 4 2 4 5" xfId="12628"/>
    <cellStyle name="20% - Accent4 2 4 2 5" xfId="12629"/>
    <cellStyle name="20% - Accent4 2 4 2 5 2" xfId="12630"/>
    <cellStyle name="20% - Accent4 2 4 2 5 2 2" xfId="12631"/>
    <cellStyle name="20% - Accent4 2 4 2 5 2 2 2" xfId="12632"/>
    <cellStyle name="20% - Accent4 2 4 2 5 2 2 2 2" xfId="12633"/>
    <cellStyle name="20% - Accent4 2 4 2 5 2 2 3" xfId="12634"/>
    <cellStyle name="20% - Accent4 2 4 2 5 2 3" xfId="12635"/>
    <cellStyle name="20% - Accent4 2 4 2 5 2 3 2" xfId="12636"/>
    <cellStyle name="20% - Accent4 2 4 2 5 2 4" xfId="12637"/>
    <cellStyle name="20% - Accent4 2 4 2 5 3" xfId="12638"/>
    <cellStyle name="20% - Accent4 2 4 2 5 3 2" xfId="12639"/>
    <cellStyle name="20% - Accent4 2 4 2 5 3 2 2" xfId="12640"/>
    <cellStyle name="20% - Accent4 2 4 2 5 3 3" xfId="12641"/>
    <cellStyle name="20% - Accent4 2 4 2 5 4" xfId="12642"/>
    <cellStyle name="20% - Accent4 2 4 2 5 4 2" xfId="12643"/>
    <cellStyle name="20% - Accent4 2 4 2 5 5" xfId="12644"/>
    <cellStyle name="20% - Accent4 2 4 2 6" xfId="12645"/>
    <cellStyle name="20% - Accent4 2 4 2 6 2" xfId="12646"/>
    <cellStyle name="20% - Accent4 2 4 2 6 2 2" xfId="12647"/>
    <cellStyle name="20% - Accent4 2 4 2 6 2 2 2" xfId="12648"/>
    <cellStyle name="20% - Accent4 2 4 2 6 2 2 2 2" xfId="12649"/>
    <cellStyle name="20% - Accent4 2 4 2 6 2 2 3" xfId="12650"/>
    <cellStyle name="20% - Accent4 2 4 2 6 2 3" xfId="12651"/>
    <cellStyle name="20% - Accent4 2 4 2 6 2 3 2" xfId="12652"/>
    <cellStyle name="20% - Accent4 2 4 2 6 2 4" xfId="12653"/>
    <cellStyle name="20% - Accent4 2 4 2 6 3" xfId="12654"/>
    <cellStyle name="20% - Accent4 2 4 2 6 3 2" xfId="12655"/>
    <cellStyle name="20% - Accent4 2 4 2 6 3 2 2" xfId="12656"/>
    <cellStyle name="20% - Accent4 2 4 2 6 3 3" xfId="12657"/>
    <cellStyle name="20% - Accent4 2 4 2 6 4" xfId="12658"/>
    <cellStyle name="20% - Accent4 2 4 2 6 4 2" xfId="12659"/>
    <cellStyle name="20% - Accent4 2 4 2 6 5" xfId="12660"/>
    <cellStyle name="20% - Accent4 2 4 2 7" xfId="12661"/>
    <cellStyle name="20% - Accent4 2 4 2 7 2" xfId="12662"/>
    <cellStyle name="20% - Accent4 2 4 2 7 2 2" xfId="12663"/>
    <cellStyle name="20% - Accent4 2 4 2 7 2 2 2" xfId="12664"/>
    <cellStyle name="20% - Accent4 2 4 2 7 2 3" xfId="12665"/>
    <cellStyle name="20% - Accent4 2 4 2 7 3" xfId="12666"/>
    <cellStyle name="20% - Accent4 2 4 2 7 3 2" xfId="12667"/>
    <cellStyle name="20% - Accent4 2 4 2 7 4" xfId="12668"/>
    <cellStyle name="20% - Accent4 2 4 2 8" xfId="12669"/>
    <cellStyle name="20% - Accent4 2 4 2 8 2" xfId="12670"/>
    <cellStyle name="20% - Accent4 2 4 2 8 2 2" xfId="12671"/>
    <cellStyle name="20% - Accent4 2 4 2 8 3" xfId="12672"/>
    <cellStyle name="20% - Accent4 2 4 2 9" xfId="12673"/>
    <cellStyle name="20% - Accent4 2 4 2 9 2" xfId="12674"/>
    <cellStyle name="20% - Accent4 2 4 3" xfId="12675"/>
    <cellStyle name="20% - Accent4 2 4 3 2" xfId="12676"/>
    <cellStyle name="20% - Accent4 2 4 3 2 2" xfId="12677"/>
    <cellStyle name="20% - Accent4 2 4 3 2 2 2" xfId="12678"/>
    <cellStyle name="20% - Accent4 2 4 3 2 2 2 2" xfId="12679"/>
    <cellStyle name="20% - Accent4 2 4 3 2 2 3" xfId="12680"/>
    <cellStyle name="20% - Accent4 2 4 3 2 3" xfId="12681"/>
    <cellStyle name="20% - Accent4 2 4 3 2 3 2" xfId="12682"/>
    <cellStyle name="20% - Accent4 2 4 3 2 4" xfId="12683"/>
    <cellStyle name="20% - Accent4 2 4 3 3" xfId="12684"/>
    <cellStyle name="20% - Accent4 2 4 3 3 2" xfId="12685"/>
    <cellStyle name="20% - Accent4 2 4 3 3 2 2" xfId="12686"/>
    <cellStyle name="20% - Accent4 2 4 3 3 3" xfId="12687"/>
    <cellStyle name="20% - Accent4 2 4 3 4" xfId="12688"/>
    <cellStyle name="20% - Accent4 2 4 3 4 2" xfId="12689"/>
    <cellStyle name="20% - Accent4 2 4 3 5" xfId="12690"/>
    <cellStyle name="20% - Accent4 2 4 4" xfId="12691"/>
    <cellStyle name="20% - Accent4 2 4 4 2" xfId="12692"/>
    <cellStyle name="20% - Accent4 2 4 4 2 2" xfId="12693"/>
    <cellStyle name="20% - Accent4 2 4 4 2 2 2" xfId="12694"/>
    <cellStyle name="20% - Accent4 2 4 4 2 2 2 2" xfId="12695"/>
    <cellStyle name="20% - Accent4 2 4 4 2 2 3" xfId="12696"/>
    <cellStyle name="20% - Accent4 2 4 4 2 3" xfId="12697"/>
    <cellStyle name="20% - Accent4 2 4 4 2 3 2" xfId="12698"/>
    <cellStyle name="20% - Accent4 2 4 4 2 4" xfId="12699"/>
    <cellStyle name="20% - Accent4 2 4 4 3" xfId="12700"/>
    <cellStyle name="20% - Accent4 2 4 4 3 2" xfId="12701"/>
    <cellStyle name="20% - Accent4 2 4 4 3 2 2" xfId="12702"/>
    <cellStyle name="20% - Accent4 2 4 4 3 3" xfId="12703"/>
    <cellStyle name="20% - Accent4 2 4 4 4" xfId="12704"/>
    <cellStyle name="20% - Accent4 2 4 4 4 2" xfId="12705"/>
    <cellStyle name="20% - Accent4 2 4 4 5" xfId="12706"/>
    <cellStyle name="20% - Accent4 2 4 5" xfId="12707"/>
    <cellStyle name="20% - Accent4 2 4 5 2" xfId="12708"/>
    <cellStyle name="20% - Accent4 2 4 5 2 2" xfId="12709"/>
    <cellStyle name="20% - Accent4 2 4 5 2 2 2" xfId="12710"/>
    <cellStyle name="20% - Accent4 2 4 5 2 2 2 2" xfId="12711"/>
    <cellStyle name="20% - Accent4 2 4 5 2 2 3" xfId="12712"/>
    <cellStyle name="20% - Accent4 2 4 5 2 3" xfId="12713"/>
    <cellStyle name="20% - Accent4 2 4 5 2 3 2" xfId="12714"/>
    <cellStyle name="20% - Accent4 2 4 5 2 4" xfId="12715"/>
    <cellStyle name="20% - Accent4 2 4 5 3" xfId="12716"/>
    <cellStyle name="20% - Accent4 2 4 5 3 2" xfId="12717"/>
    <cellStyle name="20% - Accent4 2 4 5 3 2 2" xfId="12718"/>
    <cellStyle name="20% - Accent4 2 4 5 3 3" xfId="12719"/>
    <cellStyle name="20% - Accent4 2 4 5 4" xfId="12720"/>
    <cellStyle name="20% - Accent4 2 4 5 4 2" xfId="12721"/>
    <cellStyle name="20% - Accent4 2 4 5 5" xfId="12722"/>
    <cellStyle name="20% - Accent4 2 4 6" xfId="12723"/>
    <cellStyle name="20% - Accent4 2 4 6 2" xfId="12724"/>
    <cellStyle name="20% - Accent4 2 4 6 2 2" xfId="12725"/>
    <cellStyle name="20% - Accent4 2 4 6 2 2 2" xfId="12726"/>
    <cellStyle name="20% - Accent4 2 4 6 2 2 2 2" xfId="12727"/>
    <cellStyle name="20% - Accent4 2 4 6 2 2 3" xfId="12728"/>
    <cellStyle name="20% - Accent4 2 4 6 2 3" xfId="12729"/>
    <cellStyle name="20% - Accent4 2 4 6 2 3 2" xfId="12730"/>
    <cellStyle name="20% - Accent4 2 4 6 2 4" xfId="12731"/>
    <cellStyle name="20% - Accent4 2 4 6 3" xfId="12732"/>
    <cellStyle name="20% - Accent4 2 4 6 3 2" xfId="12733"/>
    <cellStyle name="20% - Accent4 2 4 6 3 2 2" xfId="12734"/>
    <cellStyle name="20% - Accent4 2 4 6 3 3" xfId="12735"/>
    <cellStyle name="20% - Accent4 2 4 6 4" xfId="12736"/>
    <cellStyle name="20% - Accent4 2 4 6 4 2" xfId="12737"/>
    <cellStyle name="20% - Accent4 2 4 6 5" xfId="12738"/>
    <cellStyle name="20% - Accent4 2 4 7" xfId="12739"/>
    <cellStyle name="20% - Accent4 2 4 7 2" xfId="12740"/>
    <cellStyle name="20% - Accent4 2 4 7 2 2" xfId="12741"/>
    <cellStyle name="20% - Accent4 2 4 7 2 2 2" xfId="12742"/>
    <cellStyle name="20% - Accent4 2 4 7 2 2 2 2" xfId="12743"/>
    <cellStyle name="20% - Accent4 2 4 7 2 2 3" xfId="12744"/>
    <cellStyle name="20% - Accent4 2 4 7 2 3" xfId="12745"/>
    <cellStyle name="20% - Accent4 2 4 7 2 3 2" xfId="12746"/>
    <cellStyle name="20% - Accent4 2 4 7 2 4" xfId="12747"/>
    <cellStyle name="20% - Accent4 2 4 7 3" xfId="12748"/>
    <cellStyle name="20% - Accent4 2 4 7 3 2" xfId="12749"/>
    <cellStyle name="20% - Accent4 2 4 7 3 2 2" xfId="12750"/>
    <cellStyle name="20% - Accent4 2 4 7 3 3" xfId="12751"/>
    <cellStyle name="20% - Accent4 2 4 7 4" xfId="12752"/>
    <cellStyle name="20% - Accent4 2 4 7 4 2" xfId="12753"/>
    <cellStyle name="20% - Accent4 2 4 7 5" xfId="12754"/>
    <cellStyle name="20% - Accent4 2 4 8" xfId="12755"/>
    <cellStyle name="20% - Accent4 2 4 8 2" xfId="12756"/>
    <cellStyle name="20% - Accent4 2 4 8 2 2" xfId="12757"/>
    <cellStyle name="20% - Accent4 2 4 8 2 2 2" xfId="12758"/>
    <cellStyle name="20% - Accent4 2 4 8 2 3" xfId="12759"/>
    <cellStyle name="20% - Accent4 2 4 8 3" xfId="12760"/>
    <cellStyle name="20% - Accent4 2 4 8 3 2" xfId="12761"/>
    <cellStyle name="20% - Accent4 2 4 8 4" xfId="12762"/>
    <cellStyle name="20% - Accent4 2 4 9" xfId="12763"/>
    <cellStyle name="20% - Accent4 2 4 9 2" xfId="12764"/>
    <cellStyle name="20% - Accent4 2 4 9 2 2" xfId="12765"/>
    <cellStyle name="20% - Accent4 2 4 9 3" xfId="12766"/>
    <cellStyle name="20% - Accent4 2 5" xfId="12767"/>
    <cellStyle name="20% - Accent4 2 5 10" xfId="12768"/>
    <cellStyle name="20% - Accent4 2 5 10 2" xfId="12769"/>
    <cellStyle name="20% - Accent4 2 5 11" xfId="12770"/>
    <cellStyle name="20% - Accent4 2 5 2" xfId="12771"/>
    <cellStyle name="20% - Accent4 2 5 2 10" xfId="12772"/>
    <cellStyle name="20% - Accent4 2 5 2 2" xfId="12773"/>
    <cellStyle name="20% - Accent4 2 5 2 2 2" xfId="12774"/>
    <cellStyle name="20% - Accent4 2 5 2 2 2 2" xfId="12775"/>
    <cellStyle name="20% - Accent4 2 5 2 2 2 2 2" xfId="12776"/>
    <cellStyle name="20% - Accent4 2 5 2 2 2 2 2 2" xfId="12777"/>
    <cellStyle name="20% - Accent4 2 5 2 2 2 2 3" xfId="12778"/>
    <cellStyle name="20% - Accent4 2 5 2 2 2 3" xfId="12779"/>
    <cellStyle name="20% - Accent4 2 5 2 2 2 3 2" xfId="12780"/>
    <cellStyle name="20% - Accent4 2 5 2 2 2 4" xfId="12781"/>
    <cellStyle name="20% - Accent4 2 5 2 2 3" xfId="12782"/>
    <cellStyle name="20% - Accent4 2 5 2 2 3 2" xfId="12783"/>
    <cellStyle name="20% - Accent4 2 5 2 2 3 2 2" xfId="12784"/>
    <cellStyle name="20% - Accent4 2 5 2 2 3 3" xfId="12785"/>
    <cellStyle name="20% - Accent4 2 5 2 2 4" xfId="12786"/>
    <cellStyle name="20% - Accent4 2 5 2 2 4 2" xfId="12787"/>
    <cellStyle name="20% - Accent4 2 5 2 2 5" xfId="12788"/>
    <cellStyle name="20% - Accent4 2 5 2 3" xfId="12789"/>
    <cellStyle name="20% - Accent4 2 5 2 3 2" xfId="12790"/>
    <cellStyle name="20% - Accent4 2 5 2 3 2 2" xfId="12791"/>
    <cellStyle name="20% - Accent4 2 5 2 3 2 2 2" xfId="12792"/>
    <cellStyle name="20% - Accent4 2 5 2 3 2 2 2 2" xfId="12793"/>
    <cellStyle name="20% - Accent4 2 5 2 3 2 2 3" xfId="12794"/>
    <cellStyle name="20% - Accent4 2 5 2 3 2 3" xfId="12795"/>
    <cellStyle name="20% - Accent4 2 5 2 3 2 3 2" xfId="12796"/>
    <cellStyle name="20% - Accent4 2 5 2 3 2 4" xfId="12797"/>
    <cellStyle name="20% - Accent4 2 5 2 3 3" xfId="12798"/>
    <cellStyle name="20% - Accent4 2 5 2 3 3 2" xfId="12799"/>
    <cellStyle name="20% - Accent4 2 5 2 3 3 2 2" xfId="12800"/>
    <cellStyle name="20% - Accent4 2 5 2 3 3 3" xfId="12801"/>
    <cellStyle name="20% - Accent4 2 5 2 3 4" xfId="12802"/>
    <cellStyle name="20% - Accent4 2 5 2 3 4 2" xfId="12803"/>
    <cellStyle name="20% - Accent4 2 5 2 3 5" xfId="12804"/>
    <cellStyle name="20% - Accent4 2 5 2 4" xfId="12805"/>
    <cellStyle name="20% - Accent4 2 5 2 4 2" xfId="12806"/>
    <cellStyle name="20% - Accent4 2 5 2 4 2 2" xfId="12807"/>
    <cellStyle name="20% - Accent4 2 5 2 4 2 2 2" xfId="12808"/>
    <cellStyle name="20% - Accent4 2 5 2 4 2 2 2 2" xfId="12809"/>
    <cellStyle name="20% - Accent4 2 5 2 4 2 2 3" xfId="12810"/>
    <cellStyle name="20% - Accent4 2 5 2 4 2 3" xfId="12811"/>
    <cellStyle name="20% - Accent4 2 5 2 4 2 3 2" xfId="12812"/>
    <cellStyle name="20% - Accent4 2 5 2 4 2 4" xfId="12813"/>
    <cellStyle name="20% - Accent4 2 5 2 4 3" xfId="12814"/>
    <cellStyle name="20% - Accent4 2 5 2 4 3 2" xfId="12815"/>
    <cellStyle name="20% - Accent4 2 5 2 4 3 2 2" xfId="12816"/>
    <cellStyle name="20% - Accent4 2 5 2 4 3 3" xfId="12817"/>
    <cellStyle name="20% - Accent4 2 5 2 4 4" xfId="12818"/>
    <cellStyle name="20% - Accent4 2 5 2 4 4 2" xfId="12819"/>
    <cellStyle name="20% - Accent4 2 5 2 4 5" xfId="12820"/>
    <cellStyle name="20% - Accent4 2 5 2 5" xfId="12821"/>
    <cellStyle name="20% - Accent4 2 5 2 5 2" xfId="12822"/>
    <cellStyle name="20% - Accent4 2 5 2 5 2 2" xfId="12823"/>
    <cellStyle name="20% - Accent4 2 5 2 5 2 2 2" xfId="12824"/>
    <cellStyle name="20% - Accent4 2 5 2 5 2 2 2 2" xfId="12825"/>
    <cellStyle name="20% - Accent4 2 5 2 5 2 2 3" xfId="12826"/>
    <cellStyle name="20% - Accent4 2 5 2 5 2 3" xfId="12827"/>
    <cellStyle name="20% - Accent4 2 5 2 5 2 3 2" xfId="12828"/>
    <cellStyle name="20% - Accent4 2 5 2 5 2 4" xfId="12829"/>
    <cellStyle name="20% - Accent4 2 5 2 5 3" xfId="12830"/>
    <cellStyle name="20% - Accent4 2 5 2 5 3 2" xfId="12831"/>
    <cellStyle name="20% - Accent4 2 5 2 5 3 2 2" xfId="12832"/>
    <cellStyle name="20% - Accent4 2 5 2 5 3 3" xfId="12833"/>
    <cellStyle name="20% - Accent4 2 5 2 5 4" xfId="12834"/>
    <cellStyle name="20% - Accent4 2 5 2 5 4 2" xfId="12835"/>
    <cellStyle name="20% - Accent4 2 5 2 5 5" xfId="12836"/>
    <cellStyle name="20% - Accent4 2 5 2 6" xfId="12837"/>
    <cellStyle name="20% - Accent4 2 5 2 6 2" xfId="12838"/>
    <cellStyle name="20% - Accent4 2 5 2 6 2 2" xfId="12839"/>
    <cellStyle name="20% - Accent4 2 5 2 6 2 2 2" xfId="12840"/>
    <cellStyle name="20% - Accent4 2 5 2 6 2 2 2 2" xfId="12841"/>
    <cellStyle name="20% - Accent4 2 5 2 6 2 2 3" xfId="12842"/>
    <cellStyle name="20% - Accent4 2 5 2 6 2 3" xfId="12843"/>
    <cellStyle name="20% - Accent4 2 5 2 6 2 3 2" xfId="12844"/>
    <cellStyle name="20% - Accent4 2 5 2 6 2 4" xfId="12845"/>
    <cellStyle name="20% - Accent4 2 5 2 6 3" xfId="12846"/>
    <cellStyle name="20% - Accent4 2 5 2 6 3 2" xfId="12847"/>
    <cellStyle name="20% - Accent4 2 5 2 6 3 2 2" xfId="12848"/>
    <cellStyle name="20% - Accent4 2 5 2 6 3 3" xfId="12849"/>
    <cellStyle name="20% - Accent4 2 5 2 6 4" xfId="12850"/>
    <cellStyle name="20% - Accent4 2 5 2 6 4 2" xfId="12851"/>
    <cellStyle name="20% - Accent4 2 5 2 6 5" xfId="12852"/>
    <cellStyle name="20% - Accent4 2 5 2 7" xfId="12853"/>
    <cellStyle name="20% - Accent4 2 5 2 7 2" xfId="12854"/>
    <cellStyle name="20% - Accent4 2 5 2 7 2 2" xfId="12855"/>
    <cellStyle name="20% - Accent4 2 5 2 7 2 2 2" xfId="12856"/>
    <cellStyle name="20% - Accent4 2 5 2 7 2 3" xfId="12857"/>
    <cellStyle name="20% - Accent4 2 5 2 7 3" xfId="12858"/>
    <cellStyle name="20% - Accent4 2 5 2 7 3 2" xfId="12859"/>
    <cellStyle name="20% - Accent4 2 5 2 7 4" xfId="12860"/>
    <cellStyle name="20% - Accent4 2 5 2 8" xfId="12861"/>
    <cellStyle name="20% - Accent4 2 5 2 8 2" xfId="12862"/>
    <cellStyle name="20% - Accent4 2 5 2 8 2 2" xfId="12863"/>
    <cellStyle name="20% - Accent4 2 5 2 8 3" xfId="12864"/>
    <cellStyle name="20% - Accent4 2 5 2 9" xfId="12865"/>
    <cellStyle name="20% - Accent4 2 5 2 9 2" xfId="12866"/>
    <cellStyle name="20% - Accent4 2 5 3" xfId="12867"/>
    <cellStyle name="20% - Accent4 2 5 3 2" xfId="12868"/>
    <cellStyle name="20% - Accent4 2 5 3 2 2" xfId="12869"/>
    <cellStyle name="20% - Accent4 2 5 3 2 2 2" xfId="12870"/>
    <cellStyle name="20% - Accent4 2 5 3 2 2 2 2" xfId="12871"/>
    <cellStyle name="20% - Accent4 2 5 3 2 2 3" xfId="12872"/>
    <cellStyle name="20% - Accent4 2 5 3 2 3" xfId="12873"/>
    <cellStyle name="20% - Accent4 2 5 3 2 3 2" xfId="12874"/>
    <cellStyle name="20% - Accent4 2 5 3 2 4" xfId="12875"/>
    <cellStyle name="20% - Accent4 2 5 3 3" xfId="12876"/>
    <cellStyle name="20% - Accent4 2 5 3 3 2" xfId="12877"/>
    <cellStyle name="20% - Accent4 2 5 3 3 2 2" xfId="12878"/>
    <cellStyle name="20% - Accent4 2 5 3 3 3" xfId="12879"/>
    <cellStyle name="20% - Accent4 2 5 3 4" xfId="12880"/>
    <cellStyle name="20% - Accent4 2 5 3 4 2" xfId="12881"/>
    <cellStyle name="20% - Accent4 2 5 3 5" xfId="12882"/>
    <cellStyle name="20% - Accent4 2 5 4" xfId="12883"/>
    <cellStyle name="20% - Accent4 2 5 4 2" xfId="12884"/>
    <cellStyle name="20% - Accent4 2 5 4 2 2" xfId="12885"/>
    <cellStyle name="20% - Accent4 2 5 4 2 2 2" xfId="12886"/>
    <cellStyle name="20% - Accent4 2 5 4 2 2 2 2" xfId="12887"/>
    <cellStyle name="20% - Accent4 2 5 4 2 2 3" xfId="12888"/>
    <cellStyle name="20% - Accent4 2 5 4 2 3" xfId="12889"/>
    <cellStyle name="20% - Accent4 2 5 4 2 3 2" xfId="12890"/>
    <cellStyle name="20% - Accent4 2 5 4 2 4" xfId="12891"/>
    <cellStyle name="20% - Accent4 2 5 4 3" xfId="12892"/>
    <cellStyle name="20% - Accent4 2 5 4 3 2" xfId="12893"/>
    <cellStyle name="20% - Accent4 2 5 4 3 2 2" xfId="12894"/>
    <cellStyle name="20% - Accent4 2 5 4 3 3" xfId="12895"/>
    <cellStyle name="20% - Accent4 2 5 4 4" xfId="12896"/>
    <cellStyle name="20% - Accent4 2 5 4 4 2" xfId="12897"/>
    <cellStyle name="20% - Accent4 2 5 4 5" xfId="12898"/>
    <cellStyle name="20% - Accent4 2 5 5" xfId="12899"/>
    <cellStyle name="20% - Accent4 2 5 5 2" xfId="12900"/>
    <cellStyle name="20% - Accent4 2 5 5 2 2" xfId="12901"/>
    <cellStyle name="20% - Accent4 2 5 5 2 2 2" xfId="12902"/>
    <cellStyle name="20% - Accent4 2 5 5 2 2 2 2" xfId="12903"/>
    <cellStyle name="20% - Accent4 2 5 5 2 2 3" xfId="12904"/>
    <cellStyle name="20% - Accent4 2 5 5 2 3" xfId="12905"/>
    <cellStyle name="20% - Accent4 2 5 5 2 3 2" xfId="12906"/>
    <cellStyle name="20% - Accent4 2 5 5 2 4" xfId="12907"/>
    <cellStyle name="20% - Accent4 2 5 5 3" xfId="12908"/>
    <cellStyle name="20% - Accent4 2 5 5 3 2" xfId="12909"/>
    <cellStyle name="20% - Accent4 2 5 5 3 2 2" xfId="12910"/>
    <cellStyle name="20% - Accent4 2 5 5 3 3" xfId="12911"/>
    <cellStyle name="20% - Accent4 2 5 5 4" xfId="12912"/>
    <cellStyle name="20% - Accent4 2 5 5 4 2" xfId="12913"/>
    <cellStyle name="20% - Accent4 2 5 5 5" xfId="12914"/>
    <cellStyle name="20% - Accent4 2 5 6" xfId="12915"/>
    <cellStyle name="20% - Accent4 2 5 6 2" xfId="12916"/>
    <cellStyle name="20% - Accent4 2 5 6 2 2" xfId="12917"/>
    <cellStyle name="20% - Accent4 2 5 6 2 2 2" xfId="12918"/>
    <cellStyle name="20% - Accent4 2 5 6 2 2 2 2" xfId="12919"/>
    <cellStyle name="20% - Accent4 2 5 6 2 2 3" xfId="12920"/>
    <cellStyle name="20% - Accent4 2 5 6 2 3" xfId="12921"/>
    <cellStyle name="20% - Accent4 2 5 6 2 3 2" xfId="12922"/>
    <cellStyle name="20% - Accent4 2 5 6 2 4" xfId="12923"/>
    <cellStyle name="20% - Accent4 2 5 6 3" xfId="12924"/>
    <cellStyle name="20% - Accent4 2 5 6 3 2" xfId="12925"/>
    <cellStyle name="20% - Accent4 2 5 6 3 2 2" xfId="12926"/>
    <cellStyle name="20% - Accent4 2 5 6 3 3" xfId="12927"/>
    <cellStyle name="20% - Accent4 2 5 6 4" xfId="12928"/>
    <cellStyle name="20% - Accent4 2 5 6 4 2" xfId="12929"/>
    <cellStyle name="20% - Accent4 2 5 6 5" xfId="12930"/>
    <cellStyle name="20% - Accent4 2 5 7" xfId="12931"/>
    <cellStyle name="20% - Accent4 2 5 7 2" xfId="12932"/>
    <cellStyle name="20% - Accent4 2 5 7 2 2" xfId="12933"/>
    <cellStyle name="20% - Accent4 2 5 7 2 2 2" xfId="12934"/>
    <cellStyle name="20% - Accent4 2 5 7 2 2 2 2" xfId="12935"/>
    <cellStyle name="20% - Accent4 2 5 7 2 2 3" xfId="12936"/>
    <cellStyle name="20% - Accent4 2 5 7 2 3" xfId="12937"/>
    <cellStyle name="20% - Accent4 2 5 7 2 3 2" xfId="12938"/>
    <cellStyle name="20% - Accent4 2 5 7 2 4" xfId="12939"/>
    <cellStyle name="20% - Accent4 2 5 7 3" xfId="12940"/>
    <cellStyle name="20% - Accent4 2 5 7 3 2" xfId="12941"/>
    <cellStyle name="20% - Accent4 2 5 7 3 2 2" xfId="12942"/>
    <cellStyle name="20% - Accent4 2 5 7 3 3" xfId="12943"/>
    <cellStyle name="20% - Accent4 2 5 7 4" xfId="12944"/>
    <cellStyle name="20% - Accent4 2 5 7 4 2" xfId="12945"/>
    <cellStyle name="20% - Accent4 2 5 7 5" xfId="12946"/>
    <cellStyle name="20% - Accent4 2 5 8" xfId="12947"/>
    <cellStyle name="20% - Accent4 2 5 8 2" xfId="12948"/>
    <cellStyle name="20% - Accent4 2 5 8 2 2" xfId="12949"/>
    <cellStyle name="20% - Accent4 2 5 8 2 2 2" xfId="12950"/>
    <cellStyle name="20% - Accent4 2 5 8 2 3" xfId="12951"/>
    <cellStyle name="20% - Accent4 2 5 8 3" xfId="12952"/>
    <cellStyle name="20% - Accent4 2 5 8 3 2" xfId="12953"/>
    <cellStyle name="20% - Accent4 2 5 8 4" xfId="12954"/>
    <cellStyle name="20% - Accent4 2 5 9" xfId="12955"/>
    <cellStyle name="20% - Accent4 2 5 9 2" xfId="12956"/>
    <cellStyle name="20% - Accent4 2 5 9 2 2" xfId="12957"/>
    <cellStyle name="20% - Accent4 2 5 9 3" xfId="12958"/>
    <cellStyle name="20% - Accent4 2 6" xfId="12959"/>
    <cellStyle name="20% - Accent4 2 6 10" xfId="12960"/>
    <cellStyle name="20% - Accent4 2 6 10 2" xfId="12961"/>
    <cellStyle name="20% - Accent4 2 6 11" xfId="12962"/>
    <cellStyle name="20% - Accent4 2 6 2" xfId="12963"/>
    <cellStyle name="20% - Accent4 2 6 2 10" xfId="12964"/>
    <cellStyle name="20% - Accent4 2 6 2 2" xfId="12965"/>
    <cellStyle name="20% - Accent4 2 6 2 2 2" xfId="12966"/>
    <cellStyle name="20% - Accent4 2 6 2 2 2 2" xfId="12967"/>
    <cellStyle name="20% - Accent4 2 6 2 2 2 2 2" xfId="12968"/>
    <cellStyle name="20% - Accent4 2 6 2 2 2 2 2 2" xfId="12969"/>
    <cellStyle name="20% - Accent4 2 6 2 2 2 2 3" xfId="12970"/>
    <cellStyle name="20% - Accent4 2 6 2 2 2 3" xfId="12971"/>
    <cellStyle name="20% - Accent4 2 6 2 2 2 3 2" xfId="12972"/>
    <cellStyle name="20% - Accent4 2 6 2 2 2 4" xfId="12973"/>
    <cellStyle name="20% - Accent4 2 6 2 2 3" xfId="12974"/>
    <cellStyle name="20% - Accent4 2 6 2 2 3 2" xfId="12975"/>
    <cellStyle name="20% - Accent4 2 6 2 2 3 2 2" xfId="12976"/>
    <cellStyle name="20% - Accent4 2 6 2 2 3 3" xfId="12977"/>
    <cellStyle name="20% - Accent4 2 6 2 2 4" xfId="12978"/>
    <cellStyle name="20% - Accent4 2 6 2 2 4 2" xfId="12979"/>
    <cellStyle name="20% - Accent4 2 6 2 2 5" xfId="12980"/>
    <cellStyle name="20% - Accent4 2 6 2 3" xfId="12981"/>
    <cellStyle name="20% - Accent4 2 6 2 3 2" xfId="12982"/>
    <cellStyle name="20% - Accent4 2 6 2 3 2 2" xfId="12983"/>
    <cellStyle name="20% - Accent4 2 6 2 3 2 2 2" xfId="12984"/>
    <cellStyle name="20% - Accent4 2 6 2 3 2 2 2 2" xfId="12985"/>
    <cellStyle name="20% - Accent4 2 6 2 3 2 2 3" xfId="12986"/>
    <cellStyle name="20% - Accent4 2 6 2 3 2 3" xfId="12987"/>
    <cellStyle name="20% - Accent4 2 6 2 3 2 3 2" xfId="12988"/>
    <cellStyle name="20% - Accent4 2 6 2 3 2 4" xfId="12989"/>
    <cellStyle name="20% - Accent4 2 6 2 3 3" xfId="12990"/>
    <cellStyle name="20% - Accent4 2 6 2 3 3 2" xfId="12991"/>
    <cellStyle name="20% - Accent4 2 6 2 3 3 2 2" xfId="12992"/>
    <cellStyle name="20% - Accent4 2 6 2 3 3 3" xfId="12993"/>
    <cellStyle name="20% - Accent4 2 6 2 3 4" xfId="12994"/>
    <cellStyle name="20% - Accent4 2 6 2 3 4 2" xfId="12995"/>
    <cellStyle name="20% - Accent4 2 6 2 3 5" xfId="12996"/>
    <cellStyle name="20% - Accent4 2 6 2 4" xfId="12997"/>
    <cellStyle name="20% - Accent4 2 6 2 4 2" xfId="12998"/>
    <cellStyle name="20% - Accent4 2 6 2 4 2 2" xfId="12999"/>
    <cellStyle name="20% - Accent4 2 6 2 4 2 2 2" xfId="13000"/>
    <cellStyle name="20% - Accent4 2 6 2 4 2 2 2 2" xfId="13001"/>
    <cellStyle name="20% - Accent4 2 6 2 4 2 2 3" xfId="13002"/>
    <cellStyle name="20% - Accent4 2 6 2 4 2 3" xfId="13003"/>
    <cellStyle name="20% - Accent4 2 6 2 4 2 3 2" xfId="13004"/>
    <cellStyle name="20% - Accent4 2 6 2 4 2 4" xfId="13005"/>
    <cellStyle name="20% - Accent4 2 6 2 4 3" xfId="13006"/>
    <cellStyle name="20% - Accent4 2 6 2 4 3 2" xfId="13007"/>
    <cellStyle name="20% - Accent4 2 6 2 4 3 2 2" xfId="13008"/>
    <cellStyle name="20% - Accent4 2 6 2 4 3 3" xfId="13009"/>
    <cellStyle name="20% - Accent4 2 6 2 4 4" xfId="13010"/>
    <cellStyle name="20% - Accent4 2 6 2 4 4 2" xfId="13011"/>
    <cellStyle name="20% - Accent4 2 6 2 4 5" xfId="13012"/>
    <cellStyle name="20% - Accent4 2 6 2 5" xfId="13013"/>
    <cellStyle name="20% - Accent4 2 6 2 5 2" xfId="13014"/>
    <cellStyle name="20% - Accent4 2 6 2 5 2 2" xfId="13015"/>
    <cellStyle name="20% - Accent4 2 6 2 5 2 2 2" xfId="13016"/>
    <cellStyle name="20% - Accent4 2 6 2 5 2 2 2 2" xfId="13017"/>
    <cellStyle name="20% - Accent4 2 6 2 5 2 2 3" xfId="13018"/>
    <cellStyle name="20% - Accent4 2 6 2 5 2 3" xfId="13019"/>
    <cellStyle name="20% - Accent4 2 6 2 5 2 3 2" xfId="13020"/>
    <cellStyle name="20% - Accent4 2 6 2 5 2 4" xfId="13021"/>
    <cellStyle name="20% - Accent4 2 6 2 5 3" xfId="13022"/>
    <cellStyle name="20% - Accent4 2 6 2 5 3 2" xfId="13023"/>
    <cellStyle name="20% - Accent4 2 6 2 5 3 2 2" xfId="13024"/>
    <cellStyle name="20% - Accent4 2 6 2 5 3 3" xfId="13025"/>
    <cellStyle name="20% - Accent4 2 6 2 5 4" xfId="13026"/>
    <cellStyle name="20% - Accent4 2 6 2 5 4 2" xfId="13027"/>
    <cellStyle name="20% - Accent4 2 6 2 5 5" xfId="13028"/>
    <cellStyle name="20% - Accent4 2 6 2 6" xfId="13029"/>
    <cellStyle name="20% - Accent4 2 6 2 6 2" xfId="13030"/>
    <cellStyle name="20% - Accent4 2 6 2 6 2 2" xfId="13031"/>
    <cellStyle name="20% - Accent4 2 6 2 6 2 2 2" xfId="13032"/>
    <cellStyle name="20% - Accent4 2 6 2 6 2 2 2 2" xfId="13033"/>
    <cellStyle name="20% - Accent4 2 6 2 6 2 2 3" xfId="13034"/>
    <cellStyle name="20% - Accent4 2 6 2 6 2 3" xfId="13035"/>
    <cellStyle name="20% - Accent4 2 6 2 6 2 3 2" xfId="13036"/>
    <cellStyle name="20% - Accent4 2 6 2 6 2 4" xfId="13037"/>
    <cellStyle name="20% - Accent4 2 6 2 6 3" xfId="13038"/>
    <cellStyle name="20% - Accent4 2 6 2 6 3 2" xfId="13039"/>
    <cellStyle name="20% - Accent4 2 6 2 6 3 2 2" xfId="13040"/>
    <cellStyle name="20% - Accent4 2 6 2 6 3 3" xfId="13041"/>
    <cellStyle name="20% - Accent4 2 6 2 6 4" xfId="13042"/>
    <cellStyle name="20% - Accent4 2 6 2 6 4 2" xfId="13043"/>
    <cellStyle name="20% - Accent4 2 6 2 6 5" xfId="13044"/>
    <cellStyle name="20% - Accent4 2 6 2 7" xfId="13045"/>
    <cellStyle name="20% - Accent4 2 6 2 7 2" xfId="13046"/>
    <cellStyle name="20% - Accent4 2 6 2 7 2 2" xfId="13047"/>
    <cellStyle name="20% - Accent4 2 6 2 7 2 2 2" xfId="13048"/>
    <cellStyle name="20% - Accent4 2 6 2 7 2 3" xfId="13049"/>
    <cellStyle name="20% - Accent4 2 6 2 7 3" xfId="13050"/>
    <cellStyle name="20% - Accent4 2 6 2 7 3 2" xfId="13051"/>
    <cellStyle name="20% - Accent4 2 6 2 7 4" xfId="13052"/>
    <cellStyle name="20% - Accent4 2 6 2 8" xfId="13053"/>
    <cellStyle name="20% - Accent4 2 6 2 8 2" xfId="13054"/>
    <cellStyle name="20% - Accent4 2 6 2 8 2 2" xfId="13055"/>
    <cellStyle name="20% - Accent4 2 6 2 8 3" xfId="13056"/>
    <cellStyle name="20% - Accent4 2 6 2 9" xfId="13057"/>
    <cellStyle name="20% - Accent4 2 6 2 9 2" xfId="13058"/>
    <cellStyle name="20% - Accent4 2 6 3" xfId="13059"/>
    <cellStyle name="20% - Accent4 2 6 3 2" xfId="13060"/>
    <cellStyle name="20% - Accent4 2 6 3 2 2" xfId="13061"/>
    <cellStyle name="20% - Accent4 2 6 3 2 2 2" xfId="13062"/>
    <cellStyle name="20% - Accent4 2 6 3 2 2 2 2" xfId="13063"/>
    <cellStyle name="20% - Accent4 2 6 3 2 2 3" xfId="13064"/>
    <cellStyle name="20% - Accent4 2 6 3 2 3" xfId="13065"/>
    <cellStyle name="20% - Accent4 2 6 3 2 3 2" xfId="13066"/>
    <cellStyle name="20% - Accent4 2 6 3 2 4" xfId="13067"/>
    <cellStyle name="20% - Accent4 2 6 3 3" xfId="13068"/>
    <cellStyle name="20% - Accent4 2 6 3 3 2" xfId="13069"/>
    <cellStyle name="20% - Accent4 2 6 3 3 2 2" xfId="13070"/>
    <cellStyle name="20% - Accent4 2 6 3 3 3" xfId="13071"/>
    <cellStyle name="20% - Accent4 2 6 3 4" xfId="13072"/>
    <cellStyle name="20% - Accent4 2 6 3 4 2" xfId="13073"/>
    <cellStyle name="20% - Accent4 2 6 3 5" xfId="13074"/>
    <cellStyle name="20% - Accent4 2 6 4" xfId="13075"/>
    <cellStyle name="20% - Accent4 2 6 4 2" xfId="13076"/>
    <cellStyle name="20% - Accent4 2 6 4 2 2" xfId="13077"/>
    <cellStyle name="20% - Accent4 2 6 4 2 2 2" xfId="13078"/>
    <cellStyle name="20% - Accent4 2 6 4 2 2 2 2" xfId="13079"/>
    <cellStyle name="20% - Accent4 2 6 4 2 2 3" xfId="13080"/>
    <cellStyle name="20% - Accent4 2 6 4 2 3" xfId="13081"/>
    <cellStyle name="20% - Accent4 2 6 4 2 3 2" xfId="13082"/>
    <cellStyle name="20% - Accent4 2 6 4 2 4" xfId="13083"/>
    <cellStyle name="20% - Accent4 2 6 4 3" xfId="13084"/>
    <cellStyle name="20% - Accent4 2 6 4 3 2" xfId="13085"/>
    <cellStyle name="20% - Accent4 2 6 4 3 2 2" xfId="13086"/>
    <cellStyle name="20% - Accent4 2 6 4 3 3" xfId="13087"/>
    <cellStyle name="20% - Accent4 2 6 4 4" xfId="13088"/>
    <cellStyle name="20% - Accent4 2 6 4 4 2" xfId="13089"/>
    <cellStyle name="20% - Accent4 2 6 4 5" xfId="13090"/>
    <cellStyle name="20% - Accent4 2 6 5" xfId="13091"/>
    <cellStyle name="20% - Accent4 2 6 5 2" xfId="13092"/>
    <cellStyle name="20% - Accent4 2 6 5 2 2" xfId="13093"/>
    <cellStyle name="20% - Accent4 2 6 5 2 2 2" xfId="13094"/>
    <cellStyle name="20% - Accent4 2 6 5 2 2 2 2" xfId="13095"/>
    <cellStyle name="20% - Accent4 2 6 5 2 2 3" xfId="13096"/>
    <cellStyle name="20% - Accent4 2 6 5 2 3" xfId="13097"/>
    <cellStyle name="20% - Accent4 2 6 5 2 3 2" xfId="13098"/>
    <cellStyle name="20% - Accent4 2 6 5 2 4" xfId="13099"/>
    <cellStyle name="20% - Accent4 2 6 5 3" xfId="13100"/>
    <cellStyle name="20% - Accent4 2 6 5 3 2" xfId="13101"/>
    <cellStyle name="20% - Accent4 2 6 5 3 2 2" xfId="13102"/>
    <cellStyle name="20% - Accent4 2 6 5 3 3" xfId="13103"/>
    <cellStyle name="20% - Accent4 2 6 5 4" xfId="13104"/>
    <cellStyle name="20% - Accent4 2 6 5 4 2" xfId="13105"/>
    <cellStyle name="20% - Accent4 2 6 5 5" xfId="13106"/>
    <cellStyle name="20% - Accent4 2 6 6" xfId="13107"/>
    <cellStyle name="20% - Accent4 2 6 6 2" xfId="13108"/>
    <cellStyle name="20% - Accent4 2 6 6 2 2" xfId="13109"/>
    <cellStyle name="20% - Accent4 2 6 6 2 2 2" xfId="13110"/>
    <cellStyle name="20% - Accent4 2 6 6 2 2 2 2" xfId="13111"/>
    <cellStyle name="20% - Accent4 2 6 6 2 2 3" xfId="13112"/>
    <cellStyle name="20% - Accent4 2 6 6 2 3" xfId="13113"/>
    <cellStyle name="20% - Accent4 2 6 6 2 3 2" xfId="13114"/>
    <cellStyle name="20% - Accent4 2 6 6 2 4" xfId="13115"/>
    <cellStyle name="20% - Accent4 2 6 6 3" xfId="13116"/>
    <cellStyle name="20% - Accent4 2 6 6 3 2" xfId="13117"/>
    <cellStyle name="20% - Accent4 2 6 6 3 2 2" xfId="13118"/>
    <cellStyle name="20% - Accent4 2 6 6 3 3" xfId="13119"/>
    <cellStyle name="20% - Accent4 2 6 6 4" xfId="13120"/>
    <cellStyle name="20% - Accent4 2 6 6 4 2" xfId="13121"/>
    <cellStyle name="20% - Accent4 2 6 6 5" xfId="13122"/>
    <cellStyle name="20% - Accent4 2 6 7" xfId="13123"/>
    <cellStyle name="20% - Accent4 2 6 7 2" xfId="13124"/>
    <cellStyle name="20% - Accent4 2 6 7 2 2" xfId="13125"/>
    <cellStyle name="20% - Accent4 2 6 7 2 2 2" xfId="13126"/>
    <cellStyle name="20% - Accent4 2 6 7 2 2 2 2" xfId="13127"/>
    <cellStyle name="20% - Accent4 2 6 7 2 2 3" xfId="13128"/>
    <cellStyle name="20% - Accent4 2 6 7 2 3" xfId="13129"/>
    <cellStyle name="20% - Accent4 2 6 7 2 3 2" xfId="13130"/>
    <cellStyle name="20% - Accent4 2 6 7 2 4" xfId="13131"/>
    <cellStyle name="20% - Accent4 2 6 7 3" xfId="13132"/>
    <cellStyle name="20% - Accent4 2 6 7 3 2" xfId="13133"/>
    <cellStyle name="20% - Accent4 2 6 7 3 2 2" xfId="13134"/>
    <cellStyle name="20% - Accent4 2 6 7 3 3" xfId="13135"/>
    <cellStyle name="20% - Accent4 2 6 7 4" xfId="13136"/>
    <cellStyle name="20% - Accent4 2 6 7 4 2" xfId="13137"/>
    <cellStyle name="20% - Accent4 2 6 7 5" xfId="13138"/>
    <cellStyle name="20% - Accent4 2 6 8" xfId="13139"/>
    <cellStyle name="20% - Accent4 2 6 8 2" xfId="13140"/>
    <cellStyle name="20% - Accent4 2 6 8 2 2" xfId="13141"/>
    <cellStyle name="20% - Accent4 2 6 8 2 2 2" xfId="13142"/>
    <cellStyle name="20% - Accent4 2 6 8 2 3" xfId="13143"/>
    <cellStyle name="20% - Accent4 2 6 8 3" xfId="13144"/>
    <cellStyle name="20% - Accent4 2 6 8 3 2" xfId="13145"/>
    <cellStyle name="20% - Accent4 2 6 8 4" xfId="13146"/>
    <cellStyle name="20% - Accent4 2 6 9" xfId="13147"/>
    <cellStyle name="20% - Accent4 2 6 9 2" xfId="13148"/>
    <cellStyle name="20% - Accent4 2 6 9 2 2" xfId="13149"/>
    <cellStyle name="20% - Accent4 2 6 9 3" xfId="13150"/>
    <cellStyle name="20% - Accent4 2 7" xfId="13151"/>
    <cellStyle name="20% - Accent4 2 7 10" xfId="13152"/>
    <cellStyle name="20% - Accent4 2 7 10 2" xfId="13153"/>
    <cellStyle name="20% - Accent4 2 7 11" xfId="13154"/>
    <cellStyle name="20% - Accent4 2 7 2" xfId="13155"/>
    <cellStyle name="20% - Accent4 2 7 2 10" xfId="13156"/>
    <cellStyle name="20% - Accent4 2 7 2 2" xfId="13157"/>
    <cellStyle name="20% - Accent4 2 7 2 2 2" xfId="13158"/>
    <cellStyle name="20% - Accent4 2 7 2 2 2 2" xfId="13159"/>
    <cellStyle name="20% - Accent4 2 7 2 2 2 2 2" xfId="13160"/>
    <cellStyle name="20% - Accent4 2 7 2 2 2 2 2 2" xfId="13161"/>
    <cellStyle name="20% - Accent4 2 7 2 2 2 2 3" xfId="13162"/>
    <cellStyle name="20% - Accent4 2 7 2 2 2 3" xfId="13163"/>
    <cellStyle name="20% - Accent4 2 7 2 2 2 3 2" xfId="13164"/>
    <cellStyle name="20% - Accent4 2 7 2 2 2 4" xfId="13165"/>
    <cellStyle name="20% - Accent4 2 7 2 2 3" xfId="13166"/>
    <cellStyle name="20% - Accent4 2 7 2 2 3 2" xfId="13167"/>
    <cellStyle name="20% - Accent4 2 7 2 2 3 2 2" xfId="13168"/>
    <cellStyle name="20% - Accent4 2 7 2 2 3 3" xfId="13169"/>
    <cellStyle name="20% - Accent4 2 7 2 2 4" xfId="13170"/>
    <cellStyle name="20% - Accent4 2 7 2 2 4 2" xfId="13171"/>
    <cellStyle name="20% - Accent4 2 7 2 2 5" xfId="13172"/>
    <cellStyle name="20% - Accent4 2 7 2 3" xfId="13173"/>
    <cellStyle name="20% - Accent4 2 7 2 3 2" xfId="13174"/>
    <cellStyle name="20% - Accent4 2 7 2 3 2 2" xfId="13175"/>
    <cellStyle name="20% - Accent4 2 7 2 3 2 2 2" xfId="13176"/>
    <cellStyle name="20% - Accent4 2 7 2 3 2 2 2 2" xfId="13177"/>
    <cellStyle name="20% - Accent4 2 7 2 3 2 2 3" xfId="13178"/>
    <cellStyle name="20% - Accent4 2 7 2 3 2 3" xfId="13179"/>
    <cellStyle name="20% - Accent4 2 7 2 3 2 3 2" xfId="13180"/>
    <cellStyle name="20% - Accent4 2 7 2 3 2 4" xfId="13181"/>
    <cellStyle name="20% - Accent4 2 7 2 3 3" xfId="13182"/>
    <cellStyle name="20% - Accent4 2 7 2 3 3 2" xfId="13183"/>
    <cellStyle name="20% - Accent4 2 7 2 3 3 2 2" xfId="13184"/>
    <cellStyle name="20% - Accent4 2 7 2 3 3 3" xfId="13185"/>
    <cellStyle name="20% - Accent4 2 7 2 3 4" xfId="13186"/>
    <cellStyle name="20% - Accent4 2 7 2 3 4 2" xfId="13187"/>
    <cellStyle name="20% - Accent4 2 7 2 3 5" xfId="13188"/>
    <cellStyle name="20% - Accent4 2 7 2 4" xfId="13189"/>
    <cellStyle name="20% - Accent4 2 7 2 4 2" xfId="13190"/>
    <cellStyle name="20% - Accent4 2 7 2 4 2 2" xfId="13191"/>
    <cellStyle name="20% - Accent4 2 7 2 4 2 2 2" xfId="13192"/>
    <cellStyle name="20% - Accent4 2 7 2 4 2 2 2 2" xfId="13193"/>
    <cellStyle name="20% - Accent4 2 7 2 4 2 2 3" xfId="13194"/>
    <cellStyle name="20% - Accent4 2 7 2 4 2 3" xfId="13195"/>
    <cellStyle name="20% - Accent4 2 7 2 4 2 3 2" xfId="13196"/>
    <cellStyle name="20% - Accent4 2 7 2 4 2 4" xfId="13197"/>
    <cellStyle name="20% - Accent4 2 7 2 4 3" xfId="13198"/>
    <cellStyle name="20% - Accent4 2 7 2 4 3 2" xfId="13199"/>
    <cellStyle name="20% - Accent4 2 7 2 4 3 2 2" xfId="13200"/>
    <cellStyle name="20% - Accent4 2 7 2 4 3 3" xfId="13201"/>
    <cellStyle name="20% - Accent4 2 7 2 4 4" xfId="13202"/>
    <cellStyle name="20% - Accent4 2 7 2 4 4 2" xfId="13203"/>
    <cellStyle name="20% - Accent4 2 7 2 4 5" xfId="13204"/>
    <cellStyle name="20% - Accent4 2 7 2 5" xfId="13205"/>
    <cellStyle name="20% - Accent4 2 7 2 5 2" xfId="13206"/>
    <cellStyle name="20% - Accent4 2 7 2 5 2 2" xfId="13207"/>
    <cellStyle name="20% - Accent4 2 7 2 5 2 2 2" xfId="13208"/>
    <cellStyle name="20% - Accent4 2 7 2 5 2 2 2 2" xfId="13209"/>
    <cellStyle name="20% - Accent4 2 7 2 5 2 2 3" xfId="13210"/>
    <cellStyle name="20% - Accent4 2 7 2 5 2 3" xfId="13211"/>
    <cellStyle name="20% - Accent4 2 7 2 5 2 3 2" xfId="13212"/>
    <cellStyle name="20% - Accent4 2 7 2 5 2 4" xfId="13213"/>
    <cellStyle name="20% - Accent4 2 7 2 5 3" xfId="13214"/>
    <cellStyle name="20% - Accent4 2 7 2 5 3 2" xfId="13215"/>
    <cellStyle name="20% - Accent4 2 7 2 5 3 2 2" xfId="13216"/>
    <cellStyle name="20% - Accent4 2 7 2 5 3 3" xfId="13217"/>
    <cellStyle name="20% - Accent4 2 7 2 5 4" xfId="13218"/>
    <cellStyle name="20% - Accent4 2 7 2 5 4 2" xfId="13219"/>
    <cellStyle name="20% - Accent4 2 7 2 5 5" xfId="13220"/>
    <cellStyle name="20% - Accent4 2 7 2 6" xfId="13221"/>
    <cellStyle name="20% - Accent4 2 7 2 6 2" xfId="13222"/>
    <cellStyle name="20% - Accent4 2 7 2 6 2 2" xfId="13223"/>
    <cellStyle name="20% - Accent4 2 7 2 6 2 2 2" xfId="13224"/>
    <cellStyle name="20% - Accent4 2 7 2 6 2 2 2 2" xfId="13225"/>
    <cellStyle name="20% - Accent4 2 7 2 6 2 2 3" xfId="13226"/>
    <cellStyle name="20% - Accent4 2 7 2 6 2 3" xfId="13227"/>
    <cellStyle name="20% - Accent4 2 7 2 6 2 3 2" xfId="13228"/>
    <cellStyle name="20% - Accent4 2 7 2 6 2 4" xfId="13229"/>
    <cellStyle name="20% - Accent4 2 7 2 6 3" xfId="13230"/>
    <cellStyle name="20% - Accent4 2 7 2 6 3 2" xfId="13231"/>
    <cellStyle name="20% - Accent4 2 7 2 6 3 2 2" xfId="13232"/>
    <cellStyle name="20% - Accent4 2 7 2 6 3 3" xfId="13233"/>
    <cellStyle name="20% - Accent4 2 7 2 6 4" xfId="13234"/>
    <cellStyle name="20% - Accent4 2 7 2 6 4 2" xfId="13235"/>
    <cellStyle name="20% - Accent4 2 7 2 6 5" xfId="13236"/>
    <cellStyle name="20% - Accent4 2 7 2 7" xfId="13237"/>
    <cellStyle name="20% - Accent4 2 7 2 7 2" xfId="13238"/>
    <cellStyle name="20% - Accent4 2 7 2 7 2 2" xfId="13239"/>
    <cellStyle name="20% - Accent4 2 7 2 7 2 2 2" xfId="13240"/>
    <cellStyle name="20% - Accent4 2 7 2 7 2 3" xfId="13241"/>
    <cellStyle name="20% - Accent4 2 7 2 7 3" xfId="13242"/>
    <cellStyle name="20% - Accent4 2 7 2 7 3 2" xfId="13243"/>
    <cellStyle name="20% - Accent4 2 7 2 7 4" xfId="13244"/>
    <cellStyle name="20% - Accent4 2 7 2 8" xfId="13245"/>
    <cellStyle name="20% - Accent4 2 7 2 8 2" xfId="13246"/>
    <cellStyle name="20% - Accent4 2 7 2 8 2 2" xfId="13247"/>
    <cellStyle name="20% - Accent4 2 7 2 8 3" xfId="13248"/>
    <cellStyle name="20% - Accent4 2 7 2 9" xfId="13249"/>
    <cellStyle name="20% - Accent4 2 7 2 9 2" xfId="13250"/>
    <cellStyle name="20% - Accent4 2 7 3" xfId="13251"/>
    <cellStyle name="20% - Accent4 2 7 3 2" xfId="13252"/>
    <cellStyle name="20% - Accent4 2 7 3 2 2" xfId="13253"/>
    <cellStyle name="20% - Accent4 2 7 3 2 2 2" xfId="13254"/>
    <cellStyle name="20% - Accent4 2 7 3 2 2 2 2" xfId="13255"/>
    <cellStyle name="20% - Accent4 2 7 3 2 2 3" xfId="13256"/>
    <cellStyle name="20% - Accent4 2 7 3 2 3" xfId="13257"/>
    <cellStyle name="20% - Accent4 2 7 3 2 3 2" xfId="13258"/>
    <cellStyle name="20% - Accent4 2 7 3 2 4" xfId="13259"/>
    <cellStyle name="20% - Accent4 2 7 3 3" xfId="13260"/>
    <cellStyle name="20% - Accent4 2 7 3 3 2" xfId="13261"/>
    <cellStyle name="20% - Accent4 2 7 3 3 2 2" xfId="13262"/>
    <cellStyle name="20% - Accent4 2 7 3 3 3" xfId="13263"/>
    <cellStyle name="20% - Accent4 2 7 3 4" xfId="13264"/>
    <cellStyle name="20% - Accent4 2 7 3 4 2" xfId="13265"/>
    <cellStyle name="20% - Accent4 2 7 3 5" xfId="13266"/>
    <cellStyle name="20% - Accent4 2 7 4" xfId="13267"/>
    <cellStyle name="20% - Accent4 2 7 4 2" xfId="13268"/>
    <cellStyle name="20% - Accent4 2 7 4 2 2" xfId="13269"/>
    <cellStyle name="20% - Accent4 2 7 4 2 2 2" xfId="13270"/>
    <cellStyle name="20% - Accent4 2 7 4 2 2 2 2" xfId="13271"/>
    <cellStyle name="20% - Accent4 2 7 4 2 2 3" xfId="13272"/>
    <cellStyle name="20% - Accent4 2 7 4 2 3" xfId="13273"/>
    <cellStyle name="20% - Accent4 2 7 4 2 3 2" xfId="13274"/>
    <cellStyle name="20% - Accent4 2 7 4 2 4" xfId="13275"/>
    <cellStyle name="20% - Accent4 2 7 4 3" xfId="13276"/>
    <cellStyle name="20% - Accent4 2 7 4 3 2" xfId="13277"/>
    <cellStyle name="20% - Accent4 2 7 4 3 2 2" xfId="13278"/>
    <cellStyle name="20% - Accent4 2 7 4 3 3" xfId="13279"/>
    <cellStyle name="20% - Accent4 2 7 4 4" xfId="13280"/>
    <cellStyle name="20% - Accent4 2 7 4 4 2" xfId="13281"/>
    <cellStyle name="20% - Accent4 2 7 4 5" xfId="13282"/>
    <cellStyle name="20% - Accent4 2 7 5" xfId="13283"/>
    <cellStyle name="20% - Accent4 2 7 5 2" xfId="13284"/>
    <cellStyle name="20% - Accent4 2 7 5 2 2" xfId="13285"/>
    <cellStyle name="20% - Accent4 2 7 5 2 2 2" xfId="13286"/>
    <cellStyle name="20% - Accent4 2 7 5 2 2 2 2" xfId="13287"/>
    <cellStyle name="20% - Accent4 2 7 5 2 2 3" xfId="13288"/>
    <cellStyle name="20% - Accent4 2 7 5 2 3" xfId="13289"/>
    <cellStyle name="20% - Accent4 2 7 5 2 3 2" xfId="13290"/>
    <cellStyle name="20% - Accent4 2 7 5 2 4" xfId="13291"/>
    <cellStyle name="20% - Accent4 2 7 5 3" xfId="13292"/>
    <cellStyle name="20% - Accent4 2 7 5 3 2" xfId="13293"/>
    <cellStyle name="20% - Accent4 2 7 5 3 2 2" xfId="13294"/>
    <cellStyle name="20% - Accent4 2 7 5 3 3" xfId="13295"/>
    <cellStyle name="20% - Accent4 2 7 5 4" xfId="13296"/>
    <cellStyle name="20% - Accent4 2 7 5 4 2" xfId="13297"/>
    <cellStyle name="20% - Accent4 2 7 5 5" xfId="13298"/>
    <cellStyle name="20% - Accent4 2 7 6" xfId="13299"/>
    <cellStyle name="20% - Accent4 2 7 6 2" xfId="13300"/>
    <cellStyle name="20% - Accent4 2 7 6 2 2" xfId="13301"/>
    <cellStyle name="20% - Accent4 2 7 6 2 2 2" xfId="13302"/>
    <cellStyle name="20% - Accent4 2 7 6 2 2 2 2" xfId="13303"/>
    <cellStyle name="20% - Accent4 2 7 6 2 2 3" xfId="13304"/>
    <cellStyle name="20% - Accent4 2 7 6 2 3" xfId="13305"/>
    <cellStyle name="20% - Accent4 2 7 6 2 3 2" xfId="13306"/>
    <cellStyle name="20% - Accent4 2 7 6 2 4" xfId="13307"/>
    <cellStyle name="20% - Accent4 2 7 6 3" xfId="13308"/>
    <cellStyle name="20% - Accent4 2 7 6 3 2" xfId="13309"/>
    <cellStyle name="20% - Accent4 2 7 6 3 2 2" xfId="13310"/>
    <cellStyle name="20% - Accent4 2 7 6 3 3" xfId="13311"/>
    <cellStyle name="20% - Accent4 2 7 6 4" xfId="13312"/>
    <cellStyle name="20% - Accent4 2 7 6 4 2" xfId="13313"/>
    <cellStyle name="20% - Accent4 2 7 6 5" xfId="13314"/>
    <cellStyle name="20% - Accent4 2 7 7" xfId="13315"/>
    <cellStyle name="20% - Accent4 2 7 7 2" xfId="13316"/>
    <cellStyle name="20% - Accent4 2 7 7 2 2" xfId="13317"/>
    <cellStyle name="20% - Accent4 2 7 7 2 2 2" xfId="13318"/>
    <cellStyle name="20% - Accent4 2 7 7 2 2 2 2" xfId="13319"/>
    <cellStyle name="20% - Accent4 2 7 7 2 2 3" xfId="13320"/>
    <cellStyle name="20% - Accent4 2 7 7 2 3" xfId="13321"/>
    <cellStyle name="20% - Accent4 2 7 7 2 3 2" xfId="13322"/>
    <cellStyle name="20% - Accent4 2 7 7 2 4" xfId="13323"/>
    <cellStyle name="20% - Accent4 2 7 7 3" xfId="13324"/>
    <cellStyle name="20% - Accent4 2 7 7 3 2" xfId="13325"/>
    <cellStyle name="20% - Accent4 2 7 7 3 2 2" xfId="13326"/>
    <cellStyle name="20% - Accent4 2 7 7 3 3" xfId="13327"/>
    <cellStyle name="20% - Accent4 2 7 7 4" xfId="13328"/>
    <cellStyle name="20% - Accent4 2 7 7 4 2" xfId="13329"/>
    <cellStyle name="20% - Accent4 2 7 7 5" xfId="13330"/>
    <cellStyle name="20% - Accent4 2 7 8" xfId="13331"/>
    <cellStyle name="20% - Accent4 2 7 8 2" xfId="13332"/>
    <cellStyle name="20% - Accent4 2 7 8 2 2" xfId="13333"/>
    <cellStyle name="20% - Accent4 2 7 8 2 2 2" xfId="13334"/>
    <cellStyle name="20% - Accent4 2 7 8 2 3" xfId="13335"/>
    <cellStyle name="20% - Accent4 2 7 8 3" xfId="13336"/>
    <cellStyle name="20% - Accent4 2 7 8 3 2" xfId="13337"/>
    <cellStyle name="20% - Accent4 2 7 8 4" xfId="13338"/>
    <cellStyle name="20% - Accent4 2 7 9" xfId="13339"/>
    <cellStyle name="20% - Accent4 2 7 9 2" xfId="13340"/>
    <cellStyle name="20% - Accent4 2 7 9 2 2" xfId="13341"/>
    <cellStyle name="20% - Accent4 2 7 9 3" xfId="13342"/>
    <cellStyle name="20% - Accent4 2 8" xfId="13343"/>
    <cellStyle name="20% - Accent4 2 8 10" xfId="13344"/>
    <cellStyle name="20% - Accent4 2 8 10 2" xfId="13345"/>
    <cellStyle name="20% - Accent4 2 8 11" xfId="13346"/>
    <cellStyle name="20% - Accent4 2 8 2" xfId="13347"/>
    <cellStyle name="20% - Accent4 2 8 2 10" xfId="13348"/>
    <cellStyle name="20% - Accent4 2 8 2 2" xfId="13349"/>
    <cellStyle name="20% - Accent4 2 8 2 2 2" xfId="13350"/>
    <cellStyle name="20% - Accent4 2 8 2 2 2 2" xfId="13351"/>
    <cellStyle name="20% - Accent4 2 8 2 2 2 2 2" xfId="13352"/>
    <cellStyle name="20% - Accent4 2 8 2 2 2 2 2 2" xfId="13353"/>
    <cellStyle name="20% - Accent4 2 8 2 2 2 2 3" xfId="13354"/>
    <cellStyle name="20% - Accent4 2 8 2 2 2 3" xfId="13355"/>
    <cellStyle name="20% - Accent4 2 8 2 2 2 3 2" xfId="13356"/>
    <cellStyle name="20% - Accent4 2 8 2 2 2 4" xfId="13357"/>
    <cellStyle name="20% - Accent4 2 8 2 2 3" xfId="13358"/>
    <cellStyle name="20% - Accent4 2 8 2 2 3 2" xfId="13359"/>
    <cellStyle name="20% - Accent4 2 8 2 2 3 2 2" xfId="13360"/>
    <cellStyle name="20% - Accent4 2 8 2 2 3 3" xfId="13361"/>
    <cellStyle name="20% - Accent4 2 8 2 2 4" xfId="13362"/>
    <cellStyle name="20% - Accent4 2 8 2 2 4 2" xfId="13363"/>
    <cellStyle name="20% - Accent4 2 8 2 2 5" xfId="13364"/>
    <cellStyle name="20% - Accent4 2 8 2 3" xfId="13365"/>
    <cellStyle name="20% - Accent4 2 8 2 3 2" xfId="13366"/>
    <cellStyle name="20% - Accent4 2 8 2 3 2 2" xfId="13367"/>
    <cellStyle name="20% - Accent4 2 8 2 3 2 2 2" xfId="13368"/>
    <cellStyle name="20% - Accent4 2 8 2 3 2 2 2 2" xfId="13369"/>
    <cellStyle name="20% - Accent4 2 8 2 3 2 2 3" xfId="13370"/>
    <cellStyle name="20% - Accent4 2 8 2 3 2 3" xfId="13371"/>
    <cellStyle name="20% - Accent4 2 8 2 3 2 3 2" xfId="13372"/>
    <cellStyle name="20% - Accent4 2 8 2 3 2 4" xfId="13373"/>
    <cellStyle name="20% - Accent4 2 8 2 3 3" xfId="13374"/>
    <cellStyle name="20% - Accent4 2 8 2 3 3 2" xfId="13375"/>
    <cellStyle name="20% - Accent4 2 8 2 3 3 2 2" xfId="13376"/>
    <cellStyle name="20% - Accent4 2 8 2 3 3 3" xfId="13377"/>
    <cellStyle name="20% - Accent4 2 8 2 3 4" xfId="13378"/>
    <cellStyle name="20% - Accent4 2 8 2 3 4 2" xfId="13379"/>
    <cellStyle name="20% - Accent4 2 8 2 3 5" xfId="13380"/>
    <cellStyle name="20% - Accent4 2 8 2 4" xfId="13381"/>
    <cellStyle name="20% - Accent4 2 8 2 4 2" xfId="13382"/>
    <cellStyle name="20% - Accent4 2 8 2 4 2 2" xfId="13383"/>
    <cellStyle name="20% - Accent4 2 8 2 4 2 2 2" xfId="13384"/>
    <cellStyle name="20% - Accent4 2 8 2 4 2 2 2 2" xfId="13385"/>
    <cellStyle name="20% - Accent4 2 8 2 4 2 2 3" xfId="13386"/>
    <cellStyle name="20% - Accent4 2 8 2 4 2 3" xfId="13387"/>
    <cellStyle name="20% - Accent4 2 8 2 4 2 3 2" xfId="13388"/>
    <cellStyle name="20% - Accent4 2 8 2 4 2 4" xfId="13389"/>
    <cellStyle name="20% - Accent4 2 8 2 4 3" xfId="13390"/>
    <cellStyle name="20% - Accent4 2 8 2 4 3 2" xfId="13391"/>
    <cellStyle name="20% - Accent4 2 8 2 4 3 2 2" xfId="13392"/>
    <cellStyle name="20% - Accent4 2 8 2 4 3 3" xfId="13393"/>
    <cellStyle name="20% - Accent4 2 8 2 4 4" xfId="13394"/>
    <cellStyle name="20% - Accent4 2 8 2 4 4 2" xfId="13395"/>
    <cellStyle name="20% - Accent4 2 8 2 4 5" xfId="13396"/>
    <cellStyle name="20% - Accent4 2 8 2 5" xfId="13397"/>
    <cellStyle name="20% - Accent4 2 8 2 5 2" xfId="13398"/>
    <cellStyle name="20% - Accent4 2 8 2 5 2 2" xfId="13399"/>
    <cellStyle name="20% - Accent4 2 8 2 5 2 2 2" xfId="13400"/>
    <cellStyle name="20% - Accent4 2 8 2 5 2 2 2 2" xfId="13401"/>
    <cellStyle name="20% - Accent4 2 8 2 5 2 2 3" xfId="13402"/>
    <cellStyle name="20% - Accent4 2 8 2 5 2 3" xfId="13403"/>
    <cellStyle name="20% - Accent4 2 8 2 5 2 3 2" xfId="13404"/>
    <cellStyle name="20% - Accent4 2 8 2 5 2 4" xfId="13405"/>
    <cellStyle name="20% - Accent4 2 8 2 5 3" xfId="13406"/>
    <cellStyle name="20% - Accent4 2 8 2 5 3 2" xfId="13407"/>
    <cellStyle name="20% - Accent4 2 8 2 5 3 2 2" xfId="13408"/>
    <cellStyle name="20% - Accent4 2 8 2 5 3 3" xfId="13409"/>
    <cellStyle name="20% - Accent4 2 8 2 5 4" xfId="13410"/>
    <cellStyle name="20% - Accent4 2 8 2 5 4 2" xfId="13411"/>
    <cellStyle name="20% - Accent4 2 8 2 5 5" xfId="13412"/>
    <cellStyle name="20% - Accent4 2 8 2 6" xfId="13413"/>
    <cellStyle name="20% - Accent4 2 8 2 6 2" xfId="13414"/>
    <cellStyle name="20% - Accent4 2 8 2 6 2 2" xfId="13415"/>
    <cellStyle name="20% - Accent4 2 8 2 6 2 2 2" xfId="13416"/>
    <cellStyle name="20% - Accent4 2 8 2 6 2 2 2 2" xfId="13417"/>
    <cellStyle name="20% - Accent4 2 8 2 6 2 2 3" xfId="13418"/>
    <cellStyle name="20% - Accent4 2 8 2 6 2 3" xfId="13419"/>
    <cellStyle name="20% - Accent4 2 8 2 6 2 3 2" xfId="13420"/>
    <cellStyle name="20% - Accent4 2 8 2 6 2 4" xfId="13421"/>
    <cellStyle name="20% - Accent4 2 8 2 6 3" xfId="13422"/>
    <cellStyle name="20% - Accent4 2 8 2 6 3 2" xfId="13423"/>
    <cellStyle name="20% - Accent4 2 8 2 6 3 2 2" xfId="13424"/>
    <cellStyle name="20% - Accent4 2 8 2 6 3 3" xfId="13425"/>
    <cellStyle name="20% - Accent4 2 8 2 6 4" xfId="13426"/>
    <cellStyle name="20% - Accent4 2 8 2 6 4 2" xfId="13427"/>
    <cellStyle name="20% - Accent4 2 8 2 6 5" xfId="13428"/>
    <cellStyle name="20% - Accent4 2 8 2 7" xfId="13429"/>
    <cellStyle name="20% - Accent4 2 8 2 7 2" xfId="13430"/>
    <cellStyle name="20% - Accent4 2 8 2 7 2 2" xfId="13431"/>
    <cellStyle name="20% - Accent4 2 8 2 7 2 2 2" xfId="13432"/>
    <cellStyle name="20% - Accent4 2 8 2 7 2 3" xfId="13433"/>
    <cellStyle name="20% - Accent4 2 8 2 7 3" xfId="13434"/>
    <cellStyle name="20% - Accent4 2 8 2 7 3 2" xfId="13435"/>
    <cellStyle name="20% - Accent4 2 8 2 7 4" xfId="13436"/>
    <cellStyle name="20% - Accent4 2 8 2 8" xfId="13437"/>
    <cellStyle name="20% - Accent4 2 8 2 8 2" xfId="13438"/>
    <cellStyle name="20% - Accent4 2 8 2 8 2 2" xfId="13439"/>
    <cellStyle name="20% - Accent4 2 8 2 8 3" xfId="13440"/>
    <cellStyle name="20% - Accent4 2 8 2 9" xfId="13441"/>
    <cellStyle name="20% - Accent4 2 8 2 9 2" xfId="13442"/>
    <cellStyle name="20% - Accent4 2 8 3" xfId="13443"/>
    <cellStyle name="20% - Accent4 2 8 3 2" xfId="13444"/>
    <cellStyle name="20% - Accent4 2 8 3 2 2" xfId="13445"/>
    <cellStyle name="20% - Accent4 2 8 3 2 2 2" xfId="13446"/>
    <cellStyle name="20% - Accent4 2 8 3 2 2 2 2" xfId="13447"/>
    <cellStyle name="20% - Accent4 2 8 3 2 2 3" xfId="13448"/>
    <cellStyle name="20% - Accent4 2 8 3 2 3" xfId="13449"/>
    <cellStyle name="20% - Accent4 2 8 3 2 3 2" xfId="13450"/>
    <cellStyle name="20% - Accent4 2 8 3 2 4" xfId="13451"/>
    <cellStyle name="20% - Accent4 2 8 3 3" xfId="13452"/>
    <cellStyle name="20% - Accent4 2 8 3 3 2" xfId="13453"/>
    <cellStyle name="20% - Accent4 2 8 3 3 2 2" xfId="13454"/>
    <cellStyle name="20% - Accent4 2 8 3 3 3" xfId="13455"/>
    <cellStyle name="20% - Accent4 2 8 3 4" xfId="13456"/>
    <cellStyle name="20% - Accent4 2 8 3 4 2" xfId="13457"/>
    <cellStyle name="20% - Accent4 2 8 3 5" xfId="13458"/>
    <cellStyle name="20% - Accent4 2 8 4" xfId="13459"/>
    <cellStyle name="20% - Accent4 2 8 4 2" xfId="13460"/>
    <cellStyle name="20% - Accent4 2 8 4 2 2" xfId="13461"/>
    <cellStyle name="20% - Accent4 2 8 4 2 2 2" xfId="13462"/>
    <cellStyle name="20% - Accent4 2 8 4 2 2 2 2" xfId="13463"/>
    <cellStyle name="20% - Accent4 2 8 4 2 2 3" xfId="13464"/>
    <cellStyle name="20% - Accent4 2 8 4 2 3" xfId="13465"/>
    <cellStyle name="20% - Accent4 2 8 4 2 3 2" xfId="13466"/>
    <cellStyle name="20% - Accent4 2 8 4 2 4" xfId="13467"/>
    <cellStyle name="20% - Accent4 2 8 4 3" xfId="13468"/>
    <cellStyle name="20% - Accent4 2 8 4 3 2" xfId="13469"/>
    <cellStyle name="20% - Accent4 2 8 4 3 2 2" xfId="13470"/>
    <cellStyle name="20% - Accent4 2 8 4 3 3" xfId="13471"/>
    <cellStyle name="20% - Accent4 2 8 4 4" xfId="13472"/>
    <cellStyle name="20% - Accent4 2 8 4 4 2" xfId="13473"/>
    <cellStyle name="20% - Accent4 2 8 4 5" xfId="13474"/>
    <cellStyle name="20% - Accent4 2 8 5" xfId="13475"/>
    <cellStyle name="20% - Accent4 2 8 5 2" xfId="13476"/>
    <cellStyle name="20% - Accent4 2 8 5 2 2" xfId="13477"/>
    <cellStyle name="20% - Accent4 2 8 5 2 2 2" xfId="13478"/>
    <cellStyle name="20% - Accent4 2 8 5 2 2 2 2" xfId="13479"/>
    <cellStyle name="20% - Accent4 2 8 5 2 2 3" xfId="13480"/>
    <cellStyle name="20% - Accent4 2 8 5 2 3" xfId="13481"/>
    <cellStyle name="20% - Accent4 2 8 5 2 3 2" xfId="13482"/>
    <cellStyle name="20% - Accent4 2 8 5 2 4" xfId="13483"/>
    <cellStyle name="20% - Accent4 2 8 5 3" xfId="13484"/>
    <cellStyle name="20% - Accent4 2 8 5 3 2" xfId="13485"/>
    <cellStyle name="20% - Accent4 2 8 5 3 2 2" xfId="13486"/>
    <cellStyle name="20% - Accent4 2 8 5 3 3" xfId="13487"/>
    <cellStyle name="20% - Accent4 2 8 5 4" xfId="13488"/>
    <cellStyle name="20% - Accent4 2 8 5 4 2" xfId="13489"/>
    <cellStyle name="20% - Accent4 2 8 5 5" xfId="13490"/>
    <cellStyle name="20% - Accent4 2 8 6" xfId="13491"/>
    <cellStyle name="20% - Accent4 2 8 6 2" xfId="13492"/>
    <cellStyle name="20% - Accent4 2 8 6 2 2" xfId="13493"/>
    <cellStyle name="20% - Accent4 2 8 6 2 2 2" xfId="13494"/>
    <cellStyle name="20% - Accent4 2 8 6 2 2 2 2" xfId="13495"/>
    <cellStyle name="20% - Accent4 2 8 6 2 2 3" xfId="13496"/>
    <cellStyle name="20% - Accent4 2 8 6 2 3" xfId="13497"/>
    <cellStyle name="20% - Accent4 2 8 6 2 3 2" xfId="13498"/>
    <cellStyle name="20% - Accent4 2 8 6 2 4" xfId="13499"/>
    <cellStyle name="20% - Accent4 2 8 6 3" xfId="13500"/>
    <cellStyle name="20% - Accent4 2 8 6 3 2" xfId="13501"/>
    <cellStyle name="20% - Accent4 2 8 6 3 2 2" xfId="13502"/>
    <cellStyle name="20% - Accent4 2 8 6 3 3" xfId="13503"/>
    <cellStyle name="20% - Accent4 2 8 6 4" xfId="13504"/>
    <cellStyle name="20% - Accent4 2 8 6 4 2" xfId="13505"/>
    <cellStyle name="20% - Accent4 2 8 6 5" xfId="13506"/>
    <cellStyle name="20% - Accent4 2 8 7" xfId="13507"/>
    <cellStyle name="20% - Accent4 2 8 7 2" xfId="13508"/>
    <cellStyle name="20% - Accent4 2 8 7 2 2" xfId="13509"/>
    <cellStyle name="20% - Accent4 2 8 7 2 2 2" xfId="13510"/>
    <cellStyle name="20% - Accent4 2 8 7 2 2 2 2" xfId="13511"/>
    <cellStyle name="20% - Accent4 2 8 7 2 2 3" xfId="13512"/>
    <cellStyle name="20% - Accent4 2 8 7 2 3" xfId="13513"/>
    <cellStyle name="20% - Accent4 2 8 7 2 3 2" xfId="13514"/>
    <cellStyle name="20% - Accent4 2 8 7 2 4" xfId="13515"/>
    <cellStyle name="20% - Accent4 2 8 7 3" xfId="13516"/>
    <cellStyle name="20% - Accent4 2 8 7 3 2" xfId="13517"/>
    <cellStyle name="20% - Accent4 2 8 7 3 2 2" xfId="13518"/>
    <cellStyle name="20% - Accent4 2 8 7 3 3" xfId="13519"/>
    <cellStyle name="20% - Accent4 2 8 7 4" xfId="13520"/>
    <cellStyle name="20% - Accent4 2 8 7 4 2" xfId="13521"/>
    <cellStyle name="20% - Accent4 2 8 7 5" xfId="13522"/>
    <cellStyle name="20% - Accent4 2 8 8" xfId="13523"/>
    <cellStyle name="20% - Accent4 2 8 8 2" xfId="13524"/>
    <cellStyle name="20% - Accent4 2 8 8 2 2" xfId="13525"/>
    <cellStyle name="20% - Accent4 2 8 8 2 2 2" xfId="13526"/>
    <cellStyle name="20% - Accent4 2 8 8 2 3" xfId="13527"/>
    <cellStyle name="20% - Accent4 2 8 8 3" xfId="13528"/>
    <cellStyle name="20% - Accent4 2 8 8 3 2" xfId="13529"/>
    <cellStyle name="20% - Accent4 2 8 8 4" xfId="13530"/>
    <cellStyle name="20% - Accent4 2 8 9" xfId="13531"/>
    <cellStyle name="20% - Accent4 2 8 9 2" xfId="13532"/>
    <cellStyle name="20% - Accent4 2 8 9 2 2" xfId="13533"/>
    <cellStyle name="20% - Accent4 2 8 9 3" xfId="13534"/>
    <cellStyle name="20% - Accent4 2 9" xfId="13535"/>
    <cellStyle name="20% - Accent4 2 9 10" xfId="13536"/>
    <cellStyle name="20% - Accent4 2 9 10 2" xfId="13537"/>
    <cellStyle name="20% - Accent4 2 9 11" xfId="13538"/>
    <cellStyle name="20% - Accent4 2 9 2" xfId="13539"/>
    <cellStyle name="20% - Accent4 2 9 2 10" xfId="13540"/>
    <cellStyle name="20% - Accent4 2 9 2 2" xfId="13541"/>
    <cellStyle name="20% - Accent4 2 9 2 2 2" xfId="13542"/>
    <cellStyle name="20% - Accent4 2 9 2 2 2 2" xfId="13543"/>
    <cellStyle name="20% - Accent4 2 9 2 2 2 2 2" xfId="13544"/>
    <cellStyle name="20% - Accent4 2 9 2 2 2 2 2 2" xfId="13545"/>
    <cellStyle name="20% - Accent4 2 9 2 2 2 2 3" xfId="13546"/>
    <cellStyle name="20% - Accent4 2 9 2 2 2 3" xfId="13547"/>
    <cellStyle name="20% - Accent4 2 9 2 2 2 3 2" xfId="13548"/>
    <cellStyle name="20% - Accent4 2 9 2 2 2 4" xfId="13549"/>
    <cellStyle name="20% - Accent4 2 9 2 2 3" xfId="13550"/>
    <cellStyle name="20% - Accent4 2 9 2 2 3 2" xfId="13551"/>
    <cellStyle name="20% - Accent4 2 9 2 2 3 2 2" xfId="13552"/>
    <cellStyle name="20% - Accent4 2 9 2 2 3 3" xfId="13553"/>
    <cellStyle name="20% - Accent4 2 9 2 2 4" xfId="13554"/>
    <cellStyle name="20% - Accent4 2 9 2 2 4 2" xfId="13555"/>
    <cellStyle name="20% - Accent4 2 9 2 2 5" xfId="13556"/>
    <cellStyle name="20% - Accent4 2 9 2 3" xfId="13557"/>
    <cellStyle name="20% - Accent4 2 9 2 3 2" xfId="13558"/>
    <cellStyle name="20% - Accent4 2 9 2 3 2 2" xfId="13559"/>
    <cellStyle name="20% - Accent4 2 9 2 3 2 2 2" xfId="13560"/>
    <cellStyle name="20% - Accent4 2 9 2 3 2 2 2 2" xfId="13561"/>
    <cellStyle name="20% - Accent4 2 9 2 3 2 2 3" xfId="13562"/>
    <cellStyle name="20% - Accent4 2 9 2 3 2 3" xfId="13563"/>
    <cellStyle name="20% - Accent4 2 9 2 3 2 3 2" xfId="13564"/>
    <cellStyle name="20% - Accent4 2 9 2 3 2 4" xfId="13565"/>
    <cellStyle name="20% - Accent4 2 9 2 3 3" xfId="13566"/>
    <cellStyle name="20% - Accent4 2 9 2 3 3 2" xfId="13567"/>
    <cellStyle name="20% - Accent4 2 9 2 3 3 2 2" xfId="13568"/>
    <cellStyle name="20% - Accent4 2 9 2 3 3 3" xfId="13569"/>
    <cellStyle name="20% - Accent4 2 9 2 3 4" xfId="13570"/>
    <cellStyle name="20% - Accent4 2 9 2 3 4 2" xfId="13571"/>
    <cellStyle name="20% - Accent4 2 9 2 3 5" xfId="13572"/>
    <cellStyle name="20% - Accent4 2 9 2 4" xfId="13573"/>
    <cellStyle name="20% - Accent4 2 9 2 4 2" xfId="13574"/>
    <cellStyle name="20% - Accent4 2 9 2 4 2 2" xfId="13575"/>
    <cellStyle name="20% - Accent4 2 9 2 4 2 2 2" xfId="13576"/>
    <cellStyle name="20% - Accent4 2 9 2 4 2 2 2 2" xfId="13577"/>
    <cellStyle name="20% - Accent4 2 9 2 4 2 2 3" xfId="13578"/>
    <cellStyle name="20% - Accent4 2 9 2 4 2 3" xfId="13579"/>
    <cellStyle name="20% - Accent4 2 9 2 4 2 3 2" xfId="13580"/>
    <cellStyle name="20% - Accent4 2 9 2 4 2 4" xfId="13581"/>
    <cellStyle name="20% - Accent4 2 9 2 4 3" xfId="13582"/>
    <cellStyle name="20% - Accent4 2 9 2 4 3 2" xfId="13583"/>
    <cellStyle name="20% - Accent4 2 9 2 4 3 2 2" xfId="13584"/>
    <cellStyle name="20% - Accent4 2 9 2 4 3 3" xfId="13585"/>
    <cellStyle name="20% - Accent4 2 9 2 4 4" xfId="13586"/>
    <cellStyle name="20% - Accent4 2 9 2 4 4 2" xfId="13587"/>
    <cellStyle name="20% - Accent4 2 9 2 4 5" xfId="13588"/>
    <cellStyle name="20% - Accent4 2 9 2 5" xfId="13589"/>
    <cellStyle name="20% - Accent4 2 9 2 5 2" xfId="13590"/>
    <cellStyle name="20% - Accent4 2 9 2 5 2 2" xfId="13591"/>
    <cellStyle name="20% - Accent4 2 9 2 5 2 2 2" xfId="13592"/>
    <cellStyle name="20% - Accent4 2 9 2 5 2 2 2 2" xfId="13593"/>
    <cellStyle name="20% - Accent4 2 9 2 5 2 2 3" xfId="13594"/>
    <cellStyle name="20% - Accent4 2 9 2 5 2 3" xfId="13595"/>
    <cellStyle name="20% - Accent4 2 9 2 5 2 3 2" xfId="13596"/>
    <cellStyle name="20% - Accent4 2 9 2 5 2 4" xfId="13597"/>
    <cellStyle name="20% - Accent4 2 9 2 5 3" xfId="13598"/>
    <cellStyle name="20% - Accent4 2 9 2 5 3 2" xfId="13599"/>
    <cellStyle name="20% - Accent4 2 9 2 5 3 2 2" xfId="13600"/>
    <cellStyle name="20% - Accent4 2 9 2 5 3 3" xfId="13601"/>
    <cellStyle name="20% - Accent4 2 9 2 5 4" xfId="13602"/>
    <cellStyle name="20% - Accent4 2 9 2 5 4 2" xfId="13603"/>
    <cellStyle name="20% - Accent4 2 9 2 5 5" xfId="13604"/>
    <cellStyle name="20% - Accent4 2 9 2 6" xfId="13605"/>
    <cellStyle name="20% - Accent4 2 9 2 6 2" xfId="13606"/>
    <cellStyle name="20% - Accent4 2 9 2 6 2 2" xfId="13607"/>
    <cellStyle name="20% - Accent4 2 9 2 6 2 2 2" xfId="13608"/>
    <cellStyle name="20% - Accent4 2 9 2 6 2 2 2 2" xfId="13609"/>
    <cellStyle name="20% - Accent4 2 9 2 6 2 2 3" xfId="13610"/>
    <cellStyle name="20% - Accent4 2 9 2 6 2 3" xfId="13611"/>
    <cellStyle name="20% - Accent4 2 9 2 6 2 3 2" xfId="13612"/>
    <cellStyle name="20% - Accent4 2 9 2 6 2 4" xfId="13613"/>
    <cellStyle name="20% - Accent4 2 9 2 6 3" xfId="13614"/>
    <cellStyle name="20% - Accent4 2 9 2 6 3 2" xfId="13615"/>
    <cellStyle name="20% - Accent4 2 9 2 6 3 2 2" xfId="13616"/>
    <cellStyle name="20% - Accent4 2 9 2 6 3 3" xfId="13617"/>
    <cellStyle name="20% - Accent4 2 9 2 6 4" xfId="13618"/>
    <cellStyle name="20% - Accent4 2 9 2 6 4 2" xfId="13619"/>
    <cellStyle name="20% - Accent4 2 9 2 6 5" xfId="13620"/>
    <cellStyle name="20% - Accent4 2 9 2 7" xfId="13621"/>
    <cellStyle name="20% - Accent4 2 9 2 7 2" xfId="13622"/>
    <cellStyle name="20% - Accent4 2 9 2 7 2 2" xfId="13623"/>
    <cellStyle name="20% - Accent4 2 9 2 7 2 2 2" xfId="13624"/>
    <cellStyle name="20% - Accent4 2 9 2 7 2 3" xfId="13625"/>
    <cellStyle name="20% - Accent4 2 9 2 7 3" xfId="13626"/>
    <cellStyle name="20% - Accent4 2 9 2 7 3 2" xfId="13627"/>
    <cellStyle name="20% - Accent4 2 9 2 7 4" xfId="13628"/>
    <cellStyle name="20% - Accent4 2 9 2 8" xfId="13629"/>
    <cellStyle name="20% - Accent4 2 9 2 8 2" xfId="13630"/>
    <cellStyle name="20% - Accent4 2 9 2 8 2 2" xfId="13631"/>
    <cellStyle name="20% - Accent4 2 9 2 8 3" xfId="13632"/>
    <cellStyle name="20% - Accent4 2 9 2 9" xfId="13633"/>
    <cellStyle name="20% - Accent4 2 9 2 9 2" xfId="13634"/>
    <cellStyle name="20% - Accent4 2 9 3" xfId="13635"/>
    <cellStyle name="20% - Accent4 2 9 3 2" xfId="13636"/>
    <cellStyle name="20% - Accent4 2 9 3 2 2" xfId="13637"/>
    <cellStyle name="20% - Accent4 2 9 3 2 2 2" xfId="13638"/>
    <cellStyle name="20% - Accent4 2 9 3 2 2 2 2" xfId="13639"/>
    <cellStyle name="20% - Accent4 2 9 3 2 2 3" xfId="13640"/>
    <cellStyle name="20% - Accent4 2 9 3 2 3" xfId="13641"/>
    <cellStyle name="20% - Accent4 2 9 3 2 3 2" xfId="13642"/>
    <cellStyle name="20% - Accent4 2 9 3 2 4" xfId="13643"/>
    <cellStyle name="20% - Accent4 2 9 3 3" xfId="13644"/>
    <cellStyle name="20% - Accent4 2 9 3 3 2" xfId="13645"/>
    <cellStyle name="20% - Accent4 2 9 3 3 2 2" xfId="13646"/>
    <cellStyle name="20% - Accent4 2 9 3 3 3" xfId="13647"/>
    <cellStyle name="20% - Accent4 2 9 3 4" xfId="13648"/>
    <cellStyle name="20% - Accent4 2 9 3 4 2" xfId="13649"/>
    <cellStyle name="20% - Accent4 2 9 3 5" xfId="13650"/>
    <cellStyle name="20% - Accent4 2 9 4" xfId="13651"/>
    <cellStyle name="20% - Accent4 2 9 4 2" xfId="13652"/>
    <cellStyle name="20% - Accent4 2 9 4 2 2" xfId="13653"/>
    <cellStyle name="20% - Accent4 2 9 4 2 2 2" xfId="13654"/>
    <cellStyle name="20% - Accent4 2 9 4 2 2 2 2" xfId="13655"/>
    <cellStyle name="20% - Accent4 2 9 4 2 2 3" xfId="13656"/>
    <cellStyle name="20% - Accent4 2 9 4 2 3" xfId="13657"/>
    <cellStyle name="20% - Accent4 2 9 4 2 3 2" xfId="13658"/>
    <cellStyle name="20% - Accent4 2 9 4 2 4" xfId="13659"/>
    <cellStyle name="20% - Accent4 2 9 4 3" xfId="13660"/>
    <cellStyle name="20% - Accent4 2 9 4 3 2" xfId="13661"/>
    <cellStyle name="20% - Accent4 2 9 4 3 2 2" xfId="13662"/>
    <cellStyle name="20% - Accent4 2 9 4 3 3" xfId="13663"/>
    <cellStyle name="20% - Accent4 2 9 4 4" xfId="13664"/>
    <cellStyle name="20% - Accent4 2 9 4 4 2" xfId="13665"/>
    <cellStyle name="20% - Accent4 2 9 4 5" xfId="13666"/>
    <cellStyle name="20% - Accent4 2 9 5" xfId="13667"/>
    <cellStyle name="20% - Accent4 2 9 5 2" xfId="13668"/>
    <cellStyle name="20% - Accent4 2 9 5 2 2" xfId="13669"/>
    <cellStyle name="20% - Accent4 2 9 5 2 2 2" xfId="13670"/>
    <cellStyle name="20% - Accent4 2 9 5 2 2 2 2" xfId="13671"/>
    <cellStyle name="20% - Accent4 2 9 5 2 2 3" xfId="13672"/>
    <cellStyle name="20% - Accent4 2 9 5 2 3" xfId="13673"/>
    <cellStyle name="20% - Accent4 2 9 5 2 3 2" xfId="13674"/>
    <cellStyle name="20% - Accent4 2 9 5 2 4" xfId="13675"/>
    <cellStyle name="20% - Accent4 2 9 5 3" xfId="13676"/>
    <cellStyle name="20% - Accent4 2 9 5 3 2" xfId="13677"/>
    <cellStyle name="20% - Accent4 2 9 5 3 2 2" xfId="13678"/>
    <cellStyle name="20% - Accent4 2 9 5 3 3" xfId="13679"/>
    <cellStyle name="20% - Accent4 2 9 5 4" xfId="13680"/>
    <cellStyle name="20% - Accent4 2 9 5 4 2" xfId="13681"/>
    <cellStyle name="20% - Accent4 2 9 5 5" xfId="13682"/>
    <cellStyle name="20% - Accent4 2 9 6" xfId="13683"/>
    <cellStyle name="20% - Accent4 2 9 6 2" xfId="13684"/>
    <cellStyle name="20% - Accent4 2 9 6 2 2" xfId="13685"/>
    <cellStyle name="20% - Accent4 2 9 6 2 2 2" xfId="13686"/>
    <cellStyle name="20% - Accent4 2 9 6 2 2 2 2" xfId="13687"/>
    <cellStyle name="20% - Accent4 2 9 6 2 2 3" xfId="13688"/>
    <cellStyle name="20% - Accent4 2 9 6 2 3" xfId="13689"/>
    <cellStyle name="20% - Accent4 2 9 6 2 3 2" xfId="13690"/>
    <cellStyle name="20% - Accent4 2 9 6 2 4" xfId="13691"/>
    <cellStyle name="20% - Accent4 2 9 6 3" xfId="13692"/>
    <cellStyle name="20% - Accent4 2 9 6 3 2" xfId="13693"/>
    <cellStyle name="20% - Accent4 2 9 6 3 2 2" xfId="13694"/>
    <cellStyle name="20% - Accent4 2 9 6 3 3" xfId="13695"/>
    <cellStyle name="20% - Accent4 2 9 6 4" xfId="13696"/>
    <cellStyle name="20% - Accent4 2 9 6 4 2" xfId="13697"/>
    <cellStyle name="20% - Accent4 2 9 6 5" xfId="13698"/>
    <cellStyle name="20% - Accent4 2 9 7" xfId="13699"/>
    <cellStyle name="20% - Accent4 2 9 7 2" xfId="13700"/>
    <cellStyle name="20% - Accent4 2 9 7 2 2" xfId="13701"/>
    <cellStyle name="20% - Accent4 2 9 7 2 2 2" xfId="13702"/>
    <cellStyle name="20% - Accent4 2 9 7 2 2 2 2" xfId="13703"/>
    <cellStyle name="20% - Accent4 2 9 7 2 2 3" xfId="13704"/>
    <cellStyle name="20% - Accent4 2 9 7 2 3" xfId="13705"/>
    <cellStyle name="20% - Accent4 2 9 7 2 3 2" xfId="13706"/>
    <cellStyle name="20% - Accent4 2 9 7 2 4" xfId="13707"/>
    <cellStyle name="20% - Accent4 2 9 7 3" xfId="13708"/>
    <cellStyle name="20% - Accent4 2 9 7 3 2" xfId="13709"/>
    <cellStyle name="20% - Accent4 2 9 7 3 2 2" xfId="13710"/>
    <cellStyle name="20% - Accent4 2 9 7 3 3" xfId="13711"/>
    <cellStyle name="20% - Accent4 2 9 7 4" xfId="13712"/>
    <cellStyle name="20% - Accent4 2 9 7 4 2" xfId="13713"/>
    <cellStyle name="20% - Accent4 2 9 7 5" xfId="13714"/>
    <cellStyle name="20% - Accent4 2 9 8" xfId="13715"/>
    <cellStyle name="20% - Accent4 2 9 8 2" xfId="13716"/>
    <cellStyle name="20% - Accent4 2 9 8 2 2" xfId="13717"/>
    <cellStyle name="20% - Accent4 2 9 8 2 2 2" xfId="13718"/>
    <cellStyle name="20% - Accent4 2 9 8 2 3" xfId="13719"/>
    <cellStyle name="20% - Accent4 2 9 8 3" xfId="13720"/>
    <cellStyle name="20% - Accent4 2 9 8 3 2" xfId="13721"/>
    <cellStyle name="20% - Accent4 2 9 8 4" xfId="13722"/>
    <cellStyle name="20% - Accent4 2 9 9" xfId="13723"/>
    <cellStyle name="20% - Accent4 2 9 9 2" xfId="13724"/>
    <cellStyle name="20% - Accent4 2 9 9 2 2" xfId="13725"/>
    <cellStyle name="20% - Accent4 2 9 9 3" xfId="13726"/>
    <cellStyle name="20% - Accent4 20" xfId="13727"/>
    <cellStyle name="20% - Accent4 20 2" xfId="13728"/>
    <cellStyle name="20% - Accent4 20 2 2" xfId="13729"/>
    <cellStyle name="20% - Accent4 20 2 2 2" xfId="13730"/>
    <cellStyle name="20% - Accent4 20 2 2 2 2" xfId="13731"/>
    <cellStyle name="20% - Accent4 20 2 2 3" xfId="13732"/>
    <cellStyle name="20% - Accent4 20 2 3" xfId="13733"/>
    <cellStyle name="20% - Accent4 20 2 3 2" xfId="13734"/>
    <cellStyle name="20% - Accent4 20 2 4" xfId="13735"/>
    <cellStyle name="20% - Accent4 20 3" xfId="13736"/>
    <cellStyle name="20% - Accent4 20 3 2" xfId="13737"/>
    <cellStyle name="20% - Accent4 20 3 2 2" xfId="13738"/>
    <cellStyle name="20% - Accent4 20 3 3" xfId="13739"/>
    <cellStyle name="20% - Accent4 20 4" xfId="13740"/>
    <cellStyle name="20% - Accent4 20 4 2" xfId="13741"/>
    <cellStyle name="20% - Accent4 20 5" xfId="13742"/>
    <cellStyle name="20% - Accent4 21" xfId="13743"/>
    <cellStyle name="20% - Accent4 21 2" xfId="13744"/>
    <cellStyle name="20% - Accent4 21 2 2" xfId="13745"/>
    <cellStyle name="20% - Accent4 21 2 2 2" xfId="13746"/>
    <cellStyle name="20% - Accent4 21 2 3" xfId="13747"/>
    <cellStyle name="20% - Accent4 21 3" xfId="13748"/>
    <cellStyle name="20% - Accent4 21 3 2" xfId="13749"/>
    <cellStyle name="20% - Accent4 21 4" xfId="13750"/>
    <cellStyle name="20% - Accent4 22" xfId="13751"/>
    <cellStyle name="20% - Accent4 22 2" xfId="13752"/>
    <cellStyle name="20% - Accent4 22 2 2" xfId="13753"/>
    <cellStyle name="20% - Accent4 22 3" xfId="13754"/>
    <cellStyle name="20% - Accent4 23" xfId="13755"/>
    <cellStyle name="20% - Accent4 23 2" xfId="13756"/>
    <cellStyle name="20% - Accent4 24" xfId="13757"/>
    <cellStyle name="20% - Accent4 3" xfId="13758"/>
    <cellStyle name="20% - Accent4 3 10" xfId="13759"/>
    <cellStyle name="20% - Accent4 3 10 2" xfId="13760"/>
    <cellStyle name="20% - Accent4 3 11" xfId="13761"/>
    <cellStyle name="20% - Accent4 3 2" xfId="13762"/>
    <cellStyle name="20% - Accent4 3 2 10" xfId="13763"/>
    <cellStyle name="20% - Accent4 3 2 2" xfId="13764"/>
    <cellStyle name="20% - Accent4 3 2 2 2" xfId="13765"/>
    <cellStyle name="20% - Accent4 3 2 2 2 2" xfId="13766"/>
    <cellStyle name="20% - Accent4 3 2 2 2 2 2" xfId="13767"/>
    <cellStyle name="20% - Accent4 3 2 2 2 2 2 2" xfId="13768"/>
    <cellStyle name="20% - Accent4 3 2 2 2 2 3" xfId="13769"/>
    <cellStyle name="20% - Accent4 3 2 2 2 3" xfId="13770"/>
    <cellStyle name="20% - Accent4 3 2 2 2 3 2" xfId="13771"/>
    <cellStyle name="20% - Accent4 3 2 2 2 4" xfId="13772"/>
    <cellStyle name="20% - Accent4 3 2 2 3" xfId="13773"/>
    <cellStyle name="20% - Accent4 3 2 2 3 2" xfId="13774"/>
    <cellStyle name="20% - Accent4 3 2 2 3 2 2" xfId="13775"/>
    <cellStyle name="20% - Accent4 3 2 2 3 3" xfId="13776"/>
    <cellStyle name="20% - Accent4 3 2 2 4" xfId="13777"/>
    <cellStyle name="20% - Accent4 3 2 2 4 2" xfId="13778"/>
    <cellStyle name="20% - Accent4 3 2 2 5" xfId="13779"/>
    <cellStyle name="20% - Accent4 3 2 3" xfId="13780"/>
    <cellStyle name="20% - Accent4 3 2 3 2" xfId="13781"/>
    <cellStyle name="20% - Accent4 3 2 3 2 2" xfId="13782"/>
    <cellStyle name="20% - Accent4 3 2 3 2 2 2" xfId="13783"/>
    <cellStyle name="20% - Accent4 3 2 3 2 2 2 2" xfId="13784"/>
    <cellStyle name="20% - Accent4 3 2 3 2 2 3" xfId="13785"/>
    <cellStyle name="20% - Accent4 3 2 3 2 3" xfId="13786"/>
    <cellStyle name="20% - Accent4 3 2 3 2 3 2" xfId="13787"/>
    <cellStyle name="20% - Accent4 3 2 3 2 4" xfId="13788"/>
    <cellStyle name="20% - Accent4 3 2 3 3" xfId="13789"/>
    <cellStyle name="20% - Accent4 3 2 3 3 2" xfId="13790"/>
    <cellStyle name="20% - Accent4 3 2 3 3 2 2" xfId="13791"/>
    <cellStyle name="20% - Accent4 3 2 3 3 3" xfId="13792"/>
    <cellStyle name="20% - Accent4 3 2 3 4" xfId="13793"/>
    <cellStyle name="20% - Accent4 3 2 3 4 2" xfId="13794"/>
    <cellStyle name="20% - Accent4 3 2 3 5" xfId="13795"/>
    <cellStyle name="20% - Accent4 3 2 4" xfId="13796"/>
    <cellStyle name="20% - Accent4 3 2 4 2" xfId="13797"/>
    <cellStyle name="20% - Accent4 3 2 4 2 2" xfId="13798"/>
    <cellStyle name="20% - Accent4 3 2 4 2 2 2" xfId="13799"/>
    <cellStyle name="20% - Accent4 3 2 4 2 2 2 2" xfId="13800"/>
    <cellStyle name="20% - Accent4 3 2 4 2 2 3" xfId="13801"/>
    <cellStyle name="20% - Accent4 3 2 4 2 3" xfId="13802"/>
    <cellStyle name="20% - Accent4 3 2 4 2 3 2" xfId="13803"/>
    <cellStyle name="20% - Accent4 3 2 4 2 4" xfId="13804"/>
    <cellStyle name="20% - Accent4 3 2 4 3" xfId="13805"/>
    <cellStyle name="20% - Accent4 3 2 4 3 2" xfId="13806"/>
    <cellStyle name="20% - Accent4 3 2 4 3 2 2" xfId="13807"/>
    <cellStyle name="20% - Accent4 3 2 4 3 3" xfId="13808"/>
    <cellStyle name="20% - Accent4 3 2 4 4" xfId="13809"/>
    <cellStyle name="20% - Accent4 3 2 4 4 2" xfId="13810"/>
    <cellStyle name="20% - Accent4 3 2 4 5" xfId="13811"/>
    <cellStyle name="20% - Accent4 3 2 5" xfId="13812"/>
    <cellStyle name="20% - Accent4 3 2 5 2" xfId="13813"/>
    <cellStyle name="20% - Accent4 3 2 5 2 2" xfId="13814"/>
    <cellStyle name="20% - Accent4 3 2 5 2 2 2" xfId="13815"/>
    <cellStyle name="20% - Accent4 3 2 5 2 2 2 2" xfId="13816"/>
    <cellStyle name="20% - Accent4 3 2 5 2 2 3" xfId="13817"/>
    <cellStyle name="20% - Accent4 3 2 5 2 3" xfId="13818"/>
    <cellStyle name="20% - Accent4 3 2 5 2 3 2" xfId="13819"/>
    <cellStyle name="20% - Accent4 3 2 5 2 4" xfId="13820"/>
    <cellStyle name="20% - Accent4 3 2 5 3" xfId="13821"/>
    <cellStyle name="20% - Accent4 3 2 5 3 2" xfId="13822"/>
    <cellStyle name="20% - Accent4 3 2 5 3 2 2" xfId="13823"/>
    <cellStyle name="20% - Accent4 3 2 5 3 3" xfId="13824"/>
    <cellStyle name="20% - Accent4 3 2 5 4" xfId="13825"/>
    <cellStyle name="20% - Accent4 3 2 5 4 2" xfId="13826"/>
    <cellStyle name="20% - Accent4 3 2 5 5" xfId="13827"/>
    <cellStyle name="20% - Accent4 3 2 6" xfId="13828"/>
    <cellStyle name="20% - Accent4 3 2 6 2" xfId="13829"/>
    <cellStyle name="20% - Accent4 3 2 6 2 2" xfId="13830"/>
    <cellStyle name="20% - Accent4 3 2 6 2 2 2" xfId="13831"/>
    <cellStyle name="20% - Accent4 3 2 6 2 2 2 2" xfId="13832"/>
    <cellStyle name="20% - Accent4 3 2 6 2 2 3" xfId="13833"/>
    <cellStyle name="20% - Accent4 3 2 6 2 3" xfId="13834"/>
    <cellStyle name="20% - Accent4 3 2 6 2 3 2" xfId="13835"/>
    <cellStyle name="20% - Accent4 3 2 6 2 4" xfId="13836"/>
    <cellStyle name="20% - Accent4 3 2 6 3" xfId="13837"/>
    <cellStyle name="20% - Accent4 3 2 6 3 2" xfId="13838"/>
    <cellStyle name="20% - Accent4 3 2 6 3 2 2" xfId="13839"/>
    <cellStyle name="20% - Accent4 3 2 6 3 3" xfId="13840"/>
    <cellStyle name="20% - Accent4 3 2 6 4" xfId="13841"/>
    <cellStyle name="20% - Accent4 3 2 6 4 2" xfId="13842"/>
    <cellStyle name="20% - Accent4 3 2 6 5" xfId="13843"/>
    <cellStyle name="20% - Accent4 3 2 7" xfId="13844"/>
    <cellStyle name="20% - Accent4 3 2 7 2" xfId="13845"/>
    <cellStyle name="20% - Accent4 3 2 7 2 2" xfId="13846"/>
    <cellStyle name="20% - Accent4 3 2 7 2 2 2" xfId="13847"/>
    <cellStyle name="20% - Accent4 3 2 7 2 3" xfId="13848"/>
    <cellStyle name="20% - Accent4 3 2 7 3" xfId="13849"/>
    <cellStyle name="20% - Accent4 3 2 7 3 2" xfId="13850"/>
    <cellStyle name="20% - Accent4 3 2 7 4" xfId="13851"/>
    <cellStyle name="20% - Accent4 3 2 8" xfId="13852"/>
    <cellStyle name="20% - Accent4 3 2 8 2" xfId="13853"/>
    <cellStyle name="20% - Accent4 3 2 8 2 2" xfId="13854"/>
    <cellStyle name="20% - Accent4 3 2 8 3" xfId="13855"/>
    <cellStyle name="20% - Accent4 3 2 9" xfId="13856"/>
    <cellStyle name="20% - Accent4 3 2 9 2" xfId="13857"/>
    <cellStyle name="20% - Accent4 3 3" xfId="13858"/>
    <cellStyle name="20% - Accent4 3 3 2" xfId="13859"/>
    <cellStyle name="20% - Accent4 3 3 2 2" xfId="13860"/>
    <cellStyle name="20% - Accent4 3 3 2 2 2" xfId="13861"/>
    <cellStyle name="20% - Accent4 3 3 2 2 2 2" xfId="13862"/>
    <cellStyle name="20% - Accent4 3 3 2 2 3" xfId="13863"/>
    <cellStyle name="20% - Accent4 3 3 2 3" xfId="13864"/>
    <cellStyle name="20% - Accent4 3 3 2 3 2" xfId="13865"/>
    <cellStyle name="20% - Accent4 3 3 2 4" xfId="13866"/>
    <cellStyle name="20% - Accent4 3 3 3" xfId="13867"/>
    <cellStyle name="20% - Accent4 3 3 3 2" xfId="13868"/>
    <cellStyle name="20% - Accent4 3 3 3 2 2" xfId="13869"/>
    <cellStyle name="20% - Accent4 3 3 3 3" xfId="13870"/>
    <cellStyle name="20% - Accent4 3 3 4" xfId="13871"/>
    <cellStyle name="20% - Accent4 3 3 4 2" xfId="13872"/>
    <cellStyle name="20% - Accent4 3 3 5" xfId="13873"/>
    <cellStyle name="20% - Accent4 3 4" xfId="13874"/>
    <cellStyle name="20% - Accent4 3 4 2" xfId="13875"/>
    <cellStyle name="20% - Accent4 3 4 2 2" xfId="13876"/>
    <cellStyle name="20% - Accent4 3 4 2 2 2" xfId="13877"/>
    <cellStyle name="20% - Accent4 3 4 2 2 2 2" xfId="13878"/>
    <cellStyle name="20% - Accent4 3 4 2 2 3" xfId="13879"/>
    <cellStyle name="20% - Accent4 3 4 2 3" xfId="13880"/>
    <cellStyle name="20% - Accent4 3 4 2 3 2" xfId="13881"/>
    <cellStyle name="20% - Accent4 3 4 2 4" xfId="13882"/>
    <cellStyle name="20% - Accent4 3 4 3" xfId="13883"/>
    <cellStyle name="20% - Accent4 3 4 3 2" xfId="13884"/>
    <cellStyle name="20% - Accent4 3 4 3 2 2" xfId="13885"/>
    <cellStyle name="20% - Accent4 3 4 3 3" xfId="13886"/>
    <cellStyle name="20% - Accent4 3 4 4" xfId="13887"/>
    <cellStyle name="20% - Accent4 3 4 4 2" xfId="13888"/>
    <cellStyle name="20% - Accent4 3 4 5" xfId="13889"/>
    <cellStyle name="20% - Accent4 3 5" xfId="13890"/>
    <cellStyle name="20% - Accent4 3 5 2" xfId="13891"/>
    <cellStyle name="20% - Accent4 3 5 2 2" xfId="13892"/>
    <cellStyle name="20% - Accent4 3 5 2 2 2" xfId="13893"/>
    <cellStyle name="20% - Accent4 3 5 2 2 2 2" xfId="13894"/>
    <cellStyle name="20% - Accent4 3 5 2 2 3" xfId="13895"/>
    <cellStyle name="20% - Accent4 3 5 2 3" xfId="13896"/>
    <cellStyle name="20% - Accent4 3 5 2 3 2" xfId="13897"/>
    <cellStyle name="20% - Accent4 3 5 2 4" xfId="13898"/>
    <cellStyle name="20% - Accent4 3 5 3" xfId="13899"/>
    <cellStyle name="20% - Accent4 3 5 3 2" xfId="13900"/>
    <cellStyle name="20% - Accent4 3 5 3 2 2" xfId="13901"/>
    <cellStyle name="20% - Accent4 3 5 3 3" xfId="13902"/>
    <cellStyle name="20% - Accent4 3 5 4" xfId="13903"/>
    <cellStyle name="20% - Accent4 3 5 4 2" xfId="13904"/>
    <cellStyle name="20% - Accent4 3 5 5" xfId="13905"/>
    <cellStyle name="20% - Accent4 3 6" xfId="13906"/>
    <cellStyle name="20% - Accent4 3 6 2" xfId="13907"/>
    <cellStyle name="20% - Accent4 3 6 2 2" xfId="13908"/>
    <cellStyle name="20% - Accent4 3 6 2 2 2" xfId="13909"/>
    <cellStyle name="20% - Accent4 3 6 2 2 2 2" xfId="13910"/>
    <cellStyle name="20% - Accent4 3 6 2 2 3" xfId="13911"/>
    <cellStyle name="20% - Accent4 3 6 2 3" xfId="13912"/>
    <cellStyle name="20% - Accent4 3 6 2 3 2" xfId="13913"/>
    <cellStyle name="20% - Accent4 3 6 2 4" xfId="13914"/>
    <cellStyle name="20% - Accent4 3 6 3" xfId="13915"/>
    <cellStyle name="20% - Accent4 3 6 3 2" xfId="13916"/>
    <cellStyle name="20% - Accent4 3 6 3 2 2" xfId="13917"/>
    <cellStyle name="20% - Accent4 3 6 3 3" xfId="13918"/>
    <cellStyle name="20% - Accent4 3 6 4" xfId="13919"/>
    <cellStyle name="20% - Accent4 3 6 4 2" xfId="13920"/>
    <cellStyle name="20% - Accent4 3 6 5" xfId="13921"/>
    <cellStyle name="20% - Accent4 3 7" xfId="13922"/>
    <cellStyle name="20% - Accent4 3 7 2" xfId="13923"/>
    <cellStyle name="20% - Accent4 3 7 2 2" xfId="13924"/>
    <cellStyle name="20% - Accent4 3 7 2 2 2" xfId="13925"/>
    <cellStyle name="20% - Accent4 3 7 2 2 2 2" xfId="13926"/>
    <cellStyle name="20% - Accent4 3 7 2 2 3" xfId="13927"/>
    <cellStyle name="20% - Accent4 3 7 2 3" xfId="13928"/>
    <cellStyle name="20% - Accent4 3 7 2 3 2" xfId="13929"/>
    <cellStyle name="20% - Accent4 3 7 2 4" xfId="13930"/>
    <cellStyle name="20% - Accent4 3 7 3" xfId="13931"/>
    <cellStyle name="20% - Accent4 3 7 3 2" xfId="13932"/>
    <cellStyle name="20% - Accent4 3 7 3 2 2" xfId="13933"/>
    <cellStyle name="20% - Accent4 3 7 3 3" xfId="13934"/>
    <cellStyle name="20% - Accent4 3 7 4" xfId="13935"/>
    <cellStyle name="20% - Accent4 3 7 4 2" xfId="13936"/>
    <cellStyle name="20% - Accent4 3 7 5" xfId="13937"/>
    <cellStyle name="20% - Accent4 3 8" xfId="13938"/>
    <cellStyle name="20% - Accent4 3 8 2" xfId="13939"/>
    <cellStyle name="20% - Accent4 3 8 2 2" xfId="13940"/>
    <cellStyle name="20% - Accent4 3 8 2 2 2" xfId="13941"/>
    <cellStyle name="20% - Accent4 3 8 2 3" xfId="13942"/>
    <cellStyle name="20% - Accent4 3 8 3" xfId="13943"/>
    <cellStyle name="20% - Accent4 3 8 3 2" xfId="13944"/>
    <cellStyle name="20% - Accent4 3 8 4" xfId="13945"/>
    <cellStyle name="20% - Accent4 3 9" xfId="13946"/>
    <cellStyle name="20% - Accent4 3 9 2" xfId="13947"/>
    <cellStyle name="20% - Accent4 3 9 2 2" xfId="13948"/>
    <cellStyle name="20% - Accent4 3 9 3" xfId="13949"/>
    <cellStyle name="20% - Accent4 4" xfId="13950"/>
    <cellStyle name="20% - Accent4 4 10" xfId="13951"/>
    <cellStyle name="20% - Accent4 4 10 2" xfId="13952"/>
    <cellStyle name="20% - Accent4 4 11" xfId="13953"/>
    <cellStyle name="20% - Accent4 4 2" xfId="13954"/>
    <cellStyle name="20% - Accent4 4 2 10" xfId="13955"/>
    <cellStyle name="20% - Accent4 4 2 2" xfId="13956"/>
    <cellStyle name="20% - Accent4 4 2 2 2" xfId="13957"/>
    <cellStyle name="20% - Accent4 4 2 2 2 2" xfId="13958"/>
    <cellStyle name="20% - Accent4 4 2 2 2 2 2" xfId="13959"/>
    <cellStyle name="20% - Accent4 4 2 2 2 2 2 2" xfId="13960"/>
    <cellStyle name="20% - Accent4 4 2 2 2 2 3" xfId="13961"/>
    <cellStyle name="20% - Accent4 4 2 2 2 3" xfId="13962"/>
    <cellStyle name="20% - Accent4 4 2 2 2 3 2" xfId="13963"/>
    <cellStyle name="20% - Accent4 4 2 2 2 4" xfId="13964"/>
    <cellStyle name="20% - Accent4 4 2 2 3" xfId="13965"/>
    <cellStyle name="20% - Accent4 4 2 2 3 2" xfId="13966"/>
    <cellStyle name="20% - Accent4 4 2 2 3 2 2" xfId="13967"/>
    <cellStyle name="20% - Accent4 4 2 2 3 3" xfId="13968"/>
    <cellStyle name="20% - Accent4 4 2 2 4" xfId="13969"/>
    <cellStyle name="20% - Accent4 4 2 2 4 2" xfId="13970"/>
    <cellStyle name="20% - Accent4 4 2 2 5" xfId="13971"/>
    <cellStyle name="20% - Accent4 4 2 3" xfId="13972"/>
    <cellStyle name="20% - Accent4 4 2 3 2" xfId="13973"/>
    <cellStyle name="20% - Accent4 4 2 3 2 2" xfId="13974"/>
    <cellStyle name="20% - Accent4 4 2 3 2 2 2" xfId="13975"/>
    <cellStyle name="20% - Accent4 4 2 3 2 2 2 2" xfId="13976"/>
    <cellStyle name="20% - Accent4 4 2 3 2 2 3" xfId="13977"/>
    <cellStyle name="20% - Accent4 4 2 3 2 3" xfId="13978"/>
    <cellStyle name="20% - Accent4 4 2 3 2 3 2" xfId="13979"/>
    <cellStyle name="20% - Accent4 4 2 3 2 4" xfId="13980"/>
    <cellStyle name="20% - Accent4 4 2 3 3" xfId="13981"/>
    <cellStyle name="20% - Accent4 4 2 3 3 2" xfId="13982"/>
    <cellStyle name="20% - Accent4 4 2 3 3 2 2" xfId="13983"/>
    <cellStyle name="20% - Accent4 4 2 3 3 3" xfId="13984"/>
    <cellStyle name="20% - Accent4 4 2 3 4" xfId="13985"/>
    <cellStyle name="20% - Accent4 4 2 3 4 2" xfId="13986"/>
    <cellStyle name="20% - Accent4 4 2 3 5" xfId="13987"/>
    <cellStyle name="20% - Accent4 4 2 4" xfId="13988"/>
    <cellStyle name="20% - Accent4 4 2 4 2" xfId="13989"/>
    <cellStyle name="20% - Accent4 4 2 4 2 2" xfId="13990"/>
    <cellStyle name="20% - Accent4 4 2 4 2 2 2" xfId="13991"/>
    <cellStyle name="20% - Accent4 4 2 4 2 2 2 2" xfId="13992"/>
    <cellStyle name="20% - Accent4 4 2 4 2 2 3" xfId="13993"/>
    <cellStyle name="20% - Accent4 4 2 4 2 3" xfId="13994"/>
    <cellStyle name="20% - Accent4 4 2 4 2 3 2" xfId="13995"/>
    <cellStyle name="20% - Accent4 4 2 4 2 4" xfId="13996"/>
    <cellStyle name="20% - Accent4 4 2 4 3" xfId="13997"/>
    <cellStyle name="20% - Accent4 4 2 4 3 2" xfId="13998"/>
    <cellStyle name="20% - Accent4 4 2 4 3 2 2" xfId="13999"/>
    <cellStyle name="20% - Accent4 4 2 4 3 3" xfId="14000"/>
    <cellStyle name="20% - Accent4 4 2 4 4" xfId="14001"/>
    <cellStyle name="20% - Accent4 4 2 4 4 2" xfId="14002"/>
    <cellStyle name="20% - Accent4 4 2 4 5" xfId="14003"/>
    <cellStyle name="20% - Accent4 4 2 5" xfId="14004"/>
    <cellStyle name="20% - Accent4 4 2 5 2" xfId="14005"/>
    <cellStyle name="20% - Accent4 4 2 5 2 2" xfId="14006"/>
    <cellStyle name="20% - Accent4 4 2 5 2 2 2" xfId="14007"/>
    <cellStyle name="20% - Accent4 4 2 5 2 2 2 2" xfId="14008"/>
    <cellStyle name="20% - Accent4 4 2 5 2 2 3" xfId="14009"/>
    <cellStyle name="20% - Accent4 4 2 5 2 3" xfId="14010"/>
    <cellStyle name="20% - Accent4 4 2 5 2 3 2" xfId="14011"/>
    <cellStyle name="20% - Accent4 4 2 5 2 4" xfId="14012"/>
    <cellStyle name="20% - Accent4 4 2 5 3" xfId="14013"/>
    <cellStyle name="20% - Accent4 4 2 5 3 2" xfId="14014"/>
    <cellStyle name="20% - Accent4 4 2 5 3 2 2" xfId="14015"/>
    <cellStyle name="20% - Accent4 4 2 5 3 3" xfId="14016"/>
    <cellStyle name="20% - Accent4 4 2 5 4" xfId="14017"/>
    <cellStyle name="20% - Accent4 4 2 5 4 2" xfId="14018"/>
    <cellStyle name="20% - Accent4 4 2 5 5" xfId="14019"/>
    <cellStyle name="20% - Accent4 4 2 6" xfId="14020"/>
    <cellStyle name="20% - Accent4 4 2 6 2" xfId="14021"/>
    <cellStyle name="20% - Accent4 4 2 6 2 2" xfId="14022"/>
    <cellStyle name="20% - Accent4 4 2 6 2 2 2" xfId="14023"/>
    <cellStyle name="20% - Accent4 4 2 6 2 2 2 2" xfId="14024"/>
    <cellStyle name="20% - Accent4 4 2 6 2 2 3" xfId="14025"/>
    <cellStyle name="20% - Accent4 4 2 6 2 3" xfId="14026"/>
    <cellStyle name="20% - Accent4 4 2 6 2 3 2" xfId="14027"/>
    <cellStyle name="20% - Accent4 4 2 6 2 4" xfId="14028"/>
    <cellStyle name="20% - Accent4 4 2 6 3" xfId="14029"/>
    <cellStyle name="20% - Accent4 4 2 6 3 2" xfId="14030"/>
    <cellStyle name="20% - Accent4 4 2 6 3 2 2" xfId="14031"/>
    <cellStyle name="20% - Accent4 4 2 6 3 3" xfId="14032"/>
    <cellStyle name="20% - Accent4 4 2 6 4" xfId="14033"/>
    <cellStyle name="20% - Accent4 4 2 6 4 2" xfId="14034"/>
    <cellStyle name="20% - Accent4 4 2 6 5" xfId="14035"/>
    <cellStyle name="20% - Accent4 4 2 7" xfId="14036"/>
    <cellStyle name="20% - Accent4 4 2 7 2" xfId="14037"/>
    <cellStyle name="20% - Accent4 4 2 7 2 2" xfId="14038"/>
    <cellStyle name="20% - Accent4 4 2 7 2 2 2" xfId="14039"/>
    <cellStyle name="20% - Accent4 4 2 7 2 3" xfId="14040"/>
    <cellStyle name="20% - Accent4 4 2 7 3" xfId="14041"/>
    <cellStyle name="20% - Accent4 4 2 7 3 2" xfId="14042"/>
    <cellStyle name="20% - Accent4 4 2 7 4" xfId="14043"/>
    <cellStyle name="20% - Accent4 4 2 8" xfId="14044"/>
    <cellStyle name="20% - Accent4 4 2 8 2" xfId="14045"/>
    <cellStyle name="20% - Accent4 4 2 8 2 2" xfId="14046"/>
    <cellStyle name="20% - Accent4 4 2 8 3" xfId="14047"/>
    <cellStyle name="20% - Accent4 4 2 9" xfId="14048"/>
    <cellStyle name="20% - Accent4 4 2 9 2" xfId="14049"/>
    <cellStyle name="20% - Accent4 4 3" xfId="14050"/>
    <cellStyle name="20% - Accent4 4 3 2" xfId="14051"/>
    <cellStyle name="20% - Accent4 4 3 2 2" xfId="14052"/>
    <cellStyle name="20% - Accent4 4 3 2 2 2" xfId="14053"/>
    <cellStyle name="20% - Accent4 4 3 2 2 2 2" xfId="14054"/>
    <cellStyle name="20% - Accent4 4 3 2 2 3" xfId="14055"/>
    <cellStyle name="20% - Accent4 4 3 2 3" xfId="14056"/>
    <cellStyle name="20% - Accent4 4 3 2 3 2" xfId="14057"/>
    <cellStyle name="20% - Accent4 4 3 2 4" xfId="14058"/>
    <cellStyle name="20% - Accent4 4 3 3" xfId="14059"/>
    <cellStyle name="20% - Accent4 4 3 3 2" xfId="14060"/>
    <cellStyle name="20% - Accent4 4 3 3 2 2" xfId="14061"/>
    <cellStyle name="20% - Accent4 4 3 3 3" xfId="14062"/>
    <cellStyle name="20% - Accent4 4 3 4" xfId="14063"/>
    <cellStyle name="20% - Accent4 4 3 4 2" xfId="14064"/>
    <cellStyle name="20% - Accent4 4 3 5" xfId="14065"/>
    <cellStyle name="20% - Accent4 4 4" xfId="14066"/>
    <cellStyle name="20% - Accent4 4 4 2" xfId="14067"/>
    <cellStyle name="20% - Accent4 4 4 2 2" xfId="14068"/>
    <cellStyle name="20% - Accent4 4 4 2 2 2" xfId="14069"/>
    <cellStyle name="20% - Accent4 4 4 2 2 2 2" xfId="14070"/>
    <cellStyle name="20% - Accent4 4 4 2 2 3" xfId="14071"/>
    <cellStyle name="20% - Accent4 4 4 2 3" xfId="14072"/>
    <cellStyle name="20% - Accent4 4 4 2 3 2" xfId="14073"/>
    <cellStyle name="20% - Accent4 4 4 2 4" xfId="14074"/>
    <cellStyle name="20% - Accent4 4 4 3" xfId="14075"/>
    <cellStyle name="20% - Accent4 4 4 3 2" xfId="14076"/>
    <cellStyle name="20% - Accent4 4 4 3 2 2" xfId="14077"/>
    <cellStyle name="20% - Accent4 4 4 3 3" xfId="14078"/>
    <cellStyle name="20% - Accent4 4 4 4" xfId="14079"/>
    <cellStyle name="20% - Accent4 4 4 4 2" xfId="14080"/>
    <cellStyle name="20% - Accent4 4 4 5" xfId="14081"/>
    <cellStyle name="20% - Accent4 4 5" xfId="14082"/>
    <cellStyle name="20% - Accent4 4 5 2" xfId="14083"/>
    <cellStyle name="20% - Accent4 4 5 2 2" xfId="14084"/>
    <cellStyle name="20% - Accent4 4 5 2 2 2" xfId="14085"/>
    <cellStyle name="20% - Accent4 4 5 2 2 2 2" xfId="14086"/>
    <cellStyle name="20% - Accent4 4 5 2 2 3" xfId="14087"/>
    <cellStyle name="20% - Accent4 4 5 2 3" xfId="14088"/>
    <cellStyle name="20% - Accent4 4 5 2 3 2" xfId="14089"/>
    <cellStyle name="20% - Accent4 4 5 2 4" xfId="14090"/>
    <cellStyle name="20% - Accent4 4 5 3" xfId="14091"/>
    <cellStyle name="20% - Accent4 4 5 3 2" xfId="14092"/>
    <cellStyle name="20% - Accent4 4 5 3 2 2" xfId="14093"/>
    <cellStyle name="20% - Accent4 4 5 3 3" xfId="14094"/>
    <cellStyle name="20% - Accent4 4 5 4" xfId="14095"/>
    <cellStyle name="20% - Accent4 4 5 4 2" xfId="14096"/>
    <cellStyle name="20% - Accent4 4 5 5" xfId="14097"/>
    <cellStyle name="20% - Accent4 4 6" xfId="14098"/>
    <cellStyle name="20% - Accent4 4 6 2" xfId="14099"/>
    <cellStyle name="20% - Accent4 4 6 2 2" xfId="14100"/>
    <cellStyle name="20% - Accent4 4 6 2 2 2" xfId="14101"/>
    <cellStyle name="20% - Accent4 4 6 2 2 2 2" xfId="14102"/>
    <cellStyle name="20% - Accent4 4 6 2 2 3" xfId="14103"/>
    <cellStyle name="20% - Accent4 4 6 2 3" xfId="14104"/>
    <cellStyle name="20% - Accent4 4 6 2 3 2" xfId="14105"/>
    <cellStyle name="20% - Accent4 4 6 2 4" xfId="14106"/>
    <cellStyle name="20% - Accent4 4 6 3" xfId="14107"/>
    <cellStyle name="20% - Accent4 4 6 3 2" xfId="14108"/>
    <cellStyle name="20% - Accent4 4 6 3 2 2" xfId="14109"/>
    <cellStyle name="20% - Accent4 4 6 3 3" xfId="14110"/>
    <cellStyle name="20% - Accent4 4 6 4" xfId="14111"/>
    <cellStyle name="20% - Accent4 4 6 4 2" xfId="14112"/>
    <cellStyle name="20% - Accent4 4 6 5" xfId="14113"/>
    <cellStyle name="20% - Accent4 4 7" xfId="14114"/>
    <cellStyle name="20% - Accent4 4 7 2" xfId="14115"/>
    <cellStyle name="20% - Accent4 4 7 2 2" xfId="14116"/>
    <cellStyle name="20% - Accent4 4 7 2 2 2" xfId="14117"/>
    <cellStyle name="20% - Accent4 4 7 2 2 2 2" xfId="14118"/>
    <cellStyle name="20% - Accent4 4 7 2 2 3" xfId="14119"/>
    <cellStyle name="20% - Accent4 4 7 2 3" xfId="14120"/>
    <cellStyle name="20% - Accent4 4 7 2 3 2" xfId="14121"/>
    <cellStyle name="20% - Accent4 4 7 2 4" xfId="14122"/>
    <cellStyle name="20% - Accent4 4 7 3" xfId="14123"/>
    <cellStyle name="20% - Accent4 4 7 3 2" xfId="14124"/>
    <cellStyle name="20% - Accent4 4 7 3 2 2" xfId="14125"/>
    <cellStyle name="20% - Accent4 4 7 3 3" xfId="14126"/>
    <cellStyle name="20% - Accent4 4 7 4" xfId="14127"/>
    <cellStyle name="20% - Accent4 4 7 4 2" xfId="14128"/>
    <cellStyle name="20% - Accent4 4 7 5" xfId="14129"/>
    <cellStyle name="20% - Accent4 4 8" xfId="14130"/>
    <cellStyle name="20% - Accent4 4 8 2" xfId="14131"/>
    <cellStyle name="20% - Accent4 4 8 2 2" xfId="14132"/>
    <cellStyle name="20% - Accent4 4 8 2 2 2" xfId="14133"/>
    <cellStyle name="20% - Accent4 4 8 2 3" xfId="14134"/>
    <cellStyle name="20% - Accent4 4 8 3" xfId="14135"/>
    <cellStyle name="20% - Accent4 4 8 3 2" xfId="14136"/>
    <cellStyle name="20% - Accent4 4 8 4" xfId="14137"/>
    <cellStyle name="20% - Accent4 4 9" xfId="14138"/>
    <cellStyle name="20% - Accent4 4 9 2" xfId="14139"/>
    <cellStyle name="20% - Accent4 4 9 2 2" xfId="14140"/>
    <cellStyle name="20% - Accent4 4 9 3" xfId="14141"/>
    <cellStyle name="20% - Accent4 5" xfId="14142"/>
    <cellStyle name="20% - Accent4 5 10" xfId="14143"/>
    <cellStyle name="20% - Accent4 5 10 2" xfId="14144"/>
    <cellStyle name="20% - Accent4 5 11" xfId="14145"/>
    <cellStyle name="20% - Accent4 5 2" xfId="14146"/>
    <cellStyle name="20% - Accent4 5 2 10" xfId="14147"/>
    <cellStyle name="20% - Accent4 5 2 2" xfId="14148"/>
    <cellStyle name="20% - Accent4 5 2 2 2" xfId="14149"/>
    <cellStyle name="20% - Accent4 5 2 2 2 2" xfId="14150"/>
    <cellStyle name="20% - Accent4 5 2 2 2 2 2" xfId="14151"/>
    <cellStyle name="20% - Accent4 5 2 2 2 2 2 2" xfId="14152"/>
    <cellStyle name="20% - Accent4 5 2 2 2 2 3" xfId="14153"/>
    <cellStyle name="20% - Accent4 5 2 2 2 3" xfId="14154"/>
    <cellStyle name="20% - Accent4 5 2 2 2 3 2" xfId="14155"/>
    <cellStyle name="20% - Accent4 5 2 2 2 4" xfId="14156"/>
    <cellStyle name="20% - Accent4 5 2 2 3" xfId="14157"/>
    <cellStyle name="20% - Accent4 5 2 2 3 2" xfId="14158"/>
    <cellStyle name="20% - Accent4 5 2 2 3 2 2" xfId="14159"/>
    <cellStyle name="20% - Accent4 5 2 2 3 3" xfId="14160"/>
    <cellStyle name="20% - Accent4 5 2 2 4" xfId="14161"/>
    <cellStyle name="20% - Accent4 5 2 2 4 2" xfId="14162"/>
    <cellStyle name="20% - Accent4 5 2 2 5" xfId="14163"/>
    <cellStyle name="20% - Accent4 5 2 3" xfId="14164"/>
    <cellStyle name="20% - Accent4 5 2 3 2" xfId="14165"/>
    <cellStyle name="20% - Accent4 5 2 3 2 2" xfId="14166"/>
    <cellStyle name="20% - Accent4 5 2 3 2 2 2" xfId="14167"/>
    <cellStyle name="20% - Accent4 5 2 3 2 2 2 2" xfId="14168"/>
    <cellStyle name="20% - Accent4 5 2 3 2 2 3" xfId="14169"/>
    <cellStyle name="20% - Accent4 5 2 3 2 3" xfId="14170"/>
    <cellStyle name="20% - Accent4 5 2 3 2 3 2" xfId="14171"/>
    <cellStyle name="20% - Accent4 5 2 3 2 4" xfId="14172"/>
    <cellStyle name="20% - Accent4 5 2 3 3" xfId="14173"/>
    <cellStyle name="20% - Accent4 5 2 3 3 2" xfId="14174"/>
    <cellStyle name="20% - Accent4 5 2 3 3 2 2" xfId="14175"/>
    <cellStyle name="20% - Accent4 5 2 3 3 3" xfId="14176"/>
    <cellStyle name="20% - Accent4 5 2 3 4" xfId="14177"/>
    <cellStyle name="20% - Accent4 5 2 3 4 2" xfId="14178"/>
    <cellStyle name="20% - Accent4 5 2 3 5" xfId="14179"/>
    <cellStyle name="20% - Accent4 5 2 4" xfId="14180"/>
    <cellStyle name="20% - Accent4 5 2 4 2" xfId="14181"/>
    <cellStyle name="20% - Accent4 5 2 4 2 2" xfId="14182"/>
    <cellStyle name="20% - Accent4 5 2 4 2 2 2" xfId="14183"/>
    <cellStyle name="20% - Accent4 5 2 4 2 2 2 2" xfId="14184"/>
    <cellStyle name="20% - Accent4 5 2 4 2 2 3" xfId="14185"/>
    <cellStyle name="20% - Accent4 5 2 4 2 3" xfId="14186"/>
    <cellStyle name="20% - Accent4 5 2 4 2 3 2" xfId="14187"/>
    <cellStyle name="20% - Accent4 5 2 4 2 4" xfId="14188"/>
    <cellStyle name="20% - Accent4 5 2 4 3" xfId="14189"/>
    <cellStyle name="20% - Accent4 5 2 4 3 2" xfId="14190"/>
    <cellStyle name="20% - Accent4 5 2 4 3 2 2" xfId="14191"/>
    <cellStyle name="20% - Accent4 5 2 4 3 3" xfId="14192"/>
    <cellStyle name="20% - Accent4 5 2 4 4" xfId="14193"/>
    <cellStyle name="20% - Accent4 5 2 4 4 2" xfId="14194"/>
    <cellStyle name="20% - Accent4 5 2 4 5" xfId="14195"/>
    <cellStyle name="20% - Accent4 5 2 5" xfId="14196"/>
    <cellStyle name="20% - Accent4 5 2 5 2" xfId="14197"/>
    <cellStyle name="20% - Accent4 5 2 5 2 2" xfId="14198"/>
    <cellStyle name="20% - Accent4 5 2 5 2 2 2" xfId="14199"/>
    <cellStyle name="20% - Accent4 5 2 5 2 2 2 2" xfId="14200"/>
    <cellStyle name="20% - Accent4 5 2 5 2 2 3" xfId="14201"/>
    <cellStyle name="20% - Accent4 5 2 5 2 3" xfId="14202"/>
    <cellStyle name="20% - Accent4 5 2 5 2 3 2" xfId="14203"/>
    <cellStyle name="20% - Accent4 5 2 5 2 4" xfId="14204"/>
    <cellStyle name="20% - Accent4 5 2 5 3" xfId="14205"/>
    <cellStyle name="20% - Accent4 5 2 5 3 2" xfId="14206"/>
    <cellStyle name="20% - Accent4 5 2 5 3 2 2" xfId="14207"/>
    <cellStyle name="20% - Accent4 5 2 5 3 3" xfId="14208"/>
    <cellStyle name="20% - Accent4 5 2 5 4" xfId="14209"/>
    <cellStyle name="20% - Accent4 5 2 5 4 2" xfId="14210"/>
    <cellStyle name="20% - Accent4 5 2 5 5" xfId="14211"/>
    <cellStyle name="20% - Accent4 5 2 6" xfId="14212"/>
    <cellStyle name="20% - Accent4 5 2 6 2" xfId="14213"/>
    <cellStyle name="20% - Accent4 5 2 6 2 2" xfId="14214"/>
    <cellStyle name="20% - Accent4 5 2 6 2 2 2" xfId="14215"/>
    <cellStyle name="20% - Accent4 5 2 6 2 2 2 2" xfId="14216"/>
    <cellStyle name="20% - Accent4 5 2 6 2 2 3" xfId="14217"/>
    <cellStyle name="20% - Accent4 5 2 6 2 3" xfId="14218"/>
    <cellStyle name="20% - Accent4 5 2 6 2 3 2" xfId="14219"/>
    <cellStyle name="20% - Accent4 5 2 6 2 4" xfId="14220"/>
    <cellStyle name="20% - Accent4 5 2 6 3" xfId="14221"/>
    <cellStyle name="20% - Accent4 5 2 6 3 2" xfId="14222"/>
    <cellStyle name="20% - Accent4 5 2 6 3 2 2" xfId="14223"/>
    <cellStyle name="20% - Accent4 5 2 6 3 3" xfId="14224"/>
    <cellStyle name="20% - Accent4 5 2 6 4" xfId="14225"/>
    <cellStyle name="20% - Accent4 5 2 6 4 2" xfId="14226"/>
    <cellStyle name="20% - Accent4 5 2 6 5" xfId="14227"/>
    <cellStyle name="20% - Accent4 5 2 7" xfId="14228"/>
    <cellStyle name="20% - Accent4 5 2 7 2" xfId="14229"/>
    <cellStyle name="20% - Accent4 5 2 7 2 2" xfId="14230"/>
    <cellStyle name="20% - Accent4 5 2 7 2 2 2" xfId="14231"/>
    <cellStyle name="20% - Accent4 5 2 7 2 3" xfId="14232"/>
    <cellStyle name="20% - Accent4 5 2 7 3" xfId="14233"/>
    <cellStyle name="20% - Accent4 5 2 7 3 2" xfId="14234"/>
    <cellStyle name="20% - Accent4 5 2 7 4" xfId="14235"/>
    <cellStyle name="20% - Accent4 5 2 8" xfId="14236"/>
    <cellStyle name="20% - Accent4 5 2 8 2" xfId="14237"/>
    <cellStyle name="20% - Accent4 5 2 8 2 2" xfId="14238"/>
    <cellStyle name="20% - Accent4 5 2 8 3" xfId="14239"/>
    <cellStyle name="20% - Accent4 5 2 9" xfId="14240"/>
    <cellStyle name="20% - Accent4 5 2 9 2" xfId="14241"/>
    <cellStyle name="20% - Accent4 5 3" xfId="14242"/>
    <cellStyle name="20% - Accent4 5 3 2" xfId="14243"/>
    <cellStyle name="20% - Accent4 5 3 2 2" xfId="14244"/>
    <cellStyle name="20% - Accent4 5 3 2 2 2" xfId="14245"/>
    <cellStyle name="20% - Accent4 5 3 2 2 2 2" xfId="14246"/>
    <cellStyle name="20% - Accent4 5 3 2 2 3" xfId="14247"/>
    <cellStyle name="20% - Accent4 5 3 2 3" xfId="14248"/>
    <cellStyle name="20% - Accent4 5 3 2 3 2" xfId="14249"/>
    <cellStyle name="20% - Accent4 5 3 2 4" xfId="14250"/>
    <cellStyle name="20% - Accent4 5 3 3" xfId="14251"/>
    <cellStyle name="20% - Accent4 5 3 3 2" xfId="14252"/>
    <cellStyle name="20% - Accent4 5 3 3 2 2" xfId="14253"/>
    <cellStyle name="20% - Accent4 5 3 3 3" xfId="14254"/>
    <cellStyle name="20% - Accent4 5 3 4" xfId="14255"/>
    <cellStyle name="20% - Accent4 5 3 4 2" xfId="14256"/>
    <cellStyle name="20% - Accent4 5 3 5" xfId="14257"/>
    <cellStyle name="20% - Accent4 5 4" xfId="14258"/>
    <cellStyle name="20% - Accent4 5 4 2" xfId="14259"/>
    <cellStyle name="20% - Accent4 5 4 2 2" xfId="14260"/>
    <cellStyle name="20% - Accent4 5 4 2 2 2" xfId="14261"/>
    <cellStyle name="20% - Accent4 5 4 2 2 2 2" xfId="14262"/>
    <cellStyle name="20% - Accent4 5 4 2 2 3" xfId="14263"/>
    <cellStyle name="20% - Accent4 5 4 2 3" xfId="14264"/>
    <cellStyle name="20% - Accent4 5 4 2 3 2" xfId="14265"/>
    <cellStyle name="20% - Accent4 5 4 2 4" xfId="14266"/>
    <cellStyle name="20% - Accent4 5 4 3" xfId="14267"/>
    <cellStyle name="20% - Accent4 5 4 3 2" xfId="14268"/>
    <cellStyle name="20% - Accent4 5 4 3 2 2" xfId="14269"/>
    <cellStyle name="20% - Accent4 5 4 3 3" xfId="14270"/>
    <cellStyle name="20% - Accent4 5 4 4" xfId="14271"/>
    <cellStyle name="20% - Accent4 5 4 4 2" xfId="14272"/>
    <cellStyle name="20% - Accent4 5 4 5" xfId="14273"/>
    <cellStyle name="20% - Accent4 5 5" xfId="14274"/>
    <cellStyle name="20% - Accent4 5 5 2" xfId="14275"/>
    <cellStyle name="20% - Accent4 5 5 2 2" xfId="14276"/>
    <cellStyle name="20% - Accent4 5 5 2 2 2" xfId="14277"/>
    <cellStyle name="20% - Accent4 5 5 2 2 2 2" xfId="14278"/>
    <cellStyle name="20% - Accent4 5 5 2 2 3" xfId="14279"/>
    <cellStyle name="20% - Accent4 5 5 2 3" xfId="14280"/>
    <cellStyle name="20% - Accent4 5 5 2 3 2" xfId="14281"/>
    <cellStyle name="20% - Accent4 5 5 2 4" xfId="14282"/>
    <cellStyle name="20% - Accent4 5 5 3" xfId="14283"/>
    <cellStyle name="20% - Accent4 5 5 3 2" xfId="14284"/>
    <cellStyle name="20% - Accent4 5 5 3 2 2" xfId="14285"/>
    <cellStyle name="20% - Accent4 5 5 3 3" xfId="14286"/>
    <cellStyle name="20% - Accent4 5 5 4" xfId="14287"/>
    <cellStyle name="20% - Accent4 5 5 4 2" xfId="14288"/>
    <cellStyle name="20% - Accent4 5 5 5" xfId="14289"/>
    <cellStyle name="20% - Accent4 5 6" xfId="14290"/>
    <cellStyle name="20% - Accent4 5 6 2" xfId="14291"/>
    <cellStyle name="20% - Accent4 5 6 2 2" xfId="14292"/>
    <cellStyle name="20% - Accent4 5 6 2 2 2" xfId="14293"/>
    <cellStyle name="20% - Accent4 5 6 2 2 2 2" xfId="14294"/>
    <cellStyle name="20% - Accent4 5 6 2 2 3" xfId="14295"/>
    <cellStyle name="20% - Accent4 5 6 2 3" xfId="14296"/>
    <cellStyle name="20% - Accent4 5 6 2 3 2" xfId="14297"/>
    <cellStyle name="20% - Accent4 5 6 2 4" xfId="14298"/>
    <cellStyle name="20% - Accent4 5 6 3" xfId="14299"/>
    <cellStyle name="20% - Accent4 5 6 3 2" xfId="14300"/>
    <cellStyle name="20% - Accent4 5 6 3 2 2" xfId="14301"/>
    <cellStyle name="20% - Accent4 5 6 3 3" xfId="14302"/>
    <cellStyle name="20% - Accent4 5 6 4" xfId="14303"/>
    <cellStyle name="20% - Accent4 5 6 4 2" xfId="14304"/>
    <cellStyle name="20% - Accent4 5 6 5" xfId="14305"/>
    <cellStyle name="20% - Accent4 5 7" xfId="14306"/>
    <cellStyle name="20% - Accent4 5 7 2" xfId="14307"/>
    <cellStyle name="20% - Accent4 5 7 2 2" xfId="14308"/>
    <cellStyle name="20% - Accent4 5 7 2 2 2" xfId="14309"/>
    <cellStyle name="20% - Accent4 5 7 2 2 2 2" xfId="14310"/>
    <cellStyle name="20% - Accent4 5 7 2 2 3" xfId="14311"/>
    <cellStyle name="20% - Accent4 5 7 2 3" xfId="14312"/>
    <cellStyle name="20% - Accent4 5 7 2 3 2" xfId="14313"/>
    <cellStyle name="20% - Accent4 5 7 2 4" xfId="14314"/>
    <cellStyle name="20% - Accent4 5 7 3" xfId="14315"/>
    <cellStyle name="20% - Accent4 5 7 3 2" xfId="14316"/>
    <cellStyle name="20% - Accent4 5 7 3 2 2" xfId="14317"/>
    <cellStyle name="20% - Accent4 5 7 3 3" xfId="14318"/>
    <cellStyle name="20% - Accent4 5 7 4" xfId="14319"/>
    <cellStyle name="20% - Accent4 5 7 4 2" xfId="14320"/>
    <cellStyle name="20% - Accent4 5 7 5" xfId="14321"/>
    <cellStyle name="20% - Accent4 5 8" xfId="14322"/>
    <cellStyle name="20% - Accent4 5 8 2" xfId="14323"/>
    <cellStyle name="20% - Accent4 5 8 2 2" xfId="14324"/>
    <cellStyle name="20% - Accent4 5 8 2 2 2" xfId="14325"/>
    <cellStyle name="20% - Accent4 5 8 2 3" xfId="14326"/>
    <cellStyle name="20% - Accent4 5 8 3" xfId="14327"/>
    <cellStyle name="20% - Accent4 5 8 3 2" xfId="14328"/>
    <cellStyle name="20% - Accent4 5 8 4" xfId="14329"/>
    <cellStyle name="20% - Accent4 5 9" xfId="14330"/>
    <cellStyle name="20% - Accent4 5 9 2" xfId="14331"/>
    <cellStyle name="20% - Accent4 5 9 2 2" xfId="14332"/>
    <cellStyle name="20% - Accent4 5 9 3" xfId="14333"/>
    <cellStyle name="20% - Accent4 6" xfId="14334"/>
    <cellStyle name="20% - Accent4 6 10" xfId="14335"/>
    <cellStyle name="20% - Accent4 6 10 2" xfId="14336"/>
    <cellStyle name="20% - Accent4 6 11" xfId="14337"/>
    <cellStyle name="20% - Accent4 6 2" xfId="14338"/>
    <cellStyle name="20% - Accent4 6 2 10" xfId="14339"/>
    <cellStyle name="20% - Accent4 6 2 2" xfId="14340"/>
    <cellStyle name="20% - Accent4 6 2 2 2" xfId="14341"/>
    <cellStyle name="20% - Accent4 6 2 2 2 2" xfId="14342"/>
    <cellStyle name="20% - Accent4 6 2 2 2 2 2" xfId="14343"/>
    <cellStyle name="20% - Accent4 6 2 2 2 2 2 2" xfId="14344"/>
    <cellStyle name="20% - Accent4 6 2 2 2 2 3" xfId="14345"/>
    <cellStyle name="20% - Accent4 6 2 2 2 3" xfId="14346"/>
    <cellStyle name="20% - Accent4 6 2 2 2 3 2" xfId="14347"/>
    <cellStyle name="20% - Accent4 6 2 2 2 4" xfId="14348"/>
    <cellStyle name="20% - Accent4 6 2 2 3" xfId="14349"/>
    <cellStyle name="20% - Accent4 6 2 2 3 2" xfId="14350"/>
    <cellStyle name="20% - Accent4 6 2 2 3 2 2" xfId="14351"/>
    <cellStyle name="20% - Accent4 6 2 2 3 3" xfId="14352"/>
    <cellStyle name="20% - Accent4 6 2 2 4" xfId="14353"/>
    <cellStyle name="20% - Accent4 6 2 2 4 2" xfId="14354"/>
    <cellStyle name="20% - Accent4 6 2 2 5" xfId="14355"/>
    <cellStyle name="20% - Accent4 6 2 3" xfId="14356"/>
    <cellStyle name="20% - Accent4 6 2 3 2" xfId="14357"/>
    <cellStyle name="20% - Accent4 6 2 3 2 2" xfId="14358"/>
    <cellStyle name="20% - Accent4 6 2 3 2 2 2" xfId="14359"/>
    <cellStyle name="20% - Accent4 6 2 3 2 2 2 2" xfId="14360"/>
    <cellStyle name="20% - Accent4 6 2 3 2 2 3" xfId="14361"/>
    <cellStyle name="20% - Accent4 6 2 3 2 3" xfId="14362"/>
    <cellStyle name="20% - Accent4 6 2 3 2 3 2" xfId="14363"/>
    <cellStyle name="20% - Accent4 6 2 3 2 4" xfId="14364"/>
    <cellStyle name="20% - Accent4 6 2 3 3" xfId="14365"/>
    <cellStyle name="20% - Accent4 6 2 3 3 2" xfId="14366"/>
    <cellStyle name="20% - Accent4 6 2 3 3 2 2" xfId="14367"/>
    <cellStyle name="20% - Accent4 6 2 3 3 3" xfId="14368"/>
    <cellStyle name="20% - Accent4 6 2 3 4" xfId="14369"/>
    <cellStyle name="20% - Accent4 6 2 3 4 2" xfId="14370"/>
    <cellStyle name="20% - Accent4 6 2 3 5" xfId="14371"/>
    <cellStyle name="20% - Accent4 6 2 4" xfId="14372"/>
    <cellStyle name="20% - Accent4 6 2 4 2" xfId="14373"/>
    <cellStyle name="20% - Accent4 6 2 4 2 2" xfId="14374"/>
    <cellStyle name="20% - Accent4 6 2 4 2 2 2" xfId="14375"/>
    <cellStyle name="20% - Accent4 6 2 4 2 2 2 2" xfId="14376"/>
    <cellStyle name="20% - Accent4 6 2 4 2 2 3" xfId="14377"/>
    <cellStyle name="20% - Accent4 6 2 4 2 3" xfId="14378"/>
    <cellStyle name="20% - Accent4 6 2 4 2 3 2" xfId="14379"/>
    <cellStyle name="20% - Accent4 6 2 4 2 4" xfId="14380"/>
    <cellStyle name="20% - Accent4 6 2 4 3" xfId="14381"/>
    <cellStyle name="20% - Accent4 6 2 4 3 2" xfId="14382"/>
    <cellStyle name="20% - Accent4 6 2 4 3 2 2" xfId="14383"/>
    <cellStyle name="20% - Accent4 6 2 4 3 3" xfId="14384"/>
    <cellStyle name="20% - Accent4 6 2 4 4" xfId="14385"/>
    <cellStyle name="20% - Accent4 6 2 4 4 2" xfId="14386"/>
    <cellStyle name="20% - Accent4 6 2 4 5" xfId="14387"/>
    <cellStyle name="20% - Accent4 6 2 5" xfId="14388"/>
    <cellStyle name="20% - Accent4 6 2 5 2" xfId="14389"/>
    <cellStyle name="20% - Accent4 6 2 5 2 2" xfId="14390"/>
    <cellStyle name="20% - Accent4 6 2 5 2 2 2" xfId="14391"/>
    <cellStyle name="20% - Accent4 6 2 5 2 2 2 2" xfId="14392"/>
    <cellStyle name="20% - Accent4 6 2 5 2 2 3" xfId="14393"/>
    <cellStyle name="20% - Accent4 6 2 5 2 3" xfId="14394"/>
    <cellStyle name="20% - Accent4 6 2 5 2 3 2" xfId="14395"/>
    <cellStyle name="20% - Accent4 6 2 5 2 4" xfId="14396"/>
    <cellStyle name="20% - Accent4 6 2 5 3" xfId="14397"/>
    <cellStyle name="20% - Accent4 6 2 5 3 2" xfId="14398"/>
    <cellStyle name="20% - Accent4 6 2 5 3 2 2" xfId="14399"/>
    <cellStyle name="20% - Accent4 6 2 5 3 3" xfId="14400"/>
    <cellStyle name="20% - Accent4 6 2 5 4" xfId="14401"/>
    <cellStyle name="20% - Accent4 6 2 5 4 2" xfId="14402"/>
    <cellStyle name="20% - Accent4 6 2 5 5" xfId="14403"/>
    <cellStyle name="20% - Accent4 6 2 6" xfId="14404"/>
    <cellStyle name="20% - Accent4 6 2 6 2" xfId="14405"/>
    <cellStyle name="20% - Accent4 6 2 6 2 2" xfId="14406"/>
    <cellStyle name="20% - Accent4 6 2 6 2 2 2" xfId="14407"/>
    <cellStyle name="20% - Accent4 6 2 6 2 2 2 2" xfId="14408"/>
    <cellStyle name="20% - Accent4 6 2 6 2 2 3" xfId="14409"/>
    <cellStyle name="20% - Accent4 6 2 6 2 3" xfId="14410"/>
    <cellStyle name="20% - Accent4 6 2 6 2 3 2" xfId="14411"/>
    <cellStyle name="20% - Accent4 6 2 6 2 4" xfId="14412"/>
    <cellStyle name="20% - Accent4 6 2 6 3" xfId="14413"/>
    <cellStyle name="20% - Accent4 6 2 6 3 2" xfId="14414"/>
    <cellStyle name="20% - Accent4 6 2 6 3 2 2" xfId="14415"/>
    <cellStyle name="20% - Accent4 6 2 6 3 3" xfId="14416"/>
    <cellStyle name="20% - Accent4 6 2 6 4" xfId="14417"/>
    <cellStyle name="20% - Accent4 6 2 6 4 2" xfId="14418"/>
    <cellStyle name="20% - Accent4 6 2 6 5" xfId="14419"/>
    <cellStyle name="20% - Accent4 6 2 7" xfId="14420"/>
    <cellStyle name="20% - Accent4 6 2 7 2" xfId="14421"/>
    <cellStyle name="20% - Accent4 6 2 7 2 2" xfId="14422"/>
    <cellStyle name="20% - Accent4 6 2 7 2 2 2" xfId="14423"/>
    <cellStyle name="20% - Accent4 6 2 7 2 3" xfId="14424"/>
    <cellStyle name="20% - Accent4 6 2 7 3" xfId="14425"/>
    <cellStyle name="20% - Accent4 6 2 7 3 2" xfId="14426"/>
    <cellStyle name="20% - Accent4 6 2 7 4" xfId="14427"/>
    <cellStyle name="20% - Accent4 6 2 8" xfId="14428"/>
    <cellStyle name="20% - Accent4 6 2 8 2" xfId="14429"/>
    <cellStyle name="20% - Accent4 6 2 8 2 2" xfId="14430"/>
    <cellStyle name="20% - Accent4 6 2 8 3" xfId="14431"/>
    <cellStyle name="20% - Accent4 6 2 9" xfId="14432"/>
    <cellStyle name="20% - Accent4 6 2 9 2" xfId="14433"/>
    <cellStyle name="20% - Accent4 6 3" xfId="14434"/>
    <cellStyle name="20% - Accent4 6 3 2" xfId="14435"/>
    <cellStyle name="20% - Accent4 6 3 2 2" xfId="14436"/>
    <cellStyle name="20% - Accent4 6 3 2 2 2" xfId="14437"/>
    <cellStyle name="20% - Accent4 6 3 2 2 2 2" xfId="14438"/>
    <cellStyle name="20% - Accent4 6 3 2 2 3" xfId="14439"/>
    <cellStyle name="20% - Accent4 6 3 2 3" xfId="14440"/>
    <cellStyle name="20% - Accent4 6 3 2 3 2" xfId="14441"/>
    <cellStyle name="20% - Accent4 6 3 2 4" xfId="14442"/>
    <cellStyle name="20% - Accent4 6 3 3" xfId="14443"/>
    <cellStyle name="20% - Accent4 6 3 3 2" xfId="14444"/>
    <cellStyle name="20% - Accent4 6 3 3 2 2" xfId="14445"/>
    <cellStyle name="20% - Accent4 6 3 3 3" xfId="14446"/>
    <cellStyle name="20% - Accent4 6 3 4" xfId="14447"/>
    <cellStyle name="20% - Accent4 6 3 4 2" xfId="14448"/>
    <cellStyle name="20% - Accent4 6 3 5" xfId="14449"/>
    <cellStyle name="20% - Accent4 6 4" xfId="14450"/>
    <cellStyle name="20% - Accent4 6 4 2" xfId="14451"/>
    <cellStyle name="20% - Accent4 6 4 2 2" xfId="14452"/>
    <cellStyle name="20% - Accent4 6 4 2 2 2" xfId="14453"/>
    <cellStyle name="20% - Accent4 6 4 2 2 2 2" xfId="14454"/>
    <cellStyle name="20% - Accent4 6 4 2 2 3" xfId="14455"/>
    <cellStyle name="20% - Accent4 6 4 2 3" xfId="14456"/>
    <cellStyle name="20% - Accent4 6 4 2 3 2" xfId="14457"/>
    <cellStyle name="20% - Accent4 6 4 2 4" xfId="14458"/>
    <cellStyle name="20% - Accent4 6 4 3" xfId="14459"/>
    <cellStyle name="20% - Accent4 6 4 3 2" xfId="14460"/>
    <cellStyle name="20% - Accent4 6 4 3 2 2" xfId="14461"/>
    <cellStyle name="20% - Accent4 6 4 3 3" xfId="14462"/>
    <cellStyle name="20% - Accent4 6 4 4" xfId="14463"/>
    <cellStyle name="20% - Accent4 6 4 4 2" xfId="14464"/>
    <cellStyle name="20% - Accent4 6 4 5" xfId="14465"/>
    <cellStyle name="20% - Accent4 6 5" xfId="14466"/>
    <cellStyle name="20% - Accent4 6 5 2" xfId="14467"/>
    <cellStyle name="20% - Accent4 6 5 2 2" xfId="14468"/>
    <cellStyle name="20% - Accent4 6 5 2 2 2" xfId="14469"/>
    <cellStyle name="20% - Accent4 6 5 2 2 2 2" xfId="14470"/>
    <cellStyle name="20% - Accent4 6 5 2 2 3" xfId="14471"/>
    <cellStyle name="20% - Accent4 6 5 2 3" xfId="14472"/>
    <cellStyle name="20% - Accent4 6 5 2 3 2" xfId="14473"/>
    <cellStyle name="20% - Accent4 6 5 2 4" xfId="14474"/>
    <cellStyle name="20% - Accent4 6 5 3" xfId="14475"/>
    <cellStyle name="20% - Accent4 6 5 3 2" xfId="14476"/>
    <cellStyle name="20% - Accent4 6 5 3 2 2" xfId="14477"/>
    <cellStyle name="20% - Accent4 6 5 3 3" xfId="14478"/>
    <cellStyle name="20% - Accent4 6 5 4" xfId="14479"/>
    <cellStyle name="20% - Accent4 6 5 4 2" xfId="14480"/>
    <cellStyle name="20% - Accent4 6 5 5" xfId="14481"/>
    <cellStyle name="20% - Accent4 6 6" xfId="14482"/>
    <cellStyle name="20% - Accent4 6 6 2" xfId="14483"/>
    <cellStyle name="20% - Accent4 6 6 2 2" xfId="14484"/>
    <cellStyle name="20% - Accent4 6 6 2 2 2" xfId="14485"/>
    <cellStyle name="20% - Accent4 6 6 2 2 2 2" xfId="14486"/>
    <cellStyle name="20% - Accent4 6 6 2 2 3" xfId="14487"/>
    <cellStyle name="20% - Accent4 6 6 2 3" xfId="14488"/>
    <cellStyle name="20% - Accent4 6 6 2 3 2" xfId="14489"/>
    <cellStyle name="20% - Accent4 6 6 2 4" xfId="14490"/>
    <cellStyle name="20% - Accent4 6 6 3" xfId="14491"/>
    <cellStyle name="20% - Accent4 6 6 3 2" xfId="14492"/>
    <cellStyle name="20% - Accent4 6 6 3 2 2" xfId="14493"/>
    <cellStyle name="20% - Accent4 6 6 3 3" xfId="14494"/>
    <cellStyle name="20% - Accent4 6 6 4" xfId="14495"/>
    <cellStyle name="20% - Accent4 6 6 4 2" xfId="14496"/>
    <cellStyle name="20% - Accent4 6 6 5" xfId="14497"/>
    <cellStyle name="20% - Accent4 6 7" xfId="14498"/>
    <cellStyle name="20% - Accent4 6 7 2" xfId="14499"/>
    <cellStyle name="20% - Accent4 6 7 2 2" xfId="14500"/>
    <cellStyle name="20% - Accent4 6 7 2 2 2" xfId="14501"/>
    <cellStyle name="20% - Accent4 6 7 2 2 2 2" xfId="14502"/>
    <cellStyle name="20% - Accent4 6 7 2 2 3" xfId="14503"/>
    <cellStyle name="20% - Accent4 6 7 2 3" xfId="14504"/>
    <cellStyle name="20% - Accent4 6 7 2 3 2" xfId="14505"/>
    <cellStyle name="20% - Accent4 6 7 2 4" xfId="14506"/>
    <cellStyle name="20% - Accent4 6 7 3" xfId="14507"/>
    <cellStyle name="20% - Accent4 6 7 3 2" xfId="14508"/>
    <cellStyle name="20% - Accent4 6 7 3 2 2" xfId="14509"/>
    <cellStyle name="20% - Accent4 6 7 3 3" xfId="14510"/>
    <cellStyle name="20% - Accent4 6 7 4" xfId="14511"/>
    <cellStyle name="20% - Accent4 6 7 4 2" xfId="14512"/>
    <cellStyle name="20% - Accent4 6 7 5" xfId="14513"/>
    <cellStyle name="20% - Accent4 6 8" xfId="14514"/>
    <cellStyle name="20% - Accent4 6 8 2" xfId="14515"/>
    <cellStyle name="20% - Accent4 6 8 2 2" xfId="14516"/>
    <cellStyle name="20% - Accent4 6 8 2 2 2" xfId="14517"/>
    <cellStyle name="20% - Accent4 6 8 2 3" xfId="14518"/>
    <cellStyle name="20% - Accent4 6 8 3" xfId="14519"/>
    <cellStyle name="20% - Accent4 6 8 3 2" xfId="14520"/>
    <cellStyle name="20% - Accent4 6 8 4" xfId="14521"/>
    <cellStyle name="20% - Accent4 6 9" xfId="14522"/>
    <cellStyle name="20% - Accent4 6 9 2" xfId="14523"/>
    <cellStyle name="20% - Accent4 6 9 2 2" xfId="14524"/>
    <cellStyle name="20% - Accent4 6 9 3" xfId="14525"/>
    <cellStyle name="20% - Accent4 7" xfId="14526"/>
    <cellStyle name="20% - Accent4 7 10" xfId="14527"/>
    <cellStyle name="20% - Accent4 7 10 2" xfId="14528"/>
    <cellStyle name="20% - Accent4 7 11" xfId="14529"/>
    <cellStyle name="20% - Accent4 7 2" xfId="14530"/>
    <cellStyle name="20% - Accent4 7 2 10" xfId="14531"/>
    <cellStyle name="20% - Accent4 7 2 2" xfId="14532"/>
    <cellStyle name="20% - Accent4 7 2 2 2" xfId="14533"/>
    <cellStyle name="20% - Accent4 7 2 2 2 2" xfId="14534"/>
    <cellStyle name="20% - Accent4 7 2 2 2 2 2" xfId="14535"/>
    <cellStyle name="20% - Accent4 7 2 2 2 2 2 2" xfId="14536"/>
    <cellStyle name="20% - Accent4 7 2 2 2 2 3" xfId="14537"/>
    <cellStyle name="20% - Accent4 7 2 2 2 3" xfId="14538"/>
    <cellStyle name="20% - Accent4 7 2 2 2 3 2" xfId="14539"/>
    <cellStyle name="20% - Accent4 7 2 2 2 4" xfId="14540"/>
    <cellStyle name="20% - Accent4 7 2 2 3" xfId="14541"/>
    <cellStyle name="20% - Accent4 7 2 2 3 2" xfId="14542"/>
    <cellStyle name="20% - Accent4 7 2 2 3 2 2" xfId="14543"/>
    <cellStyle name="20% - Accent4 7 2 2 3 3" xfId="14544"/>
    <cellStyle name="20% - Accent4 7 2 2 4" xfId="14545"/>
    <cellStyle name="20% - Accent4 7 2 2 4 2" xfId="14546"/>
    <cellStyle name="20% - Accent4 7 2 2 5" xfId="14547"/>
    <cellStyle name="20% - Accent4 7 2 3" xfId="14548"/>
    <cellStyle name="20% - Accent4 7 2 3 2" xfId="14549"/>
    <cellStyle name="20% - Accent4 7 2 3 2 2" xfId="14550"/>
    <cellStyle name="20% - Accent4 7 2 3 2 2 2" xfId="14551"/>
    <cellStyle name="20% - Accent4 7 2 3 2 2 2 2" xfId="14552"/>
    <cellStyle name="20% - Accent4 7 2 3 2 2 3" xfId="14553"/>
    <cellStyle name="20% - Accent4 7 2 3 2 3" xfId="14554"/>
    <cellStyle name="20% - Accent4 7 2 3 2 3 2" xfId="14555"/>
    <cellStyle name="20% - Accent4 7 2 3 2 4" xfId="14556"/>
    <cellStyle name="20% - Accent4 7 2 3 3" xfId="14557"/>
    <cellStyle name="20% - Accent4 7 2 3 3 2" xfId="14558"/>
    <cellStyle name="20% - Accent4 7 2 3 3 2 2" xfId="14559"/>
    <cellStyle name="20% - Accent4 7 2 3 3 3" xfId="14560"/>
    <cellStyle name="20% - Accent4 7 2 3 4" xfId="14561"/>
    <cellStyle name="20% - Accent4 7 2 3 4 2" xfId="14562"/>
    <cellStyle name="20% - Accent4 7 2 3 5" xfId="14563"/>
    <cellStyle name="20% - Accent4 7 2 4" xfId="14564"/>
    <cellStyle name="20% - Accent4 7 2 4 2" xfId="14565"/>
    <cellStyle name="20% - Accent4 7 2 4 2 2" xfId="14566"/>
    <cellStyle name="20% - Accent4 7 2 4 2 2 2" xfId="14567"/>
    <cellStyle name="20% - Accent4 7 2 4 2 2 2 2" xfId="14568"/>
    <cellStyle name="20% - Accent4 7 2 4 2 2 3" xfId="14569"/>
    <cellStyle name="20% - Accent4 7 2 4 2 3" xfId="14570"/>
    <cellStyle name="20% - Accent4 7 2 4 2 3 2" xfId="14571"/>
    <cellStyle name="20% - Accent4 7 2 4 2 4" xfId="14572"/>
    <cellStyle name="20% - Accent4 7 2 4 3" xfId="14573"/>
    <cellStyle name="20% - Accent4 7 2 4 3 2" xfId="14574"/>
    <cellStyle name="20% - Accent4 7 2 4 3 2 2" xfId="14575"/>
    <cellStyle name="20% - Accent4 7 2 4 3 3" xfId="14576"/>
    <cellStyle name="20% - Accent4 7 2 4 4" xfId="14577"/>
    <cellStyle name="20% - Accent4 7 2 4 4 2" xfId="14578"/>
    <cellStyle name="20% - Accent4 7 2 4 5" xfId="14579"/>
    <cellStyle name="20% - Accent4 7 2 5" xfId="14580"/>
    <cellStyle name="20% - Accent4 7 2 5 2" xfId="14581"/>
    <cellStyle name="20% - Accent4 7 2 5 2 2" xfId="14582"/>
    <cellStyle name="20% - Accent4 7 2 5 2 2 2" xfId="14583"/>
    <cellStyle name="20% - Accent4 7 2 5 2 2 2 2" xfId="14584"/>
    <cellStyle name="20% - Accent4 7 2 5 2 2 3" xfId="14585"/>
    <cellStyle name="20% - Accent4 7 2 5 2 3" xfId="14586"/>
    <cellStyle name="20% - Accent4 7 2 5 2 3 2" xfId="14587"/>
    <cellStyle name="20% - Accent4 7 2 5 2 4" xfId="14588"/>
    <cellStyle name="20% - Accent4 7 2 5 3" xfId="14589"/>
    <cellStyle name="20% - Accent4 7 2 5 3 2" xfId="14590"/>
    <cellStyle name="20% - Accent4 7 2 5 3 2 2" xfId="14591"/>
    <cellStyle name="20% - Accent4 7 2 5 3 3" xfId="14592"/>
    <cellStyle name="20% - Accent4 7 2 5 4" xfId="14593"/>
    <cellStyle name="20% - Accent4 7 2 5 4 2" xfId="14594"/>
    <cellStyle name="20% - Accent4 7 2 5 5" xfId="14595"/>
    <cellStyle name="20% - Accent4 7 2 6" xfId="14596"/>
    <cellStyle name="20% - Accent4 7 2 6 2" xfId="14597"/>
    <cellStyle name="20% - Accent4 7 2 6 2 2" xfId="14598"/>
    <cellStyle name="20% - Accent4 7 2 6 2 2 2" xfId="14599"/>
    <cellStyle name="20% - Accent4 7 2 6 2 2 2 2" xfId="14600"/>
    <cellStyle name="20% - Accent4 7 2 6 2 2 3" xfId="14601"/>
    <cellStyle name="20% - Accent4 7 2 6 2 3" xfId="14602"/>
    <cellStyle name="20% - Accent4 7 2 6 2 3 2" xfId="14603"/>
    <cellStyle name="20% - Accent4 7 2 6 2 4" xfId="14604"/>
    <cellStyle name="20% - Accent4 7 2 6 3" xfId="14605"/>
    <cellStyle name="20% - Accent4 7 2 6 3 2" xfId="14606"/>
    <cellStyle name="20% - Accent4 7 2 6 3 2 2" xfId="14607"/>
    <cellStyle name="20% - Accent4 7 2 6 3 3" xfId="14608"/>
    <cellStyle name="20% - Accent4 7 2 6 4" xfId="14609"/>
    <cellStyle name="20% - Accent4 7 2 6 4 2" xfId="14610"/>
    <cellStyle name="20% - Accent4 7 2 6 5" xfId="14611"/>
    <cellStyle name="20% - Accent4 7 2 7" xfId="14612"/>
    <cellStyle name="20% - Accent4 7 2 7 2" xfId="14613"/>
    <cellStyle name="20% - Accent4 7 2 7 2 2" xfId="14614"/>
    <cellStyle name="20% - Accent4 7 2 7 2 2 2" xfId="14615"/>
    <cellStyle name="20% - Accent4 7 2 7 2 3" xfId="14616"/>
    <cellStyle name="20% - Accent4 7 2 7 3" xfId="14617"/>
    <cellStyle name="20% - Accent4 7 2 7 3 2" xfId="14618"/>
    <cellStyle name="20% - Accent4 7 2 7 4" xfId="14619"/>
    <cellStyle name="20% - Accent4 7 2 8" xfId="14620"/>
    <cellStyle name="20% - Accent4 7 2 8 2" xfId="14621"/>
    <cellStyle name="20% - Accent4 7 2 8 2 2" xfId="14622"/>
    <cellStyle name="20% - Accent4 7 2 8 3" xfId="14623"/>
    <cellStyle name="20% - Accent4 7 2 9" xfId="14624"/>
    <cellStyle name="20% - Accent4 7 2 9 2" xfId="14625"/>
    <cellStyle name="20% - Accent4 7 3" xfId="14626"/>
    <cellStyle name="20% - Accent4 7 3 2" xfId="14627"/>
    <cellStyle name="20% - Accent4 7 3 2 2" xfId="14628"/>
    <cellStyle name="20% - Accent4 7 3 2 2 2" xfId="14629"/>
    <cellStyle name="20% - Accent4 7 3 2 2 2 2" xfId="14630"/>
    <cellStyle name="20% - Accent4 7 3 2 2 3" xfId="14631"/>
    <cellStyle name="20% - Accent4 7 3 2 3" xfId="14632"/>
    <cellStyle name="20% - Accent4 7 3 2 3 2" xfId="14633"/>
    <cellStyle name="20% - Accent4 7 3 2 4" xfId="14634"/>
    <cellStyle name="20% - Accent4 7 3 3" xfId="14635"/>
    <cellStyle name="20% - Accent4 7 3 3 2" xfId="14636"/>
    <cellStyle name="20% - Accent4 7 3 3 2 2" xfId="14637"/>
    <cellStyle name="20% - Accent4 7 3 3 3" xfId="14638"/>
    <cellStyle name="20% - Accent4 7 3 4" xfId="14639"/>
    <cellStyle name="20% - Accent4 7 3 4 2" xfId="14640"/>
    <cellStyle name="20% - Accent4 7 3 5" xfId="14641"/>
    <cellStyle name="20% - Accent4 7 4" xfId="14642"/>
    <cellStyle name="20% - Accent4 7 4 2" xfId="14643"/>
    <cellStyle name="20% - Accent4 7 4 2 2" xfId="14644"/>
    <cellStyle name="20% - Accent4 7 4 2 2 2" xfId="14645"/>
    <cellStyle name="20% - Accent4 7 4 2 2 2 2" xfId="14646"/>
    <cellStyle name="20% - Accent4 7 4 2 2 3" xfId="14647"/>
    <cellStyle name="20% - Accent4 7 4 2 3" xfId="14648"/>
    <cellStyle name="20% - Accent4 7 4 2 3 2" xfId="14649"/>
    <cellStyle name="20% - Accent4 7 4 2 4" xfId="14650"/>
    <cellStyle name="20% - Accent4 7 4 3" xfId="14651"/>
    <cellStyle name="20% - Accent4 7 4 3 2" xfId="14652"/>
    <cellStyle name="20% - Accent4 7 4 3 2 2" xfId="14653"/>
    <cellStyle name="20% - Accent4 7 4 3 3" xfId="14654"/>
    <cellStyle name="20% - Accent4 7 4 4" xfId="14655"/>
    <cellStyle name="20% - Accent4 7 4 4 2" xfId="14656"/>
    <cellStyle name="20% - Accent4 7 4 5" xfId="14657"/>
    <cellStyle name="20% - Accent4 7 5" xfId="14658"/>
    <cellStyle name="20% - Accent4 7 5 2" xfId="14659"/>
    <cellStyle name="20% - Accent4 7 5 2 2" xfId="14660"/>
    <cellStyle name="20% - Accent4 7 5 2 2 2" xfId="14661"/>
    <cellStyle name="20% - Accent4 7 5 2 2 2 2" xfId="14662"/>
    <cellStyle name="20% - Accent4 7 5 2 2 3" xfId="14663"/>
    <cellStyle name="20% - Accent4 7 5 2 3" xfId="14664"/>
    <cellStyle name="20% - Accent4 7 5 2 3 2" xfId="14665"/>
    <cellStyle name="20% - Accent4 7 5 2 4" xfId="14666"/>
    <cellStyle name="20% - Accent4 7 5 3" xfId="14667"/>
    <cellStyle name="20% - Accent4 7 5 3 2" xfId="14668"/>
    <cellStyle name="20% - Accent4 7 5 3 2 2" xfId="14669"/>
    <cellStyle name="20% - Accent4 7 5 3 3" xfId="14670"/>
    <cellStyle name="20% - Accent4 7 5 4" xfId="14671"/>
    <cellStyle name="20% - Accent4 7 5 4 2" xfId="14672"/>
    <cellStyle name="20% - Accent4 7 5 5" xfId="14673"/>
    <cellStyle name="20% - Accent4 7 6" xfId="14674"/>
    <cellStyle name="20% - Accent4 7 6 2" xfId="14675"/>
    <cellStyle name="20% - Accent4 7 6 2 2" xfId="14676"/>
    <cellStyle name="20% - Accent4 7 6 2 2 2" xfId="14677"/>
    <cellStyle name="20% - Accent4 7 6 2 2 2 2" xfId="14678"/>
    <cellStyle name="20% - Accent4 7 6 2 2 3" xfId="14679"/>
    <cellStyle name="20% - Accent4 7 6 2 3" xfId="14680"/>
    <cellStyle name="20% - Accent4 7 6 2 3 2" xfId="14681"/>
    <cellStyle name="20% - Accent4 7 6 2 4" xfId="14682"/>
    <cellStyle name="20% - Accent4 7 6 3" xfId="14683"/>
    <cellStyle name="20% - Accent4 7 6 3 2" xfId="14684"/>
    <cellStyle name="20% - Accent4 7 6 3 2 2" xfId="14685"/>
    <cellStyle name="20% - Accent4 7 6 3 3" xfId="14686"/>
    <cellStyle name="20% - Accent4 7 6 4" xfId="14687"/>
    <cellStyle name="20% - Accent4 7 6 4 2" xfId="14688"/>
    <cellStyle name="20% - Accent4 7 6 5" xfId="14689"/>
    <cellStyle name="20% - Accent4 7 7" xfId="14690"/>
    <cellStyle name="20% - Accent4 7 7 2" xfId="14691"/>
    <cellStyle name="20% - Accent4 7 7 2 2" xfId="14692"/>
    <cellStyle name="20% - Accent4 7 7 2 2 2" xfId="14693"/>
    <cellStyle name="20% - Accent4 7 7 2 2 2 2" xfId="14694"/>
    <cellStyle name="20% - Accent4 7 7 2 2 3" xfId="14695"/>
    <cellStyle name="20% - Accent4 7 7 2 3" xfId="14696"/>
    <cellStyle name="20% - Accent4 7 7 2 3 2" xfId="14697"/>
    <cellStyle name="20% - Accent4 7 7 2 4" xfId="14698"/>
    <cellStyle name="20% - Accent4 7 7 3" xfId="14699"/>
    <cellStyle name="20% - Accent4 7 7 3 2" xfId="14700"/>
    <cellStyle name="20% - Accent4 7 7 3 2 2" xfId="14701"/>
    <cellStyle name="20% - Accent4 7 7 3 3" xfId="14702"/>
    <cellStyle name="20% - Accent4 7 7 4" xfId="14703"/>
    <cellStyle name="20% - Accent4 7 7 4 2" xfId="14704"/>
    <cellStyle name="20% - Accent4 7 7 5" xfId="14705"/>
    <cellStyle name="20% - Accent4 7 8" xfId="14706"/>
    <cellStyle name="20% - Accent4 7 8 2" xfId="14707"/>
    <cellStyle name="20% - Accent4 7 8 2 2" xfId="14708"/>
    <cellStyle name="20% - Accent4 7 8 2 2 2" xfId="14709"/>
    <cellStyle name="20% - Accent4 7 8 2 3" xfId="14710"/>
    <cellStyle name="20% - Accent4 7 8 3" xfId="14711"/>
    <cellStyle name="20% - Accent4 7 8 3 2" xfId="14712"/>
    <cellStyle name="20% - Accent4 7 8 4" xfId="14713"/>
    <cellStyle name="20% - Accent4 7 9" xfId="14714"/>
    <cellStyle name="20% - Accent4 7 9 2" xfId="14715"/>
    <cellStyle name="20% - Accent4 7 9 2 2" xfId="14716"/>
    <cellStyle name="20% - Accent4 7 9 3" xfId="14717"/>
    <cellStyle name="20% - Accent4 8" xfId="14718"/>
    <cellStyle name="20% - Accent4 8 10" xfId="14719"/>
    <cellStyle name="20% - Accent4 8 10 2" xfId="14720"/>
    <cellStyle name="20% - Accent4 8 11" xfId="14721"/>
    <cellStyle name="20% - Accent4 8 2" xfId="14722"/>
    <cellStyle name="20% - Accent4 8 2 10" xfId="14723"/>
    <cellStyle name="20% - Accent4 8 2 2" xfId="14724"/>
    <cellStyle name="20% - Accent4 8 2 2 2" xfId="14725"/>
    <cellStyle name="20% - Accent4 8 2 2 2 2" xfId="14726"/>
    <cellStyle name="20% - Accent4 8 2 2 2 2 2" xfId="14727"/>
    <cellStyle name="20% - Accent4 8 2 2 2 2 2 2" xfId="14728"/>
    <cellStyle name="20% - Accent4 8 2 2 2 2 3" xfId="14729"/>
    <cellStyle name="20% - Accent4 8 2 2 2 3" xfId="14730"/>
    <cellStyle name="20% - Accent4 8 2 2 2 3 2" xfId="14731"/>
    <cellStyle name="20% - Accent4 8 2 2 2 4" xfId="14732"/>
    <cellStyle name="20% - Accent4 8 2 2 3" xfId="14733"/>
    <cellStyle name="20% - Accent4 8 2 2 3 2" xfId="14734"/>
    <cellStyle name="20% - Accent4 8 2 2 3 2 2" xfId="14735"/>
    <cellStyle name="20% - Accent4 8 2 2 3 3" xfId="14736"/>
    <cellStyle name="20% - Accent4 8 2 2 4" xfId="14737"/>
    <cellStyle name="20% - Accent4 8 2 2 4 2" xfId="14738"/>
    <cellStyle name="20% - Accent4 8 2 2 5" xfId="14739"/>
    <cellStyle name="20% - Accent4 8 2 3" xfId="14740"/>
    <cellStyle name="20% - Accent4 8 2 3 2" xfId="14741"/>
    <cellStyle name="20% - Accent4 8 2 3 2 2" xfId="14742"/>
    <cellStyle name="20% - Accent4 8 2 3 2 2 2" xfId="14743"/>
    <cellStyle name="20% - Accent4 8 2 3 2 2 2 2" xfId="14744"/>
    <cellStyle name="20% - Accent4 8 2 3 2 2 3" xfId="14745"/>
    <cellStyle name="20% - Accent4 8 2 3 2 3" xfId="14746"/>
    <cellStyle name="20% - Accent4 8 2 3 2 3 2" xfId="14747"/>
    <cellStyle name="20% - Accent4 8 2 3 2 4" xfId="14748"/>
    <cellStyle name="20% - Accent4 8 2 3 3" xfId="14749"/>
    <cellStyle name="20% - Accent4 8 2 3 3 2" xfId="14750"/>
    <cellStyle name="20% - Accent4 8 2 3 3 2 2" xfId="14751"/>
    <cellStyle name="20% - Accent4 8 2 3 3 3" xfId="14752"/>
    <cellStyle name="20% - Accent4 8 2 3 4" xfId="14753"/>
    <cellStyle name="20% - Accent4 8 2 3 4 2" xfId="14754"/>
    <cellStyle name="20% - Accent4 8 2 3 5" xfId="14755"/>
    <cellStyle name="20% - Accent4 8 2 4" xfId="14756"/>
    <cellStyle name="20% - Accent4 8 2 4 2" xfId="14757"/>
    <cellStyle name="20% - Accent4 8 2 4 2 2" xfId="14758"/>
    <cellStyle name="20% - Accent4 8 2 4 2 2 2" xfId="14759"/>
    <cellStyle name="20% - Accent4 8 2 4 2 2 2 2" xfId="14760"/>
    <cellStyle name="20% - Accent4 8 2 4 2 2 3" xfId="14761"/>
    <cellStyle name="20% - Accent4 8 2 4 2 3" xfId="14762"/>
    <cellStyle name="20% - Accent4 8 2 4 2 3 2" xfId="14763"/>
    <cellStyle name="20% - Accent4 8 2 4 2 4" xfId="14764"/>
    <cellStyle name="20% - Accent4 8 2 4 3" xfId="14765"/>
    <cellStyle name="20% - Accent4 8 2 4 3 2" xfId="14766"/>
    <cellStyle name="20% - Accent4 8 2 4 3 2 2" xfId="14767"/>
    <cellStyle name="20% - Accent4 8 2 4 3 3" xfId="14768"/>
    <cellStyle name="20% - Accent4 8 2 4 4" xfId="14769"/>
    <cellStyle name="20% - Accent4 8 2 4 4 2" xfId="14770"/>
    <cellStyle name="20% - Accent4 8 2 4 5" xfId="14771"/>
    <cellStyle name="20% - Accent4 8 2 5" xfId="14772"/>
    <cellStyle name="20% - Accent4 8 2 5 2" xfId="14773"/>
    <cellStyle name="20% - Accent4 8 2 5 2 2" xfId="14774"/>
    <cellStyle name="20% - Accent4 8 2 5 2 2 2" xfId="14775"/>
    <cellStyle name="20% - Accent4 8 2 5 2 2 2 2" xfId="14776"/>
    <cellStyle name="20% - Accent4 8 2 5 2 2 3" xfId="14777"/>
    <cellStyle name="20% - Accent4 8 2 5 2 3" xfId="14778"/>
    <cellStyle name="20% - Accent4 8 2 5 2 3 2" xfId="14779"/>
    <cellStyle name="20% - Accent4 8 2 5 2 4" xfId="14780"/>
    <cellStyle name="20% - Accent4 8 2 5 3" xfId="14781"/>
    <cellStyle name="20% - Accent4 8 2 5 3 2" xfId="14782"/>
    <cellStyle name="20% - Accent4 8 2 5 3 2 2" xfId="14783"/>
    <cellStyle name="20% - Accent4 8 2 5 3 3" xfId="14784"/>
    <cellStyle name="20% - Accent4 8 2 5 4" xfId="14785"/>
    <cellStyle name="20% - Accent4 8 2 5 4 2" xfId="14786"/>
    <cellStyle name="20% - Accent4 8 2 5 5" xfId="14787"/>
    <cellStyle name="20% - Accent4 8 2 6" xfId="14788"/>
    <cellStyle name="20% - Accent4 8 2 6 2" xfId="14789"/>
    <cellStyle name="20% - Accent4 8 2 6 2 2" xfId="14790"/>
    <cellStyle name="20% - Accent4 8 2 6 2 2 2" xfId="14791"/>
    <cellStyle name="20% - Accent4 8 2 6 2 2 2 2" xfId="14792"/>
    <cellStyle name="20% - Accent4 8 2 6 2 2 3" xfId="14793"/>
    <cellStyle name="20% - Accent4 8 2 6 2 3" xfId="14794"/>
    <cellStyle name="20% - Accent4 8 2 6 2 3 2" xfId="14795"/>
    <cellStyle name="20% - Accent4 8 2 6 2 4" xfId="14796"/>
    <cellStyle name="20% - Accent4 8 2 6 3" xfId="14797"/>
    <cellStyle name="20% - Accent4 8 2 6 3 2" xfId="14798"/>
    <cellStyle name="20% - Accent4 8 2 6 3 2 2" xfId="14799"/>
    <cellStyle name="20% - Accent4 8 2 6 3 3" xfId="14800"/>
    <cellStyle name="20% - Accent4 8 2 6 4" xfId="14801"/>
    <cellStyle name="20% - Accent4 8 2 6 4 2" xfId="14802"/>
    <cellStyle name="20% - Accent4 8 2 6 5" xfId="14803"/>
    <cellStyle name="20% - Accent4 8 2 7" xfId="14804"/>
    <cellStyle name="20% - Accent4 8 2 7 2" xfId="14805"/>
    <cellStyle name="20% - Accent4 8 2 7 2 2" xfId="14806"/>
    <cellStyle name="20% - Accent4 8 2 7 2 2 2" xfId="14807"/>
    <cellStyle name="20% - Accent4 8 2 7 2 3" xfId="14808"/>
    <cellStyle name="20% - Accent4 8 2 7 3" xfId="14809"/>
    <cellStyle name="20% - Accent4 8 2 7 3 2" xfId="14810"/>
    <cellStyle name="20% - Accent4 8 2 7 4" xfId="14811"/>
    <cellStyle name="20% - Accent4 8 2 8" xfId="14812"/>
    <cellStyle name="20% - Accent4 8 2 8 2" xfId="14813"/>
    <cellStyle name="20% - Accent4 8 2 8 2 2" xfId="14814"/>
    <cellStyle name="20% - Accent4 8 2 8 3" xfId="14815"/>
    <cellStyle name="20% - Accent4 8 2 9" xfId="14816"/>
    <cellStyle name="20% - Accent4 8 2 9 2" xfId="14817"/>
    <cellStyle name="20% - Accent4 8 3" xfId="14818"/>
    <cellStyle name="20% - Accent4 8 3 2" xfId="14819"/>
    <cellStyle name="20% - Accent4 8 3 2 2" xfId="14820"/>
    <cellStyle name="20% - Accent4 8 3 2 2 2" xfId="14821"/>
    <cellStyle name="20% - Accent4 8 3 2 2 2 2" xfId="14822"/>
    <cellStyle name="20% - Accent4 8 3 2 2 3" xfId="14823"/>
    <cellStyle name="20% - Accent4 8 3 2 3" xfId="14824"/>
    <cellStyle name="20% - Accent4 8 3 2 3 2" xfId="14825"/>
    <cellStyle name="20% - Accent4 8 3 2 4" xfId="14826"/>
    <cellStyle name="20% - Accent4 8 3 3" xfId="14827"/>
    <cellStyle name="20% - Accent4 8 3 3 2" xfId="14828"/>
    <cellStyle name="20% - Accent4 8 3 3 2 2" xfId="14829"/>
    <cellStyle name="20% - Accent4 8 3 3 3" xfId="14830"/>
    <cellStyle name="20% - Accent4 8 3 4" xfId="14831"/>
    <cellStyle name="20% - Accent4 8 3 4 2" xfId="14832"/>
    <cellStyle name="20% - Accent4 8 3 5" xfId="14833"/>
    <cellStyle name="20% - Accent4 8 4" xfId="14834"/>
    <cellStyle name="20% - Accent4 8 4 2" xfId="14835"/>
    <cellStyle name="20% - Accent4 8 4 2 2" xfId="14836"/>
    <cellStyle name="20% - Accent4 8 4 2 2 2" xfId="14837"/>
    <cellStyle name="20% - Accent4 8 4 2 2 2 2" xfId="14838"/>
    <cellStyle name="20% - Accent4 8 4 2 2 3" xfId="14839"/>
    <cellStyle name="20% - Accent4 8 4 2 3" xfId="14840"/>
    <cellStyle name="20% - Accent4 8 4 2 3 2" xfId="14841"/>
    <cellStyle name="20% - Accent4 8 4 2 4" xfId="14842"/>
    <cellStyle name="20% - Accent4 8 4 3" xfId="14843"/>
    <cellStyle name="20% - Accent4 8 4 3 2" xfId="14844"/>
    <cellStyle name="20% - Accent4 8 4 3 2 2" xfId="14845"/>
    <cellStyle name="20% - Accent4 8 4 3 3" xfId="14846"/>
    <cellStyle name="20% - Accent4 8 4 4" xfId="14847"/>
    <cellStyle name="20% - Accent4 8 4 4 2" xfId="14848"/>
    <cellStyle name="20% - Accent4 8 4 5" xfId="14849"/>
    <cellStyle name="20% - Accent4 8 5" xfId="14850"/>
    <cellStyle name="20% - Accent4 8 5 2" xfId="14851"/>
    <cellStyle name="20% - Accent4 8 5 2 2" xfId="14852"/>
    <cellStyle name="20% - Accent4 8 5 2 2 2" xfId="14853"/>
    <cellStyle name="20% - Accent4 8 5 2 2 2 2" xfId="14854"/>
    <cellStyle name="20% - Accent4 8 5 2 2 3" xfId="14855"/>
    <cellStyle name="20% - Accent4 8 5 2 3" xfId="14856"/>
    <cellStyle name="20% - Accent4 8 5 2 3 2" xfId="14857"/>
    <cellStyle name="20% - Accent4 8 5 2 4" xfId="14858"/>
    <cellStyle name="20% - Accent4 8 5 3" xfId="14859"/>
    <cellStyle name="20% - Accent4 8 5 3 2" xfId="14860"/>
    <cellStyle name="20% - Accent4 8 5 3 2 2" xfId="14861"/>
    <cellStyle name="20% - Accent4 8 5 3 3" xfId="14862"/>
    <cellStyle name="20% - Accent4 8 5 4" xfId="14863"/>
    <cellStyle name="20% - Accent4 8 5 4 2" xfId="14864"/>
    <cellStyle name="20% - Accent4 8 5 5" xfId="14865"/>
    <cellStyle name="20% - Accent4 8 6" xfId="14866"/>
    <cellStyle name="20% - Accent4 8 6 2" xfId="14867"/>
    <cellStyle name="20% - Accent4 8 6 2 2" xfId="14868"/>
    <cellStyle name="20% - Accent4 8 6 2 2 2" xfId="14869"/>
    <cellStyle name="20% - Accent4 8 6 2 2 2 2" xfId="14870"/>
    <cellStyle name="20% - Accent4 8 6 2 2 3" xfId="14871"/>
    <cellStyle name="20% - Accent4 8 6 2 3" xfId="14872"/>
    <cellStyle name="20% - Accent4 8 6 2 3 2" xfId="14873"/>
    <cellStyle name="20% - Accent4 8 6 2 4" xfId="14874"/>
    <cellStyle name="20% - Accent4 8 6 3" xfId="14875"/>
    <cellStyle name="20% - Accent4 8 6 3 2" xfId="14876"/>
    <cellStyle name="20% - Accent4 8 6 3 2 2" xfId="14877"/>
    <cellStyle name="20% - Accent4 8 6 3 3" xfId="14878"/>
    <cellStyle name="20% - Accent4 8 6 4" xfId="14879"/>
    <cellStyle name="20% - Accent4 8 6 4 2" xfId="14880"/>
    <cellStyle name="20% - Accent4 8 6 5" xfId="14881"/>
    <cellStyle name="20% - Accent4 8 7" xfId="14882"/>
    <cellStyle name="20% - Accent4 8 7 2" xfId="14883"/>
    <cellStyle name="20% - Accent4 8 7 2 2" xfId="14884"/>
    <cellStyle name="20% - Accent4 8 7 2 2 2" xfId="14885"/>
    <cellStyle name="20% - Accent4 8 7 2 2 2 2" xfId="14886"/>
    <cellStyle name="20% - Accent4 8 7 2 2 3" xfId="14887"/>
    <cellStyle name="20% - Accent4 8 7 2 3" xfId="14888"/>
    <cellStyle name="20% - Accent4 8 7 2 3 2" xfId="14889"/>
    <cellStyle name="20% - Accent4 8 7 2 4" xfId="14890"/>
    <cellStyle name="20% - Accent4 8 7 3" xfId="14891"/>
    <cellStyle name="20% - Accent4 8 7 3 2" xfId="14892"/>
    <cellStyle name="20% - Accent4 8 7 3 2 2" xfId="14893"/>
    <cellStyle name="20% - Accent4 8 7 3 3" xfId="14894"/>
    <cellStyle name="20% - Accent4 8 7 4" xfId="14895"/>
    <cellStyle name="20% - Accent4 8 7 4 2" xfId="14896"/>
    <cellStyle name="20% - Accent4 8 7 5" xfId="14897"/>
    <cellStyle name="20% - Accent4 8 8" xfId="14898"/>
    <cellStyle name="20% - Accent4 8 8 2" xfId="14899"/>
    <cellStyle name="20% - Accent4 8 8 2 2" xfId="14900"/>
    <cellStyle name="20% - Accent4 8 8 2 2 2" xfId="14901"/>
    <cellStyle name="20% - Accent4 8 8 2 3" xfId="14902"/>
    <cellStyle name="20% - Accent4 8 8 3" xfId="14903"/>
    <cellStyle name="20% - Accent4 8 8 3 2" xfId="14904"/>
    <cellStyle name="20% - Accent4 8 8 4" xfId="14905"/>
    <cellStyle name="20% - Accent4 8 9" xfId="14906"/>
    <cellStyle name="20% - Accent4 8 9 2" xfId="14907"/>
    <cellStyle name="20% - Accent4 8 9 2 2" xfId="14908"/>
    <cellStyle name="20% - Accent4 8 9 3" xfId="14909"/>
    <cellStyle name="20% - Accent4 9" xfId="14910"/>
    <cellStyle name="20% - Accent4 9 10" xfId="14911"/>
    <cellStyle name="20% - Accent4 9 10 2" xfId="14912"/>
    <cellStyle name="20% - Accent4 9 11" xfId="14913"/>
    <cellStyle name="20% - Accent4 9 2" xfId="14914"/>
    <cellStyle name="20% - Accent4 9 2 10" xfId="14915"/>
    <cellStyle name="20% - Accent4 9 2 2" xfId="14916"/>
    <cellStyle name="20% - Accent4 9 2 2 2" xfId="14917"/>
    <cellStyle name="20% - Accent4 9 2 2 2 2" xfId="14918"/>
    <cellStyle name="20% - Accent4 9 2 2 2 2 2" xfId="14919"/>
    <cellStyle name="20% - Accent4 9 2 2 2 2 2 2" xfId="14920"/>
    <cellStyle name="20% - Accent4 9 2 2 2 2 3" xfId="14921"/>
    <cellStyle name="20% - Accent4 9 2 2 2 3" xfId="14922"/>
    <cellStyle name="20% - Accent4 9 2 2 2 3 2" xfId="14923"/>
    <cellStyle name="20% - Accent4 9 2 2 2 4" xfId="14924"/>
    <cellStyle name="20% - Accent4 9 2 2 3" xfId="14925"/>
    <cellStyle name="20% - Accent4 9 2 2 3 2" xfId="14926"/>
    <cellStyle name="20% - Accent4 9 2 2 3 2 2" xfId="14927"/>
    <cellStyle name="20% - Accent4 9 2 2 3 3" xfId="14928"/>
    <cellStyle name="20% - Accent4 9 2 2 4" xfId="14929"/>
    <cellStyle name="20% - Accent4 9 2 2 4 2" xfId="14930"/>
    <cellStyle name="20% - Accent4 9 2 2 5" xfId="14931"/>
    <cellStyle name="20% - Accent4 9 2 3" xfId="14932"/>
    <cellStyle name="20% - Accent4 9 2 3 2" xfId="14933"/>
    <cellStyle name="20% - Accent4 9 2 3 2 2" xfId="14934"/>
    <cellStyle name="20% - Accent4 9 2 3 2 2 2" xfId="14935"/>
    <cellStyle name="20% - Accent4 9 2 3 2 2 2 2" xfId="14936"/>
    <cellStyle name="20% - Accent4 9 2 3 2 2 3" xfId="14937"/>
    <cellStyle name="20% - Accent4 9 2 3 2 3" xfId="14938"/>
    <cellStyle name="20% - Accent4 9 2 3 2 3 2" xfId="14939"/>
    <cellStyle name="20% - Accent4 9 2 3 2 4" xfId="14940"/>
    <cellStyle name="20% - Accent4 9 2 3 3" xfId="14941"/>
    <cellStyle name="20% - Accent4 9 2 3 3 2" xfId="14942"/>
    <cellStyle name="20% - Accent4 9 2 3 3 2 2" xfId="14943"/>
    <cellStyle name="20% - Accent4 9 2 3 3 3" xfId="14944"/>
    <cellStyle name="20% - Accent4 9 2 3 4" xfId="14945"/>
    <cellStyle name="20% - Accent4 9 2 3 4 2" xfId="14946"/>
    <cellStyle name="20% - Accent4 9 2 3 5" xfId="14947"/>
    <cellStyle name="20% - Accent4 9 2 4" xfId="14948"/>
    <cellStyle name="20% - Accent4 9 2 4 2" xfId="14949"/>
    <cellStyle name="20% - Accent4 9 2 4 2 2" xfId="14950"/>
    <cellStyle name="20% - Accent4 9 2 4 2 2 2" xfId="14951"/>
    <cellStyle name="20% - Accent4 9 2 4 2 2 2 2" xfId="14952"/>
    <cellStyle name="20% - Accent4 9 2 4 2 2 3" xfId="14953"/>
    <cellStyle name="20% - Accent4 9 2 4 2 3" xfId="14954"/>
    <cellStyle name="20% - Accent4 9 2 4 2 3 2" xfId="14955"/>
    <cellStyle name="20% - Accent4 9 2 4 2 4" xfId="14956"/>
    <cellStyle name="20% - Accent4 9 2 4 3" xfId="14957"/>
    <cellStyle name="20% - Accent4 9 2 4 3 2" xfId="14958"/>
    <cellStyle name="20% - Accent4 9 2 4 3 2 2" xfId="14959"/>
    <cellStyle name="20% - Accent4 9 2 4 3 3" xfId="14960"/>
    <cellStyle name="20% - Accent4 9 2 4 4" xfId="14961"/>
    <cellStyle name="20% - Accent4 9 2 4 4 2" xfId="14962"/>
    <cellStyle name="20% - Accent4 9 2 4 5" xfId="14963"/>
    <cellStyle name="20% - Accent4 9 2 5" xfId="14964"/>
    <cellStyle name="20% - Accent4 9 2 5 2" xfId="14965"/>
    <cellStyle name="20% - Accent4 9 2 5 2 2" xfId="14966"/>
    <cellStyle name="20% - Accent4 9 2 5 2 2 2" xfId="14967"/>
    <cellStyle name="20% - Accent4 9 2 5 2 2 2 2" xfId="14968"/>
    <cellStyle name="20% - Accent4 9 2 5 2 2 3" xfId="14969"/>
    <cellStyle name="20% - Accent4 9 2 5 2 3" xfId="14970"/>
    <cellStyle name="20% - Accent4 9 2 5 2 3 2" xfId="14971"/>
    <cellStyle name="20% - Accent4 9 2 5 2 4" xfId="14972"/>
    <cellStyle name="20% - Accent4 9 2 5 3" xfId="14973"/>
    <cellStyle name="20% - Accent4 9 2 5 3 2" xfId="14974"/>
    <cellStyle name="20% - Accent4 9 2 5 3 2 2" xfId="14975"/>
    <cellStyle name="20% - Accent4 9 2 5 3 3" xfId="14976"/>
    <cellStyle name="20% - Accent4 9 2 5 4" xfId="14977"/>
    <cellStyle name="20% - Accent4 9 2 5 4 2" xfId="14978"/>
    <cellStyle name="20% - Accent4 9 2 5 5" xfId="14979"/>
    <cellStyle name="20% - Accent4 9 2 6" xfId="14980"/>
    <cellStyle name="20% - Accent4 9 2 6 2" xfId="14981"/>
    <cellStyle name="20% - Accent4 9 2 6 2 2" xfId="14982"/>
    <cellStyle name="20% - Accent4 9 2 6 2 2 2" xfId="14983"/>
    <cellStyle name="20% - Accent4 9 2 6 2 2 2 2" xfId="14984"/>
    <cellStyle name="20% - Accent4 9 2 6 2 2 3" xfId="14985"/>
    <cellStyle name="20% - Accent4 9 2 6 2 3" xfId="14986"/>
    <cellStyle name="20% - Accent4 9 2 6 2 3 2" xfId="14987"/>
    <cellStyle name="20% - Accent4 9 2 6 2 4" xfId="14988"/>
    <cellStyle name="20% - Accent4 9 2 6 3" xfId="14989"/>
    <cellStyle name="20% - Accent4 9 2 6 3 2" xfId="14990"/>
    <cellStyle name="20% - Accent4 9 2 6 3 2 2" xfId="14991"/>
    <cellStyle name="20% - Accent4 9 2 6 3 3" xfId="14992"/>
    <cellStyle name="20% - Accent4 9 2 6 4" xfId="14993"/>
    <cellStyle name="20% - Accent4 9 2 6 4 2" xfId="14994"/>
    <cellStyle name="20% - Accent4 9 2 6 5" xfId="14995"/>
    <cellStyle name="20% - Accent4 9 2 7" xfId="14996"/>
    <cellStyle name="20% - Accent4 9 2 7 2" xfId="14997"/>
    <cellStyle name="20% - Accent4 9 2 7 2 2" xfId="14998"/>
    <cellStyle name="20% - Accent4 9 2 7 2 2 2" xfId="14999"/>
    <cellStyle name="20% - Accent4 9 2 7 2 3" xfId="15000"/>
    <cellStyle name="20% - Accent4 9 2 7 3" xfId="15001"/>
    <cellStyle name="20% - Accent4 9 2 7 3 2" xfId="15002"/>
    <cellStyle name="20% - Accent4 9 2 7 4" xfId="15003"/>
    <cellStyle name="20% - Accent4 9 2 8" xfId="15004"/>
    <cellStyle name="20% - Accent4 9 2 8 2" xfId="15005"/>
    <cellStyle name="20% - Accent4 9 2 8 2 2" xfId="15006"/>
    <cellStyle name="20% - Accent4 9 2 8 3" xfId="15007"/>
    <cellStyle name="20% - Accent4 9 2 9" xfId="15008"/>
    <cellStyle name="20% - Accent4 9 2 9 2" xfId="15009"/>
    <cellStyle name="20% - Accent4 9 3" xfId="15010"/>
    <cellStyle name="20% - Accent4 9 3 2" xfId="15011"/>
    <cellStyle name="20% - Accent4 9 3 2 2" xfId="15012"/>
    <cellStyle name="20% - Accent4 9 3 2 2 2" xfId="15013"/>
    <cellStyle name="20% - Accent4 9 3 2 2 2 2" xfId="15014"/>
    <cellStyle name="20% - Accent4 9 3 2 2 3" xfId="15015"/>
    <cellStyle name="20% - Accent4 9 3 2 3" xfId="15016"/>
    <cellStyle name="20% - Accent4 9 3 2 3 2" xfId="15017"/>
    <cellStyle name="20% - Accent4 9 3 2 4" xfId="15018"/>
    <cellStyle name="20% - Accent4 9 3 3" xfId="15019"/>
    <cellStyle name="20% - Accent4 9 3 3 2" xfId="15020"/>
    <cellStyle name="20% - Accent4 9 3 3 2 2" xfId="15021"/>
    <cellStyle name="20% - Accent4 9 3 3 3" xfId="15022"/>
    <cellStyle name="20% - Accent4 9 3 4" xfId="15023"/>
    <cellStyle name="20% - Accent4 9 3 4 2" xfId="15024"/>
    <cellStyle name="20% - Accent4 9 3 5" xfId="15025"/>
    <cellStyle name="20% - Accent4 9 4" xfId="15026"/>
    <cellStyle name="20% - Accent4 9 4 2" xfId="15027"/>
    <cellStyle name="20% - Accent4 9 4 2 2" xfId="15028"/>
    <cellStyle name="20% - Accent4 9 4 2 2 2" xfId="15029"/>
    <cellStyle name="20% - Accent4 9 4 2 2 2 2" xfId="15030"/>
    <cellStyle name="20% - Accent4 9 4 2 2 3" xfId="15031"/>
    <cellStyle name="20% - Accent4 9 4 2 3" xfId="15032"/>
    <cellStyle name="20% - Accent4 9 4 2 3 2" xfId="15033"/>
    <cellStyle name="20% - Accent4 9 4 2 4" xfId="15034"/>
    <cellStyle name="20% - Accent4 9 4 3" xfId="15035"/>
    <cellStyle name="20% - Accent4 9 4 3 2" xfId="15036"/>
    <cellStyle name="20% - Accent4 9 4 3 2 2" xfId="15037"/>
    <cellStyle name="20% - Accent4 9 4 3 3" xfId="15038"/>
    <cellStyle name="20% - Accent4 9 4 4" xfId="15039"/>
    <cellStyle name="20% - Accent4 9 4 4 2" xfId="15040"/>
    <cellStyle name="20% - Accent4 9 4 5" xfId="15041"/>
    <cellStyle name="20% - Accent4 9 5" xfId="15042"/>
    <cellStyle name="20% - Accent4 9 5 2" xfId="15043"/>
    <cellStyle name="20% - Accent4 9 5 2 2" xfId="15044"/>
    <cellStyle name="20% - Accent4 9 5 2 2 2" xfId="15045"/>
    <cellStyle name="20% - Accent4 9 5 2 2 2 2" xfId="15046"/>
    <cellStyle name="20% - Accent4 9 5 2 2 3" xfId="15047"/>
    <cellStyle name="20% - Accent4 9 5 2 3" xfId="15048"/>
    <cellStyle name="20% - Accent4 9 5 2 3 2" xfId="15049"/>
    <cellStyle name="20% - Accent4 9 5 2 4" xfId="15050"/>
    <cellStyle name="20% - Accent4 9 5 3" xfId="15051"/>
    <cellStyle name="20% - Accent4 9 5 3 2" xfId="15052"/>
    <cellStyle name="20% - Accent4 9 5 3 2 2" xfId="15053"/>
    <cellStyle name="20% - Accent4 9 5 3 3" xfId="15054"/>
    <cellStyle name="20% - Accent4 9 5 4" xfId="15055"/>
    <cellStyle name="20% - Accent4 9 5 4 2" xfId="15056"/>
    <cellStyle name="20% - Accent4 9 5 5" xfId="15057"/>
    <cellStyle name="20% - Accent4 9 6" xfId="15058"/>
    <cellStyle name="20% - Accent4 9 6 2" xfId="15059"/>
    <cellStyle name="20% - Accent4 9 6 2 2" xfId="15060"/>
    <cellStyle name="20% - Accent4 9 6 2 2 2" xfId="15061"/>
    <cellStyle name="20% - Accent4 9 6 2 2 2 2" xfId="15062"/>
    <cellStyle name="20% - Accent4 9 6 2 2 3" xfId="15063"/>
    <cellStyle name="20% - Accent4 9 6 2 3" xfId="15064"/>
    <cellStyle name="20% - Accent4 9 6 2 3 2" xfId="15065"/>
    <cellStyle name="20% - Accent4 9 6 2 4" xfId="15066"/>
    <cellStyle name="20% - Accent4 9 6 3" xfId="15067"/>
    <cellStyle name="20% - Accent4 9 6 3 2" xfId="15068"/>
    <cellStyle name="20% - Accent4 9 6 3 2 2" xfId="15069"/>
    <cellStyle name="20% - Accent4 9 6 3 3" xfId="15070"/>
    <cellStyle name="20% - Accent4 9 6 4" xfId="15071"/>
    <cellStyle name="20% - Accent4 9 6 4 2" xfId="15072"/>
    <cellStyle name="20% - Accent4 9 6 5" xfId="15073"/>
    <cellStyle name="20% - Accent4 9 7" xfId="15074"/>
    <cellStyle name="20% - Accent4 9 7 2" xfId="15075"/>
    <cellStyle name="20% - Accent4 9 7 2 2" xfId="15076"/>
    <cellStyle name="20% - Accent4 9 7 2 2 2" xfId="15077"/>
    <cellStyle name="20% - Accent4 9 7 2 2 2 2" xfId="15078"/>
    <cellStyle name="20% - Accent4 9 7 2 2 3" xfId="15079"/>
    <cellStyle name="20% - Accent4 9 7 2 3" xfId="15080"/>
    <cellStyle name="20% - Accent4 9 7 2 3 2" xfId="15081"/>
    <cellStyle name="20% - Accent4 9 7 2 4" xfId="15082"/>
    <cellStyle name="20% - Accent4 9 7 3" xfId="15083"/>
    <cellStyle name="20% - Accent4 9 7 3 2" xfId="15084"/>
    <cellStyle name="20% - Accent4 9 7 3 2 2" xfId="15085"/>
    <cellStyle name="20% - Accent4 9 7 3 3" xfId="15086"/>
    <cellStyle name="20% - Accent4 9 7 4" xfId="15087"/>
    <cellStyle name="20% - Accent4 9 7 4 2" xfId="15088"/>
    <cellStyle name="20% - Accent4 9 7 5" xfId="15089"/>
    <cellStyle name="20% - Accent4 9 8" xfId="15090"/>
    <cellStyle name="20% - Accent4 9 8 2" xfId="15091"/>
    <cellStyle name="20% - Accent4 9 8 2 2" xfId="15092"/>
    <cellStyle name="20% - Accent4 9 8 2 2 2" xfId="15093"/>
    <cellStyle name="20% - Accent4 9 8 2 3" xfId="15094"/>
    <cellStyle name="20% - Accent4 9 8 3" xfId="15095"/>
    <cellStyle name="20% - Accent4 9 8 3 2" xfId="15096"/>
    <cellStyle name="20% - Accent4 9 8 4" xfId="15097"/>
    <cellStyle name="20% - Accent4 9 9" xfId="15098"/>
    <cellStyle name="20% - Accent4 9 9 2" xfId="15099"/>
    <cellStyle name="20% - Accent4 9 9 2 2" xfId="15100"/>
    <cellStyle name="20% - Accent4 9 9 3" xfId="15101"/>
    <cellStyle name="20% - Accent5 10" xfId="15102"/>
    <cellStyle name="20% - Accent5 10 10" xfId="15103"/>
    <cellStyle name="20% - Accent5 10 10 2" xfId="15104"/>
    <cellStyle name="20% - Accent5 10 11" xfId="15105"/>
    <cellStyle name="20% - Accent5 10 2" xfId="15106"/>
    <cellStyle name="20% - Accent5 10 2 10" xfId="15107"/>
    <cellStyle name="20% - Accent5 10 2 2" xfId="15108"/>
    <cellStyle name="20% - Accent5 10 2 2 2" xfId="15109"/>
    <cellStyle name="20% - Accent5 10 2 2 2 2" xfId="15110"/>
    <cellStyle name="20% - Accent5 10 2 2 2 2 2" xfId="15111"/>
    <cellStyle name="20% - Accent5 10 2 2 2 2 2 2" xfId="15112"/>
    <cellStyle name="20% - Accent5 10 2 2 2 2 3" xfId="15113"/>
    <cellStyle name="20% - Accent5 10 2 2 2 3" xfId="15114"/>
    <cellStyle name="20% - Accent5 10 2 2 2 3 2" xfId="15115"/>
    <cellStyle name="20% - Accent5 10 2 2 2 4" xfId="15116"/>
    <cellStyle name="20% - Accent5 10 2 2 3" xfId="15117"/>
    <cellStyle name="20% - Accent5 10 2 2 3 2" xfId="15118"/>
    <cellStyle name="20% - Accent5 10 2 2 3 2 2" xfId="15119"/>
    <cellStyle name="20% - Accent5 10 2 2 3 3" xfId="15120"/>
    <cellStyle name="20% - Accent5 10 2 2 4" xfId="15121"/>
    <cellStyle name="20% - Accent5 10 2 2 4 2" xfId="15122"/>
    <cellStyle name="20% - Accent5 10 2 2 5" xfId="15123"/>
    <cellStyle name="20% - Accent5 10 2 3" xfId="15124"/>
    <cellStyle name="20% - Accent5 10 2 3 2" xfId="15125"/>
    <cellStyle name="20% - Accent5 10 2 3 2 2" xfId="15126"/>
    <cellStyle name="20% - Accent5 10 2 3 2 2 2" xfId="15127"/>
    <cellStyle name="20% - Accent5 10 2 3 2 2 2 2" xfId="15128"/>
    <cellStyle name="20% - Accent5 10 2 3 2 2 3" xfId="15129"/>
    <cellStyle name="20% - Accent5 10 2 3 2 3" xfId="15130"/>
    <cellStyle name="20% - Accent5 10 2 3 2 3 2" xfId="15131"/>
    <cellStyle name="20% - Accent5 10 2 3 2 4" xfId="15132"/>
    <cellStyle name="20% - Accent5 10 2 3 3" xfId="15133"/>
    <cellStyle name="20% - Accent5 10 2 3 3 2" xfId="15134"/>
    <cellStyle name="20% - Accent5 10 2 3 3 2 2" xfId="15135"/>
    <cellStyle name="20% - Accent5 10 2 3 3 3" xfId="15136"/>
    <cellStyle name="20% - Accent5 10 2 3 4" xfId="15137"/>
    <cellStyle name="20% - Accent5 10 2 3 4 2" xfId="15138"/>
    <cellStyle name="20% - Accent5 10 2 3 5" xfId="15139"/>
    <cellStyle name="20% - Accent5 10 2 4" xfId="15140"/>
    <cellStyle name="20% - Accent5 10 2 4 2" xfId="15141"/>
    <cellStyle name="20% - Accent5 10 2 4 2 2" xfId="15142"/>
    <cellStyle name="20% - Accent5 10 2 4 2 2 2" xfId="15143"/>
    <cellStyle name="20% - Accent5 10 2 4 2 2 2 2" xfId="15144"/>
    <cellStyle name="20% - Accent5 10 2 4 2 2 3" xfId="15145"/>
    <cellStyle name="20% - Accent5 10 2 4 2 3" xfId="15146"/>
    <cellStyle name="20% - Accent5 10 2 4 2 3 2" xfId="15147"/>
    <cellStyle name="20% - Accent5 10 2 4 2 4" xfId="15148"/>
    <cellStyle name="20% - Accent5 10 2 4 3" xfId="15149"/>
    <cellStyle name="20% - Accent5 10 2 4 3 2" xfId="15150"/>
    <cellStyle name="20% - Accent5 10 2 4 3 2 2" xfId="15151"/>
    <cellStyle name="20% - Accent5 10 2 4 3 3" xfId="15152"/>
    <cellStyle name="20% - Accent5 10 2 4 4" xfId="15153"/>
    <cellStyle name="20% - Accent5 10 2 4 4 2" xfId="15154"/>
    <cellStyle name="20% - Accent5 10 2 4 5" xfId="15155"/>
    <cellStyle name="20% - Accent5 10 2 5" xfId="15156"/>
    <cellStyle name="20% - Accent5 10 2 5 2" xfId="15157"/>
    <cellStyle name="20% - Accent5 10 2 5 2 2" xfId="15158"/>
    <cellStyle name="20% - Accent5 10 2 5 2 2 2" xfId="15159"/>
    <cellStyle name="20% - Accent5 10 2 5 2 2 2 2" xfId="15160"/>
    <cellStyle name="20% - Accent5 10 2 5 2 2 3" xfId="15161"/>
    <cellStyle name="20% - Accent5 10 2 5 2 3" xfId="15162"/>
    <cellStyle name="20% - Accent5 10 2 5 2 3 2" xfId="15163"/>
    <cellStyle name="20% - Accent5 10 2 5 2 4" xfId="15164"/>
    <cellStyle name="20% - Accent5 10 2 5 3" xfId="15165"/>
    <cellStyle name="20% - Accent5 10 2 5 3 2" xfId="15166"/>
    <cellStyle name="20% - Accent5 10 2 5 3 2 2" xfId="15167"/>
    <cellStyle name="20% - Accent5 10 2 5 3 3" xfId="15168"/>
    <cellStyle name="20% - Accent5 10 2 5 4" xfId="15169"/>
    <cellStyle name="20% - Accent5 10 2 5 4 2" xfId="15170"/>
    <cellStyle name="20% - Accent5 10 2 5 5" xfId="15171"/>
    <cellStyle name="20% - Accent5 10 2 6" xfId="15172"/>
    <cellStyle name="20% - Accent5 10 2 6 2" xfId="15173"/>
    <cellStyle name="20% - Accent5 10 2 6 2 2" xfId="15174"/>
    <cellStyle name="20% - Accent5 10 2 6 2 2 2" xfId="15175"/>
    <cellStyle name="20% - Accent5 10 2 6 2 2 2 2" xfId="15176"/>
    <cellStyle name="20% - Accent5 10 2 6 2 2 3" xfId="15177"/>
    <cellStyle name="20% - Accent5 10 2 6 2 3" xfId="15178"/>
    <cellStyle name="20% - Accent5 10 2 6 2 3 2" xfId="15179"/>
    <cellStyle name="20% - Accent5 10 2 6 2 4" xfId="15180"/>
    <cellStyle name="20% - Accent5 10 2 6 3" xfId="15181"/>
    <cellStyle name="20% - Accent5 10 2 6 3 2" xfId="15182"/>
    <cellStyle name="20% - Accent5 10 2 6 3 2 2" xfId="15183"/>
    <cellStyle name="20% - Accent5 10 2 6 3 3" xfId="15184"/>
    <cellStyle name="20% - Accent5 10 2 6 4" xfId="15185"/>
    <cellStyle name="20% - Accent5 10 2 6 4 2" xfId="15186"/>
    <cellStyle name="20% - Accent5 10 2 6 5" xfId="15187"/>
    <cellStyle name="20% - Accent5 10 2 7" xfId="15188"/>
    <cellStyle name="20% - Accent5 10 2 7 2" xfId="15189"/>
    <cellStyle name="20% - Accent5 10 2 7 2 2" xfId="15190"/>
    <cellStyle name="20% - Accent5 10 2 7 2 2 2" xfId="15191"/>
    <cellStyle name="20% - Accent5 10 2 7 2 3" xfId="15192"/>
    <cellStyle name="20% - Accent5 10 2 7 3" xfId="15193"/>
    <cellStyle name="20% - Accent5 10 2 7 3 2" xfId="15194"/>
    <cellStyle name="20% - Accent5 10 2 7 4" xfId="15195"/>
    <cellStyle name="20% - Accent5 10 2 8" xfId="15196"/>
    <cellStyle name="20% - Accent5 10 2 8 2" xfId="15197"/>
    <cellStyle name="20% - Accent5 10 2 8 2 2" xfId="15198"/>
    <cellStyle name="20% - Accent5 10 2 8 3" xfId="15199"/>
    <cellStyle name="20% - Accent5 10 2 9" xfId="15200"/>
    <cellStyle name="20% - Accent5 10 2 9 2" xfId="15201"/>
    <cellStyle name="20% - Accent5 10 3" xfId="15202"/>
    <cellStyle name="20% - Accent5 10 3 2" xfId="15203"/>
    <cellStyle name="20% - Accent5 10 3 2 2" xfId="15204"/>
    <cellStyle name="20% - Accent5 10 3 2 2 2" xfId="15205"/>
    <cellStyle name="20% - Accent5 10 3 2 2 2 2" xfId="15206"/>
    <cellStyle name="20% - Accent5 10 3 2 2 3" xfId="15207"/>
    <cellStyle name="20% - Accent5 10 3 2 3" xfId="15208"/>
    <cellStyle name="20% - Accent5 10 3 2 3 2" xfId="15209"/>
    <cellStyle name="20% - Accent5 10 3 2 4" xfId="15210"/>
    <cellStyle name="20% - Accent5 10 3 3" xfId="15211"/>
    <cellStyle name="20% - Accent5 10 3 3 2" xfId="15212"/>
    <cellStyle name="20% - Accent5 10 3 3 2 2" xfId="15213"/>
    <cellStyle name="20% - Accent5 10 3 3 3" xfId="15214"/>
    <cellStyle name="20% - Accent5 10 3 4" xfId="15215"/>
    <cellStyle name="20% - Accent5 10 3 4 2" xfId="15216"/>
    <cellStyle name="20% - Accent5 10 3 5" xfId="15217"/>
    <cellStyle name="20% - Accent5 10 4" xfId="15218"/>
    <cellStyle name="20% - Accent5 10 4 2" xfId="15219"/>
    <cellStyle name="20% - Accent5 10 4 2 2" xfId="15220"/>
    <cellStyle name="20% - Accent5 10 4 2 2 2" xfId="15221"/>
    <cellStyle name="20% - Accent5 10 4 2 2 2 2" xfId="15222"/>
    <cellStyle name="20% - Accent5 10 4 2 2 3" xfId="15223"/>
    <cellStyle name="20% - Accent5 10 4 2 3" xfId="15224"/>
    <cellStyle name="20% - Accent5 10 4 2 3 2" xfId="15225"/>
    <cellStyle name="20% - Accent5 10 4 2 4" xfId="15226"/>
    <cellStyle name="20% - Accent5 10 4 3" xfId="15227"/>
    <cellStyle name="20% - Accent5 10 4 3 2" xfId="15228"/>
    <cellStyle name="20% - Accent5 10 4 3 2 2" xfId="15229"/>
    <cellStyle name="20% - Accent5 10 4 3 3" xfId="15230"/>
    <cellStyle name="20% - Accent5 10 4 4" xfId="15231"/>
    <cellStyle name="20% - Accent5 10 4 4 2" xfId="15232"/>
    <cellStyle name="20% - Accent5 10 4 5" xfId="15233"/>
    <cellStyle name="20% - Accent5 10 5" xfId="15234"/>
    <cellStyle name="20% - Accent5 10 5 2" xfId="15235"/>
    <cellStyle name="20% - Accent5 10 5 2 2" xfId="15236"/>
    <cellStyle name="20% - Accent5 10 5 2 2 2" xfId="15237"/>
    <cellStyle name="20% - Accent5 10 5 2 2 2 2" xfId="15238"/>
    <cellStyle name="20% - Accent5 10 5 2 2 3" xfId="15239"/>
    <cellStyle name="20% - Accent5 10 5 2 3" xfId="15240"/>
    <cellStyle name="20% - Accent5 10 5 2 3 2" xfId="15241"/>
    <cellStyle name="20% - Accent5 10 5 2 4" xfId="15242"/>
    <cellStyle name="20% - Accent5 10 5 3" xfId="15243"/>
    <cellStyle name="20% - Accent5 10 5 3 2" xfId="15244"/>
    <cellStyle name="20% - Accent5 10 5 3 2 2" xfId="15245"/>
    <cellStyle name="20% - Accent5 10 5 3 3" xfId="15246"/>
    <cellStyle name="20% - Accent5 10 5 4" xfId="15247"/>
    <cellStyle name="20% - Accent5 10 5 4 2" xfId="15248"/>
    <cellStyle name="20% - Accent5 10 5 5" xfId="15249"/>
    <cellStyle name="20% - Accent5 10 6" xfId="15250"/>
    <cellStyle name="20% - Accent5 10 6 2" xfId="15251"/>
    <cellStyle name="20% - Accent5 10 6 2 2" xfId="15252"/>
    <cellStyle name="20% - Accent5 10 6 2 2 2" xfId="15253"/>
    <cellStyle name="20% - Accent5 10 6 2 2 2 2" xfId="15254"/>
    <cellStyle name="20% - Accent5 10 6 2 2 3" xfId="15255"/>
    <cellStyle name="20% - Accent5 10 6 2 3" xfId="15256"/>
    <cellStyle name="20% - Accent5 10 6 2 3 2" xfId="15257"/>
    <cellStyle name="20% - Accent5 10 6 2 4" xfId="15258"/>
    <cellStyle name="20% - Accent5 10 6 3" xfId="15259"/>
    <cellStyle name="20% - Accent5 10 6 3 2" xfId="15260"/>
    <cellStyle name="20% - Accent5 10 6 3 2 2" xfId="15261"/>
    <cellStyle name="20% - Accent5 10 6 3 3" xfId="15262"/>
    <cellStyle name="20% - Accent5 10 6 4" xfId="15263"/>
    <cellStyle name="20% - Accent5 10 6 4 2" xfId="15264"/>
    <cellStyle name="20% - Accent5 10 6 5" xfId="15265"/>
    <cellStyle name="20% - Accent5 10 7" xfId="15266"/>
    <cellStyle name="20% - Accent5 10 7 2" xfId="15267"/>
    <cellStyle name="20% - Accent5 10 7 2 2" xfId="15268"/>
    <cellStyle name="20% - Accent5 10 7 2 2 2" xfId="15269"/>
    <cellStyle name="20% - Accent5 10 7 2 2 2 2" xfId="15270"/>
    <cellStyle name="20% - Accent5 10 7 2 2 3" xfId="15271"/>
    <cellStyle name="20% - Accent5 10 7 2 3" xfId="15272"/>
    <cellStyle name="20% - Accent5 10 7 2 3 2" xfId="15273"/>
    <cellStyle name="20% - Accent5 10 7 2 4" xfId="15274"/>
    <cellStyle name="20% - Accent5 10 7 3" xfId="15275"/>
    <cellStyle name="20% - Accent5 10 7 3 2" xfId="15276"/>
    <cellStyle name="20% - Accent5 10 7 3 2 2" xfId="15277"/>
    <cellStyle name="20% - Accent5 10 7 3 3" xfId="15278"/>
    <cellStyle name="20% - Accent5 10 7 4" xfId="15279"/>
    <cellStyle name="20% - Accent5 10 7 4 2" xfId="15280"/>
    <cellStyle name="20% - Accent5 10 7 5" xfId="15281"/>
    <cellStyle name="20% - Accent5 10 8" xfId="15282"/>
    <cellStyle name="20% - Accent5 10 8 2" xfId="15283"/>
    <cellStyle name="20% - Accent5 10 8 2 2" xfId="15284"/>
    <cellStyle name="20% - Accent5 10 8 2 2 2" xfId="15285"/>
    <cellStyle name="20% - Accent5 10 8 2 3" xfId="15286"/>
    <cellStyle name="20% - Accent5 10 8 3" xfId="15287"/>
    <cellStyle name="20% - Accent5 10 8 3 2" xfId="15288"/>
    <cellStyle name="20% - Accent5 10 8 4" xfId="15289"/>
    <cellStyle name="20% - Accent5 10 9" xfId="15290"/>
    <cellStyle name="20% - Accent5 10 9 2" xfId="15291"/>
    <cellStyle name="20% - Accent5 10 9 2 2" xfId="15292"/>
    <cellStyle name="20% - Accent5 10 9 3" xfId="15293"/>
    <cellStyle name="20% - Accent5 11" xfId="15294"/>
    <cellStyle name="20% - Accent5 11 10" xfId="15295"/>
    <cellStyle name="20% - Accent5 11 10 2" xfId="15296"/>
    <cellStyle name="20% - Accent5 11 11" xfId="15297"/>
    <cellStyle name="20% - Accent5 11 2" xfId="15298"/>
    <cellStyle name="20% - Accent5 11 2 10" xfId="15299"/>
    <cellStyle name="20% - Accent5 11 2 2" xfId="15300"/>
    <cellStyle name="20% - Accent5 11 2 2 2" xfId="15301"/>
    <cellStyle name="20% - Accent5 11 2 2 2 2" xfId="15302"/>
    <cellStyle name="20% - Accent5 11 2 2 2 2 2" xfId="15303"/>
    <cellStyle name="20% - Accent5 11 2 2 2 2 2 2" xfId="15304"/>
    <cellStyle name="20% - Accent5 11 2 2 2 2 3" xfId="15305"/>
    <cellStyle name="20% - Accent5 11 2 2 2 3" xfId="15306"/>
    <cellStyle name="20% - Accent5 11 2 2 2 3 2" xfId="15307"/>
    <cellStyle name="20% - Accent5 11 2 2 2 4" xfId="15308"/>
    <cellStyle name="20% - Accent5 11 2 2 3" xfId="15309"/>
    <cellStyle name="20% - Accent5 11 2 2 3 2" xfId="15310"/>
    <cellStyle name="20% - Accent5 11 2 2 3 2 2" xfId="15311"/>
    <cellStyle name="20% - Accent5 11 2 2 3 3" xfId="15312"/>
    <cellStyle name="20% - Accent5 11 2 2 4" xfId="15313"/>
    <cellStyle name="20% - Accent5 11 2 2 4 2" xfId="15314"/>
    <cellStyle name="20% - Accent5 11 2 2 5" xfId="15315"/>
    <cellStyle name="20% - Accent5 11 2 3" xfId="15316"/>
    <cellStyle name="20% - Accent5 11 2 3 2" xfId="15317"/>
    <cellStyle name="20% - Accent5 11 2 3 2 2" xfId="15318"/>
    <cellStyle name="20% - Accent5 11 2 3 2 2 2" xfId="15319"/>
    <cellStyle name="20% - Accent5 11 2 3 2 2 2 2" xfId="15320"/>
    <cellStyle name="20% - Accent5 11 2 3 2 2 3" xfId="15321"/>
    <cellStyle name="20% - Accent5 11 2 3 2 3" xfId="15322"/>
    <cellStyle name="20% - Accent5 11 2 3 2 3 2" xfId="15323"/>
    <cellStyle name="20% - Accent5 11 2 3 2 4" xfId="15324"/>
    <cellStyle name="20% - Accent5 11 2 3 3" xfId="15325"/>
    <cellStyle name="20% - Accent5 11 2 3 3 2" xfId="15326"/>
    <cellStyle name="20% - Accent5 11 2 3 3 2 2" xfId="15327"/>
    <cellStyle name="20% - Accent5 11 2 3 3 3" xfId="15328"/>
    <cellStyle name="20% - Accent5 11 2 3 4" xfId="15329"/>
    <cellStyle name="20% - Accent5 11 2 3 4 2" xfId="15330"/>
    <cellStyle name="20% - Accent5 11 2 3 5" xfId="15331"/>
    <cellStyle name="20% - Accent5 11 2 4" xfId="15332"/>
    <cellStyle name="20% - Accent5 11 2 4 2" xfId="15333"/>
    <cellStyle name="20% - Accent5 11 2 4 2 2" xfId="15334"/>
    <cellStyle name="20% - Accent5 11 2 4 2 2 2" xfId="15335"/>
    <cellStyle name="20% - Accent5 11 2 4 2 2 2 2" xfId="15336"/>
    <cellStyle name="20% - Accent5 11 2 4 2 2 3" xfId="15337"/>
    <cellStyle name="20% - Accent5 11 2 4 2 3" xfId="15338"/>
    <cellStyle name="20% - Accent5 11 2 4 2 3 2" xfId="15339"/>
    <cellStyle name="20% - Accent5 11 2 4 2 4" xfId="15340"/>
    <cellStyle name="20% - Accent5 11 2 4 3" xfId="15341"/>
    <cellStyle name="20% - Accent5 11 2 4 3 2" xfId="15342"/>
    <cellStyle name="20% - Accent5 11 2 4 3 2 2" xfId="15343"/>
    <cellStyle name="20% - Accent5 11 2 4 3 3" xfId="15344"/>
    <cellStyle name="20% - Accent5 11 2 4 4" xfId="15345"/>
    <cellStyle name="20% - Accent5 11 2 4 4 2" xfId="15346"/>
    <cellStyle name="20% - Accent5 11 2 4 5" xfId="15347"/>
    <cellStyle name="20% - Accent5 11 2 5" xfId="15348"/>
    <cellStyle name="20% - Accent5 11 2 5 2" xfId="15349"/>
    <cellStyle name="20% - Accent5 11 2 5 2 2" xfId="15350"/>
    <cellStyle name="20% - Accent5 11 2 5 2 2 2" xfId="15351"/>
    <cellStyle name="20% - Accent5 11 2 5 2 2 2 2" xfId="15352"/>
    <cellStyle name="20% - Accent5 11 2 5 2 2 3" xfId="15353"/>
    <cellStyle name="20% - Accent5 11 2 5 2 3" xfId="15354"/>
    <cellStyle name="20% - Accent5 11 2 5 2 3 2" xfId="15355"/>
    <cellStyle name="20% - Accent5 11 2 5 2 4" xfId="15356"/>
    <cellStyle name="20% - Accent5 11 2 5 3" xfId="15357"/>
    <cellStyle name="20% - Accent5 11 2 5 3 2" xfId="15358"/>
    <cellStyle name="20% - Accent5 11 2 5 3 2 2" xfId="15359"/>
    <cellStyle name="20% - Accent5 11 2 5 3 3" xfId="15360"/>
    <cellStyle name="20% - Accent5 11 2 5 4" xfId="15361"/>
    <cellStyle name="20% - Accent5 11 2 5 4 2" xfId="15362"/>
    <cellStyle name="20% - Accent5 11 2 5 5" xfId="15363"/>
    <cellStyle name="20% - Accent5 11 2 6" xfId="15364"/>
    <cellStyle name="20% - Accent5 11 2 6 2" xfId="15365"/>
    <cellStyle name="20% - Accent5 11 2 6 2 2" xfId="15366"/>
    <cellStyle name="20% - Accent5 11 2 6 2 2 2" xfId="15367"/>
    <cellStyle name="20% - Accent5 11 2 6 2 2 2 2" xfId="15368"/>
    <cellStyle name="20% - Accent5 11 2 6 2 2 3" xfId="15369"/>
    <cellStyle name="20% - Accent5 11 2 6 2 3" xfId="15370"/>
    <cellStyle name="20% - Accent5 11 2 6 2 3 2" xfId="15371"/>
    <cellStyle name="20% - Accent5 11 2 6 2 4" xfId="15372"/>
    <cellStyle name="20% - Accent5 11 2 6 3" xfId="15373"/>
    <cellStyle name="20% - Accent5 11 2 6 3 2" xfId="15374"/>
    <cellStyle name="20% - Accent5 11 2 6 3 2 2" xfId="15375"/>
    <cellStyle name="20% - Accent5 11 2 6 3 3" xfId="15376"/>
    <cellStyle name="20% - Accent5 11 2 6 4" xfId="15377"/>
    <cellStyle name="20% - Accent5 11 2 6 4 2" xfId="15378"/>
    <cellStyle name="20% - Accent5 11 2 6 5" xfId="15379"/>
    <cellStyle name="20% - Accent5 11 2 7" xfId="15380"/>
    <cellStyle name="20% - Accent5 11 2 7 2" xfId="15381"/>
    <cellStyle name="20% - Accent5 11 2 7 2 2" xfId="15382"/>
    <cellStyle name="20% - Accent5 11 2 7 2 2 2" xfId="15383"/>
    <cellStyle name="20% - Accent5 11 2 7 2 3" xfId="15384"/>
    <cellStyle name="20% - Accent5 11 2 7 3" xfId="15385"/>
    <cellStyle name="20% - Accent5 11 2 7 3 2" xfId="15386"/>
    <cellStyle name="20% - Accent5 11 2 7 4" xfId="15387"/>
    <cellStyle name="20% - Accent5 11 2 8" xfId="15388"/>
    <cellStyle name="20% - Accent5 11 2 8 2" xfId="15389"/>
    <cellStyle name="20% - Accent5 11 2 8 2 2" xfId="15390"/>
    <cellStyle name="20% - Accent5 11 2 8 3" xfId="15391"/>
    <cellStyle name="20% - Accent5 11 2 9" xfId="15392"/>
    <cellStyle name="20% - Accent5 11 2 9 2" xfId="15393"/>
    <cellStyle name="20% - Accent5 11 3" xfId="15394"/>
    <cellStyle name="20% - Accent5 11 3 2" xfId="15395"/>
    <cellStyle name="20% - Accent5 11 3 2 2" xfId="15396"/>
    <cellStyle name="20% - Accent5 11 3 2 2 2" xfId="15397"/>
    <cellStyle name="20% - Accent5 11 3 2 2 2 2" xfId="15398"/>
    <cellStyle name="20% - Accent5 11 3 2 2 3" xfId="15399"/>
    <cellStyle name="20% - Accent5 11 3 2 3" xfId="15400"/>
    <cellStyle name="20% - Accent5 11 3 2 3 2" xfId="15401"/>
    <cellStyle name="20% - Accent5 11 3 2 4" xfId="15402"/>
    <cellStyle name="20% - Accent5 11 3 3" xfId="15403"/>
    <cellStyle name="20% - Accent5 11 3 3 2" xfId="15404"/>
    <cellStyle name="20% - Accent5 11 3 3 2 2" xfId="15405"/>
    <cellStyle name="20% - Accent5 11 3 3 3" xfId="15406"/>
    <cellStyle name="20% - Accent5 11 3 4" xfId="15407"/>
    <cellStyle name="20% - Accent5 11 3 4 2" xfId="15408"/>
    <cellStyle name="20% - Accent5 11 3 5" xfId="15409"/>
    <cellStyle name="20% - Accent5 11 4" xfId="15410"/>
    <cellStyle name="20% - Accent5 11 4 2" xfId="15411"/>
    <cellStyle name="20% - Accent5 11 4 2 2" xfId="15412"/>
    <cellStyle name="20% - Accent5 11 4 2 2 2" xfId="15413"/>
    <cellStyle name="20% - Accent5 11 4 2 2 2 2" xfId="15414"/>
    <cellStyle name="20% - Accent5 11 4 2 2 3" xfId="15415"/>
    <cellStyle name="20% - Accent5 11 4 2 3" xfId="15416"/>
    <cellStyle name="20% - Accent5 11 4 2 3 2" xfId="15417"/>
    <cellStyle name="20% - Accent5 11 4 2 4" xfId="15418"/>
    <cellStyle name="20% - Accent5 11 4 3" xfId="15419"/>
    <cellStyle name="20% - Accent5 11 4 3 2" xfId="15420"/>
    <cellStyle name="20% - Accent5 11 4 3 2 2" xfId="15421"/>
    <cellStyle name="20% - Accent5 11 4 3 3" xfId="15422"/>
    <cellStyle name="20% - Accent5 11 4 4" xfId="15423"/>
    <cellStyle name="20% - Accent5 11 4 4 2" xfId="15424"/>
    <cellStyle name="20% - Accent5 11 4 5" xfId="15425"/>
    <cellStyle name="20% - Accent5 11 5" xfId="15426"/>
    <cellStyle name="20% - Accent5 11 5 2" xfId="15427"/>
    <cellStyle name="20% - Accent5 11 5 2 2" xfId="15428"/>
    <cellStyle name="20% - Accent5 11 5 2 2 2" xfId="15429"/>
    <cellStyle name="20% - Accent5 11 5 2 2 2 2" xfId="15430"/>
    <cellStyle name="20% - Accent5 11 5 2 2 3" xfId="15431"/>
    <cellStyle name="20% - Accent5 11 5 2 3" xfId="15432"/>
    <cellStyle name="20% - Accent5 11 5 2 3 2" xfId="15433"/>
    <cellStyle name="20% - Accent5 11 5 2 4" xfId="15434"/>
    <cellStyle name="20% - Accent5 11 5 3" xfId="15435"/>
    <cellStyle name="20% - Accent5 11 5 3 2" xfId="15436"/>
    <cellStyle name="20% - Accent5 11 5 3 2 2" xfId="15437"/>
    <cellStyle name="20% - Accent5 11 5 3 3" xfId="15438"/>
    <cellStyle name="20% - Accent5 11 5 4" xfId="15439"/>
    <cellStyle name="20% - Accent5 11 5 4 2" xfId="15440"/>
    <cellStyle name="20% - Accent5 11 5 5" xfId="15441"/>
    <cellStyle name="20% - Accent5 11 6" xfId="15442"/>
    <cellStyle name="20% - Accent5 11 6 2" xfId="15443"/>
    <cellStyle name="20% - Accent5 11 6 2 2" xfId="15444"/>
    <cellStyle name="20% - Accent5 11 6 2 2 2" xfId="15445"/>
    <cellStyle name="20% - Accent5 11 6 2 2 2 2" xfId="15446"/>
    <cellStyle name="20% - Accent5 11 6 2 2 3" xfId="15447"/>
    <cellStyle name="20% - Accent5 11 6 2 3" xfId="15448"/>
    <cellStyle name="20% - Accent5 11 6 2 3 2" xfId="15449"/>
    <cellStyle name="20% - Accent5 11 6 2 4" xfId="15450"/>
    <cellStyle name="20% - Accent5 11 6 3" xfId="15451"/>
    <cellStyle name="20% - Accent5 11 6 3 2" xfId="15452"/>
    <cellStyle name="20% - Accent5 11 6 3 2 2" xfId="15453"/>
    <cellStyle name="20% - Accent5 11 6 3 3" xfId="15454"/>
    <cellStyle name="20% - Accent5 11 6 4" xfId="15455"/>
    <cellStyle name="20% - Accent5 11 6 4 2" xfId="15456"/>
    <cellStyle name="20% - Accent5 11 6 5" xfId="15457"/>
    <cellStyle name="20% - Accent5 11 7" xfId="15458"/>
    <cellStyle name="20% - Accent5 11 7 2" xfId="15459"/>
    <cellStyle name="20% - Accent5 11 7 2 2" xfId="15460"/>
    <cellStyle name="20% - Accent5 11 7 2 2 2" xfId="15461"/>
    <cellStyle name="20% - Accent5 11 7 2 2 2 2" xfId="15462"/>
    <cellStyle name="20% - Accent5 11 7 2 2 3" xfId="15463"/>
    <cellStyle name="20% - Accent5 11 7 2 3" xfId="15464"/>
    <cellStyle name="20% - Accent5 11 7 2 3 2" xfId="15465"/>
    <cellStyle name="20% - Accent5 11 7 2 4" xfId="15466"/>
    <cellStyle name="20% - Accent5 11 7 3" xfId="15467"/>
    <cellStyle name="20% - Accent5 11 7 3 2" xfId="15468"/>
    <cellStyle name="20% - Accent5 11 7 3 2 2" xfId="15469"/>
    <cellStyle name="20% - Accent5 11 7 3 3" xfId="15470"/>
    <cellStyle name="20% - Accent5 11 7 4" xfId="15471"/>
    <cellStyle name="20% - Accent5 11 7 4 2" xfId="15472"/>
    <cellStyle name="20% - Accent5 11 7 5" xfId="15473"/>
    <cellStyle name="20% - Accent5 11 8" xfId="15474"/>
    <cellStyle name="20% - Accent5 11 8 2" xfId="15475"/>
    <cellStyle name="20% - Accent5 11 8 2 2" xfId="15476"/>
    <cellStyle name="20% - Accent5 11 8 2 2 2" xfId="15477"/>
    <cellStyle name="20% - Accent5 11 8 2 3" xfId="15478"/>
    <cellStyle name="20% - Accent5 11 8 3" xfId="15479"/>
    <cellStyle name="20% - Accent5 11 8 3 2" xfId="15480"/>
    <cellStyle name="20% - Accent5 11 8 4" xfId="15481"/>
    <cellStyle name="20% - Accent5 11 9" xfId="15482"/>
    <cellStyle name="20% - Accent5 11 9 2" xfId="15483"/>
    <cellStyle name="20% - Accent5 11 9 2 2" xfId="15484"/>
    <cellStyle name="20% - Accent5 11 9 3" xfId="15485"/>
    <cellStyle name="20% - Accent5 12" xfId="15486"/>
    <cellStyle name="20% - Accent5 12 10" xfId="15487"/>
    <cellStyle name="20% - Accent5 12 2" xfId="15488"/>
    <cellStyle name="20% - Accent5 12 2 2" xfId="15489"/>
    <cellStyle name="20% - Accent5 12 2 2 2" xfId="15490"/>
    <cellStyle name="20% - Accent5 12 2 2 2 2" xfId="15491"/>
    <cellStyle name="20% - Accent5 12 2 2 2 2 2" xfId="15492"/>
    <cellStyle name="20% - Accent5 12 2 2 2 3" xfId="15493"/>
    <cellStyle name="20% - Accent5 12 2 2 3" xfId="15494"/>
    <cellStyle name="20% - Accent5 12 2 2 3 2" xfId="15495"/>
    <cellStyle name="20% - Accent5 12 2 2 4" xfId="15496"/>
    <cellStyle name="20% - Accent5 12 2 3" xfId="15497"/>
    <cellStyle name="20% - Accent5 12 2 3 2" xfId="15498"/>
    <cellStyle name="20% - Accent5 12 2 3 2 2" xfId="15499"/>
    <cellStyle name="20% - Accent5 12 2 3 3" xfId="15500"/>
    <cellStyle name="20% - Accent5 12 2 4" xfId="15501"/>
    <cellStyle name="20% - Accent5 12 2 4 2" xfId="15502"/>
    <cellStyle name="20% - Accent5 12 2 5" xfId="15503"/>
    <cellStyle name="20% - Accent5 12 3" xfId="15504"/>
    <cellStyle name="20% - Accent5 12 3 2" xfId="15505"/>
    <cellStyle name="20% - Accent5 12 3 2 2" xfId="15506"/>
    <cellStyle name="20% - Accent5 12 3 2 2 2" xfId="15507"/>
    <cellStyle name="20% - Accent5 12 3 2 2 2 2" xfId="15508"/>
    <cellStyle name="20% - Accent5 12 3 2 2 3" xfId="15509"/>
    <cellStyle name="20% - Accent5 12 3 2 3" xfId="15510"/>
    <cellStyle name="20% - Accent5 12 3 2 3 2" xfId="15511"/>
    <cellStyle name="20% - Accent5 12 3 2 4" xfId="15512"/>
    <cellStyle name="20% - Accent5 12 3 3" xfId="15513"/>
    <cellStyle name="20% - Accent5 12 3 3 2" xfId="15514"/>
    <cellStyle name="20% - Accent5 12 3 3 2 2" xfId="15515"/>
    <cellStyle name="20% - Accent5 12 3 3 3" xfId="15516"/>
    <cellStyle name="20% - Accent5 12 3 4" xfId="15517"/>
    <cellStyle name="20% - Accent5 12 3 4 2" xfId="15518"/>
    <cellStyle name="20% - Accent5 12 3 5" xfId="15519"/>
    <cellStyle name="20% - Accent5 12 4" xfId="15520"/>
    <cellStyle name="20% - Accent5 12 4 2" xfId="15521"/>
    <cellStyle name="20% - Accent5 12 4 2 2" xfId="15522"/>
    <cellStyle name="20% - Accent5 12 4 2 2 2" xfId="15523"/>
    <cellStyle name="20% - Accent5 12 4 2 2 2 2" xfId="15524"/>
    <cellStyle name="20% - Accent5 12 4 2 2 3" xfId="15525"/>
    <cellStyle name="20% - Accent5 12 4 2 3" xfId="15526"/>
    <cellStyle name="20% - Accent5 12 4 2 3 2" xfId="15527"/>
    <cellStyle name="20% - Accent5 12 4 2 4" xfId="15528"/>
    <cellStyle name="20% - Accent5 12 4 3" xfId="15529"/>
    <cellStyle name="20% - Accent5 12 4 3 2" xfId="15530"/>
    <cellStyle name="20% - Accent5 12 4 3 2 2" xfId="15531"/>
    <cellStyle name="20% - Accent5 12 4 3 3" xfId="15532"/>
    <cellStyle name="20% - Accent5 12 4 4" xfId="15533"/>
    <cellStyle name="20% - Accent5 12 4 4 2" xfId="15534"/>
    <cellStyle name="20% - Accent5 12 4 5" xfId="15535"/>
    <cellStyle name="20% - Accent5 12 5" xfId="15536"/>
    <cellStyle name="20% - Accent5 12 5 2" xfId="15537"/>
    <cellStyle name="20% - Accent5 12 5 2 2" xfId="15538"/>
    <cellStyle name="20% - Accent5 12 5 2 2 2" xfId="15539"/>
    <cellStyle name="20% - Accent5 12 5 2 2 2 2" xfId="15540"/>
    <cellStyle name="20% - Accent5 12 5 2 2 3" xfId="15541"/>
    <cellStyle name="20% - Accent5 12 5 2 3" xfId="15542"/>
    <cellStyle name="20% - Accent5 12 5 2 3 2" xfId="15543"/>
    <cellStyle name="20% - Accent5 12 5 2 4" xfId="15544"/>
    <cellStyle name="20% - Accent5 12 5 3" xfId="15545"/>
    <cellStyle name="20% - Accent5 12 5 3 2" xfId="15546"/>
    <cellStyle name="20% - Accent5 12 5 3 2 2" xfId="15547"/>
    <cellStyle name="20% - Accent5 12 5 3 3" xfId="15548"/>
    <cellStyle name="20% - Accent5 12 5 4" xfId="15549"/>
    <cellStyle name="20% - Accent5 12 5 4 2" xfId="15550"/>
    <cellStyle name="20% - Accent5 12 5 5" xfId="15551"/>
    <cellStyle name="20% - Accent5 12 6" xfId="15552"/>
    <cellStyle name="20% - Accent5 12 6 2" xfId="15553"/>
    <cellStyle name="20% - Accent5 12 6 2 2" xfId="15554"/>
    <cellStyle name="20% - Accent5 12 6 2 2 2" xfId="15555"/>
    <cellStyle name="20% - Accent5 12 6 2 2 2 2" xfId="15556"/>
    <cellStyle name="20% - Accent5 12 6 2 2 3" xfId="15557"/>
    <cellStyle name="20% - Accent5 12 6 2 3" xfId="15558"/>
    <cellStyle name="20% - Accent5 12 6 2 3 2" xfId="15559"/>
    <cellStyle name="20% - Accent5 12 6 2 4" xfId="15560"/>
    <cellStyle name="20% - Accent5 12 6 3" xfId="15561"/>
    <cellStyle name="20% - Accent5 12 6 3 2" xfId="15562"/>
    <cellStyle name="20% - Accent5 12 6 3 2 2" xfId="15563"/>
    <cellStyle name="20% - Accent5 12 6 3 3" xfId="15564"/>
    <cellStyle name="20% - Accent5 12 6 4" xfId="15565"/>
    <cellStyle name="20% - Accent5 12 6 4 2" xfId="15566"/>
    <cellStyle name="20% - Accent5 12 6 5" xfId="15567"/>
    <cellStyle name="20% - Accent5 12 7" xfId="15568"/>
    <cellStyle name="20% - Accent5 12 7 2" xfId="15569"/>
    <cellStyle name="20% - Accent5 12 7 2 2" xfId="15570"/>
    <cellStyle name="20% - Accent5 12 7 2 2 2" xfId="15571"/>
    <cellStyle name="20% - Accent5 12 7 2 3" xfId="15572"/>
    <cellStyle name="20% - Accent5 12 7 3" xfId="15573"/>
    <cellStyle name="20% - Accent5 12 7 3 2" xfId="15574"/>
    <cellStyle name="20% - Accent5 12 7 4" xfId="15575"/>
    <cellStyle name="20% - Accent5 12 8" xfId="15576"/>
    <cellStyle name="20% - Accent5 12 8 2" xfId="15577"/>
    <cellStyle name="20% - Accent5 12 8 2 2" xfId="15578"/>
    <cellStyle name="20% - Accent5 12 8 3" xfId="15579"/>
    <cellStyle name="20% - Accent5 12 9" xfId="15580"/>
    <cellStyle name="20% - Accent5 12 9 2" xfId="15581"/>
    <cellStyle name="20% - Accent5 13" xfId="15582"/>
    <cellStyle name="20% - Accent5 13 10" xfId="15583"/>
    <cellStyle name="20% - Accent5 13 2" xfId="15584"/>
    <cellStyle name="20% - Accent5 13 2 2" xfId="15585"/>
    <cellStyle name="20% - Accent5 13 2 2 2" xfId="15586"/>
    <cellStyle name="20% - Accent5 13 2 2 2 2" xfId="15587"/>
    <cellStyle name="20% - Accent5 13 2 2 2 2 2" xfId="15588"/>
    <cellStyle name="20% - Accent5 13 2 2 2 3" xfId="15589"/>
    <cellStyle name="20% - Accent5 13 2 2 3" xfId="15590"/>
    <cellStyle name="20% - Accent5 13 2 2 3 2" xfId="15591"/>
    <cellStyle name="20% - Accent5 13 2 2 4" xfId="15592"/>
    <cellStyle name="20% - Accent5 13 2 3" xfId="15593"/>
    <cellStyle name="20% - Accent5 13 2 3 2" xfId="15594"/>
    <cellStyle name="20% - Accent5 13 2 3 2 2" xfId="15595"/>
    <cellStyle name="20% - Accent5 13 2 3 3" xfId="15596"/>
    <cellStyle name="20% - Accent5 13 2 4" xfId="15597"/>
    <cellStyle name="20% - Accent5 13 2 4 2" xfId="15598"/>
    <cellStyle name="20% - Accent5 13 2 5" xfId="15599"/>
    <cellStyle name="20% - Accent5 13 3" xfId="15600"/>
    <cellStyle name="20% - Accent5 13 3 2" xfId="15601"/>
    <cellStyle name="20% - Accent5 13 3 2 2" xfId="15602"/>
    <cellStyle name="20% - Accent5 13 3 2 2 2" xfId="15603"/>
    <cellStyle name="20% - Accent5 13 3 2 2 2 2" xfId="15604"/>
    <cellStyle name="20% - Accent5 13 3 2 2 3" xfId="15605"/>
    <cellStyle name="20% - Accent5 13 3 2 3" xfId="15606"/>
    <cellStyle name="20% - Accent5 13 3 2 3 2" xfId="15607"/>
    <cellStyle name="20% - Accent5 13 3 2 4" xfId="15608"/>
    <cellStyle name="20% - Accent5 13 3 3" xfId="15609"/>
    <cellStyle name="20% - Accent5 13 3 3 2" xfId="15610"/>
    <cellStyle name="20% - Accent5 13 3 3 2 2" xfId="15611"/>
    <cellStyle name="20% - Accent5 13 3 3 3" xfId="15612"/>
    <cellStyle name="20% - Accent5 13 3 4" xfId="15613"/>
    <cellStyle name="20% - Accent5 13 3 4 2" xfId="15614"/>
    <cellStyle name="20% - Accent5 13 3 5" xfId="15615"/>
    <cellStyle name="20% - Accent5 13 4" xfId="15616"/>
    <cellStyle name="20% - Accent5 13 4 2" xfId="15617"/>
    <cellStyle name="20% - Accent5 13 4 2 2" xfId="15618"/>
    <cellStyle name="20% - Accent5 13 4 2 2 2" xfId="15619"/>
    <cellStyle name="20% - Accent5 13 4 2 2 2 2" xfId="15620"/>
    <cellStyle name="20% - Accent5 13 4 2 2 3" xfId="15621"/>
    <cellStyle name="20% - Accent5 13 4 2 3" xfId="15622"/>
    <cellStyle name="20% - Accent5 13 4 2 3 2" xfId="15623"/>
    <cellStyle name="20% - Accent5 13 4 2 4" xfId="15624"/>
    <cellStyle name="20% - Accent5 13 4 3" xfId="15625"/>
    <cellStyle name="20% - Accent5 13 4 3 2" xfId="15626"/>
    <cellStyle name="20% - Accent5 13 4 3 2 2" xfId="15627"/>
    <cellStyle name="20% - Accent5 13 4 3 3" xfId="15628"/>
    <cellStyle name="20% - Accent5 13 4 4" xfId="15629"/>
    <cellStyle name="20% - Accent5 13 4 4 2" xfId="15630"/>
    <cellStyle name="20% - Accent5 13 4 5" xfId="15631"/>
    <cellStyle name="20% - Accent5 13 5" xfId="15632"/>
    <cellStyle name="20% - Accent5 13 5 2" xfId="15633"/>
    <cellStyle name="20% - Accent5 13 5 2 2" xfId="15634"/>
    <cellStyle name="20% - Accent5 13 5 2 2 2" xfId="15635"/>
    <cellStyle name="20% - Accent5 13 5 2 2 2 2" xfId="15636"/>
    <cellStyle name="20% - Accent5 13 5 2 2 3" xfId="15637"/>
    <cellStyle name="20% - Accent5 13 5 2 3" xfId="15638"/>
    <cellStyle name="20% - Accent5 13 5 2 3 2" xfId="15639"/>
    <cellStyle name="20% - Accent5 13 5 2 4" xfId="15640"/>
    <cellStyle name="20% - Accent5 13 5 3" xfId="15641"/>
    <cellStyle name="20% - Accent5 13 5 3 2" xfId="15642"/>
    <cellStyle name="20% - Accent5 13 5 3 2 2" xfId="15643"/>
    <cellStyle name="20% - Accent5 13 5 3 3" xfId="15644"/>
    <cellStyle name="20% - Accent5 13 5 4" xfId="15645"/>
    <cellStyle name="20% - Accent5 13 5 4 2" xfId="15646"/>
    <cellStyle name="20% - Accent5 13 5 5" xfId="15647"/>
    <cellStyle name="20% - Accent5 13 6" xfId="15648"/>
    <cellStyle name="20% - Accent5 13 6 2" xfId="15649"/>
    <cellStyle name="20% - Accent5 13 6 2 2" xfId="15650"/>
    <cellStyle name="20% - Accent5 13 6 2 2 2" xfId="15651"/>
    <cellStyle name="20% - Accent5 13 6 2 2 2 2" xfId="15652"/>
    <cellStyle name="20% - Accent5 13 6 2 2 3" xfId="15653"/>
    <cellStyle name="20% - Accent5 13 6 2 3" xfId="15654"/>
    <cellStyle name="20% - Accent5 13 6 2 3 2" xfId="15655"/>
    <cellStyle name="20% - Accent5 13 6 2 4" xfId="15656"/>
    <cellStyle name="20% - Accent5 13 6 3" xfId="15657"/>
    <cellStyle name="20% - Accent5 13 6 3 2" xfId="15658"/>
    <cellStyle name="20% - Accent5 13 6 3 2 2" xfId="15659"/>
    <cellStyle name="20% - Accent5 13 6 3 3" xfId="15660"/>
    <cellStyle name="20% - Accent5 13 6 4" xfId="15661"/>
    <cellStyle name="20% - Accent5 13 6 4 2" xfId="15662"/>
    <cellStyle name="20% - Accent5 13 6 5" xfId="15663"/>
    <cellStyle name="20% - Accent5 13 7" xfId="15664"/>
    <cellStyle name="20% - Accent5 13 7 2" xfId="15665"/>
    <cellStyle name="20% - Accent5 13 7 2 2" xfId="15666"/>
    <cellStyle name="20% - Accent5 13 7 2 2 2" xfId="15667"/>
    <cellStyle name="20% - Accent5 13 7 2 3" xfId="15668"/>
    <cellStyle name="20% - Accent5 13 7 3" xfId="15669"/>
    <cellStyle name="20% - Accent5 13 7 3 2" xfId="15670"/>
    <cellStyle name="20% - Accent5 13 7 4" xfId="15671"/>
    <cellStyle name="20% - Accent5 13 8" xfId="15672"/>
    <cellStyle name="20% - Accent5 13 8 2" xfId="15673"/>
    <cellStyle name="20% - Accent5 13 8 2 2" xfId="15674"/>
    <cellStyle name="20% - Accent5 13 8 3" xfId="15675"/>
    <cellStyle name="20% - Accent5 13 9" xfId="15676"/>
    <cellStyle name="20% - Accent5 13 9 2" xfId="15677"/>
    <cellStyle name="20% - Accent5 14" xfId="15678"/>
    <cellStyle name="20% - Accent5 14 2" xfId="15679"/>
    <cellStyle name="20% - Accent5 14 2 2" xfId="15680"/>
    <cellStyle name="20% - Accent5 14 2 2 2" xfId="15681"/>
    <cellStyle name="20% - Accent5 14 2 2 2 2" xfId="15682"/>
    <cellStyle name="20% - Accent5 14 2 2 3" xfId="15683"/>
    <cellStyle name="20% - Accent5 14 2 3" xfId="15684"/>
    <cellStyle name="20% - Accent5 14 2 3 2" xfId="15685"/>
    <cellStyle name="20% - Accent5 14 2 4" xfId="15686"/>
    <cellStyle name="20% - Accent5 14 3" xfId="15687"/>
    <cellStyle name="20% - Accent5 14 3 2" xfId="15688"/>
    <cellStyle name="20% - Accent5 14 3 2 2" xfId="15689"/>
    <cellStyle name="20% - Accent5 14 3 3" xfId="15690"/>
    <cellStyle name="20% - Accent5 14 4" xfId="15691"/>
    <cellStyle name="20% - Accent5 14 4 2" xfId="15692"/>
    <cellStyle name="20% - Accent5 14 5" xfId="15693"/>
    <cellStyle name="20% - Accent5 15" xfId="15694"/>
    <cellStyle name="20% - Accent5 15 2" xfId="15695"/>
    <cellStyle name="20% - Accent5 15 2 2" xfId="15696"/>
    <cellStyle name="20% - Accent5 15 2 2 2" xfId="15697"/>
    <cellStyle name="20% - Accent5 15 2 2 2 2" xfId="15698"/>
    <cellStyle name="20% - Accent5 15 2 2 3" xfId="15699"/>
    <cellStyle name="20% - Accent5 15 2 3" xfId="15700"/>
    <cellStyle name="20% - Accent5 15 2 3 2" xfId="15701"/>
    <cellStyle name="20% - Accent5 15 2 4" xfId="15702"/>
    <cellStyle name="20% - Accent5 15 3" xfId="15703"/>
    <cellStyle name="20% - Accent5 15 3 2" xfId="15704"/>
    <cellStyle name="20% - Accent5 15 3 2 2" xfId="15705"/>
    <cellStyle name="20% - Accent5 15 3 3" xfId="15706"/>
    <cellStyle name="20% - Accent5 15 4" xfId="15707"/>
    <cellStyle name="20% - Accent5 15 4 2" xfId="15708"/>
    <cellStyle name="20% - Accent5 15 5" xfId="15709"/>
    <cellStyle name="20% - Accent5 16" xfId="15710"/>
    <cellStyle name="20% - Accent5 16 2" xfId="15711"/>
    <cellStyle name="20% - Accent5 16 2 2" xfId="15712"/>
    <cellStyle name="20% - Accent5 16 2 2 2" xfId="15713"/>
    <cellStyle name="20% - Accent5 16 2 2 2 2" xfId="15714"/>
    <cellStyle name="20% - Accent5 16 2 2 3" xfId="15715"/>
    <cellStyle name="20% - Accent5 16 2 3" xfId="15716"/>
    <cellStyle name="20% - Accent5 16 2 3 2" xfId="15717"/>
    <cellStyle name="20% - Accent5 16 2 4" xfId="15718"/>
    <cellStyle name="20% - Accent5 16 3" xfId="15719"/>
    <cellStyle name="20% - Accent5 16 3 2" xfId="15720"/>
    <cellStyle name="20% - Accent5 16 3 2 2" xfId="15721"/>
    <cellStyle name="20% - Accent5 16 3 3" xfId="15722"/>
    <cellStyle name="20% - Accent5 16 4" xfId="15723"/>
    <cellStyle name="20% - Accent5 16 4 2" xfId="15724"/>
    <cellStyle name="20% - Accent5 16 5" xfId="15725"/>
    <cellStyle name="20% - Accent5 17" xfId="15726"/>
    <cellStyle name="20% - Accent5 17 2" xfId="15727"/>
    <cellStyle name="20% - Accent5 17 2 2" xfId="15728"/>
    <cellStyle name="20% - Accent5 17 2 2 2" xfId="15729"/>
    <cellStyle name="20% - Accent5 17 2 2 2 2" xfId="15730"/>
    <cellStyle name="20% - Accent5 17 2 2 3" xfId="15731"/>
    <cellStyle name="20% - Accent5 17 2 3" xfId="15732"/>
    <cellStyle name="20% - Accent5 17 2 3 2" xfId="15733"/>
    <cellStyle name="20% - Accent5 17 2 4" xfId="15734"/>
    <cellStyle name="20% - Accent5 17 3" xfId="15735"/>
    <cellStyle name="20% - Accent5 17 3 2" xfId="15736"/>
    <cellStyle name="20% - Accent5 17 3 2 2" xfId="15737"/>
    <cellStyle name="20% - Accent5 17 3 3" xfId="15738"/>
    <cellStyle name="20% - Accent5 17 4" xfId="15739"/>
    <cellStyle name="20% - Accent5 17 4 2" xfId="15740"/>
    <cellStyle name="20% - Accent5 17 5" xfId="15741"/>
    <cellStyle name="20% - Accent5 18" xfId="15742"/>
    <cellStyle name="20% - Accent5 18 2" xfId="15743"/>
    <cellStyle name="20% - Accent5 18 2 2" xfId="15744"/>
    <cellStyle name="20% - Accent5 18 2 2 2" xfId="15745"/>
    <cellStyle name="20% - Accent5 18 2 2 2 2" xfId="15746"/>
    <cellStyle name="20% - Accent5 18 2 2 3" xfId="15747"/>
    <cellStyle name="20% - Accent5 18 2 3" xfId="15748"/>
    <cellStyle name="20% - Accent5 18 2 3 2" xfId="15749"/>
    <cellStyle name="20% - Accent5 18 2 4" xfId="15750"/>
    <cellStyle name="20% - Accent5 18 3" xfId="15751"/>
    <cellStyle name="20% - Accent5 18 3 2" xfId="15752"/>
    <cellStyle name="20% - Accent5 18 3 2 2" xfId="15753"/>
    <cellStyle name="20% - Accent5 18 3 3" xfId="15754"/>
    <cellStyle name="20% - Accent5 18 4" xfId="15755"/>
    <cellStyle name="20% - Accent5 18 4 2" xfId="15756"/>
    <cellStyle name="20% - Accent5 18 5" xfId="15757"/>
    <cellStyle name="20% - Accent5 19" xfId="15758"/>
    <cellStyle name="20% - Accent5 19 2" xfId="15759"/>
    <cellStyle name="20% - Accent5 19 2 2" xfId="15760"/>
    <cellStyle name="20% - Accent5 19 2 2 2" xfId="15761"/>
    <cellStyle name="20% - Accent5 19 2 2 2 2" xfId="15762"/>
    <cellStyle name="20% - Accent5 19 2 2 3" xfId="15763"/>
    <cellStyle name="20% - Accent5 19 2 3" xfId="15764"/>
    <cellStyle name="20% - Accent5 19 2 3 2" xfId="15765"/>
    <cellStyle name="20% - Accent5 19 2 4" xfId="15766"/>
    <cellStyle name="20% - Accent5 19 3" xfId="15767"/>
    <cellStyle name="20% - Accent5 19 3 2" xfId="15768"/>
    <cellStyle name="20% - Accent5 19 3 2 2" xfId="15769"/>
    <cellStyle name="20% - Accent5 19 3 3" xfId="15770"/>
    <cellStyle name="20% - Accent5 19 4" xfId="15771"/>
    <cellStyle name="20% - Accent5 19 4 2" xfId="15772"/>
    <cellStyle name="20% - Accent5 19 5" xfId="15773"/>
    <cellStyle name="20% - Accent5 2" xfId="15774"/>
    <cellStyle name="20% - Accent5 2 10" xfId="15775"/>
    <cellStyle name="20% - Accent5 2 10 10" xfId="15776"/>
    <cellStyle name="20% - Accent5 2 10 2" xfId="15777"/>
    <cellStyle name="20% - Accent5 2 10 2 2" xfId="15778"/>
    <cellStyle name="20% - Accent5 2 10 2 2 2" xfId="15779"/>
    <cellStyle name="20% - Accent5 2 10 2 2 2 2" xfId="15780"/>
    <cellStyle name="20% - Accent5 2 10 2 2 2 2 2" xfId="15781"/>
    <cellStyle name="20% - Accent5 2 10 2 2 2 3" xfId="15782"/>
    <cellStyle name="20% - Accent5 2 10 2 2 3" xfId="15783"/>
    <cellStyle name="20% - Accent5 2 10 2 2 3 2" xfId="15784"/>
    <cellStyle name="20% - Accent5 2 10 2 2 4" xfId="15785"/>
    <cellStyle name="20% - Accent5 2 10 2 3" xfId="15786"/>
    <cellStyle name="20% - Accent5 2 10 2 3 2" xfId="15787"/>
    <cellStyle name="20% - Accent5 2 10 2 3 2 2" xfId="15788"/>
    <cellStyle name="20% - Accent5 2 10 2 3 3" xfId="15789"/>
    <cellStyle name="20% - Accent5 2 10 2 4" xfId="15790"/>
    <cellStyle name="20% - Accent5 2 10 2 4 2" xfId="15791"/>
    <cellStyle name="20% - Accent5 2 10 2 5" xfId="15792"/>
    <cellStyle name="20% - Accent5 2 10 3" xfId="15793"/>
    <cellStyle name="20% - Accent5 2 10 3 2" xfId="15794"/>
    <cellStyle name="20% - Accent5 2 10 3 2 2" xfId="15795"/>
    <cellStyle name="20% - Accent5 2 10 3 2 2 2" xfId="15796"/>
    <cellStyle name="20% - Accent5 2 10 3 2 2 2 2" xfId="15797"/>
    <cellStyle name="20% - Accent5 2 10 3 2 2 3" xfId="15798"/>
    <cellStyle name="20% - Accent5 2 10 3 2 3" xfId="15799"/>
    <cellStyle name="20% - Accent5 2 10 3 2 3 2" xfId="15800"/>
    <cellStyle name="20% - Accent5 2 10 3 2 4" xfId="15801"/>
    <cellStyle name="20% - Accent5 2 10 3 3" xfId="15802"/>
    <cellStyle name="20% - Accent5 2 10 3 3 2" xfId="15803"/>
    <cellStyle name="20% - Accent5 2 10 3 3 2 2" xfId="15804"/>
    <cellStyle name="20% - Accent5 2 10 3 3 3" xfId="15805"/>
    <cellStyle name="20% - Accent5 2 10 3 4" xfId="15806"/>
    <cellStyle name="20% - Accent5 2 10 3 4 2" xfId="15807"/>
    <cellStyle name="20% - Accent5 2 10 3 5" xfId="15808"/>
    <cellStyle name="20% - Accent5 2 10 4" xfId="15809"/>
    <cellStyle name="20% - Accent5 2 10 4 2" xfId="15810"/>
    <cellStyle name="20% - Accent5 2 10 4 2 2" xfId="15811"/>
    <cellStyle name="20% - Accent5 2 10 4 2 2 2" xfId="15812"/>
    <cellStyle name="20% - Accent5 2 10 4 2 2 2 2" xfId="15813"/>
    <cellStyle name="20% - Accent5 2 10 4 2 2 3" xfId="15814"/>
    <cellStyle name="20% - Accent5 2 10 4 2 3" xfId="15815"/>
    <cellStyle name="20% - Accent5 2 10 4 2 3 2" xfId="15816"/>
    <cellStyle name="20% - Accent5 2 10 4 2 4" xfId="15817"/>
    <cellStyle name="20% - Accent5 2 10 4 3" xfId="15818"/>
    <cellStyle name="20% - Accent5 2 10 4 3 2" xfId="15819"/>
    <cellStyle name="20% - Accent5 2 10 4 3 2 2" xfId="15820"/>
    <cellStyle name="20% - Accent5 2 10 4 3 3" xfId="15821"/>
    <cellStyle name="20% - Accent5 2 10 4 4" xfId="15822"/>
    <cellStyle name="20% - Accent5 2 10 4 4 2" xfId="15823"/>
    <cellStyle name="20% - Accent5 2 10 4 5" xfId="15824"/>
    <cellStyle name="20% - Accent5 2 10 5" xfId="15825"/>
    <cellStyle name="20% - Accent5 2 10 5 2" xfId="15826"/>
    <cellStyle name="20% - Accent5 2 10 5 2 2" xfId="15827"/>
    <cellStyle name="20% - Accent5 2 10 5 2 2 2" xfId="15828"/>
    <cellStyle name="20% - Accent5 2 10 5 2 2 2 2" xfId="15829"/>
    <cellStyle name="20% - Accent5 2 10 5 2 2 3" xfId="15830"/>
    <cellStyle name="20% - Accent5 2 10 5 2 3" xfId="15831"/>
    <cellStyle name="20% - Accent5 2 10 5 2 3 2" xfId="15832"/>
    <cellStyle name="20% - Accent5 2 10 5 2 4" xfId="15833"/>
    <cellStyle name="20% - Accent5 2 10 5 3" xfId="15834"/>
    <cellStyle name="20% - Accent5 2 10 5 3 2" xfId="15835"/>
    <cellStyle name="20% - Accent5 2 10 5 3 2 2" xfId="15836"/>
    <cellStyle name="20% - Accent5 2 10 5 3 3" xfId="15837"/>
    <cellStyle name="20% - Accent5 2 10 5 4" xfId="15838"/>
    <cellStyle name="20% - Accent5 2 10 5 4 2" xfId="15839"/>
    <cellStyle name="20% - Accent5 2 10 5 5" xfId="15840"/>
    <cellStyle name="20% - Accent5 2 10 6" xfId="15841"/>
    <cellStyle name="20% - Accent5 2 10 6 2" xfId="15842"/>
    <cellStyle name="20% - Accent5 2 10 6 2 2" xfId="15843"/>
    <cellStyle name="20% - Accent5 2 10 6 2 2 2" xfId="15844"/>
    <cellStyle name="20% - Accent5 2 10 6 2 2 2 2" xfId="15845"/>
    <cellStyle name="20% - Accent5 2 10 6 2 2 3" xfId="15846"/>
    <cellStyle name="20% - Accent5 2 10 6 2 3" xfId="15847"/>
    <cellStyle name="20% - Accent5 2 10 6 2 3 2" xfId="15848"/>
    <cellStyle name="20% - Accent5 2 10 6 2 4" xfId="15849"/>
    <cellStyle name="20% - Accent5 2 10 6 3" xfId="15850"/>
    <cellStyle name="20% - Accent5 2 10 6 3 2" xfId="15851"/>
    <cellStyle name="20% - Accent5 2 10 6 3 2 2" xfId="15852"/>
    <cellStyle name="20% - Accent5 2 10 6 3 3" xfId="15853"/>
    <cellStyle name="20% - Accent5 2 10 6 4" xfId="15854"/>
    <cellStyle name="20% - Accent5 2 10 6 4 2" xfId="15855"/>
    <cellStyle name="20% - Accent5 2 10 6 5" xfId="15856"/>
    <cellStyle name="20% - Accent5 2 10 7" xfId="15857"/>
    <cellStyle name="20% - Accent5 2 10 7 2" xfId="15858"/>
    <cellStyle name="20% - Accent5 2 10 7 2 2" xfId="15859"/>
    <cellStyle name="20% - Accent5 2 10 7 2 2 2" xfId="15860"/>
    <cellStyle name="20% - Accent5 2 10 7 2 3" xfId="15861"/>
    <cellStyle name="20% - Accent5 2 10 7 3" xfId="15862"/>
    <cellStyle name="20% - Accent5 2 10 7 3 2" xfId="15863"/>
    <cellStyle name="20% - Accent5 2 10 7 4" xfId="15864"/>
    <cellStyle name="20% - Accent5 2 10 8" xfId="15865"/>
    <cellStyle name="20% - Accent5 2 10 8 2" xfId="15866"/>
    <cellStyle name="20% - Accent5 2 10 8 2 2" xfId="15867"/>
    <cellStyle name="20% - Accent5 2 10 8 3" xfId="15868"/>
    <cellStyle name="20% - Accent5 2 10 9" xfId="15869"/>
    <cellStyle name="20% - Accent5 2 10 9 2" xfId="15870"/>
    <cellStyle name="20% - Accent5 2 11" xfId="15871"/>
    <cellStyle name="20% - Accent5 2 11 2" xfId="15872"/>
    <cellStyle name="20% - Accent5 2 11 2 2" xfId="15873"/>
    <cellStyle name="20% - Accent5 2 11 2 2 2" xfId="15874"/>
    <cellStyle name="20% - Accent5 2 11 2 2 2 2" xfId="15875"/>
    <cellStyle name="20% - Accent5 2 11 2 2 3" xfId="15876"/>
    <cellStyle name="20% - Accent5 2 11 2 3" xfId="15877"/>
    <cellStyle name="20% - Accent5 2 11 2 3 2" xfId="15878"/>
    <cellStyle name="20% - Accent5 2 11 2 4" xfId="15879"/>
    <cellStyle name="20% - Accent5 2 11 3" xfId="15880"/>
    <cellStyle name="20% - Accent5 2 11 3 2" xfId="15881"/>
    <cellStyle name="20% - Accent5 2 11 3 2 2" xfId="15882"/>
    <cellStyle name="20% - Accent5 2 11 3 3" xfId="15883"/>
    <cellStyle name="20% - Accent5 2 11 4" xfId="15884"/>
    <cellStyle name="20% - Accent5 2 11 4 2" xfId="15885"/>
    <cellStyle name="20% - Accent5 2 11 5" xfId="15886"/>
    <cellStyle name="20% - Accent5 2 12" xfId="15887"/>
    <cellStyle name="20% - Accent5 2 12 2" xfId="15888"/>
    <cellStyle name="20% - Accent5 2 12 2 2" xfId="15889"/>
    <cellStyle name="20% - Accent5 2 12 2 2 2" xfId="15890"/>
    <cellStyle name="20% - Accent5 2 12 2 2 2 2" xfId="15891"/>
    <cellStyle name="20% - Accent5 2 12 2 2 3" xfId="15892"/>
    <cellStyle name="20% - Accent5 2 12 2 3" xfId="15893"/>
    <cellStyle name="20% - Accent5 2 12 2 3 2" xfId="15894"/>
    <cellStyle name="20% - Accent5 2 12 2 4" xfId="15895"/>
    <cellStyle name="20% - Accent5 2 12 3" xfId="15896"/>
    <cellStyle name="20% - Accent5 2 12 3 2" xfId="15897"/>
    <cellStyle name="20% - Accent5 2 12 3 2 2" xfId="15898"/>
    <cellStyle name="20% - Accent5 2 12 3 3" xfId="15899"/>
    <cellStyle name="20% - Accent5 2 12 4" xfId="15900"/>
    <cellStyle name="20% - Accent5 2 12 4 2" xfId="15901"/>
    <cellStyle name="20% - Accent5 2 12 5" xfId="15902"/>
    <cellStyle name="20% - Accent5 2 13" xfId="15903"/>
    <cellStyle name="20% - Accent5 2 13 2" xfId="15904"/>
    <cellStyle name="20% - Accent5 2 13 2 2" xfId="15905"/>
    <cellStyle name="20% - Accent5 2 13 2 2 2" xfId="15906"/>
    <cellStyle name="20% - Accent5 2 13 2 2 2 2" xfId="15907"/>
    <cellStyle name="20% - Accent5 2 13 2 2 3" xfId="15908"/>
    <cellStyle name="20% - Accent5 2 13 2 3" xfId="15909"/>
    <cellStyle name="20% - Accent5 2 13 2 3 2" xfId="15910"/>
    <cellStyle name="20% - Accent5 2 13 2 4" xfId="15911"/>
    <cellStyle name="20% - Accent5 2 13 3" xfId="15912"/>
    <cellStyle name="20% - Accent5 2 13 3 2" xfId="15913"/>
    <cellStyle name="20% - Accent5 2 13 3 2 2" xfId="15914"/>
    <cellStyle name="20% - Accent5 2 13 3 3" xfId="15915"/>
    <cellStyle name="20% - Accent5 2 13 4" xfId="15916"/>
    <cellStyle name="20% - Accent5 2 13 4 2" xfId="15917"/>
    <cellStyle name="20% - Accent5 2 13 5" xfId="15918"/>
    <cellStyle name="20% - Accent5 2 14" xfId="15919"/>
    <cellStyle name="20% - Accent5 2 14 2" xfId="15920"/>
    <cellStyle name="20% - Accent5 2 14 2 2" xfId="15921"/>
    <cellStyle name="20% - Accent5 2 14 2 2 2" xfId="15922"/>
    <cellStyle name="20% - Accent5 2 14 2 2 2 2" xfId="15923"/>
    <cellStyle name="20% - Accent5 2 14 2 2 3" xfId="15924"/>
    <cellStyle name="20% - Accent5 2 14 2 3" xfId="15925"/>
    <cellStyle name="20% - Accent5 2 14 2 3 2" xfId="15926"/>
    <cellStyle name="20% - Accent5 2 14 2 4" xfId="15927"/>
    <cellStyle name="20% - Accent5 2 14 3" xfId="15928"/>
    <cellStyle name="20% - Accent5 2 14 3 2" xfId="15929"/>
    <cellStyle name="20% - Accent5 2 14 3 2 2" xfId="15930"/>
    <cellStyle name="20% - Accent5 2 14 3 3" xfId="15931"/>
    <cellStyle name="20% - Accent5 2 14 4" xfId="15932"/>
    <cellStyle name="20% - Accent5 2 14 4 2" xfId="15933"/>
    <cellStyle name="20% - Accent5 2 14 5" xfId="15934"/>
    <cellStyle name="20% - Accent5 2 15" xfId="15935"/>
    <cellStyle name="20% - Accent5 2 15 2" xfId="15936"/>
    <cellStyle name="20% - Accent5 2 15 2 2" xfId="15937"/>
    <cellStyle name="20% - Accent5 2 15 2 2 2" xfId="15938"/>
    <cellStyle name="20% - Accent5 2 15 2 2 2 2" xfId="15939"/>
    <cellStyle name="20% - Accent5 2 15 2 2 3" xfId="15940"/>
    <cellStyle name="20% - Accent5 2 15 2 3" xfId="15941"/>
    <cellStyle name="20% - Accent5 2 15 2 3 2" xfId="15942"/>
    <cellStyle name="20% - Accent5 2 15 2 4" xfId="15943"/>
    <cellStyle name="20% - Accent5 2 15 3" xfId="15944"/>
    <cellStyle name="20% - Accent5 2 15 3 2" xfId="15945"/>
    <cellStyle name="20% - Accent5 2 15 3 2 2" xfId="15946"/>
    <cellStyle name="20% - Accent5 2 15 3 3" xfId="15947"/>
    <cellStyle name="20% - Accent5 2 15 4" xfId="15948"/>
    <cellStyle name="20% - Accent5 2 15 4 2" xfId="15949"/>
    <cellStyle name="20% - Accent5 2 15 5" xfId="15950"/>
    <cellStyle name="20% - Accent5 2 16" xfId="15951"/>
    <cellStyle name="20% - Accent5 2 16 2" xfId="15952"/>
    <cellStyle name="20% - Accent5 2 16 2 2" xfId="15953"/>
    <cellStyle name="20% - Accent5 2 16 2 2 2" xfId="15954"/>
    <cellStyle name="20% - Accent5 2 16 2 3" xfId="15955"/>
    <cellStyle name="20% - Accent5 2 16 3" xfId="15956"/>
    <cellStyle name="20% - Accent5 2 16 3 2" xfId="15957"/>
    <cellStyle name="20% - Accent5 2 16 4" xfId="15958"/>
    <cellStyle name="20% - Accent5 2 17" xfId="15959"/>
    <cellStyle name="20% - Accent5 2 17 2" xfId="15960"/>
    <cellStyle name="20% - Accent5 2 17 2 2" xfId="15961"/>
    <cellStyle name="20% - Accent5 2 17 3" xfId="15962"/>
    <cellStyle name="20% - Accent5 2 18" xfId="15963"/>
    <cellStyle name="20% - Accent5 2 18 2" xfId="15964"/>
    <cellStyle name="20% - Accent5 2 19" xfId="15965"/>
    <cellStyle name="20% - Accent5 2 2" xfId="15966"/>
    <cellStyle name="20% - Accent5 2 2 10" xfId="15967"/>
    <cellStyle name="20% - Accent5 2 2 10 2" xfId="15968"/>
    <cellStyle name="20% - Accent5 2 2 11" xfId="15969"/>
    <cellStyle name="20% - Accent5 2 2 2" xfId="15970"/>
    <cellStyle name="20% - Accent5 2 2 2 10" xfId="15971"/>
    <cellStyle name="20% - Accent5 2 2 2 2" xfId="15972"/>
    <cellStyle name="20% - Accent5 2 2 2 2 2" xfId="15973"/>
    <cellStyle name="20% - Accent5 2 2 2 2 2 2" xfId="15974"/>
    <cellStyle name="20% - Accent5 2 2 2 2 2 2 2" xfId="15975"/>
    <cellStyle name="20% - Accent5 2 2 2 2 2 2 2 2" xfId="15976"/>
    <cellStyle name="20% - Accent5 2 2 2 2 2 2 3" xfId="15977"/>
    <cellStyle name="20% - Accent5 2 2 2 2 2 3" xfId="15978"/>
    <cellStyle name="20% - Accent5 2 2 2 2 2 3 2" xfId="15979"/>
    <cellStyle name="20% - Accent5 2 2 2 2 2 4" xfId="15980"/>
    <cellStyle name="20% - Accent5 2 2 2 2 3" xfId="15981"/>
    <cellStyle name="20% - Accent5 2 2 2 2 3 2" xfId="15982"/>
    <cellStyle name="20% - Accent5 2 2 2 2 3 2 2" xfId="15983"/>
    <cellStyle name="20% - Accent5 2 2 2 2 3 3" xfId="15984"/>
    <cellStyle name="20% - Accent5 2 2 2 2 4" xfId="15985"/>
    <cellStyle name="20% - Accent5 2 2 2 2 4 2" xfId="15986"/>
    <cellStyle name="20% - Accent5 2 2 2 2 5" xfId="15987"/>
    <cellStyle name="20% - Accent5 2 2 2 3" xfId="15988"/>
    <cellStyle name="20% - Accent5 2 2 2 3 2" xfId="15989"/>
    <cellStyle name="20% - Accent5 2 2 2 3 2 2" xfId="15990"/>
    <cellStyle name="20% - Accent5 2 2 2 3 2 2 2" xfId="15991"/>
    <cellStyle name="20% - Accent5 2 2 2 3 2 2 2 2" xfId="15992"/>
    <cellStyle name="20% - Accent5 2 2 2 3 2 2 3" xfId="15993"/>
    <cellStyle name="20% - Accent5 2 2 2 3 2 3" xfId="15994"/>
    <cellStyle name="20% - Accent5 2 2 2 3 2 3 2" xfId="15995"/>
    <cellStyle name="20% - Accent5 2 2 2 3 2 4" xfId="15996"/>
    <cellStyle name="20% - Accent5 2 2 2 3 3" xfId="15997"/>
    <cellStyle name="20% - Accent5 2 2 2 3 3 2" xfId="15998"/>
    <cellStyle name="20% - Accent5 2 2 2 3 3 2 2" xfId="15999"/>
    <cellStyle name="20% - Accent5 2 2 2 3 3 3" xfId="16000"/>
    <cellStyle name="20% - Accent5 2 2 2 3 4" xfId="16001"/>
    <cellStyle name="20% - Accent5 2 2 2 3 4 2" xfId="16002"/>
    <cellStyle name="20% - Accent5 2 2 2 3 5" xfId="16003"/>
    <cellStyle name="20% - Accent5 2 2 2 4" xfId="16004"/>
    <cellStyle name="20% - Accent5 2 2 2 4 2" xfId="16005"/>
    <cellStyle name="20% - Accent5 2 2 2 4 2 2" xfId="16006"/>
    <cellStyle name="20% - Accent5 2 2 2 4 2 2 2" xfId="16007"/>
    <cellStyle name="20% - Accent5 2 2 2 4 2 2 2 2" xfId="16008"/>
    <cellStyle name="20% - Accent5 2 2 2 4 2 2 3" xfId="16009"/>
    <cellStyle name="20% - Accent5 2 2 2 4 2 3" xfId="16010"/>
    <cellStyle name="20% - Accent5 2 2 2 4 2 3 2" xfId="16011"/>
    <cellStyle name="20% - Accent5 2 2 2 4 2 4" xfId="16012"/>
    <cellStyle name="20% - Accent5 2 2 2 4 3" xfId="16013"/>
    <cellStyle name="20% - Accent5 2 2 2 4 3 2" xfId="16014"/>
    <cellStyle name="20% - Accent5 2 2 2 4 3 2 2" xfId="16015"/>
    <cellStyle name="20% - Accent5 2 2 2 4 3 3" xfId="16016"/>
    <cellStyle name="20% - Accent5 2 2 2 4 4" xfId="16017"/>
    <cellStyle name="20% - Accent5 2 2 2 4 4 2" xfId="16018"/>
    <cellStyle name="20% - Accent5 2 2 2 4 5" xfId="16019"/>
    <cellStyle name="20% - Accent5 2 2 2 5" xfId="16020"/>
    <cellStyle name="20% - Accent5 2 2 2 5 2" xfId="16021"/>
    <cellStyle name="20% - Accent5 2 2 2 5 2 2" xfId="16022"/>
    <cellStyle name="20% - Accent5 2 2 2 5 2 2 2" xfId="16023"/>
    <cellStyle name="20% - Accent5 2 2 2 5 2 2 2 2" xfId="16024"/>
    <cellStyle name="20% - Accent5 2 2 2 5 2 2 3" xfId="16025"/>
    <cellStyle name="20% - Accent5 2 2 2 5 2 3" xfId="16026"/>
    <cellStyle name="20% - Accent5 2 2 2 5 2 3 2" xfId="16027"/>
    <cellStyle name="20% - Accent5 2 2 2 5 2 4" xfId="16028"/>
    <cellStyle name="20% - Accent5 2 2 2 5 3" xfId="16029"/>
    <cellStyle name="20% - Accent5 2 2 2 5 3 2" xfId="16030"/>
    <cellStyle name="20% - Accent5 2 2 2 5 3 2 2" xfId="16031"/>
    <cellStyle name="20% - Accent5 2 2 2 5 3 3" xfId="16032"/>
    <cellStyle name="20% - Accent5 2 2 2 5 4" xfId="16033"/>
    <cellStyle name="20% - Accent5 2 2 2 5 4 2" xfId="16034"/>
    <cellStyle name="20% - Accent5 2 2 2 5 5" xfId="16035"/>
    <cellStyle name="20% - Accent5 2 2 2 6" xfId="16036"/>
    <cellStyle name="20% - Accent5 2 2 2 6 2" xfId="16037"/>
    <cellStyle name="20% - Accent5 2 2 2 6 2 2" xfId="16038"/>
    <cellStyle name="20% - Accent5 2 2 2 6 2 2 2" xfId="16039"/>
    <cellStyle name="20% - Accent5 2 2 2 6 2 2 2 2" xfId="16040"/>
    <cellStyle name="20% - Accent5 2 2 2 6 2 2 3" xfId="16041"/>
    <cellStyle name="20% - Accent5 2 2 2 6 2 3" xfId="16042"/>
    <cellStyle name="20% - Accent5 2 2 2 6 2 3 2" xfId="16043"/>
    <cellStyle name="20% - Accent5 2 2 2 6 2 4" xfId="16044"/>
    <cellStyle name="20% - Accent5 2 2 2 6 3" xfId="16045"/>
    <cellStyle name="20% - Accent5 2 2 2 6 3 2" xfId="16046"/>
    <cellStyle name="20% - Accent5 2 2 2 6 3 2 2" xfId="16047"/>
    <cellStyle name="20% - Accent5 2 2 2 6 3 3" xfId="16048"/>
    <cellStyle name="20% - Accent5 2 2 2 6 4" xfId="16049"/>
    <cellStyle name="20% - Accent5 2 2 2 6 4 2" xfId="16050"/>
    <cellStyle name="20% - Accent5 2 2 2 6 5" xfId="16051"/>
    <cellStyle name="20% - Accent5 2 2 2 7" xfId="16052"/>
    <cellStyle name="20% - Accent5 2 2 2 7 2" xfId="16053"/>
    <cellStyle name="20% - Accent5 2 2 2 7 2 2" xfId="16054"/>
    <cellStyle name="20% - Accent5 2 2 2 7 2 2 2" xfId="16055"/>
    <cellStyle name="20% - Accent5 2 2 2 7 2 3" xfId="16056"/>
    <cellStyle name="20% - Accent5 2 2 2 7 3" xfId="16057"/>
    <cellStyle name="20% - Accent5 2 2 2 7 3 2" xfId="16058"/>
    <cellStyle name="20% - Accent5 2 2 2 7 4" xfId="16059"/>
    <cellStyle name="20% - Accent5 2 2 2 8" xfId="16060"/>
    <cellStyle name="20% - Accent5 2 2 2 8 2" xfId="16061"/>
    <cellStyle name="20% - Accent5 2 2 2 8 2 2" xfId="16062"/>
    <cellStyle name="20% - Accent5 2 2 2 8 3" xfId="16063"/>
    <cellStyle name="20% - Accent5 2 2 2 9" xfId="16064"/>
    <cellStyle name="20% - Accent5 2 2 2 9 2" xfId="16065"/>
    <cellStyle name="20% - Accent5 2 2 3" xfId="16066"/>
    <cellStyle name="20% - Accent5 2 2 3 2" xfId="16067"/>
    <cellStyle name="20% - Accent5 2 2 3 2 2" xfId="16068"/>
    <cellStyle name="20% - Accent5 2 2 3 2 2 2" xfId="16069"/>
    <cellStyle name="20% - Accent5 2 2 3 2 2 2 2" xfId="16070"/>
    <cellStyle name="20% - Accent5 2 2 3 2 2 3" xfId="16071"/>
    <cellStyle name="20% - Accent5 2 2 3 2 3" xfId="16072"/>
    <cellStyle name="20% - Accent5 2 2 3 2 3 2" xfId="16073"/>
    <cellStyle name="20% - Accent5 2 2 3 2 4" xfId="16074"/>
    <cellStyle name="20% - Accent5 2 2 3 3" xfId="16075"/>
    <cellStyle name="20% - Accent5 2 2 3 3 2" xfId="16076"/>
    <cellStyle name="20% - Accent5 2 2 3 3 2 2" xfId="16077"/>
    <cellStyle name="20% - Accent5 2 2 3 3 3" xfId="16078"/>
    <cellStyle name="20% - Accent5 2 2 3 4" xfId="16079"/>
    <cellStyle name="20% - Accent5 2 2 3 4 2" xfId="16080"/>
    <cellStyle name="20% - Accent5 2 2 3 5" xfId="16081"/>
    <cellStyle name="20% - Accent5 2 2 4" xfId="16082"/>
    <cellStyle name="20% - Accent5 2 2 4 2" xfId="16083"/>
    <cellStyle name="20% - Accent5 2 2 4 2 2" xfId="16084"/>
    <cellStyle name="20% - Accent5 2 2 4 2 2 2" xfId="16085"/>
    <cellStyle name="20% - Accent5 2 2 4 2 2 2 2" xfId="16086"/>
    <cellStyle name="20% - Accent5 2 2 4 2 2 3" xfId="16087"/>
    <cellStyle name="20% - Accent5 2 2 4 2 3" xfId="16088"/>
    <cellStyle name="20% - Accent5 2 2 4 2 3 2" xfId="16089"/>
    <cellStyle name="20% - Accent5 2 2 4 2 4" xfId="16090"/>
    <cellStyle name="20% - Accent5 2 2 4 3" xfId="16091"/>
    <cellStyle name="20% - Accent5 2 2 4 3 2" xfId="16092"/>
    <cellStyle name="20% - Accent5 2 2 4 3 2 2" xfId="16093"/>
    <cellStyle name="20% - Accent5 2 2 4 3 3" xfId="16094"/>
    <cellStyle name="20% - Accent5 2 2 4 4" xfId="16095"/>
    <cellStyle name="20% - Accent5 2 2 4 4 2" xfId="16096"/>
    <cellStyle name="20% - Accent5 2 2 4 5" xfId="16097"/>
    <cellStyle name="20% - Accent5 2 2 5" xfId="16098"/>
    <cellStyle name="20% - Accent5 2 2 5 2" xfId="16099"/>
    <cellStyle name="20% - Accent5 2 2 5 2 2" xfId="16100"/>
    <cellStyle name="20% - Accent5 2 2 5 2 2 2" xfId="16101"/>
    <cellStyle name="20% - Accent5 2 2 5 2 2 2 2" xfId="16102"/>
    <cellStyle name="20% - Accent5 2 2 5 2 2 3" xfId="16103"/>
    <cellStyle name="20% - Accent5 2 2 5 2 3" xfId="16104"/>
    <cellStyle name="20% - Accent5 2 2 5 2 3 2" xfId="16105"/>
    <cellStyle name="20% - Accent5 2 2 5 2 4" xfId="16106"/>
    <cellStyle name="20% - Accent5 2 2 5 3" xfId="16107"/>
    <cellStyle name="20% - Accent5 2 2 5 3 2" xfId="16108"/>
    <cellStyle name="20% - Accent5 2 2 5 3 2 2" xfId="16109"/>
    <cellStyle name="20% - Accent5 2 2 5 3 3" xfId="16110"/>
    <cellStyle name="20% - Accent5 2 2 5 4" xfId="16111"/>
    <cellStyle name="20% - Accent5 2 2 5 4 2" xfId="16112"/>
    <cellStyle name="20% - Accent5 2 2 5 5" xfId="16113"/>
    <cellStyle name="20% - Accent5 2 2 6" xfId="16114"/>
    <cellStyle name="20% - Accent5 2 2 6 2" xfId="16115"/>
    <cellStyle name="20% - Accent5 2 2 6 2 2" xfId="16116"/>
    <cellStyle name="20% - Accent5 2 2 6 2 2 2" xfId="16117"/>
    <cellStyle name="20% - Accent5 2 2 6 2 2 2 2" xfId="16118"/>
    <cellStyle name="20% - Accent5 2 2 6 2 2 3" xfId="16119"/>
    <cellStyle name="20% - Accent5 2 2 6 2 3" xfId="16120"/>
    <cellStyle name="20% - Accent5 2 2 6 2 3 2" xfId="16121"/>
    <cellStyle name="20% - Accent5 2 2 6 2 4" xfId="16122"/>
    <cellStyle name="20% - Accent5 2 2 6 3" xfId="16123"/>
    <cellStyle name="20% - Accent5 2 2 6 3 2" xfId="16124"/>
    <cellStyle name="20% - Accent5 2 2 6 3 2 2" xfId="16125"/>
    <cellStyle name="20% - Accent5 2 2 6 3 3" xfId="16126"/>
    <cellStyle name="20% - Accent5 2 2 6 4" xfId="16127"/>
    <cellStyle name="20% - Accent5 2 2 6 4 2" xfId="16128"/>
    <cellStyle name="20% - Accent5 2 2 6 5" xfId="16129"/>
    <cellStyle name="20% - Accent5 2 2 7" xfId="16130"/>
    <cellStyle name="20% - Accent5 2 2 7 2" xfId="16131"/>
    <cellStyle name="20% - Accent5 2 2 7 2 2" xfId="16132"/>
    <cellStyle name="20% - Accent5 2 2 7 2 2 2" xfId="16133"/>
    <cellStyle name="20% - Accent5 2 2 7 2 2 2 2" xfId="16134"/>
    <cellStyle name="20% - Accent5 2 2 7 2 2 3" xfId="16135"/>
    <cellStyle name="20% - Accent5 2 2 7 2 3" xfId="16136"/>
    <cellStyle name="20% - Accent5 2 2 7 2 3 2" xfId="16137"/>
    <cellStyle name="20% - Accent5 2 2 7 2 4" xfId="16138"/>
    <cellStyle name="20% - Accent5 2 2 7 3" xfId="16139"/>
    <cellStyle name="20% - Accent5 2 2 7 3 2" xfId="16140"/>
    <cellStyle name="20% - Accent5 2 2 7 3 2 2" xfId="16141"/>
    <cellStyle name="20% - Accent5 2 2 7 3 3" xfId="16142"/>
    <cellStyle name="20% - Accent5 2 2 7 4" xfId="16143"/>
    <cellStyle name="20% - Accent5 2 2 7 4 2" xfId="16144"/>
    <cellStyle name="20% - Accent5 2 2 7 5" xfId="16145"/>
    <cellStyle name="20% - Accent5 2 2 8" xfId="16146"/>
    <cellStyle name="20% - Accent5 2 2 8 2" xfId="16147"/>
    <cellStyle name="20% - Accent5 2 2 8 2 2" xfId="16148"/>
    <cellStyle name="20% - Accent5 2 2 8 2 2 2" xfId="16149"/>
    <cellStyle name="20% - Accent5 2 2 8 2 3" xfId="16150"/>
    <cellStyle name="20% - Accent5 2 2 8 3" xfId="16151"/>
    <cellStyle name="20% - Accent5 2 2 8 3 2" xfId="16152"/>
    <cellStyle name="20% - Accent5 2 2 8 4" xfId="16153"/>
    <cellStyle name="20% - Accent5 2 2 9" xfId="16154"/>
    <cellStyle name="20% - Accent5 2 2 9 2" xfId="16155"/>
    <cellStyle name="20% - Accent5 2 2 9 2 2" xfId="16156"/>
    <cellStyle name="20% - Accent5 2 2 9 3" xfId="16157"/>
    <cellStyle name="20% - Accent5 2 3" xfId="16158"/>
    <cellStyle name="20% - Accent5 2 3 10" xfId="16159"/>
    <cellStyle name="20% - Accent5 2 3 10 2" xfId="16160"/>
    <cellStyle name="20% - Accent5 2 3 11" xfId="16161"/>
    <cellStyle name="20% - Accent5 2 3 2" xfId="16162"/>
    <cellStyle name="20% - Accent5 2 3 2 10" xfId="16163"/>
    <cellStyle name="20% - Accent5 2 3 2 2" xfId="16164"/>
    <cellStyle name="20% - Accent5 2 3 2 2 2" xfId="16165"/>
    <cellStyle name="20% - Accent5 2 3 2 2 2 2" xfId="16166"/>
    <cellStyle name="20% - Accent5 2 3 2 2 2 2 2" xfId="16167"/>
    <cellStyle name="20% - Accent5 2 3 2 2 2 2 2 2" xfId="16168"/>
    <cellStyle name="20% - Accent5 2 3 2 2 2 2 3" xfId="16169"/>
    <cellStyle name="20% - Accent5 2 3 2 2 2 3" xfId="16170"/>
    <cellStyle name="20% - Accent5 2 3 2 2 2 3 2" xfId="16171"/>
    <cellStyle name="20% - Accent5 2 3 2 2 2 4" xfId="16172"/>
    <cellStyle name="20% - Accent5 2 3 2 2 3" xfId="16173"/>
    <cellStyle name="20% - Accent5 2 3 2 2 3 2" xfId="16174"/>
    <cellStyle name="20% - Accent5 2 3 2 2 3 2 2" xfId="16175"/>
    <cellStyle name="20% - Accent5 2 3 2 2 3 3" xfId="16176"/>
    <cellStyle name="20% - Accent5 2 3 2 2 4" xfId="16177"/>
    <cellStyle name="20% - Accent5 2 3 2 2 4 2" xfId="16178"/>
    <cellStyle name="20% - Accent5 2 3 2 2 5" xfId="16179"/>
    <cellStyle name="20% - Accent5 2 3 2 3" xfId="16180"/>
    <cellStyle name="20% - Accent5 2 3 2 3 2" xfId="16181"/>
    <cellStyle name="20% - Accent5 2 3 2 3 2 2" xfId="16182"/>
    <cellStyle name="20% - Accent5 2 3 2 3 2 2 2" xfId="16183"/>
    <cellStyle name="20% - Accent5 2 3 2 3 2 2 2 2" xfId="16184"/>
    <cellStyle name="20% - Accent5 2 3 2 3 2 2 3" xfId="16185"/>
    <cellStyle name="20% - Accent5 2 3 2 3 2 3" xfId="16186"/>
    <cellStyle name="20% - Accent5 2 3 2 3 2 3 2" xfId="16187"/>
    <cellStyle name="20% - Accent5 2 3 2 3 2 4" xfId="16188"/>
    <cellStyle name="20% - Accent5 2 3 2 3 3" xfId="16189"/>
    <cellStyle name="20% - Accent5 2 3 2 3 3 2" xfId="16190"/>
    <cellStyle name="20% - Accent5 2 3 2 3 3 2 2" xfId="16191"/>
    <cellStyle name="20% - Accent5 2 3 2 3 3 3" xfId="16192"/>
    <cellStyle name="20% - Accent5 2 3 2 3 4" xfId="16193"/>
    <cellStyle name="20% - Accent5 2 3 2 3 4 2" xfId="16194"/>
    <cellStyle name="20% - Accent5 2 3 2 3 5" xfId="16195"/>
    <cellStyle name="20% - Accent5 2 3 2 4" xfId="16196"/>
    <cellStyle name="20% - Accent5 2 3 2 4 2" xfId="16197"/>
    <cellStyle name="20% - Accent5 2 3 2 4 2 2" xfId="16198"/>
    <cellStyle name="20% - Accent5 2 3 2 4 2 2 2" xfId="16199"/>
    <cellStyle name="20% - Accent5 2 3 2 4 2 2 2 2" xfId="16200"/>
    <cellStyle name="20% - Accent5 2 3 2 4 2 2 3" xfId="16201"/>
    <cellStyle name="20% - Accent5 2 3 2 4 2 3" xfId="16202"/>
    <cellStyle name="20% - Accent5 2 3 2 4 2 3 2" xfId="16203"/>
    <cellStyle name="20% - Accent5 2 3 2 4 2 4" xfId="16204"/>
    <cellStyle name="20% - Accent5 2 3 2 4 3" xfId="16205"/>
    <cellStyle name="20% - Accent5 2 3 2 4 3 2" xfId="16206"/>
    <cellStyle name="20% - Accent5 2 3 2 4 3 2 2" xfId="16207"/>
    <cellStyle name="20% - Accent5 2 3 2 4 3 3" xfId="16208"/>
    <cellStyle name="20% - Accent5 2 3 2 4 4" xfId="16209"/>
    <cellStyle name="20% - Accent5 2 3 2 4 4 2" xfId="16210"/>
    <cellStyle name="20% - Accent5 2 3 2 4 5" xfId="16211"/>
    <cellStyle name="20% - Accent5 2 3 2 5" xfId="16212"/>
    <cellStyle name="20% - Accent5 2 3 2 5 2" xfId="16213"/>
    <cellStyle name="20% - Accent5 2 3 2 5 2 2" xfId="16214"/>
    <cellStyle name="20% - Accent5 2 3 2 5 2 2 2" xfId="16215"/>
    <cellStyle name="20% - Accent5 2 3 2 5 2 2 2 2" xfId="16216"/>
    <cellStyle name="20% - Accent5 2 3 2 5 2 2 3" xfId="16217"/>
    <cellStyle name="20% - Accent5 2 3 2 5 2 3" xfId="16218"/>
    <cellStyle name="20% - Accent5 2 3 2 5 2 3 2" xfId="16219"/>
    <cellStyle name="20% - Accent5 2 3 2 5 2 4" xfId="16220"/>
    <cellStyle name="20% - Accent5 2 3 2 5 3" xfId="16221"/>
    <cellStyle name="20% - Accent5 2 3 2 5 3 2" xfId="16222"/>
    <cellStyle name="20% - Accent5 2 3 2 5 3 2 2" xfId="16223"/>
    <cellStyle name="20% - Accent5 2 3 2 5 3 3" xfId="16224"/>
    <cellStyle name="20% - Accent5 2 3 2 5 4" xfId="16225"/>
    <cellStyle name="20% - Accent5 2 3 2 5 4 2" xfId="16226"/>
    <cellStyle name="20% - Accent5 2 3 2 5 5" xfId="16227"/>
    <cellStyle name="20% - Accent5 2 3 2 6" xfId="16228"/>
    <cellStyle name="20% - Accent5 2 3 2 6 2" xfId="16229"/>
    <cellStyle name="20% - Accent5 2 3 2 6 2 2" xfId="16230"/>
    <cellStyle name="20% - Accent5 2 3 2 6 2 2 2" xfId="16231"/>
    <cellStyle name="20% - Accent5 2 3 2 6 2 2 2 2" xfId="16232"/>
    <cellStyle name="20% - Accent5 2 3 2 6 2 2 3" xfId="16233"/>
    <cellStyle name="20% - Accent5 2 3 2 6 2 3" xfId="16234"/>
    <cellStyle name="20% - Accent5 2 3 2 6 2 3 2" xfId="16235"/>
    <cellStyle name="20% - Accent5 2 3 2 6 2 4" xfId="16236"/>
    <cellStyle name="20% - Accent5 2 3 2 6 3" xfId="16237"/>
    <cellStyle name="20% - Accent5 2 3 2 6 3 2" xfId="16238"/>
    <cellStyle name="20% - Accent5 2 3 2 6 3 2 2" xfId="16239"/>
    <cellStyle name="20% - Accent5 2 3 2 6 3 3" xfId="16240"/>
    <cellStyle name="20% - Accent5 2 3 2 6 4" xfId="16241"/>
    <cellStyle name="20% - Accent5 2 3 2 6 4 2" xfId="16242"/>
    <cellStyle name="20% - Accent5 2 3 2 6 5" xfId="16243"/>
    <cellStyle name="20% - Accent5 2 3 2 7" xfId="16244"/>
    <cellStyle name="20% - Accent5 2 3 2 7 2" xfId="16245"/>
    <cellStyle name="20% - Accent5 2 3 2 7 2 2" xfId="16246"/>
    <cellStyle name="20% - Accent5 2 3 2 7 2 2 2" xfId="16247"/>
    <cellStyle name="20% - Accent5 2 3 2 7 2 3" xfId="16248"/>
    <cellStyle name="20% - Accent5 2 3 2 7 3" xfId="16249"/>
    <cellStyle name="20% - Accent5 2 3 2 7 3 2" xfId="16250"/>
    <cellStyle name="20% - Accent5 2 3 2 7 4" xfId="16251"/>
    <cellStyle name="20% - Accent5 2 3 2 8" xfId="16252"/>
    <cellStyle name="20% - Accent5 2 3 2 8 2" xfId="16253"/>
    <cellStyle name="20% - Accent5 2 3 2 8 2 2" xfId="16254"/>
    <cellStyle name="20% - Accent5 2 3 2 8 3" xfId="16255"/>
    <cellStyle name="20% - Accent5 2 3 2 9" xfId="16256"/>
    <cellStyle name="20% - Accent5 2 3 2 9 2" xfId="16257"/>
    <cellStyle name="20% - Accent5 2 3 3" xfId="16258"/>
    <cellStyle name="20% - Accent5 2 3 3 2" xfId="16259"/>
    <cellStyle name="20% - Accent5 2 3 3 2 2" xfId="16260"/>
    <cellStyle name="20% - Accent5 2 3 3 2 2 2" xfId="16261"/>
    <cellStyle name="20% - Accent5 2 3 3 2 2 2 2" xfId="16262"/>
    <cellStyle name="20% - Accent5 2 3 3 2 2 3" xfId="16263"/>
    <cellStyle name="20% - Accent5 2 3 3 2 3" xfId="16264"/>
    <cellStyle name="20% - Accent5 2 3 3 2 3 2" xfId="16265"/>
    <cellStyle name="20% - Accent5 2 3 3 2 4" xfId="16266"/>
    <cellStyle name="20% - Accent5 2 3 3 3" xfId="16267"/>
    <cellStyle name="20% - Accent5 2 3 3 3 2" xfId="16268"/>
    <cellStyle name="20% - Accent5 2 3 3 3 2 2" xfId="16269"/>
    <cellStyle name="20% - Accent5 2 3 3 3 3" xfId="16270"/>
    <cellStyle name="20% - Accent5 2 3 3 4" xfId="16271"/>
    <cellStyle name="20% - Accent5 2 3 3 4 2" xfId="16272"/>
    <cellStyle name="20% - Accent5 2 3 3 5" xfId="16273"/>
    <cellStyle name="20% - Accent5 2 3 4" xfId="16274"/>
    <cellStyle name="20% - Accent5 2 3 4 2" xfId="16275"/>
    <cellStyle name="20% - Accent5 2 3 4 2 2" xfId="16276"/>
    <cellStyle name="20% - Accent5 2 3 4 2 2 2" xfId="16277"/>
    <cellStyle name="20% - Accent5 2 3 4 2 2 2 2" xfId="16278"/>
    <cellStyle name="20% - Accent5 2 3 4 2 2 3" xfId="16279"/>
    <cellStyle name="20% - Accent5 2 3 4 2 3" xfId="16280"/>
    <cellStyle name="20% - Accent5 2 3 4 2 3 2" xfId="16281"/>
    <cellStyle name="20% - Accent5 2 3 4 2 4" xfId="16282"/>
    <cellStyle name="20% - Accent5 2 3 4 3" xfId="16283"/>
    <cellStyle name="20% - Accent5 2 3 4 3 2" xfId="16284"/>
    <cellStyle name="20% - Accent5 2 3 4 3 2 2" xfId="16285"/>
    <cellStyle name="20% - Accent5 2 3 4 3 3" xfId="16286"/>
    <cellStyle name="20% - Accent5 2 3 4 4" xfId="16287"/>
    <cellStyle name="20% - Accent5 2 3 4 4 2" xfId="16288"/>
    <cellStyle name="20% - Accent5 2 3 4 5" xfId="16289"/>
    <cellStyle name="20% - Accent5 2 3 5" xfId="16290"/>
    <cellStyle name="20% - Accent5 2 3 5 2" xfId="16291"/>
    <cellStyle name="20% - Accent5 2 3 5 2 2" xfId="16292"/>
    <cellStyle name="20% - Accent5 2 3 5 2 2 2" xfId="16293"/>
    <cellStyle name="20% - Accent5 2 3 5 2 2 2 2" xfId="16294"/>
    <cellStyle name="20% - Accent5 2 3 5 2 2 3" xfId="16295"/>
    <cellStyle name="20% - Accent5 2 3 5 2 3" xfId="16296"/>
    <cellStyle name="20% - Accent5 2 3 5 2 3 2" xfId="16297"/>
    <cellStyle name="20% - Accent5 2 3 5 2 4" xfId="16298"/>
    <cellStyle name="20% - Accent5 2 3 5 3" xfId="16299"/>
    <cellStyle name="20% - Accent5 2 3 5 3 2" xfId="16300"/>
    <cellStyle name="20% - Accent5 2 3 5 3 2 2" xfId="16301"/>
    <cellStyle name="20% - Accent5 2 3 5 3 3" xfId="16302"/>
    <cellStyle name="20% - Accent5 2 3 5 4" xfId="16303"/>
    <cellStyle name="20% - Accent5 2 3 5 4 2" xfId="16304"/>
    <cellStyle name="20% - Accent5 2 3 5 5" xfId="16305"/>
    <cellStyle name="20% - Accent5 2 3 6" xfId="16306"/>
    <cellStyle name="20% - Accent5 2 3 6 2" xfId="16307"/>
    <cellStyle name="20% - Accent5 2 3 6 2 2" xfId="16308"/>
    <cellStyle name="20% - Accent5 2 3 6 2 2 2" xfId="16309"/>
    <cellStyle name="20% - Accent5 2 3 6 2 2 2 2" xfId="16310"/>
    <cellStyle name="20% - Accent5 2 3 6 2 2 3" xfId="16311"/>
    <cellStyle name="20% - Accent5 2 3 6 2 3" xfId="16312"/>
    <cellStyle name="20% - Accent5 2 3 6 2 3 2" xfId="16313"/>
    <cellStyle name="20% - Accent5 2 3 6 2 4" xfId="16314"/>
    <cellStyle name="20% - Accent5 2 3 6 3" xfId="16315"/>
    <cellStyle name="20% - Accent5 2 3 6 3 2" xfId="16316"/>
    <cellStyle name="20% - Accent5 2 3 6 3 2 2" xfId="16317"/>
    <cellStyle name="20% - Accent5 2 3 6 3 3" xfId="16318"/>
    <cellStyle name="20% - Accent5 2 3 6 4" xfId="16319"/>
    <cellStyle name="20% - Accent5 2 3 6 4 2" xfId="16320"/>
    <cellStyle name="20% - Accent5 2 3 6 5" xfId="16321"/>
    <cellStyle name="20% - Accent5 2 3 7" xfId="16322"/>
    <cellStyle name="20% - Accent5 2 3 7 2" xfId="16323"/>
    <cellStyle name="20% - Accent5 2 3 7 2 2" xfId="16324"/>
    <cellStyle name="20% - Accent5 2 3 7 2 2 2" xfId="16325"/>
    <cellStyle name="20% - Accent5 2 3 7 2 2 2 2" xfId="16326"/>
    <cellStyle name="20% - Accent5 2 3 7 2 2 3" xfId="16327"/>
    <cellStyle name="20% - Accent5 2 3 7 2 3" xfId="16328"/>
    <cellStyle name="20% - Accent5 2 3 7 2 3 2" xfId="16329"/>
    <cellStyle name="20% - Accent5 2 3 7 2 4" xfId="16330"/>
    <cellStyle name="20% - Accent5 2 3 7 3" xfId="16331"/>
    <cellStyle name="20% - Accent5 2 3 7 3 2" xfId="16332"/>
    <cellStyle name="20% - Accent5 2 3 7 3 2 2" xfId="16333"/>
    <cellStyle name="20% - Accent5 2 3 7 3 3" xfId="16334"/>
    <cellStyle name="20% - Accent5 2 3 7 4" xfId="16335"/>
    <cellStyle name="20% - Accent5 2 3 7 4 2" xfId="16336"/>
    <cellStyle name="20% - Accent5 2 3 7 5" xfId="16337"/>
    <cellStyle name="20% - Accent5 2 3 8" xfId="16338"/>
    <cellStyle name="20% - Accent5 2 3 8 2" xfId="16339"/>
    <cellStyle name="20% - Accent5 2 3 8 2 2" xfId="16340"/>
    <cellStyle name="20% - Accent5 2 3 8 2 2 2" xfId="16341"/>
    <cellStyle name="20% - Accent5 2 3 8 2 3" xfId="16342"/>
    <cellStyle name="20% - Accent5 2 3 8 3" xfId="16343"/>
    <cellStyle name="20% - Accent5 2 3 8 3 2" xfId="16344"/>
    <cellStyle name="20% - Accent5 2 3 8 4" xfId="16345"/>
    <cellStyle name="20% - Accent5 2 3 9" xfId="16346"/>
    <cellStyle name="20% - Accent5 2 3 9 2" xfId="16347"/>
    <cellStyle name="20% - Accent5 2 3 9 2 2" xfId="16348"/>
    <cellStyle name="20% - Accent5 2 3 9 3" xfId="16349"/>
    <cellStyle name="20% - Accent5 2 4" xfId="16350"/>
    <cellStyle name="20% - Accent5 2 4 10" xfId="16351"/>
    <cellStyle name="20% - Accent5 2 4 10 2" xfId="16352"/>
    <cellStyle name="20% - Accent5 2 4 11" xfId="16353"/>
    <cellStyle name="20% - Accent5 2 4 2" xfId="16354"/>
    <cellStyle name="20% - Accent5 2 4 2 10" xfId="16355"/>
    <cellStyle name="20% - Accent5 2 4 2 2" xfId="16356"/>
    <cellStyle name="20% - Accent5 2 4 2 2 2" xfId="16357"/>
    <cellStyle name="20% - Accent5 2 4 2 2 2 2" xfId="16358"/>
    <cellStyle name="20% - Accent5 2 4 2 2 2 2 2" xfId="16359"/>
    <cellStyle name="20% - Accent5 2 4 2 2 2 2 2 2" xfId="16360"/>
    <cellStyle name="20% - Accent5 2 4 2 2 2 2 3" xfId="16361"/>
    <cellStyle name="20% - Accent5 2 4 2 2 2 3" xfId="16362"/>
    <cellStyle name="20% - Accent5 2 4 2 2 2 3 2" xfId="16363"/>
    <cellStyle name="20% - Accent5 2 4 2 2 2 4" xfId="16364"/>
    <cellStyle name="20% - Accent5 2 4 2 2 3" xfId="16365"/>
    <cellStyle name="20% - Accent5 2 4 2 2 3 2" xfId="16366"/>
    <cellStyle name="20% - Accent5 2 4 2 2 3 2 2" xfId="16367"/>
    <cellStyle name="20% - Accent5 2 4 2 2 3 3" xfId="16368"/>
    <cellStyle name="20% - Accent5 2 4 2 2 4" xfId="16369"/>
    <cellStyle name="20% - Accent5 2 4 2 2 4 2" xfId="16370"/>
    <cellStyle name="20% - Accent5 2 4 2 2 5" xfId="16371"/>
    <cellStyle name="20% - Accent5 2 4 2 3" xfId="16372"/>
    <cellStyle name="20% - Accent5 2 4 2 3 2" xfId="16373"/>
    <cellStyle name="20% - Accent5 2 4 2 3 2 2" xfId="16374"/>
    <cellStyle name="20% - Accent5 2 4 2 3 2 2 2" xfId="16375"/>
    <cellStyle name="20% - Accent5 2 4 2 3 2 2 2 2" xfId="16376"/>
    <cellStyle name="20% - Accent5 2 4 2 3 2 2 3" xfId="16377"/>
    <cellStyle name="20% - Accent5 2 4 2 3 2 3" xfId="16378"/>
    <cellStyle name="20% - Accent5 2 4 2 3 2 3 2" xfId="16379"/>
    <cellStyle name="20% - Accent5 2 4 2 3 2 4" xfId="16380"/>
    <cellStyle name="20% - Accent5 2 4 2 3 3" xfId="16381"/>
    <cellStyle name="20% - Accent5 2 4 2 3 3 2" xfId="16382"/>
    <cellStyle name="20% - Accent5 2 4 2 3 3 2 2" xfId="16383"/>
    <cellStyle name="20% - Accent5 2 4 2 3 3 3" xfId="16384"/>
    <cellStyle name="20% - Accent5 2 4 2 3 4" xfId="16385"/>
    <cellStyle name="20% - Accent5 2 4 2 3 4 2" xfId="16386"/>
    <cellStyle name="20% - Accent5 2 4 2 3 5" xfId="16387"/>
    <cellStyle name="20% - Accent5 2 4 2 4" xfId="16388"/>
    <cellStyle name="20% - Accent5 2 4 2 4 2" xfId="16389"/>
    <cellStyle name="20% - Accent5 2 4 2 4 2 2" xfId="16390"/>
    <cellStyle name="20% - Accent5 2 4 2 4 2 2 2" xfId="16391"/>
    <cellStyle name="20% - Accent5 2 4 2 4 2 2 2 2" xfId="16392"/>
    <cellStyle name="20% - Accent5 2 4 2 4 2 2 3" xfId="16393"/>
    <cellStyle name="20% - Accent5 2 4 2 4 2 3" xfId="16394"/>
    <cellStyle name="20% - Accent5 2 4 2 4 2 3 2" xfId="16395"/>
    <cellStyle name="20% - Accent5 2 4 2 4 2 4" xfId="16396"/>
    <cellStyle name="20% - Accent5 2 4 2 4 3" xfId="16397"/>
    <cellStyle name="20% - Accent5 2 4 2 4 3 2" xfId="16398"/>
    <cellStyle name="20% - Accent5 2 4 2 4 3 2 2" xfId="16399"/>
    <cellStyle name="20% - Accent5 2 4 2 4 3 3" xfId="16400"/>
    <cellStyle name="20% - Accent5 2 4 2 4 4" xfId="16401"/>
    <cellStyle name="20% - Accent5 2 4 2 4 4 2" xfId="16402"/>
    <cellStyle name="20% - Accent5 2 4 2 4 5" xfId="16403"/>
    <cellStyle name="20% - Accent5 2 4 2 5" xfId="16404"/>
    <cellStyle name="20% - Accent5 2 4 2 5 2" xfId="16405"/>
    <cellStyle name="20% - Accent5 2 4 2 5 2 2" xfId="16406"/>
    <cellStyle name="20% - Accent5 2 4 2 5 2 2 2" xfId="16407"/>
    <cellStyle name="20% - Accent5 2 4 2 5 2 2 2 2" xfId="16408"/>
    <cellStyle name="20% - Accent5 2 4 2 5 2 2 3" xfId="16409"/>
    <cellStyle name="20% - Accent5 2 4 2 5 2 3" xfId="16410"/>
    <cellStyle name="20% - Accent5 2 4 2 5 2 3 2" xfId="16411"/>
    <cellStyle name="20% - Accent5 2 4 2 5 2 4" xfId="16412"/>
    <cellStyle name="20% - Accent5 2 4 2 5 3" xfId="16413"/>
    <cellStyle name="20% - Accent5 2 4 2 5 3 2" xfId="16414"/>
    <cellStyle name="20% - Accent5 2 4 2 5 3 2 2" xfId="16415"/>
    <cellStyle name="20% - Accent5 2 4 2 5 3 3" xfId="16416"/>
    <cellStyle name="20% - Accent5 2 4 2 5 4" xfId="16417"/>
    <cellStyle name="20% - Accent5 2 4 2 5 4 2" xfId="16418"/>
    <cellStyle name="20% - Accent5 2 4 2 5 5" xfId="16419"/>
    <cellStyle name="20% - Accent5 2 4 2 6" xfId="16420"/>
    <cellStyle name="20% - Accent5 2 4 2 6 2" xfId="16421"/>
    <cellStyle name="20% - Accent5 2 4 2 6 2 2" xfId="16422"/>
    <cellStyle name="20% - Accent5 2 4 2 6 2 2 2" xfId="16423"/>
    <cellStyle name="20% - Accent5 2 4 2 6 2 2 2 2" xfId="16424"/>
    <cellStyle name="20% - Accent5 2 4 2 6 2 2 3" xfId="16425"/>
    <cellStyle name="20% - Accent5 2 4 2 6 2 3" xfId="16426"/>
    <cellStyle name="20% - Accent5 2 4 2 6 2 3 2" xfId="16427"/>
    <cellStyle name="20% - Accent5 2 4 2 6 2 4" xfId="16428"/>
    <cellStyle name="20% - Accent5 2 4 2 6 3" xfId="16429"/>
    <cellStyle name="20% - Accent5 2 4 2 6 3 2" xfId="16430"/>
    <cellStyle name="20% - Accent5 2 4 2 6 3 2 2" xfId="16431"/>
    <cellStyle name="20% - Accent5 2 4 2 6 3 3" xfId="16432"/>
    <cellStyle name="20% - Accent5 2 4 2 6 4" xfId="16433"/>
    <cellStyle name="20% - Accent5 2 4 2 6 4 2" xfId="16434"/>
    <cellStyle name="20% - Accent5 2 4 2 6 5" xfId="16435"/>
    <cellStyle name="20% - Accent5 2 4 2 7" xfId="16436"/>
    <cellStyle name="20% - Accent5 2 4 2 7 2" xfId="16437"/>
    <cellStyle name="20% - Accent5 2 4 2 7 2 2" xfId="16438"/>
    <cellStyle name="20% - Accent5 2 4 2 7 2 2 2" xfId="16439"/>
    <cellStyle name="20% - Accent5 2 4 2 7 2 3" xfId="16440"/>
    <cellStyle name="20% - Accent5 2 4 2 7 3" xfId="16441"/>
    <cellStyle name="20% - Accent5 2 4 2 7 3 2" xfId="16442"/>
    <cellStyle name="20% - Accent5 2 4 2 7 4" xfId="16443"/>
    <cellStyle name="20% - Accent5 2 4 2 8" xfId="16444"/>
    <cellStyle name="20% - Accent5 2 4 2 8 2" xfId="16445"/>
    <cellStyle name="20% - Accent5 2 4 2 8 2 2" xfId="16446"/>
    <cellStyle name="20% - Accent5 2 4 2 8 3" xfId="16447"/>
    <cellStyle name="20% - Accent5 2 4 2 9" xfId="16448"/>
    <cellStyle name="20% - Accent5 2 4 2 9 2" xfId="16449"/>
    <cellStyle name="20% - Accent5 2 4 3" xfId="16450"/>
    <cellStyle name="20% - Accent5 2 4 3 2" xfId="16451"/>
    <cellStyle name="20% - Accent5 2 4 3 2 2" xfId="16452"/>
    <cellStyle name="20% - Accent5 2 4 3 2 2 2" xfId="16453"/>
    <cellStyle name="20% - Accent5 2 4 3 2 2 2 2" xfId="16454"/>
    <cellStyle name="20% - Accent5 2 4 3 2 2 3" xfId="16455"/>
    <cellStyle name="20% - Accent5 2 4 3 2 3" xfId="16456"/>
    <cellStyle name="20% - Accent5 2 4 3 2 3 2" xfId="16457"/>
    <cellStyle name="20% - Accent5 2 4 3 2 4" xfId="16458"/>
    <cellStyle name="20% - Accent5 2 4 3 3" xfId="16459"/>
    <cellStyle name="20% - Accent5 2 4 3 3 2" xfId="16460"/>
    <cellStyle name="20% - Accent5 2 4 3 3 2 2" xfId="16461"/>
    <cellStyle name="20% - Accent5 2 4 3 3 3" xfId="16462"/>
    <cellStyle name="20% - Accent5 2 4 3 4" xfId="16463"/>
    <cellStyle name="20% - Accent5 2 4 3 4 2" xfId="16464"/>
    <cellStyle name="20% - Accent5 2 4 3 5" xfId="16465"/>
    <cellStyle name="20% - Accent5 2 4 4" xfId="16466"/>
    <cellStyle name="20% - Accent5 2 4 4 2" xfId="16467"/>
    <cellStyle name="20% - Accent5 2 4 4 2 2" xfId="16468"/>
    <cellStyle name="20% - Accent5 2 4 4 2 2 2" xfId="16469"/>
    <cellStyle name="20% - Accent5 2 4 4 2 2 2 2" xfId="16470"/>
    <cellStyle name="20% - Accent5 2 4 4 2 2 3" xfId="16471"/>
    <cellStyle name="20% - Accent5 2 4 4 2 3" xfId="16472"/>
    <cellStyle name="20% - Accent5 2 4 4 2 3 2" xfId="16473"/>
    <cellStyle name="20% - Accent5 2 4 4 2 4" xfId="16474"/>
    <cellStyle name="20% - Accent5 2 4 4 3" xfId="16475"/>
    <cellStyle name="20% - Accent5 2 4 4 3 2" xfId="16476"/>
    <cellStyle name="20% - Accent5 2 4 4 3 2 2" xfId="16477"/>
    <cellStyle name="20% - Accent5 2 4 4 3 3" xfId="16478"/>
    <cellStyle name="20% - Accent5 2 4 4 4" xfId="16479"/>
    <cellStyle name="20% - Accent5 2 4 4 4 2" xfId="16480"/>
    <cellStyle name="20% - Accent5 2 4 4 5" xfId="16481"/>
    <cellStyle name="20% - Accent5 2 4 5" xfId="16482"/>
    <cellStyle name="20% - Accent5 2 4 5 2" xfId="16483"/>
    <cellStyle name="20% - Accent5 2 4 5 2 2" xfId="16484"/>
    <cellStyle name="20% - Accent5 2 4 5 2 2 2" xfId="16485"/>
    <cellStyle name="20% - Accent5 2 4 5 2 2 2 2" xfId="16486"/>
    <cellStyle name="20% - Accent5 2 4 5 2 2 3" xfId="16487"/>
    <cellStyle name="20% - Accent5 2 4 5 2 3" xfId="16488"/>
    <cellStyle name="20% - Accent5 2 4 5 2 3 2" xfId="16489"/>
    <cellStyle name="20% - Accent5 2 4 5 2 4" xfId="16490"/>
    <cellStyle name="20% - Accent5 2 4 5 3" xfId="16491"/>
    <cellStyle name="20% - Accent5 2 4 5 3 2" xfId="16492"/>
    <cellStyle name="20% - Accent5 2 4 5 3 2 2" xfId="16493"/>
    <cellStyle name="20% - Accent5 2 4 5 3 3" xfId="16494"/>
    <cellStyle name="20% - Accent5 2 4 5 4" xfId="16495"/>
    <cellStyle name="20% - Accent5 2 4 5 4 2" xfId="16496"/>
    <cellStyle name="20% - Accent5 2 4 5 5" xfId="16497"/>
    <cellStyle name="20% - Accent5 2 4 6" xfId="16498"/>
    <cellStyle name="20% - Accent5 2 4 6 2" xfId="16499"/>
    <cellStyle name="20% - Accent5 2 4 6 2 2" xfId="16500"/>
    <cellStyle name="20% - Accent5 2 4 6 2 2 2" xfId="16501"/>
    <cellStyle name="20% - Accent5 2 4 6 2 2 2 2" xfId="16502"/>
    <cellStyle name="20% - Accent5 2 4 6 2 2 3" xfId="16503"/>
    <cellStyle name="20% - Accent5 2 4 6 2 3" xfId="16504"/>
    <cellStyle name="20% - Accent5 2 4 6 2 3 2" xfId="16505"/>
    <cellStyle name="20% - Accent5 2 4 6 2 4" xfId="16506"/>
    <cellStyle name="20% - Accent5 2 4 6 3" xfId="16507"/>
    <cellStyle name="20% - Accent5 2 4 6 3 2" xfId="16508"/>
    <cellStyle name="20% - Accent5 2 4 6 3 2 2" xfId="16509"/>
    <cellStyle name="20% - Accent5 2 4 6 3 3" xfId="16510"/>
    <cellStyle name="20% - Accent5 2 4 6 4" xfId="16511"/>
    <cellStyle name="20% - Accent5 2 4 6 4 2" xfId="16512"/>
    <cellStyle name="20% - Accent5 2 4 6 5" xfId="16513"/>
    <cellStyle name="20% - Accent5 2 4 7" xfId="16514"/>
    <cellStyle name="20% - Accent5 2 4 7 2" xfId="16515"/>
    <cellStyle name="20% - Accent5 2 4 7 2 2" xfId="16516"/>
    <cellStyle name="20% - Accent5 2 4 7 2 2 2" xfId="16517"/>
    <cellStyle name="20% - Accent5 2 4 7 2 2 2 2" xfId="16518"/>
    <cellStyle name="20% - Accent5 2 4 7 2 2 3" xfId="16519"/>
    <cellStyle name="20% - Accent5 2 4 7 2 3" xfId="16520"/>
    <cellStyle name="20% - Accent5 2 4 7 2 3 2" xfId="16521"/>
    <cellStyle name="20% - Accent5 2 4 7 2 4" xfId="16522"/>
    <cellStyle name="20% - Accent5 2 4 7 3" xfId="16523"/>
    <cellStyle name="20% - Accent5 2 4 7 3 2" xfId="16524"/>
    <cellStyle name="20% - Accent5 2 4 7 3 2 2" xfId="16525"/>
    <cellStyle name="20% - Accent5 2 4 7 3 3" xfId="16526"/>
    <cellStyle name="20% - Accent5 2 4 7 4" xfId="16527"/>
    <cellStyle name="20% - Accent5 2 4 7 4 2" xfId="16528"/>
    <cellStyle name="20% - Accent5 2 4 7 5" xfId="16529"/>
    <cellStyle name="20% - Accent5 2 4 8" xfId="16530"/>
    <cellStyle name="20% - Accent5 2 4 8 2" xfId="16531"/>
    <cellStyle name="20% - Accent5 2 4 8 2 2" xfId="16532"/>
    <cellStyle name="20% - Accent5 2 4 8 2 2 2" xfId="16533"/>
    <cellStyle name="20% - Accent5 2 4 8 2 3" xfId="16534"/>
    <cellStyle name="20% - Accent5 2 4 8 3" xfId="16535"/>
    <cellStyle name="20% - Accent5 2 4 8 3 2" xfId="16536"/>
    <cellStyle name="20% - Accent5 2 4 8 4" xfId="16537"/>
    <cellStyle name="20% - Accent5 2 4 9" xfId="16538"/>
    <cellStyle name="20% - Accent5 2 4 9 2" xfId="16539"/>
    <cellStyle name="20% - Accent5 2 4 9 2 2" xfId="16540"/>
    <cellStyle name="20% - Accent5 2 4 9 3" xfId="16541"/>
    <cellStyle name="20% - Accent5 2 5" xfId="16542"/>
    <cellStyle name="20% - Accent5 2 5 10" xfId="16543"/>
    <cellStyle name="20% - Accent5 2 5 10 2" xfId="16544"/>
    <cellStyle name="20% - Accent5 2 5 11" xfId="16545"/>
    <cellStyle name="20% - Accent5 2 5 2" xfId="16546"/>
    <cellStyle name="20% - Accent5 2 5 2 10" xfId="16547"/>
    <cellStyle name="20% - Accent5 2 5 2 2" xfId="16548"/>
    <cellStyle name="20% - Accent5 2 5 2 2 2" xfId="16549"/>
    <cellStyle name="20% - Accent5 2 5 2 2 2 2" xfId="16550"/>
    <cellStyle name="20% - Accent5 2 5 2 2 2 2 2" xfId="16551"/>
    <cellStyle name="20% - Accent5 2 5 2 2 2 2 2 2" xfId="16552"/>
    <cellStyle name="20% - Accent5 2 5 2 2 2 2 3" xfId="16553"/>
    <cellStyle name="20% - Accent5 2 5 2 2 2 3" xfId="16554"/>
    <cellStyle name="20% - Accent5 2 5 2 2 2 3 2" xfId="16555"/>
    <cellStyle name="20% - Accent5 2 5 2 2 2 4" xfId="16556"/>
    <cellStyle name="20% - Accent5 2 5 2 2 3" xfId="16557"/>
    <cellStyle name="20% - Accent5 2 5 2 2 3 2" xfId="16558"/>
    <cellStyle name="20% - Accent5 2 5 2 2 3 2 2" xfId="16559"/>
    <cellStyle name="20% - Accent5 2 5 2 2 3 3" xfId="16560"/>
    <cellStyle name="20% - Accent5 2 5 2 2 4" xfId="16561"/>
    <cellStyle name="20% - Accent5 2 5 2 2 4 2" xfId="16562"/>
    <cellStyle name="20% - Accent5 2 5 2 2 5" xfId="16563"/>
    <cellStyle name="20% - Accent5 2 5 2 3" xfId="16564"/>
    <cellStyle name="20% - Accent5 2 5 2 3 2" xfId="16565"/>
    <cellStyle name="20% - Accent5 2 5 2 3 2 2" xfId="16566"/>
    <cellStyle name="20% - Accent5 2 5 2 3 2 2 2" xfId="16567"/>
    <cellStyle name="20% - Accent5 2 5 2 3 2 2 2 2" xfId="16568"/>
    <cellStyle name="20% - Accent5 2 5 2 3 2 2 3" xfId="16569"/>
    <cellStyle name="20% - Accent5 2 5 2 3 2 3" xfId="16570"/>
    <cellStyle name="20% - Accent5 2 5 2 3 2 3 2" xfId="16571"/>
    <cellStyle name="20% - Accent5 2 5 2 3 2 4" xfId="16572"/>
    <cellStyle name="20% - Accent5 2 5 2 3 3" xfId="16573"/>
    <cellStyle name="20% - Accent5 2 5 2 3 3 2" xfId="16574"/>
    <cellStyle name="20% - Accent5 2 5 2 3 3 2 2" xfId="16575"/>
    <cellStyle name="20% - Accent5 2 5 2 3 3 3" xfId="16576"/>
    <cellStyle name="20% - Accent5 2 5 2 3 4" xfId="16577"/>
    <cellStyle name="20% - Accent5 2 5 2 3 4 2" xfId="16578"/>
    <cellStyle name="20% - Accent5 2 5 2 3 5" xfId="16579"/>
    <cellStyle name="20% - Accent5 2 5 2 4" xfId="16580"/>
    <cellStyle name="20% - Accent5 2 5 2 4 2" xfId="16581"/>
    <cellStyle name="20% - Accent5 2 5 2 4 2 2" xfId="16582"/>
    <cellStyle name="20% - Accent5 2 5 2 4 2 2 2" xfId="16583"/>
    <cellStyle name="20% - Accent5 2 5 2 4 2 2 2 2" xfId="16584"/>
    <cellStyle name="20% - Accent5 2 5 2 4 2 2 3" xfId="16585"/>
    <cellStyle name="20% - Accent5 2 5 2 4 2 3" xfId="16586"/>
    <cellStyle name="20% - Accent5 2 5 2 4 2 3 2" xfId="16587"/>
    <cellStyle name="20% - Accent5 2 5 2 4 2 4" xfId="16588"/>
    <cellStyle name="20% - Accent5 2 5 2 4 3" xfId="16589"/>
    <cellStyle name="20% - Accent5 2 5 2 4 3 2" xfId="16590"/>
    <cellStyle name="20% - Accent5 2 5 2 4 3 2 2" xfId="16591"/>
    <cellStyle name="20% - Accent5 2 5 2 4 3 3" xfId="16592"/>
    <cellStyle name="20% - Accent5 2 5 2 4 4" xfId="16593"/>
    <cellStyle name="20% - Accent5 2 5 2 4 4 2" xfId="16594"/>
    <cellStyle name="20% - Accent5 2 5 2 4 5" xfId="16595"/>
    <cellStyle name="20% - Accent5 2 5 2 5" xfId="16596"/>
    <cellStyle name="20% - Accent5 2 5 2 5 2" xfId="16597"/>
    <cellStyle name="20% - Accent5 2 5 2 5 2 2" xfId="16598"/>
    <cellStyle name="20% - Accent5 2 5 2 5 2 2 2" xfId="16599"/>
    <cellStyle name="20% - Accent5 2 5 2 5 2 2 2 2" xfId="16600"/>
    <cellStyle name="20% - Accent5 2 5 2 5 2 2 3" xfId="16601"/>
    <cellStyle name="20% - Accent5 2 5 2 5 2 3" xfId="16602"/>
    <cellStyle name="20% - Accent5 2 5 2 5 2 3 2" xfId="16603"/>
    <cellStyle name="20% - Accent5 2 5 2 5 2 4" xfId="16604"/>
    <cellStyle name="20% - Accent5 2 5 2 5 3" xfId="16605"/>
    <cellStyle name="20% - Accent5 2 5 2 5 3 2" xfId="16606"/>
    <cellStyle name="20% - Accent5 2 5 2 5 3 2 2" xfId="16607"/>
    <cellStyle name="20% - Accent5 2 5 2 5 3 3" xfId="16608"/>
    <cellStyle name="20% - Accent5 2 5 2 5 4" xfId="16609"/>
    <cellStyle name="20% - Accent5 2 5 2 5 4 2" xfId="16610"/>
    <cellStyle name="20% - Accent5 2 5 2 5 5" xfId="16611"/>
    <cellStyle name="20% - Accent5 2 5 2 6" xfId="16612"/>
    <cellStyle name="20% - Accent5 2 5 2 6 2" xfId="16613"/>
    <cellStyle name="20% - Accent5 2 5 2 6 2 2" xfId="16614"/>
    <cellStyle name="20% - Accent5 2 5 2 6 2 2 2" xfId="16615"/>
    <cellStyle name="20% - Accent5 2 5 2 6 2 2 2 2" xfId="16616"/>
    <cellStyle name="20% - Accent5 2 5 2 6 2 2 3" xfId="16617"/>
    <cellStyle name="20% - Accent5 2 5 2 6 2 3" xfId="16618"/>
    <cellStyle name="20% - Accent5 2 5 2 6 2 3 2" xfId="16619"/>
    <cellStyle name="20% - Accent5 2 5 2 6 2 4" xfId="16620"/>
    <cellStyle name="20% - Accent5 2 5 2 6 3" xfId="16621"/>
    <cellStyle name="20% - Accent5 2 5 2 6 3 2" xfId="16622"/>
    <cellStyle name="20% - Accent5 2 5 2 6 3 2 2" xfId="16623"/>
    <cellStyle name="20% - Accent5 2 5 2 6 3 3" xfId="16624"/>
    <cellStyle name="20% - Accent5 2 5 2 6 4" xfId="16625"/>
    <cellStyle name="20% - Accent5 2 5 2 6 4 2" xfId="16626"/>
    <cellStyle name="20% - Accent5 2 5 2 6 5" xfId="16627"/>
    <cellStyle name="20% - Accent5 2 5 2 7" xfId="16628"/>
    <cellStyle name="20% - Accent5 2 5 2 7 2" xfId="16629"/>
    <cellStyle name="20% - Accent5 2 5 2 7 2 2" xfId="16630"/>
    <cellStyle name="20% - Accent5 2 5 2 7 2 2 2" xfId="16631"/>
    <cellStyle name="20% - Accent5 2 5 2 7 2 3" xfId="16632"/>
    <cellStyle name="20% - Accent5 2 5 2 7 3" xfId="16633"/>
    <cellStyle name="20% - Accent5 2 5 2 7 3 2" xfId="16634"/>
    <cellStyle name="20% - Accent5 2 5 2 7 4" xfId="16635"/>
    <cellStyle name="20% - Accent5 2 5 2 8" xfId="16636"/>
    <cellStyle name="20% - Accent5 2 5 2 8 2" xfId="16637"/>
    <cellStyle name="20% - Accent5 2 5 2 8 2 2" xfId="16638"/>
    <cellStyle name="20% - Accent5 2 5 2 8 3" xfId="16639"/>
    <cellStyle name="20% - Accent5 2 5 2 9" xfId="16640"/>
    <cellStyle name="20% - Accent5 2 5 2 9 2" xfId="16641"/>
    <cellStyle name="20% - Accent5 2 5 3" xfId="16642"/>
    <cellStyle name="20% - Accent5 2 5 3 2" xfId="16643"/>
    <cellStyle name="20% - Accent5 2 5 3 2 2" xfId="16644"/>
    <cellStyle name="20% - Accent5 2 5 3 2 2 2" xfId="16645"/>
    <cellStyle name="20% - Accent5 2 5 3 2 2 2 2" xfId="16646"/>
    <cellStyle name="20% - Accent5 2 5 3 2 2 3" xfId="16647"/>
    <cellStyle name="20% - Accent5 2 5 3 2 3" xfId="16648"/>
    <cellStyle name="20% - Accent5 2 5 3 2 3 2" xfId="16649"/>
    <cellStyle name="20% - Accent5 2 5 3 2 4" xfId="16650"/>
    <cellStyle name="20% - Accent5 2 5 3 3" xfId="16651"/>
    <cellStyle name="20% - Accent5 2 5 3 3 2" xfId="16652"/>
    <cellStyle name="20% - Accent5 2 5 3 3 2 2" xfId="16653"/>
    <cellStyle name="20% - Accent5 2 5 3 3 3" xfId="16654"/>
    <cellStyle name="20% - Accent5 2 5 3 4" xfId="16655"/>
    <cellStyle name="20% - Accent5 2 5 3 4 2" xfId="16656"/>
    <cellStyle name="20% - Accent5 2 5 3 5" xfId="16657"/>
    <cellStyle name="20% - Accent5 2 5 4" xfId="16658"/>
    <cellStyle name="20% - Accent5 2 5 4 2" xfId="16659"/>
    <cellStyle name="20% - Accent5 2 5 4 2 2" xfId="16660"/>
    <cellStyle name="20% - Accent5 2 5 4 2 2 2" xfId="16661"/>
    <cellStyle name="20% - Accent5 2 5 4 2 2 2 2" xfId="16662"/>
    <cellStyle name="20% - Accent5 2 5 4 2 2 3" xfId="16663"/>
    <cellStyle name="20% - Accent5 2 5 4 2 3" xfId="16664"/>
    <cellStyle name="20% - Accent5 2 5 4 2 3 2" xfId="16665"/>
    <cellStyle name="20% - Accent5 2 5 4 2 4" xfId="16666"/>
    <cellStyle name="20% - Accent5 2 5 4 3" xfId="16667"/>
    <cellStyle name="20% - Accent5 2 5 4 3 2" xfId="16668"/>
    <cellStyle name="20% - Accent5 2 5 4 3 2 2" xfId="16669"/>
    <cellStyle name="20% - Accent5 2 5 4 3 3" xfId="16670"/>
    <cellStyle name="20% - Accent5 2 5 4 4" xfId="16671"/>
    <cellStyle name="20% - Accent5 2 5 4 4 2" xfId="16672"/>
    <cellStyle name="20% - Accent5 2 5 4 5" xfId="16673"/>
    <cellStyle name="20% - Accent5 2 5 5" xfId="16674"/>
    <cellStyle name="20% - Accent5 2 5 5 2" xfId="16675"/>
    <cellStyle name="20% - Accent5 2 5 5 2 2" xfId="16676"/>
    <cellStyle name="20% - Accent5 2 5 5 2 2 2" xfId="16677"/>
    <cellStyle name="20% - Accent5 2 5 5 2 2 2 2" xfId="16678"/>
    <cellStyle name="20% - Accent5 2 5 5 2 2 3" xfId="16679"/>
    <cellStyle name="20% - Accent5 2 5 5 2 3" xfId="16680"/>
    <cellStyle name="20% - Accent5 2 5 5 2 3 2" xfId="16681"/>
    <cellStyle name="20% - Accent5 2 5 5 2 4" xfId="16682"/>
    <cellStyle name="20% - Accent5 2 5 5 3" xfId="16683"/>
    <cellStyle name="20% - Accent5 2 5 5 3 2" xfId="16684"/>
    <cellStyle name="20% - Accent5 2 5 5 3 2 2" xfId="16685"/>
    <cellStyle name="20% - Accent5 2 5 5 3 3" xfId="16686"/>
    <cellStyle name="20% - Accent5 2 5 5 4" xfId="16687"/>
    <cellStyle name="20% - Accent5 2 5 5 4 2" xfId="16688"/>
    <cellStyle name="20% - Accent5 2 5 5 5" xfId="16689"/>
    <cellStyle name="20% - Accent5 2 5 6" xfId="16690"/>
    <cellStyle name="20% - Accent5 2 5 6 2" xfId="16691"/>
    <cellStyle name="20% - Accent5 2 5 6 2 2" xfId="16692"/>
    <cellStyle name="20% - Accent5 2 5 6 2 2 2" xfId="16693"/>
    <cellStyle name="20% - Accent5 2 5 6 2 2 2 2" xfId="16694"/>
    <cellStyle name="20% - Accent5 2 5 6 2 2 3" xfId="16695"/>
    <cellStyle name="20% - Accent5 2 5 6 2 3" xfId="16696"/>
    <cellStyle name="20% - Accent5 2 5 6 2 3 2" xfId="16697"/>
    <cellStyle name="20% - Accent5 2 5 6 2 4" xfId="16698"/>
    <cellStyle name="20% - Accent5 2 5 6 3" xfId="16699"/>
    <cellStyle name="20% - Accent5 2 5 6 3 2" xfId="16700"/>
    <cellStyle name="20% - Accent5 2 5 6 3 2 2" xfId="16701"/>
    <cellStyle name="20% - Accent5 2 5 6 3 3" xfId="16702"/>
    <cellStyle name="20% - Accent5 2 5 6 4" xfId="16703"/>
    <cellStyle name="20% - Accent5 2 5 6 4 2" xfId="16704"/>
    <cellStyle name="20% - Accent5 2 5 6 5" xfId="16705"/>
    <cellStyle name="20% - Accent5 2 5 7" xfId="16706"/>
    <cellStyle name="20% - Accent5 2 5 7 2" xfId="16707"/>
    <cellStyle name="20% - Accent5 2 5 7 2 2" xfId="16708"/>
    <cellStyle name="20% - Accent5 2 5 7 2 2 2" xfId="16709"/>
    <cellStyle name="20% - Accent5 2 5 7 2 2 2 2" xfId="16710"/>
    <cellStyle name="20% - Accent5 2 5 7 2 2 3" xfId="16711"/>
    <cellStyle name="20% - Accent5 2 5 7 2 3" xfId="16712"/>
    <cellStyle name="20% - Accent5 2 5 7 2 3 2" xfId="16713"/>
    <cellStyle name="20% - Accent5 2 5 7 2 4" xfId="16714"/>
    <cellStyle name="20% - Accent5 2 5 7 3" xfId="16715"/>
    <cellStyle name="20% - Accent5 2 5 7 3 2" xfId="16716"/>
    <cellStyle name="20% - Accent5 2 5 7 3 2 2" xfId="16717"/>
    <cellStyle name="20% - Accent5 2 5 7 3 3" xfId="16718"/>
    <cellStyle name="20% - Accent5 2 5 7 4" xfId="16719"/>
    <cellStyle name="20% - Accent5 2 5 7 4 2" xfId="16720"/>
    <cellStyle name="20% - Accent5 2 5 7 5" xfId="16721"/>
    <cellStyle name="20% - Accent5 2 5 8" xfId="16722"/>
    <cellStyle name="20% - Accent5 2 5 8 2" xfId="16723"/>
    <cellStyle name="20% - Accent5 2 5 8 2 2" xfId="16724"/>
    <cellStyle name="20% - Accent5 2 5 8 2 2 2" xfId="16725"/>
    <cellStyle name="20% - Accent5 2 5 8 2 3" xfId="16726"/>
    <cellStyle name="20% - Accent5 2 5 8 3" xfId="16727"/>
    <cellStyle name="20% - Accent5 2 5 8 3 2" xfId="16728"/>
    <cellStyle name="20% - Accent5 2 5 8 4" xfId="16729"/>
    <cellStyle name="20% - Accent5 2 5 9" xfId="16730"/>
    <cellStyle name="20% - Accent5 2 5 9 2" xfId="16731"/>
    <cellStyle name="20% - Accent5 2 5 9 2 2" xfId="16732"/>
    <cellStyle name="20% - Accent5 2 5 9 3" xfId="16733"/>
    <cellStyle name="20% - Accent5 2 6" xfId="16734"/>
    <cellStyle name="20% - Accent5 2 6 10" xfId="16735"/>
    <cellStyle name="20% - Accent5 2 6 10 2" xfId="16736"/>
    <cellStyle name="20% - Accent5 2 6 11" xfId="16737"/>
    <cellStyle name="20% - Accent5 2 6 2" xfId="16738"/>
    <cellStyle name="20% - Accent5 2 6 2 10" xfId="16739"/>
    <cellStyle name="20% - Accent5 2 6 2 2" xfId="16740"/>
    <cellStyle name="20% - Accent5 2 6 2 2 2" xfId="16741"/>
    <cellStyle name="20% - Accent5 2 6 2 2 2 2" xfId="16742"/>
    <cellStyle name="20% - Accent5 2 6 2 2 2 2 2" xfId="16743"/>
    <cellStyle name="20% - Accent5 2 6 2 2 2 2 2 2" xfId="16744"/>
    <cellStyle name="20% - Accent5 2 6 2 2 2 2 3" xfId="16745"/>
    <cellStyle name="20% - Accent5 2 6 2 2 2 3" xfId="16746"/>
    <cellStyle name="20% - Accent5 2 6 2 2 2 3 2" xfId="16747"/>
    <cellStyle name="20% - Accent5 2 6 2 2 2 4" xfId="16748"/>
    <cellStyle name="20% - Accent5 2 6 2 2 3" xfId="16749"/>
    <cellStyle name="20% - Accent5 2 6 2 2 3 2" xfId="16750"/>
    <cellStyle name="20% - Accent5 2 6 2 2 3 2 2" xfId="16751"/>
    <cellStyle name="20% - Accent5 2 6 2 2 3 3" xfId="16752"/>
    <cellStyle name="20% - Accent5 2 6 2 2 4" xfId="16753"/>
    <cellStyle name="20% - Accent5 2 6 2 2 4 2" xfId="16754"/>
    <cellStyle name="20% - Accent5 2 6 2 2 5" xfId="16755"/>
    <cellStyle name="20% - Accent5 2 6 2 3" xfId="16756"/>
    <cellStyle name="20% - Accent5 2 6 2 3 2" xfId="16757"/>
    <cellStyle name="20% - Accent5 2 6 2 3 2 2" xfId="16758"/>
    <cellStyle name="20% - Accent5 2 6 2 3 2 2 2" xfId="16759"/>
    <cellStyle name="20% - Accent5 2 6 2 3 2 2 2 2" xfId="16760"/>
    <cellStyle name="20% - Accent5 2 6 2 3 2 2 3" xfId="16761"/>
    <cellStyle name="20% - Accent5 2 6 2 3 2 3" xfId="16762"/>
    <cellStyle name="20% - Accent5 2 6 2 3 2 3 2" xfId="16763"/>
    <cellStyle name="20% - Accent5 2 6 2 3 2 4" xfId="16764"/>
    <cellStyle name="20% - Accent5 2 6 2 3 3" xfId="16765"/>
    <cellStyle name="20% - Accent5 2 6 2 3 3 2" xfId="16766"/>
    <cellStyle name="20% - Accent5 2 6 2 3 3 2 2" xfId="16767"/>
    <cellStyle name="20% - Accent5 2 6 2 3 3 3" xfId="16768"/>
    <cellStyle name="20% - Accent5 2 6 2 3 4" xfId="16769"/>
    <cellStyle name="20% - Accent5 2 6 2 3 4 2" xfId="16770"/>
    <cellStyle name="20% - Accent5 2 6 2 3 5" xfId="16771"/>
    <cellStyle name="20% - Accent5 2 6 2 4" xfId="16772"/>
    <cellStyle name="20% - Accent5 2 6 2 4 2" xfId="16773"/>
    <cellStyle name="20% - Accent5 2 6 2 4 2 2" xfId="16774"/>
    <cellStyle name="20% - Accent5 2 6 2 4 2 2 2" xfId="16775"/>
    <cellStyle name="20% - Accent5 2 6 2 4 2 2 2 2" xfId="16776"/>
    <cellStyle name="20% - Accent5 2 6 2 4 2 2 3" xfId="16777"/>
    <cellStyle name="20% - Accent5 2 6 2 4 2 3" xfId="16778"/>
    <cellStyle name="20% - Accent5 2 6 2 4 2 3 2" xfId="16779"/>
    <cellStyle name="20% - Accent5 2 6 2 4 2 4" xfId="16780"/>
    <cellStyle name="20% - Accent5 2 6 2 4 3" xfId="16781"/>
    <cellStyle name="20% - Accent5 2 6 2 4 3 2" xfId="16782"/>
    <cellStyle name="20% - Accent5 2 6 2 4 3 2 2" xfId="16783"/>
    <cellStyle name="20% - Accent5 2 6 2 4 3 3" xfId="16784"/>
    <cellStyle name="20% - Accent5 2 6 2 4 4" xfId="16785"/>
    <cellStyle name="20% - Accent5 2 6 2 4 4 2" xfId="16786"/>
    <cellStyle name="20% - Accent5 2 6 2 4 5" xfId="16787"/>
    <cellStyle name="20% - Accent5 2 6 2 5" xfId="16788"/>
    <cellStyle name="20% - Accent5 2 6 2 5 2" xfId="16789"/>
    <cellStyle name="20% - Accent5 2 6 2 5 2 2" xfId="16790"/>
    <cellStyle name="20% - Accent5 2 6 2 5 2 2 2" xfId="16791"/>
    <cellStyle name="20% - Accent5 2 6 2 5 2 2 2 2" xfId="16792"/>
    <cellStyle name="20% - Accent5 2 6 2 5 2 2 3" xfId="16793"/>
    <cellStyle name="20% - Accent5 2 6 2 5 2 3" xfId="16794"/>
    <cellStyle name="20% - Accent5 2 6 2 5 2 3 2" xfId="16795"/>
    <cellStyle name="20% - Accent5 2 6 2 5 2 4" xfId="16796"/>
    <cellStyle name="20% - Accent5 2 6 2 5 3" xfId="16797"/>
    <cellStyle name="20% - Accent5 2 6 2 5 3 2" xfId="16798"/>
    <cellStyle name="20% - Accent5 2 6 2 5 3 2 2" xfId="16799"/>
    <cellStyle name="20% - Accent5 2 6 2 5 3 3" xfId="16800"/>
    <cellStyle name="20% - Accent5 2 6 2 5 4" xfId="16801"/>
    <cellStyle name="20% - Accent5 2 6 2 5 4 2" xfId="16802"/>
    <cellStyle name="20% - Accent5 2 6 2 5 5" xfId="16803"/>
    <cellStyle name="20% - Accent5 2 6 2 6" xfId="16804"/>
    <cellStyle name="20% - Accent5 2 6 2 6 2" xfId="16805"/>
    <cellStyle name="20% - Accent5 2 6 2 6 2 2" xfId="16806"/>
    <cellStyle name="20% - Accent5 2 6 2 6 2 2 2" xfId="16807"/>
    <cellStyle name="20% - Accent5 2 6 2 6 2 2 2 2" xfId="16808"/>
    <cellStyle name="20% - Accent5 2 6 2 6 2 2 3" xfId="16809"/>
    <cellStyle name="20% - Accent5 2 6 2 6 2 3" xfId="16810"/>
    <cellStyle name="20% - Accent5 2 6 2 6 2 3 2" xfId="16811"/>
    <cellStyle name="20% - Accent5 2 6 2 6 2 4" xfId="16812"/>
    <cellStyle name="20% - Accent5 2 6 2 6 3" xfId="16813"/>
    <cellStyle name="20% - Accent5 2 6 2 6 3 2" xfId="16814"/>
    <cellStyle name="20% - Accent5 2 6 2 6 3 2 2" xfId="16815"/>
    <cellStyle name="20% - Accent5 2 6 2 6 3 3" xfId="16816"/>
    <cellStyle name="20% - Accent5 2 6 2 6 4" xfId="16817"/>
    <cellStyle name="20% - Accent5 2 6 2 6 4 2" xfId="16818"/>
    <cellStyle name="20% - Accent5 2 6 2 6 5" xfId="16819"/>
    <cellStyle name="20% - Accent5 2 6 2 7" xfId="16820"/>
    <cellStyle name="20% - Accent5 2 6 2 7 2" xfId="16821"/>
    <cellStyle name="20% - Accent5 2 6 2 7 2 2" xfId="16822"/>
    <cellStyle name="20% - Accent5 2 6 2 7 2 2 2" xfId="16823"/>
    <cellStyle name="20% - Accent5 2 6 2 7 2 3" xfId="16824"/>
    <cellStyle name="20% - Accent5 2 6 2 7 3" xfId="16825"/>
    <cellStyle name="20% - Accent5 2 6 2 7 3 2" xfId="16826"/>
    <cellStyle name="20% - Accent5 2 6 2 7 4" xfId="16827"/>
    <cellStyle name="20% - Accent5 2 6 2 8" xfId="16828"/>
    <cellStyle name="20% - Accent5 2 6 2 8 2" xfId="16829"/>
    <cellStyle name="20% - Accent5 2 6 2 8 2 2" xfId="16830"/>
    <cellStyle name="20% - Accent5 2 6 2 8 3" xfId="16831"/>
    <cellStyle name="20% - Accent5 2 6 2 9" xfId="16832"/>
    <cellStyle name="20% - Accent5 2 6 2 9 2" xfId="16833"/>
    <cellStyle name="20% - Accent5 2 6 3" xfId="16834"/>
    <cellStyle name="20% - Accent5 2 6 3 2" xfId="16835"/>
    <cellStyle name="20% - Accent5 2 6 3 2 2" xfId="16836"/>
    <cellStyle name="20% - Accent5 2 6 3 2 2 2" xfId="16837"/>
    <cellStyle name="20% - Accent5 2 6 3 2 2 2 2" xfId="16838"/>
    <cellStyle name="20% - Accent5 2 6 3 2 2 3" xfId="16839"/>
    <cellStyle name="20% - Accent5 2 6 3 2 3" xfId="16840"/>
    <cellStyle name="20% - Accent5 2 6 3 2 3 2" xfId="16841"/>
    <cellStyle name="20% - Accent5 2 6 3 2 4" xfId="16842"/>
    <cellStyle name="20% - Accent5 2 6 3 3" xfId="16843"/>
    <cellStyle name="20% - Accent5 2 6 3 3 2" xfId="16844"/>
    <cellStyle name="20% - Accent5 2 6 3 3 2 2" xfId="16845"/>
    <cellStyle name="20% - Accent5 2 6 3 3 3" xfId="16846"/>
    <cellStyle name="20% - Accent5 2 6 3 4" xfId="16847"/>
    <cellStyle name="20% - Accent5 2 6 3 4 2" xfId="16848"/>
    <cellStyle name="20% - Accent5 2 6 3 5" xfId="16849"/>
    <cellStyle name="20% - Accent5 2 6 4" xfId="16850"/>
    <cellStyle name="20% - Accent5 2 6 4 2" xfId="16851"/>
    <cellStyle name="20% - Accent5 2 6 4 2 2" xfId="16852"/>
    <cellStyle name="20% - Accent5 2 6 4 2 2 2" xfId="16853"/>
    <cellStyle name="20% - Accent5 2 6 4 2 2 2 2" xfId="16854"/>
    <cellStyle name="20% - Accent5 2 6 4 2 2 3" xfId="16855"/>
    <cellStyle name="20% - Accent5 2 6 4 2 3" xfId="16856"/>
    <cellStyle name="20% - Accent5 2 6 4 2 3 2" xfId="16857"/>
    <cellStyle name="20% - Accent5 2 6 4 2 4" xfId="16858"/>
    <cellStyle name="20% - Accent5 2 6 4 3" xfId="16859"/>
    <cellStyle name="20% - Accent5 2 6 4 3 2" xfId="16860"/>
    <cellStyle name="20% - Accent5 2 6 4 3 2 2" xfId="16861"/>
    <cellStyle name="20% - Accent5 2 6 4 3 3" xfId="16862"/>
    <cellStyle name="20% - Accent5 2 6 4 4" xfId="16863"/>
    <cellStyle name="20% - Accent5 2 6 4 4 2" xfId="16864"/>
    <cellStyle name="20% - Accent5 2 6 4 5" xfId="16865"/>
    <cellStyle name="20% - Accent5 2 6 5" xfId="16866"/>
    <cellStyle name="20% - Accent5 2 6 5 2" xfId="16867"/>
    <cellStyle name="20% - Accent5 2 6 5 2 2" xfId="16868"/>
    <cellStyle name="20% - Accent5 2 6 5 2 2 2" xfId="16869"/>
    <cellStyle name="20% - Accent5 2 6 5 2 2 2 2" xfId="16870"/>
    <cellStyle name="20% - Accent5 2 6 5 2 2 3" xfId="16871"/>
    <cellStyle name="20% - Accent5 2 6 5 2 3" xfId="16872"/>
    <cellStyle name="20% - Accent5 2 6 5 2 3 2" xfId="16873"/>
    <cellStyle name="20% - Accent5 2 6 5 2 4" xfId="16874"/>
    <cellStyle name="20% - Accent5 2 6 5 3" xfId="16875"/>
    <cellStyle name="20% - Accent5 2 6 5 3 2" xfId="16876"/>
    <cellStyle name="20% - Accent5 2 6 5 3 2 2" xfId="16877"/>
    <cellStyle name="20% - Accent5 2 6 5 3 3" xfId="16878"/>
    <cellStyle name="20% - Accent5 2 6 5 4" xfId="16879"/>
    <cellStyle name="20% - Accent5 2 6 5 4 2" xfId="16880"/>
    <cellStyle name="20% - Accent5 2 6 5 5" xfId="16881"/>
    <cellStyle name="20% - Accent5 2 6 6" xfId="16882"/>
    <cellStyle name="20% - Accent5 2 6 6 2" xfId="16883"/>
    <cellStyle name="20% - Accent5 2 6 6 2 2" xfId="16884"/>
    <cellStyle name="20% - Accent5 2 6 6 2 2 2" xfId="16885"/>
    <cellStyle name="20% - Accent5 2 6 6 2 2 2 2" xfId="16886"/>
    <cellStyle name="20% - Accent5 2 6 6 2 2 3" xfId="16887"/>
    <cellStyle name="20% - Accent5 2 6 6 2 3" xfId="16888"/>
    <cellStyle name="20% - Accent5 2 6 6 2 3 2" xfId="16889"/>
    <cellStyle name="20% - Accent5 2 6 6 2 4" xfId="16890"/>
    <cellStyle name="20% - Accent5 2 6 6 3" xfId="16891"/>
    <cellStyle name="20% - Accent5 2 6 6 3 2" xfId="16892"/>
    <cellStyle name="20% - Accent5 2 6 6 3 2 2" xfId="16893"/>
    <cellStyle name="20% - Accent5 2 6 6 3 3" xfId="16894"/>
    <cellStyle name="20% - Accent5 2 6 6 4" xfId="16895"/>
    <cellStyle name="20% - Accent5 2 6 6 4 2" xfId="16896"/>
    <cellStyle name="20% - Accent5 2 6 6 5" xfId="16897"/>
    <cellStyle name="20% - Accent5 2 6 7" xfId="16898"/>
    <cellStyle name="20% - Accent5 2 6 7 2" xfId="16899"/>
    <cellStyle name="20% - Accent5 2 6 7 2 2" xfId="16900"/>
    <cellStyle name="20% - Accent5 2 6 7 2 2 2" xfId="16901"/>
    <cellStyle name="20% - Accent5 2 6 7 2 2 2 2" xfId="16902"/>
    <cellStyle name="20% - Accent5 2 6 7 2 2 3" xfId="16903"/>
    <cellStyle name="20% - Accent5 2 6 7 2 3" xfId="16904"/>
    <cellStyle name="20% - Accent5 2 6 7 2 3 2" xfId="16905"/>
    <cellStyle name="20% - Accent5 2 6 7 2 4" xfId="16906"/>
    <cellStyle name="20% - Accent5 2 6 7 3" xfId="16907"/>
    <cellStyle name="20% - Accent5 2 6 7 3 2" xfId="16908"/>
    <cellStyle name="20% - Accent5 2 6 7 3 2 2" xfId="16909"/>
    <cellStyle name="20% - Accent5 2 6 7 3 3" xfId="16910"/>
    <cellStyle name="20% - Accent5 2 6 7 4" xfId="16911"/>
    <cellStyle name="20% - Accent5 2 6 7 4 2" xfId="16912"/>
    <cellStyle name="20% - Accent5 2 6 7 5" xfId="16913"/>
    <cellStyle name="20% - Accent5 2 6 8" xfId="16914"/>
    <cellStyle name="20% - Accent5 2 6 8 2" xfId="16915"/>
    <cellStyle name="20% - Accent5 2 6 8 2 2" xfId="16916"/>
    <cellStyle name="20% - Accent5 2 6 8 2 2 2" xfId="16917"/>
    <cellStyle name="20% - Accent5 2 6 8 2 3" xfId="16918"/>
    <cellStyle name="20% - Accent5 2 6 8 3" xfId="16919"/>
    <cellStyle name="20% - Accent5 2 6 8 3 2" xfId="16920"/>
    <cellStyle name="20% - Accent5 2 6 8 4" xfId="16921"/>
    <cellStyle name="20% - Accent5 2 6 9" xfId="16922"/>
    <cellStyle name="20% - Accent5 2 6 9 2" xfId="16923"/>
    <cellStyle name="20% - Accent5 2 6 9 2 2" xfId="16924"/>
    <cellStyle name="20% - Accent5 2 6 9 3" xfId="16925"/>
    <cellStyle name="20% - Accent5 2 7" xfId="16926"/>
    <cellStyle name="20% - Accent5 2 7 10" xfId="16927"/>
    <cellStyle name="20% - Accent5 2 7 10 2" xfId="16928"/>
    <cellStyle name="20% - Accent5 2 7 11" xfId="16929"/>
    <cellStyle name="20% - Accent5 2 7 2" xfId="16930"/>
    <cellStyle name="20% - Accent5 2 7 2 10" xfId="16931"/>
    <cellStyle name="20% - Accent5 2 7 2 2" xfId="16932"/>
    <cellStyle name="20% - Accent5 2 7 2 2 2" xfId="16933"/>
    <cellStyle name="20% - Accent5 2 7 2 2 2 2" xfId="16934"/>
    <cellStyle name="20% - Accent5 2 7 2 2 2 2 2" xfId="16935"/>
    <cellStyle name="20% - Accent5 2 7 2 2 2 2 2 2" xfId="16936"/>
    <cellStyle name="20% - Accent5 2 7 2 2 2 2 3" xfId="16937"/>
    <cellStyle name="20% - Accent5 2 7 2 2 2 3" xfId="16938"/>
    <cellStyle name="20% - Accent5 2 7 2 2 2 3 2" xfId="16939"/>
    <cellStyle name="20% - Accent5 2 7 2 2 2 4" xfId="16940"/>
    <cellStyle name="20% - Accent5 2 7 2 2 3" xfId="16941"/>
    <cellStyle name="20% - Accent5 2 7 2 2 3 2" xfId="16942"/>
    <cellStyle name="20% - Accent5 2 7 2 2 3 2 2" xfId="16943"/>
    <cellStyle name="20% - Accent5 2 7 2 2 3 3" xfId="16944"/>
    <cellStyle name="20% - Accent5 2 7 2 2 4" xfId="16945"/>
    <cellStyle name="20% - Accent5 2 7 2 2 4 2" xfId="16946"/>
    <cellStyle name="20% - Accent5 2 7 2 2 5" xfId="16947"/>
    <cellStyle name="20% - Accent5 2 7 2 3" xfId="16948"/>
    <cellStyle name="20% - Accent5 2 7 2 3 2" xfId="16949"/>
    <cellStyle name="20% - Accent5 2 7 2 3 2 2" xfId="16950"/>
    <cellStyle name="20% - Accent5 2 7 2 3 2 2 2" xfId="16951"/>
    <cellStyle name="20% - Accent5 2 7 2 3 2 2 2 2" xfId="16952"/>
    <cellStyle name="20% - Accent5 2 7 2 3 2 2 3" xfId="16953"/>
    <cellStyle name="20% - Accent5 2 7 2 3 2 3" xfId="16954"/>
    <cellStyle name="20% - Accent5 2 7 2 3 2 3 2" xfId="16955"/>
    <cellStyle name="20% - Accent5 2 7 2 3 2 4" xfId="16956"/>
    <cellStyle name="20% - Accent5 2 7 2 3 3" xfId="16957"/>
    <cellStyle name="20% - Accent5 2 7 2 3 3 2" xfId="16958"/>
    <cellStyle name="20% - Accent5 2 7 2 3 3 2 2" xfId="16959"/>
    <cellStyle name="20% - Accent5 2 7 2 3 3 3" xfId="16960"/>
    <cellStyle name="20% - Accent5 2 7 2 3 4" xfId="16961"/>
    <cellStyle name="20% - Accent5 2 7 2 3 4 2" xfId="16962"/>
    <cellStyle name="20% - Accent5 2 7 2 3 5" xfId="16963"/>
    <cellStyle name="20% - Accent5 2 7 2 4" xfId="16964"/>
    <cellStyle name="20% - Accent5 2 7 2 4 2" xfId="16965"/>
    <cellStyle name="20% - Accent5 2 7 2 4 2 2" xfId="16966"/>
    <cellStyle name="20% - Accent5 2 7 2 4 2 2 2" xfId="16967"/>
    <cellStyle name="20% - Accent5 2 7 2 4 2 2 2 2" xfId="16968"/>
    <cellStyle name="20% - Accent5 2 7 2 4 2 2 3" xfId="16969"/>
    <cellStyle name="20% - Accent5 2 7 2 4 2 3" xfId="16970"/>
    <cellStyle name="20% - Accent5 2 7 2 4 2 3 2" xfId="16971"/>
    <cellStyle name="20% - Accent5 2 7 2 4 2 4" xfId="16972"/>
    <cellStyle name="20% - Accent5 2 7 2 4 3" xfId="16973"/>
    <cellStyle name="20% - Accent5 2 7 2 4 3 2" xfId="16974"/>
    <cellStyle name="20% - Accent5 2 7 2 4 3 2 2" xfId="16975"/>
    <cellStyle name="20% - Accent5 2 7 2 4 3 3" xfId="16976"/>
    <cellStyle name="20% - Accent5 2 7 2 4 4" xfId="16977"/>
    <cellStyle name="20% - Accent5 2 7 2 4 4 2" xfId="16978"/>
    <cellStyle name="20% - Accent5 2 7 2 4 5" xfId="16979"/>
    <cellStyle name="20% - Accent5 2 7 2 5" xfId="16980"/>
    <cellStyle name="20% - Accent5 2 7 2 5 2" xfId="16981"/>
    <cellStyle name="20% - Accent5 2 7 2 5 2 2" xfId="16982"/>
    <cellStyle name="20% - Accent5 2 7 2 5 2 2 2" xfId="16983"/>
    <cellStyle name="20% - Accent5 2 7 2 5 2 2 2 2" xfId="16984"/>
    <cellStyle name="20% - Accent5 2 7 2 5 2 2 3" xfId="16985"/>
    <cellStyle name="20% - Accent5 2 7 2 5 2 3" xfId="16986"/>
    <cellStyle name="20% - Accent5 2 7 2 5 2 3 2" xfId="16987"/>
    <cellStyle name="20% - Accent5 2 7 2 5 2 4" xfId="16988"/>
    <cellStyle name="20% - Accent5 2 7 2 5 3" xfId="16989"/>
    <cellStyle name="20% - Accent5 2 7 2 5 3 2" xfId="16990"/>
    <cellStyle name="20% - Accent5 2 7 2 5 3 2 2" xfId="16991"/>
    <cellStyle name="20% - Accent5 2 7 2 5 3 3" xfId="16992"/>
    <cellStyle name="20% - Accent5 2 7 2 5 4" xfId="16993"/>
    <cellStyle name="20% - Accent5 2 7 2 5 4 2" xfId="16994"/>
    <cellStyle name="20% - Accent5 2 7 2 5 5" xfId="16995"/>
    <cellStyle name="20% - Accent5 2 7 2 6" xfId="16996"/>
    <cellStyle name="20% - Accent5 2 7 2 6 2" xfId="16997"/>
    <cellStyle name="20% - Accent5 2 7 2 6 2 2" xfId="16998"/>
    <cellStyle name="20% - Accent5 2 7 2 6 2 2 2" xfId="16999"/>
    <cellStyle name="20% - Accent5 2 7 2 6 2 2 2 2" xfId="17000"/>
    <cellStyle name="20% - Accent5 2 7 2 6 2 2 3" xfId="17001"/>
    <cellStyle name="20% - Accent5 2 7 2 6 2 3" xfId="17002"/>
    <cellStyle name="20% - Accent5 2 7 2 6 2 3 2" xfId="17003"/>
    <cellStyle name="20% - Accent5 2 7 2 6 2 4" xfId="17004"/>
    <cellStyle name="20% - Accent5 2 7 2 6 3" xfId="17005"/>
    <cellStyle name="20% - Accent5 2 7 2 6 3 2" xfId="17006"/>
    <cellStyle name="20% - Accent5 2 7 2 6 3 2 2" xfId="17007"/>
    <cellStyle name="20% - Accent5 2 7 2 6 3 3" xfId="17008"/>
    <cellStyle name="20% - Accent5 2 7 2 6 4" xfId="17009"/>
    <cellStyle name="20% - Accent5 2 7 2 6 4 2" xfId="17010"/>
    <cellStyle name="20% - Accent5 2 7 2 6 5" xfId="17011"/>
    <cellStyle name="20% - Accent5 2 7 2 7" xfId="17012"/>
    <cellStyle name="20% - Accent5 2 7 2 7 2" xfId="17013"/>
    <cellStyle name="20% - Accent5 2 7 2 7 2 2" xfId="17014"/>
    <cellStyle name="20% - Accent5 2 7 2 7 2 2 2" xfId="17015"/>
    <cellStyle name="20% - Accent5 2 7 2 7 2 3" xfId="17016"/>
    <cellStyle name="20% - Accent5 2 7 2 7 3" xfId="17017"/>
    <cellStyle name="20% - Accent5 2 7 2 7 3 2" xfId="17018"/>
    <cellStyle name="20% - Accent5 2 7 2 7 4" xfId="17019"/>
    <cellStyle name="20% - Accent5 2 7 2 8" xfId="17020"/>
    <cellStyle name="20% - Accent5 2 7 2 8 2" xfId="17021"/>
    <cellStyle name="20% - Accent5 2 7 2 8 2 2" xfId="17022"/>
    <cellStyle name="20% - Accent5 2 7 2 8 3" xfId="17023"/>
    <cellStyle name="20% - Accent5 2 7 2 9" xfId="17024"/>
    <cellStyle name="20% - Accent5 2 7 2 9 2" xfId="17025"/>
    <cellStyle name="20% - Accent5 2 7 3" xfId="17026"/>
    <cellStyle name="20% - Accent5 2 7 3 2" xfId="17027"/>
    <cellStyle name="20% - Accent5 2 7 3 2 2" xfId="17028"/>
    <cellStyle name="20% - Accent5 2 7 3 2 2 2" xfId="17029"/>
    <cellStyle name="20% - Accent5 2 7 3 2 2 2 2" xfId="17030"/>
    <cellStyle name="20% - Accent5 2 7 3 2 2 3" xfId="17031"/>
    <cellStyle name="20% - Accent5 2 7 3 2 3" xfId="17032"/>
    <cellStyle name="20% - Accent5 2 7 3 2 3 2" xfId="17033"/>
    <cellStyle name="20% - Accent5 2 7 3 2 4" xfId="17034"/>
    <cellStyle name="20% - Accent5 2 7 3 3" xfId="17035"/>
    <cellStyle name="20% - Accent5 2 7 3 3 2" xfId="17036"/>
    <cellStyle name="20% - Accent5 2 7 3 3 2 2" xfId="17037"/>
    <cellStyle name="20% - Accent5 2 7 3 3 3" xfId="17038"/>
    <cellStyle name="20% - Accent5 2 7 3 4" xfId="17039"/>
    <cellStyle name="20% - Accent5 2 7 3 4 2" xfId="17040"/>
    <cellStyle name="20% - Accent5 2 7 3 5" xfId="17041"/>
    <cellStyle name="20% - Accent5 2 7 4" xfId="17042"/>
    <cellStyle name="20% - Accent5 2 7 4 2" xfId="17043"/>
    <cellStyle name="20% - Accent5 2 7 4 2 2" xfId="17044"/>
    <cellStyle name="20% - Accent5 2 7 4 2 2 2" xfId="17045"/>
    <cellStyle name="20% - Accent5 2 7 4 2 2 2 2" xfId="17046"/>
    <cellStyle name="20% - Accent5 2 7 4 2 2 3" xfId="17047"/>
    <cellStyle name="20% - Accent5 2 7 4 2 3" xfId="17048"/>
    <cellStyle name="20% - Accent5 2 7 4 2 3 2" xfId="17049"/>
    <cellStyle name="20% - Accent5 2 7 4 2 4" xfId="17050"/>
    <cellStyle name="20% - Accent5 2 7 4 3" xfId="17051"/>
    <cellStyle name="20% - Accent5 2 7 4 3 2" xfId="17052"/>
    <cellStyle name="20% - Accent5 2 7 4 3 2 2" xfId="17053"/>
    <cellStyle name="20% - Accent5 2 7 4 3 3" xfId="17054"/>
    <cellStyle name="20% - Accent5 2 7 4 4" xfId="17055"/>
    <cellStyle name="20% - Accent5 2 7 4 4 2" xfId="17056"/>
    <cellStyle name="20% - Accent5 2 7 4 5" xfId="17057"/>
    <cellStyle name="20% - Accent5 2 7 5" xfId="17058"/>
    <cellStyle name="20% - Accent5 2 7 5 2" xfId="17059"/>
    <cellStyle name="20% - Accent5 2 7 5 2 2" xfId="17060"/>
    <cellStyle name="20% - Accent5 2 7 5 2 2 2" xfId="17061"/>
    <cellStyle name="20% - Accent5 2 7 5 2 2 2 2" xfId="17062"/>
    <cellStyle name="20% - Accent5 2 7 5 2 2 3" xfId="17063"/>
    <cellStyle name="20% - Accent5 2 7 5 2 3" xfId="17064"/>
    <cellStyle name="20% - Accent5 2 7 5 2 3 2" xfId="17065"/>
    <cellStyle name="20% - Accent5 2 7 5 2 4" xfId="17066"/>
    <cellStyle name="20% - Accent5 2 7 5 3" xfId="17067"/>
    <cellStyle name="20% - Accent5 2 7 5 3 2" xfId="17068"/>
    <cellStyle name="20% - Accent5 2 7 5 3 2 2" xfId="17069"/>
    <cellStyle name="20% - Accent5 2 7 5 3 3" xfId="17070"/>
    <cellStyle name="20% - Accent5 2 7 5 4" xfId="17071"/>
    <cellStyle name="20% - Accent5 2 7 5 4 2" xfId="17072"/>
    <cellStyle name="20% - Accent5 2 7 5 5" xfId="17073"/>
    <cellStyle name="20% - Accent5 2 7 6" xfId="17074"/>
    <cellStyle name="20% - Accent5 2 7 6 2" xfId="17075"/>
    <cellStyle name="20% - Accent5 2 7 6 2 2" xfId="17076"/>
    <cellStyle name="20% - Accent5 2 7 6 2 2 2" xfId="17077"/>
    <cellStyle name="20% - Accent5 2 7 6 2 2 2 2" xfId="17078"/>
    <cellStyle name="20% - Accent5 2 7 6 2 2 3" xfId="17079"/>
    <cellStyle name="20% - Accent5 2 7 6 2 3" xfId="17080"/>
    <cellStyle name="20% - Accent5 2 7 6 2 3 2" xfId="17081"/>
    <cellStyle name="20% - Accent5 2 7 6 2 4" xfId="17082"/>
    <cellStyle name="20% - Accent5 2 7 6 3" xfId="17083"/>
    <cellStyle name="20% - Accent5 2 7 6 3 2" xfId="17084"/>
    <cellStyle name="20% - Accent5 2 7 6 3 2 2" xfId="17085"/>
    <cellStyle name="20% - Accent5 2 7 6 3 3" xfId="17086"/>
    <cellStyle name="20% - Accent5 2 7 6 4" xfId="17087"/>
    <cellStyle name="20% - Accent5 2 7 6 4 2" xfId="17088"/>
    <cellStyle name="20% - Accent5 2 7 6 5" xfId="17089"/>
    <cellStyle name="20% - Accent5 2 7 7" xfId="17090"/>
    <cellStyle name="20% - Accent5 2 7 7 2" xfId="17091"/>
    <cellStyle name="20% - Accent5 2 7 7 2 2" xfId="17092"/>
    <cellStyle name="20% - Accent5 2 7 7 2 2 2" xfId="17093"/>
    <cellStyle name="20% - Accent5 2 7 7 2 2 2 2" xfId="17094"/>
    <cellStyle name="20% - Accent5 2 7 7 2 2 3" xfId="17095"/>
    <cellStyle name="20% - Accent5 2 7 7 2 3" xfId="17096"/>
    <cellStyle name="20% - Accent5 2 7 7 2 3 2" xfId="17097"/>
    <cellStyle name="20% - Accent5 2 7 7 2 4" xfId="17098"/>
    <cellStyle name="20% - Accent5 2 7 7 3" xfId="17099"/>
    <cellStyle name="20% - Accent5 2 7 7 3 2" xfId="17100"/>
    <cellStyle name="20% - Accent5 2 7 7 3 2 2" xfId="17101"/>
    <cellStyle name="20% - Accent5 2 7 7 3 3" xfId="17102"/>
    <cellStyle name="20% - Accent5 2 7 7 4" xfId="17103"/>
    <cellStyle name="20% - Accent5 2 7 7 4 2" xfId="17104"/>
    <cellStyle name="20% - Accent5 2 7 7 5" xfId="17105"/>
    <cellStyle name="20% - Accent5 2 7 8" xfId="17106"/>
    <cellStyle name="20% - Accent5 2 7 8 2" xfId="17107"/>
    <cellStyle name="20% - Accent5 2 7 8 2 2" xfId="17108"/>
    <cellStyle name="20% - Accent5 2 7 8 2 2 2" xfId="17109"/>
    <cellStyle name="20% - Accent5 2 7 8 2 3" xfId="17110"/>
    <cellStyle name="20% - Accent5 2 7 8 3" xfId="17111"/>
    <cellStyle name="20% - Accent5 2 7 8 3 2" xfId="17112"/>
    <cellStyle name="20% - Accent5 2 7 8 4" xfId="17113"/>
    <cellStyle name="20% - Accent5 2 7 9" xfId="17114"/>
    <cellStyle name="20% - Accent5 2 7 9 2" xfId="17115"/>
    <cellStyle name="20% - Accent5 2 7 9 2 2" xfId="17116"/>
    <cellStyle name="20% - Accent5 2 7 9 3" xfId="17117"/>
    <cellStyle name="20% - Accent5 2 8" xfId="17118"/>
    <cellStyle name="20% - Accent5 2 8 10" xfId="17119"/>
    <cellStyle name="20% - Accent5 2 8 10 2" xfId="17120"/>
    <cellStyle name="20% - Accent5 2 8 11" xfId="17121"/>
    <cellStyle name="20% - Accent5 2 8 2" xfId="17122"/>
    <cellStyle name="20% - Accent5 2 8 2 10" xfId="17123"/>
    <cellStyle name="20% - Accent5 2 8 2 2" xfId="17124"/>
    <cellStyle name="20% - Accent5 2 8 2 2 2" xfId="17125"/>
    <cellStyle name="20% - Accent5 2 8 2 2 2 2" xfId="17126"/>
    <cellStyle name="20% - Accent5 2 8 2 2 2 2 2" xfId="17127"/>
    <cellStyle name="20% - Accent5 2 8 2 2 2 2 2 2" xfId="17128"/>
    <cellStyle name="20% - Accent5 2 8 2 2 2 2 3" xfId="17129"/>
    <cellStyle name="20% - Accent5 2 8 2 2 2 3" xfId="17130"/>
    <cellStyle name="20% - Accent5 2 8 2 2 2 3 2" xfId="17131"/>
    <cellStyle name="20% - Accent5 2 8 2 2 2 4" xfId="17132"/>
    <cellStyle name="20% - Accent5 2 8 2 2 3" xfId="17133"/>
    <cellStyle name="20% - Accent5 2 8 2 2 3 2" xfId="17134"/>
    <cellStyle name="20% - Accent5 2 8 2 2 3 2 2" xfId="17135"/>
    <cellStyle name="20% - Accent5 2 8 2 2 3 3" xfId="17136"/>
    <cellStyle name="20% - Accent5 2 8 2 2 4" xfId="17137"/>
    <cellStyle name="20% - Accent5 2 8 2 2 4 2" xfId="17138"/>
    <cellStyle name="20% - Accent5 2 8 2 2 5" xfId="17139"/>
    <cellStyle name="20% - Accent5 2 8 2 3" xfId="17140"/>
    <cellStyle name="20% - Accent5 2 8 2 3 2" xfId="17141"/>
    <cellStyle name="20% - Accent5 2 8 2 3 2 2" xfId="17142"/>
    <cellStyle name="20% - Accent5 2 8 2 3 2 2 2" xfId="17143"/>
    <cellStyle name="20% - Accent5 2 8 2 3 2 2 2 2" xfId="17144"/>
    <cellStyle name="20% - Accent5 2 8 2 3 2 2 3" xfId="17145"/>
    <cellStyle name="20% - Accent5 2 8 2 3 2 3" xfId="17146"/>
    <cellStyle name="20% - Accent5 2 8 2 3 2 3 2" xfId="17147"/>
    <cellStyle name="20% - Accent5 2 8 2 3 2 4" xfId="17148"/>
    <cellStyle name="20% - Accent5 2 8 2 3 3" xfId="17149"/>
    <cellStyle name="20% - Accent5 2 8 2 3 3 2" xfId="17150"/>
    <cellStyle name="20% - Accent5 2 8 2 3 3 2 2" xfId="17151"/>
    <cellStyle name="20% - Accent5 2 8 2 3 3 3" xfId="17152"/>
    <cellStyle name="20% - Accent5 2 8 2 3 4" xfId="17153"/>
    <cellStyle name="20% - Accent5 2 8 2 3 4 2" xfId="17154"/>
    <cellStyle name="20% - Accent5 2 8 2 3 5" xfId="17155"/>
    <cellStyle name="20% - Accent5 2 8 2 4" xfId="17156"/>
    <cellStyle name="20% - Accent5 2 8 2 4 2" xfId="17157"/>
    <cellStyle name="20% - Accent5 2 8 2 4 2 2" xfId="17158"/>
    <cellStyle name="20% - Accent5 2 8 2 4 2 2 2" xfId="17159"/>
    <cellStyle name="20% - Accent5 2 8 2 4 2 2 2 2" xfId="17160"/>
    <cellStyle name="20% - Accent5 2 8 2 4 2 2 3" xfId="17161"/>
    <cellStyle name="20% - Accent5 2 8 2 4 2 3" xfId="17162"/>
    <cellStyle name="20% - Accent5 2 8 2 4 2 3 2" xfId="17163"/>
    <cellStyle name="20% - Accent5 2 8 2 4 2 4" xfId="17164"/>
    <cellStyle name="20% - Accent5 2 8 2 4 3" xfId="17165"/>
    <cellStyle name="20% - Accent5 2 8 2 4 3 2" xfId="17166"/>
    <cellStyle name="20% - Accent5 2 8 2 4 3 2 2" xfId="17167"/>
    <cellStyle name="20% - Accent5 2 8 2 4 3 3" xfId="17168"/>
    <cellStyle name="20% - Accent5 2 8 2 4 4" xfId="17169"/>
    <cellStyle name="20% - Accent5 2 8 2 4 4 2" xfId="17170"/>
    <cellStyle name="20% - Accent5 2 8 2 4 5" xfId="17171"/>
    <cellStyle name="20% - Accent5 2 8 2 5" xfId="17172"/>
    <cellStyle name="20% - Accent5 2 8 2 5 2" xfId="17173"/>
    <cellStyle name="20% - Accent5 2 8 2 5 2 2" xfId="17174"/>
    <cellStyle name="20% - Accent5 2 8 2 5 2 2 2" xfId="17175"/>
    <cellStyle name="20% - Accent5 2 8 2 5 2 2 2 2" xfId="17176"/>
    <cellStyle name="20% - Accent5 2 8 2 5 2 2 3" xfId="17177"/>
    <cellStyle name="20% - Accent5 2 8 2 5 2 3" xfId="17178"/>
    <cellStyle name="20% - Accent5 2 8 2 5 2 3 2" xfId="17179"/>
    <cellStyle name="20% - Accent5 2 8 2 5 2 4" xfId="17180"/>
    <cellStyle name="20% - Accent5 2 8 2 5 3" xfId="17181"/>
    <cellStyle name="20% - Accent5 2 8 2 5 3 2" xfId="17182"/>
    <cellStyle name="20% - Accent5 2 8 2 5 3 2 2" xfId="17183"/>
    <cellStyle name="20% - Accent5 2 8 2 5 3 3" xfId="17184"/>
    <cellStyle name="20% - Accent5 2 8 2 5 4" xfId="17185"/>
    <cellStyle name="20% - Accent5 2 8 2 5 4 2" xfId="17186"/>
    <cellStyle name="20% - Accent5 2 8 2 5 5" xfId="17187"/>
    <cellStyle name="20% - Accent5 2 8 2 6" xfId="17188"/>
    <cellStyle name="20% - Accent5 2 8 2 6 2" xfId="17189"/>
    <cellStyle name="20% - Accent5 2 8 2 6 2 2" xfId="17190"/>
    <cellStyle name="20% - Accent5 2 8 2 6 2 2 2" xfId="17191"/>
    <cellStyle name="20% - Accent5 2 8 2 6 2 2 2 2" xfId="17192"/>
    <cellStyle name="20% - Accent5 2 8 2 6 2 2 3" xfId="17193"/>
    <cellStyle name="20% - Accent5 2 8 2 6 2 3" xfId="17194"/>
    <cellStyle name="20% - Accent5 2 8 2 6 2 3 2" xfId="17195"/>
    <cellStyle name="20% - Accent5 2 8 2 6 2 4" xfId="17196"/>
    <cellStyle name="20% - Accent5 2 8 2 6 3" xfId="17197"/>
    <cellStyle name="20% - Accent5 2 8 2 6 3 2" xfId="17198"/>
    <cellStyle name="20% - Accent5 2 8 2 6 3 2 2" xfId="17199"/>
    <cellStyle name="20% - Accent5 2 8 2 6 3 3" xfId="17200"/>
    <cellStyle name="20% - Accent5 2 8 2 6 4" xfId="17201"/>
    <cellStyle name="20% - Accent5 2 8 2 6 4 2" xfId="17202"/>
    <cellStyle name="20% - Accent5 2 8 2 6 5" xfId="17203"/>
    <cellStyle name="20% - Accent5 2 8 2 7" xfId="17204"/>
    <cellStyle name="20% - Accent5 2 8 2 7 2" xfId="17205"/>
    <cellStyle name="20% - Accent5 2 8 2 7 2 2" xfId="17206"/>
    <cellStyle name="20% - Accent5 2 8 2 7 2 2 2" xfId="17207"/>
    <cellStyle name="20% - Accent5 2 8 2 7 2 3" xfId="17208"/>
    <cellStyle name="20% - Accent5 2 8 2 7 3" xfId="17209"/>
    <cellStyle name="20% - Accent5 2 8 2 7 3 2" xfId="17210"/>
    <cellStyle name="20% - Accent5 2 8 2 7 4" xfId="17211"/>
    <cellStyle name="20% - Accent5 2 8 2 8" xfId="17212"/>
    <cellStyle name="20% - Accent5 2 8 2 8 2" xfId="17213"/>
    <cellStyle name="20% - Accent5 2 8 2 8 2 2" xfId="17214"/>
    <cellStyle name="20% - Accent5 2 8 2 8 3" xfId="17215"/>
    <cellStyle name="20% - Accent5 2 8 2 9" xfId="17216"/>
    <cellStyle name="20% - Accent5 2 8 2 9 2" xfId="17217"/>
    <cellStyle name="20% - Accent5 2 8 3" xfId="17218"/>
    <cellStyle name="20% - Accent5 2 8 3 2" xfId="17219"/>
    <cellStyle name="20% - Accent5 2 8 3 2 2" xfId="17220"/>
    <cellStyle name="20% - Accent5 2 8 3 2 2 2" xfId="17221"/>
    <cellStyle name="20% - Accent5 2 8 3 2 2 2 2" xfId="17222"/>
    <cellStyle name="20% - Accent5 2 8 3 2 2 3" xfId="17223"/>
    <cellStyle name="20% - Accent5 2 8 3 2 3" xfId="17224"/>
    <cellStyle name="20% - Accent5 2 8 3 2 3 2" xfId="17225"/>
    <cellStyle name="20% - Accent5 2 8 3 2 4" xfId="17226"/>
    <cellStyle name="20% - Accent5 2 8 3 3" xfId="17227"/>
    <cellStyle name="20% - Accent5 2 8 3 3 2" xfId="17228"/>
    <cellStyle name="20% - Accent5 2 8 3 3 2 2" xfId="17229"/>
    <cellStyle name="20% - Accent5 2 8 3 3 3" xfId="17230"/>
    <cellStyle name="20% - Accent5 2 8 3 4" xfId="17231"/>
    <cellStyle name="20% - Accent5 2 8 3 4 2" xfId="17232"/>
    <cellStyle name="20% - Accent5 2 8 3 5" xfId="17233"/>
    <cellStyle name="20% - Accent5 2 8 4" xfId="17234"/>
    <cellStyle name="20% - Accent5 2 8 4 2" xfId="17235"/>
    <cellStyle name="20% - Accent5 2 8 4 2 2" xfId="17236"/>
    <cellStyle name="20% - Accent5 2 8 4 2 2 2" xfId="17237"/>
    <cellStyle name="20% - Accent5 2 8 4 2 2 2 2" xfId="17238"/>
    <cellStyle name="20% - Accent5 2 8 4 2 2 3" xfId="17239"/>
    <cellStyle name="20% - Accent5 2 8 4 2 3" xfId="17240"/>
    <cellStyle name="20% - Accent5 2 8 4 2 3 2" xfId="17241"/>
    <cellStyle name="20% - Accent5 2 8 4 2 4" xfId="17242"/>
    <cellStyle name="20% - Accent5 2 8 4 3" xfId="17243"/>
    <cellStyle name="20% - Accent5 2 8 4 3 2" xfId="17244"/>
    <cellStyle name="20% - Accent5 2 8 4 3 2 2" xfId="17245"/>
    <cellStyle name="20% - Accent5 2 8 4 3 3" xfId="17246"/>
    <cellStyle name="20% - Accent5 2 8 4 4" xfId="17247"/>
    <cellStyle name="20% - Accent5 2 8 4 4 2" xfId="17248"/>
    <cellStyle name="20% - Accent5 2 8 4 5" xfId="17249"/>
    <cellStyle name="20% - Accent5 2 8 5" xfId="17250"/>
    <cellStyle name="20% - Accent5 2 8 5 2" xfId="17251"/>
    <cellStyle name="20% - Accent5 2 8 5 2 2" xfId="17252"/>
    <cellStyle name="20% - Accent5 2 8 5 2 2 2" xfId="17253"/>
    <cellStyle name="20% - Accent5 2 8 5 2 2 2 2" xfId="17254"/>
    <cellStyle name="20% - Accent5 2 8 5 2 2 3" xfId="17255"/>
    <cellStyle name="20% - Accent5 2 8 5 2 3" xfId="17256"/>
    <cellStyle name="20% - Accent5 2 8 5 2 3 2" xfId="17257"/>
    <cellStyle name="20% - Accent5 2 8 5 2 4" xfId="17258"/>
    <cellStyle name="20% - Accent5 2 8 5 3" xfId="17259"/>
    <cellStyle name="20% - Accent5 2 8 5 3 2" xfId="17260"/>
    <cellStyle name="20% - Accent5 2 8 5 3 2 2" xfId="17261"/>
    <cellStyle name="20% - Accent5 2 8 5 3 3" xfId="17262"/>
    <cellStyle name="20% - Accent5 2 8 5 4" xfId="17263"/>
    <cellStyle name="20% - Accent5 2 8 5 4 2" xfId="17264"/>
    <cellStyle name="20% - Accent5 2 8 5 5" xfId="17265"/>
    <cellStyle name="20% - Accent5 2 8 6" xfId="17266"/>
    <cellStyle name="20% - Accent5 2 8 6 2" xfId="17267"/>
    <cellStyle name="20% - Accent5 2 8 6 2 2" xfId="17268"/>
    <cellStyle name="20% - Accent5 2 8 6 2 2 2" xfId="17269"/>
    <cellStyle name="20% - Accent5 2 8 6 2 2 2 2" xfId="17270"/>
    <cellStyle name="20% - Accent5 2 8 6 2 2 3" xfId="17271"/>
    <cellStyle name="20% - Accent5 2 8 6 2 3" xfId="17272"/>
    <cellStyle name="20% - Accent5 2 8 6 2 3 2" xfId="17273"/>
    <cellStyle name="20% - Accent5 2 8 6 2 4" xfId="17274"/>
    <cellStyle name="20% - Accent5 2 8 6 3" xfId="17275"/>
    <cellStyle name="20% - Accent5 2 8 6 3 2" xfId="17276"/>
    <cellStyle name="20% - Accent5 2 8 6 3 2 2" xfId="17277"/>
    <cellStyle name="20% - Accent5 2 8 6 3 3" xfId="17278"/>
    <cellStyle name="20% - Accent5 2 8 6 4" xfId="17279"/>
    <cellStyle name="20% - Accent5 2 8 6 4 2" xfId="17280"/>
    <cellStyle name="20% - Accent5 2 8 6 5" xfId="17281"/>
    <cellStyle name="20% - Accent5 2 8 7" xfId="17282"/>
    <cellStyle name="20% - Accent5 2 8 7 2" xfId="17283"/>
    <cellStyle name="20% - Accent5 2 8 7 2 2" xfId="17284"/>
    <cellStyle name="20% - Accent5 2 8 7 2 2 2" xfId="17285"/>
    <cellStyle name="20% - Accent5 2 8 7 2 2 2 2" xfId="17286"/>
    <cellStyle name="20% - Accent5 2 8 7 2 2 3" xfId="17287"/>
    <cellStyle name="20% - Accent5 2 8 7 2 3" xfId="17288"/>
    <cellStyle name="20% - Accent5 2 8 7 2 3 2" xfId="17289"/>
    <cellStyle name="20% - Accent5 2 8 7 2 4" xfId="17290"/>
    <cellStyle name="20% - Accent5 2 8 7 3" xfId="17291"/>
    <cellStyle name="20% - Accent5 2 8 7 3 2" xfId="17292"/>
    <cellStyle name="20% - Accent5 2 8 7 3 2 2" xfId="17293"/>
    <cellStyle name="20% - Accent5 2 8 7 3 3" xfId="17294"/>
    <cellStyle name="20% - Accent5 2 8 7 4" xfId="17295"/>
    <cellStyle name="20% - Accent5 2 8 7 4 2" xfId="17296"/>
    <cellStyle name="20% - Accent5 2 8 7 5" xfId="17297"/>
    <cellStyle name="20% - Accent5 2 8 8" xfId="17298"/>
    <cellStyle name="20% - Accent5 2 8 8 2" xfId="17299"/>
    <cellStyle name="20% - Accent5 2 8 8 2 2" xfId="17300"/>
    <cellStyle name="20% - Accent5 2 8 8 2 2 2" xfId="17301"/>
    <cellStyle name="20% - Accent5 2 8 8 2 3" xfId="17302"/>
    <cellStyle name="20% - Accent5 2 8 8 3" xfId="17303"/>
    <cellStyle name="20% - Accent5 2 8 8 3 2" xfId="17304"/>
    <cellStyle name="20% - Accent5 2 8 8 4" xfId="17305"/>
    <cellStyle name="20% - Accent5 2 8 9" xfId="17306"/>
    <cellStyle name="20% - Accent5 2 8 9 2" xfId="17307"/>
    <cellStyle name="20% - Accent5 2 8 9 2 2" xfId="17308"/>
    <cellStyle name="20% - Accent5 2 8 9 3" xfId="17309"/>
    <cellStyle name="20% - Accent5 2 9" xfId="17310"/>
    <cellStyle name="20% - Accent5 2 9 10" xfId="17311"/>
    <cellStyle name="20% - Accent5 2 9 10 2" xfId="17312"/>
    <cellStyle name="20% - Accent5 2 9 11" xfId="17313"/>
    <cellStyle name="20% - Accent5 2 9 2" xfId="17314"/>
    <cellStyle name="20% - Accent5 2 9 2 10" xfId="17315"/>
    <cellStyle name="20% - Accent5 2 9 2 2" xfId="17316"/>
    <cellStyle name="20% - Accent5 2 9 2 2 2" xfId="17317"/>
    <cellStyle name="20% - Accent5 2 9 2 2 2 2" xfId="17318"/>
    <cellStyle name="20% - Accent5 2 9 2 2 2 2 2" xfId="17319"/>
    <cellStyle name="20% - Accent5 2 9 2 2 2 2 2 2" xfId="17320"/>
    <cellStyle name="20% - Accent5 2 9 2 2 2 2 3" xfId="17321"/>
    <cellStyle name="20% - Accent5 2 9 2 2 2 3" xfId="17322"/>
    <cellStyle name="20% - Accent5 2 9 2 2 2 3 2" xfId="17323"/>
    <cellStyle name="20% - Accent5 2 9 2 2 2 4" xfId="17324"/>
    <cellStyle name="20% - Accent5 2 9 2 2 3" xfId="17325"/>
    <cellStyle name="20% - Accent5 2 9 2 2 3 2" xfId="17326"/>
    <cellStyle name="20% - Accent5 2 9 2 2 3 2 2" xfId="17327"/>
    <cellStyle name="20% - Accent5 2 9 2 2 3 3" xfId="17328"/>
    <cellStyle name="20% - Accent5 2 9 2 2 4" xfId="17329"/>
    <cellStyle name="20% - Accent5 2 9 2 2 4 2" xfId="17330"/>
    <cellStyle name="20% - Accent5 2 9 2 2 5" xfId="17331"/>
    <cellStyle name="20% - Accent5 2 9 2 3" xfId="17332"/>
    <cellStyle name="20% - Accent5 2 9 2 3 2" xfId="17333"/>
    <cellStyle name="20% - Accent5 2 9 2 3 2 2" xfId="17334"/>
    <cellStyle name="20% - Accent5 2 9 2 3 2 2 2" xfId="17335"/>
    <cellStyle name="20% - Accent5 2 9 2 3 2 2 2 2" xfId="17336"/>
    <cellStyle name="20% - Accent5 2 9 2 3 2 2 3" xfId="17337"/>
    <cellStyle name="20% - Accent5 2 9 2 3 2 3" xfId="17338"/>
    <cellStyle name="20% - Accent5 2 9 2 3 2 3 2" xfId="17339"/>
    <cellStyle name="20% - Accent5 2 9 2 3 2 4" xfId="17340"/>
    <cellStyle name="20% - Accent5 2 9 2 3 3" xfId="17341"/>
    <cellStyle name="20% - Accent5 2 9 2 3 3 2" xfId="17342"/>
    <cellStyle name="20% - Accent5 2 9 2 3 3 2 2" xfId="17343"/>
    <cellStyle name="20% - Accent5 2 9 2 3 3 3" xfId="17344"/>
    <cellStyle name="20% - Accent5 2 9 2 3 4" xfId="17345"/>
    <cellStyle name="20% - Accent5 2 9 2 3 4 2" xfId="17346"/>
    <cellStyle name="20% - Accent5 2 9 2 3 5" xfId="17347"/>
    <cellStyle name="20% - Accent5 2 9 2 4" xfId="17348"/>
    <cellStyle name="20% - Accent5 2 9 2 4 2" xfId="17349"/>
    <cellStyle name="20% - Accent5 2 9 2 4 2 2" xfId="17350"/>
    <cellStyle name="20% - Accent5 2 9 2 4 2 2 2" xfId="17351"/>
    <cellStyle name="20% - Accent5 2 9 2 4 2 2 2 2" xfId="17352"/>
    <cellStyle name="20% - Accent5 2 9 2 4 2 2 3" xfId="17353"/>
    <cellStyle name="20% - Accent5 2 9 2 4 2 3" xfId="17354"/>
    <cellStyle name="20% - Accent5 2 9 2 4 2 3 2" xfId="17355"/>
    <cellStyle name="20% - Accent5 2 9 2 4 2 4" xfId="17356"/>
    <cellStyle name="20% - Accent5 2 9 2 4 3" xfId="17357"/>
    <cellStyle name="20% - Accent5 2 9 2 4 3 2" xfId="17358"/>
    <cellStyle name="20% - Accent5 2 9 2 4 3 2 2" xfId="17359"/>
    <cellStyle name="20% - Accent5 2 9 2 4 3 3" xfId="17360"/>
    <cellStyle name="20% - Accent5 2 9 2 4 4" xfId="17361"/>
    <cellStyle name="20% - Accent5 2 9 2 4 4 2" xfId="17362"/>
    <cellStyle name="20% - Accent5 2 9 2 4 5" xfId="17363"/>
    <cellStyle name="20% - Accent5 2 9 2 5" xfId="17364"/>
    <cellStyle name="20% - Accent5 2 9 2 5 2" xfId="17365"/>
    <cellStyle name="20% - Accent5 2 9 2 5 2 2" xfId="17366"/>
    <cellStyle name="20% - Accent5 2 9 2 5 2 2 2" xfId="17367"/>
    <cellStyle name="20% - Accent5 2 9 2 5 2 2 2 2" xfId="17368"/>
    <cellStyle name="20% - Accent5 2 9 2 5 2 2 3" xfId="17369"/>
    <cellStyle name="20% - Accent5 2 9 2 5 2 3" xfId="17370"/>
    <cellStyle name="20% - Accent5 2 9 2 5 2 3 2" xfId="17371"/>
    <cellStyle name="20% - Accent5 2 9 2 5 2 4" xfId="17372"/>
    <cellStyle name="20% - Accent5 2 9 2 5 3" xfId="17373"/>
    <cellStyle name="20% - Accent5 2 9 2 5 3 2" xfId="17374"/>
    <cellStyle name="20% - Accent5 2 9 2 5 3 2 2" xfId="17375"/>
    <cellStyle name="20% - Accent5 2 9 2 5 3 3" xfId="17376"/>
    <cellStyle name="20% - Accent5 2 9 2 5 4" xfId="17377"/>
    <cellStyle name="20% - Accent5 2 9 2 5 4 2" xfId="17378"/>
    <cellStyle name="20% - Accent5 2 9 2 5 5" xfId="17379"/>
    <cellStyle name="20% - Accent5 2 9 2 6" xfId="17380"/>
    <cellStyle name="20% - Accent5 2 9 2 6 2" xfId="17381"/>
    <cellStyle name="20% - Accent5 2 9 2 6 2 2" xfId="17382"/>
    <cellStyle name="20% - Accent5 2 9 2 6 2 2 2" xfId="17383"/>
    <cellStyle name="20% - Accent5 2 9 2 6 2 2 2 2" xfId="17384"/>
    <cellStyle name="20% - Accent5 2 9 2 6 2 2 3" xfId="17385"/>
    <cellStyle name="20% - Accent5 2 9 2 6 2 3" xfId="17386"/>
    <cellStyle name="20% - Accent5 2 9 2 6 2 3 2" xfId="17387"/>
    <cellStyle name="20% - Accent5 2 9 2 6 2 4" xfId="17388"/>
    <cellStyle name="20% - Accent5 2 9 2 6 3" xfId="17389"/>
    <cellStyle name="20% - Accent5 2 9 2 6 3 2" xfId="17390"/>
    <cellStyle name="20% - Accent5 2 9 2 6 3 2 2" xfId="17391"/>
    <cellStyle name="20% - Accent5 2 9 2 6 3 3" xfId="17392"/>
    <cellStyle name="20% - Accent5 2 9 2 6 4" xfId="17393"/>
    <cellStyle name="20% - Accent5 2 9 2 6 4 2" xfId="17394"/>
    <cellStyle name="20% - Accent5 2 9 2 6 5" xfId="17395"/>
    <cellStyle name="20% - Accent5 2 9 2 7" xfId="17396"/>
    <cellStyle name="20% - Accent5 2 9 2 7 2" xfId="17397"/>
    <cellStyle name="20% - Accent5 2 9 2 7 2 2" xfId="17398"/>
    <cellStyle name="20% - Accent5 2 9 2 7 2 2 2" xfId="17399"/>
    <cellStyle name="20% - Accent5 2 9 2 7 2 3" xfId="17400"/>
    <cellStyle name="20% - Accent5 2 9 2 7 3" xfId="17401"/>
    <cellStyle name="20% - Accent5 2 9 2 7 3 2" xfId="17402"/>
    <cellStyle name="20% - Accent5 2 9 2 7 4" xfId="17403"/>
    <cellStyle name="20% - Accent5 2 9 2 8" xfId="17404"/>
    <cellStyle name="20% - Accent5 2 9 2 8 2" xfId="17405"/>
    <cellStyle name="20% - Accent5 2 9 2 8 2 2" xfId="17406"/>
    <cellStyle name="20% - Accent5 2 9 2 8 3" xfId="17407"/>
    <cellStyle name="20% - Accent5 2 9 2 9" xfId="17408"/>
    <cellStyle name="20% - Accent5 2 9 2 9 2" xfId="17409"/>
    <cellStyle name="20% - Accent5 2 9 3" xfId="17410"/>
    <cellStyle name="20% - Accent5 2 9 3 2" xfId="17411"/>
    <cellStyle name="20% - Accent5 2 9 3 2 2" xfId="17412"/>
    <cellStyle name="20% - Accent5 2 9 3 2 2 2" xfId="17413"/>
    <cellStyle name="20% - Accent5 2 9 3 2 2 2 2" xfId="17414"/>
    <cellStyle name="20% - Accent5 2 9 3 2 2 3" xfId="17415"/>
    <cellStyle name="20% - Accent5 2 9 3 2 3" xfId="17416"/>
    <cellStyle name="20% - Accent5 2 9 3 2 3 2" xfId="17417"/>
    <cellStyle name="20% - Accent5 2 9 3 2 4" xfId="17418"/>
    <cellStyle name="20% - Accent5 2 9 3 3" xfId="17419"/>
    <cellStyle name="20% - Accent5 2 9 3 3 2" xfId="17420"/>
    <cellStyle name="20% - Accent5 2 9 3 3 2 2" xfId="17421"/>
    <cellStyle name="20% - Accent5 2 9 3 3 3" xfId="17422"/>
    <cellStyle name="20% - Accent5 2 9 3 4" xfId="17423"/>
    <cellStyle name="20% - Accent5 2 9 3 4 2" xfId="17424"/>
    <cellStyle name="20% - Accent5 2 9 3 5" xfId="17425"/>
    <cellStyle name="20% - Accent5 2 9 4" xfId="17426"/>
    <cellStyle name="20% - Accent5 2 9 4 2" xfId="17427"/>
    <cellStyle name="20% - Accent5 2 9 4 2 2" xfId="17428"/>
    <cellStyle name="20% - Accent5 2 9 4 2 2 2" xfId="17429"/>
    <cellStyle name="20% - Accent5 2 9 4 2 2 2 2" xfId="17430"/>
    <cellStyle name="20% - Accent5 2 9 4 2 2 3" xfId="17431"/>
    <cellStyle name="20% - Accent5 2 9 4 2 3" xfId="17432"/>
    <cellStyle name="20% - Accent5 2 9 4 2 3 2" xfId="17433"/>
    <cellStyle name="20% - Accent5 2 9 4 2 4" xfId="17434"/>
    <cellStyle name="20% - Accent5 2 9 4 3" xfId="17435"/>
    <cellStyle name="20% - Accent5 2 9 4 3 2" xfId="17436"/>
    <cellStyle name="20% - Accent5 2 9 4 3 2 2" xfId="17437"/>
    <cellStyle name="20% - Accent5 2 9 4 3 3" xfId="17438"/>
    <cellStyle name="20% - Accent5 2 9 4 4" xfId="17439"/>
    <cellStyle name="20% - Accent5 2 9 4 4 2" xfId="17440"/>
    <cellStyle name="20% - Accent5 2 9 4 5" xfId="17441"/>
    <cellStyle name="20% - Accent5 2 9 5" xfId="17442"/>
    <cellStyle name="20% - Accent5 2 9 5 2" xfId="17443"/>
    <cellStyle name="20% - Accent5 2 9 5 2 2" xfId="17444"/>
    <cellStyle name="20% - Accent5 2 9 5 2 2 2" xfId="17445"/>
    <cellStyle name="20% - Accent5 2 9 5 2 2 2 2" xfId="17446"/>
    <cellStyle name="20% - Accent5 2 9 5 2 2 3" xfId="17447"/>
    <cellStyle name="20% - Accent5 2 9 5 2 3" xfId="17448"/>
    <cellStyle name="20% - Accent5 2 9 5 2 3 2" xfId="17449"/>
    <cellStyle name="20% - Accent5 2 9 5 2 4" xfId="17450"/>
    <cellStyle name="20% - Accent5 2 9 5 3" xfId="17451"/>
    <cellStyle name="20% - Accent5 2 9 5 3 2" xfId="17452"/>
    <cellStyle name="20% - Accent5 2 9 5 3 2 2" xfId="17453"/>
    <cellStyle name="20% - Accent5 2 9 5 3 3" xfId="17454"/>
    <cellStyle name="20% - Accent5 2 9 5 4" xfId="17455"/>
    <cellStyle name="20% - Accent5 2 9 5 4 2" xfId="17456"/>
    <cellStyle name="20% - Accent5 2 9 5 5" xfId="17457"/>
    <cellStyle name="20% - Accent5 2 9 6" xfId="17458"/>
    <cellStyle name="20% - Accent5 2 9 6 2" xfId="17459"/>
    <cellStyle name="20% - Accent5 2 9 6 2 2" xfId="17460"/>
    <cellStyle name="20% - Accent5 2 9 6 2 2 2" xfId="17461"/>
    <cellStyle name="20% - Accent5 2 9 6 2 2 2 2" xfId="17462"/>
    <cellStyle name="20% - Accent5 2 9 6 2 2 3" xfId="17463"/>
    <cellStyle name="20% - Accent5 2 9 6 2 3" xfId="17464"/>
    <cellStyle name="20% - Accent5 2 9 6 2 3 2" xfId="17465"/>
    <cellStyle name="20% - Accent5 2 9 6 2 4" xfId="17466"/>
    <cellStyle name="20% - Accent5 2 9 6 3" xfId="17467"/>
    <cellStyle name="20% - Accent5 2 9 6 3 2" xfId="17468"/>
    <cellStyle name="20% - Accent5 2 9 6 3 2 2" xfId="17469"/>
    <cellStyle name="20% - Accent5 2 9 6 3 3" xfId="17470"/>
    <cellStyle name="20% - Accent5 2 9 6 4" xfId="17471"/>
    <cellStyle name="20% - Accent5 2 9 6 4 2" xfId="17472"/>
    <cellStyle name="20% - Accent5 2 9 6 5" xfId="17473"/>
    <cellStyle name="20% - Accent5 2 9 7" xfId="17474"/>
    <cellStyle name="20% - Accent5 2 9 7 2" xfId="17475"/>
    <cellStyle name="20% - Accent5 2 9 7 2 2" xfId="17476"/>
    <cellStyle name="20% - Accent5 2 9 7 2 2 2" xfId="17477"/>
    <cellStyle name="20% - Accent5 2 9 7 2 2 2 2" xfId="17478"/>
    <cellStyle name="20% - Accent5 2 9 7 2 2 3" xfId="17479"/>
    <cellStyle name="20% - Accent5 2 9 7 2 3" xfId="17480"/>
    <cellStyle name="20% - Accent5 2 9 7 2 3 2" xfId="17481"/>
    <cellStyle name="20% - Accent5 2 9 7 2 4" xfId="17482"/>
    <cellStyle name="20% - Accent5 2 9 7 3" xfId="17483"/>
    <cellStyle name="20% - Accent5 2 9 7 3 2" xfId="17484"/>
    <cellStyle name="20% - Accent5 2 9 7 3 2 2" xfId="17485"/>
    <cellStyle name="20% - Accent5 2 9 7 3 3" xfId="17486"/>
    <cellStyle name="20% - Accent5 2 9 7 4" xfId="17487"/>
    <cellStyle name="20% - Accent5 2 9 7 4 2" xfId="17488"/>
    <cellStyle name="20% - Accent5 2 9 7 5" xfId="17489"/>
    <cellStyle name="20% - Accent5 2 9 8" xfId="17490"/>
    <cellStyle name="20% - Accent5 2 9 8 2" xfId="17491"/>
    <cellStyle name="20% - Accent5 2 9 8 2 2" xfId="17492"/>
    <cellStyle name="20% - Accent5 2 9 8 2 2 2" xfId="17493"/>
    <cellStyle name="20% - Accent5 2 9 8 2 3" xfId="17494"/>
    <cellStyle name="20% - Accent5 2 9 8 3" xfId="17495"/>
    <cellStyle name="20% - Accent5 2 9 8 3 2" xfId="17496"/>
    <cellStyle name="20% - Accent5 2 9 8 4" xfId="17497"/>
    <cellStyle name="20% - Accent5 2 9 9" xfId="17498"/>
    <cellStyle name="20% - Accent5 2 9 9 2" xfId="17499"/>
    <cellStyle name="20% - Accent5 2 9 9 2 2" xfId="17500"/>
    <cellStyle name="20% - Accent5 2 9 9 3" xfId="17501"/>
    <cellStyle name="20% - Accent5 20" xfId="17502"/>
    <cellStyle name="20% - Accent5 20 2" xfId="17503"/>
    <cellStyle name="20% - Accent5 20 2 2" xfId="17504"/>
    <cellStyle name="20% - Accent5 20 2 2 2" xfId="17505"/>
    <cellStyle name="20% - Accent5 20 2 2 2 2" xfId="17506"/>
    <cellStyle name="20% - Accent5 20 2 2 3" xfId="17507"/>
    <cellStyle name="20% - Accent5 20 2 3" xfId="17508"/>
    <cellStyle name="20% - Accent5 20 2 3 2" xfId="17509"/>
    <cellStyle name="20% - Accent5 20 2 4" xfId="17510"/>
    <cellStyle name="20% - Accent5 20 3" xfId="17511"/>
    <cellStyle name="20% - Accent5 20 3 2" xfId="17512"/>
    <cellStyle name="20% - Accent5 20 3 2 2" xfId="17513"/>
    <cellStyle name="20% - Accent5 20 3 3" xfId="17514"/>
    <cellStyle name="20% - Accent5 20 4" xfId="17515"/>
    <cellStyle name="20% - Accent5 20 4 2" xfId="17516"/>
    <cellStyle name="20% - Accent5 20 5" xfId="17517"/>
    <cellStyle name="20% - Accent5 21" xfId="17518"/>
    <cellStyle name="20% - Accent5 21 2" xfId="17519"/>
    <cellStyle name="20% - Accent5 21 2 2" xfId="17520"/>
    <cellStyle name="20% - Accent5 21 2 2 2" xfId="17521"/>
    <cellStyle name="20% - Accent5 21 2 3" xfId="17522"/>
    <cellStyle name="20% - Accent5 21 3" xfId="17523"/>
    <cellStyle name="20% - Accent5 21 3 2" xfId="17524"/>
    <cellStyle name="20% - Accent5 21 4" xfId="17525"/>
    <cellStyle name="20% - Accent5 22" xfId="17526"/>
    <cellStyle name="20% - Accent5 22 2" xfId="17527"/>
    <cellStyle name="20% - Accent5 22 2 2" xfId="17528"/>
    <cellStyle name="20% - Accent5 22 3" xfId="17529"/>
    <cellStyle name="20% - Accent5 23" xfId="17530"/>
    <cellStyle name="20% - Accent5 23 2" xfId="17531"/>
    <cellStyle name="20% - Accent5 24" xfId="17532"/>
    <cellStyle name="20% - Accent5 3" xfId="17533"/>
    <cellStyle name="20% - Accent5 3 10" xfId="17534"/>
    <cellStyle name="20% - Accent5 3 10 2" xfId="17535"/>
    <cellStyle name="20% - Accent5 3 11" xfId="17536"/>
    <cellStyle name="20% - Accent5 3 2" xfId="17537"/>
    <cellStyle name="20% - Accent5 3 2 10" xfId="17538"/>
    <cellStyle name="20% - Accent5 3 2 2" xfId="17539"/>
    <cellStyle name="20% - Accent5 3 2 2 2" xfId="17540"/>
    <cellStyle name="20% - Accent5 3 2 2 2 2" xfId="17541"/>
    <cellStyle name="20% - Accent5 3 2 2 2 2 2" xfId="17542"/>
    <cellStyle name="20% - Accent5 3 2 2 2 2 2 2" xfId="17543"/>
    <cellStyle name="20% - Accent5 3 2 2 2 2 3" xfId="17544"/>
    <cellStyle name="20% - Accent5 3 2 2 2 3" xfId="17545"/>
    <cellStyle name="20% - Accent5 3 2 2 2 3 2" xfId="17546"/>
    <cellStyle name="20% - Accent5 3 2 2 2 4" xfId="17547"/>
    <cellStyle name="20% - Accent5 3 2 2 3" xfId="17548"/>
    <cellStyle name="20% - Accent5 3 2 2 3 2" xfId="17549"/>
    <cellStyle name="20% - Accent5 3 2 2 3 2 2" xfId="17550"/>
    <cellStyle name="20% - Accent5 3 2 2 3 3" xfId="17551"/>
    <cellStyle name="20% - Accent5 3 2 2 4" xfId="17552"/>
    <cellStyle name="20% - Accent5 3 2 2 4 2" xfId="17553"/>
    <cellStyle name="20% - Accent5 3 2 2 5" xfId="17554"/>
    <cellStyle name="20% - Accent5 3 2 3" xfId="17555"/>
    <cellStyle name="20% - Accent5 3 2 3 2" xfId="17556"/>
    <cellStyle name="20% - Accent5 3 2 3 2 2" xfId="17557"/>
    <cellStyle name="20% - Accent5 3 2 3 2 2 2" xfId="17558"/>
    <cellStyle name="20% - Accent5 3 2 3 2 2 2 2" xfId="17559"/>
    <cellStyle name="20% - Accent5 3 2 3 2 2 3" xfId="17560"/>
    <cellStyle name="20% - Accent5 3 2 3 2 3" xfId="17561"/>
    <cellStyle name="20% - Accent5 3 2 3 2 3 2" xfId="17562"/>
    <cellStyle name="20% - Accent5 3 2 3 2 4" xfId="17563"/>
    <cellStyle name="20% - Accent5 3 2 3 3" xfId="17564"/>
    <cellStyle name="20% - Accent5 3 2 3 3 2" xfId="17565"/>
    <cellStyle name="20% - Accent5 3 2 3 3 2 2" xfId="17566"/>
    <cellStyle name="20% - Accent5 3 2 3 3 3" xfId="17567"/>
    <cellStyle name="20% - Accent5 3 2 3 4" xfId="17568"/>
    <cellStyle name="20% - Accent5 3 2 3 4 2" xfId="17569"/>
    <cellStyle name="20% - Accent5 3 2 3 5" xfId="17570"/>
    <cellStyle name="20% - Accent5 3 2 4" xfId="17571"/>
    <cellStyle name="20% - Accent5 3 2 4 2" xfId="17572"/>
    <cellStyle name="20% - Accent5 3 2 4 2 2" xfId="17573"/>
    <cellStyle name="20% - Accent5 3 2 4 2 2 2" xfId="17574"/>
    <cellStyle name="20% - Accent5 3 2 4 2 2 2 2" xfId="17575"/>
    <cellStyle name="20% - Accent5 3 2 4 2 2 3" xfId="17576"/>
    <cellStyle name="20% - Accent5 3 2 4 2 3" xfId="17577"/>
    <cellStyle name="20% - Accent5 3 2 4 2 3 2" xfId="17578"/>
    <cellStyle name="20% - Accent5 3 2 4 2 4" xfId="17579"/>
    <cellStyle name="20% - Accent5 3 2 4 3" xfId="17580"/>
    <cellStyle name="20% - Accent5 3 2 4 3 2" xfId="17581"/>
    <cellStyle name="20% - Accent5 3 2 4 3 2 2" xfId="17582"/>
    <cellStyle name="20% - Accent5 3 2 4 3 3" xfId="17583"/>
    <cellStyle name="20% - Accent5 3 2 4 4" xfId="17584"/>
    <cellStyle name="20% - Accent5 3 2 4 4 2" xfId="17585"/>
    <cellStyle name="20% - Accent5 3 2 4 5" xfId="17586"/>
    <cellStyle name="20% - Accent5 3 2 5" xfId="17587"/>
    <cellStyle name="20% - Accent5 3 2 5 2" xfId="17588"/>
    <cellStyle name="20% - Accent5 3 2 5 2 2" xfId="17589"/>
    <cellStyle name="20% - Accent5 3 2 5 2 2 2" xfId="17590"/>
    <cellStyle name="20% - Accent5 3 2 5 2 2 2 2" xfId="17591"/>
    <cellStyle name="20% - Accent5 3 2 5 2 2 3" xfId="17592"/>
    <cellStyle name="20% - Accent5 3 2 5 2 3" xfId="17593"/>
    <cellStyle name="20% - Accent5 3 2 5 2 3 2" xfId="17594"/>
    <cellStyle name="20% - Accent5 3 2 5 2 4" xfId="17595"/>
    <cellStyle name="20% - Accent5 3 2 5 3" xfId="17596"/>
    <cellStyle name="20% - Accent5 3 2 5 3 2" xfId="17597"/>
    <cellStyle name="20% - Accent5 3 2 5 3 2 2" xfId="17598"/>
    <cellStyle name="20% - Accent5 3 2 5 3 3" xfId="17599"/>
    <cellStyle name="20% - Accent5 3 2 5 4" xfId="17600"/>
    <cellStyle name="20% - Accent5 3 2 5 4 2" xfId="17601"/>
    <cellStyle name="20% - Accent5 3 2 5 5" xfId="17602"/>
    <cellStyle name="20% - Accent5 3 2 6" xfId="17603"/>
    <cellStyle name="20% - Accent5 3 2 6 2" xfId="17604"/>
    <cellStyle name="20% - Accent5 3 2 6 2 2" xfId="17605"/>
    <cellStyle name="20% - Accent5 3 2 6 2 2 2" xfId="17606"/>
    <cellStyle name="20% - Accent5 3 2 6 2 2 2 2" xfId="17607"/>
    <cellStyle name="20% - Accent5 3 2 6 2 2 3" xfId="17608"/>
    <cellStyle name="20% - Accent5 3 2 6 2 3" xfId="17609"/>
    <cellStyle name="20% - Accent5 3 2 6 2 3 2" xfId="17610"/>
    <cellStyle name="20% - Accent5 3 2 6 2 4" xfId="17611"/>
    <cellStyle name="20% - Accent5 3 2 6 3" xfId="17612"/>
    <cellStyle name="20% - Accent5 3 2 6 3 2" xfId="17613"/>
    <cellStyle name="20% - Accent5 3 2 6 3 2 2" xfId="17614"/>
    <cellStyle name="20% - Accent5 3 2 6 3 3" xfId="17615"/>
    <cellStyle name="20% - Accent5 3 2 6 4" xfId="17616"/>
    <cellStyle name="20% - Accent5 3 2 6 4 2" xfId="17617"/>
    <cellStyle name="20% - Accent5 3 2 6 5" xfId="17618"/>
    <cellStyle name="20% - Accent5 3 2 7" xfId="17619"/>
    <cellStyle name="20% - Accent5 3 2 7 2" xfId="17620"/>
    <cellStyle name="20% - Accent5 3 2 7 2 2" xfId="17621"/>
    <cellStyle name="20% - Accent5 3 2 7 2 2 2" xfId="17622"/>
    <cellStyle name="20% - Accent5 3 2 7 2 3" xfId="17623"/>
    <cellStyle name="20% - Accent5 3 2 7 3" xfId="17624"/>
    <cellStyle name="20% - Accent5 3 2 7 3 2" xfId="17625"/>
    <cellStyle name="20% - Accent5 3 2 7 4" xfId="17626"/>
    <cellStyle name="20% - Accent5 3 2 8" xfId="17627"/>
    <cellStyle name="20% - Accent5 3 2 8 2" xfId="17628"/>
    <cellStyle name="20% - Accent5 3 2 8 2 2" xfId="17629"/>
    <cellStyle name="20% - Accent5 3 2 8 3" xfId="17630"/>
    <cellStyle name="20% - Accent5 3 2 9" xfId="17631"/>
    <cellStyle name="20% - Accent5 3 2 9 2" xfId="17632"/>
    <cellStyle name="20% - Accent5 3 3" xfId="17633"/>
    <cellStyle name="20% - Accent5 3 3 2" xfId="17634"/>
    <cellStyle name="20% - Accent5 3 3 2 2" xfId="17635"/>
    <cellStyle name="20% - Accent5 3 3 2 2 2" xfId="17636"/>
    <cellStyle name="20% - Accent5 3 3 2 2 2 2" xfId="17637"/>
    <cellStyle name="20% - Accent5 3 3 2 2 3" xfId="17638"/>
    <cellStyle name="20% - Accent5 3 3 2 3" xfId="17639"/>
    <cellStyle name="20% - Accent5 3 3 2 3 2" xfId="17640"/>
    <cellStyle name="20% - Accent5 3 3 2 4" xfId="17641"/>
    <cellStyle name="20% - Accent5 3 3 3" xfId="17642"/>
    <cellStyle name="20% - Accent5 3 3 3 2" xfId="17643"/>
    <cellStyle name="20% - Accent5 3 3 3 2 2" xfId="17644"/>
    <cellStyle name="20% - Accent5 3 3 3 3" xfId="17645"/>
    <cellStyle name="20% - Accent5 3 3 4" xfId="17646"/>
    <cellStyle name="20% - Accent5 3 3 4 2" xfId="17647"/>
    <cellStyle name="20% - Accent5 3 3 5" xfId="17648"/>
    <cellStyle name="20% - Accent5 3 4" xfId="17649"/>
    <cellStyle name="20% - Accent5 3 4 2" xfId="17650"/>
    <cellStyle name="20% - Accent5 3 4 2 2" xfId="17651"/>
    <cellStyle name="20% - Accent5 3 4 2 2 2" xfId="17652"/>
    <cellStyle name="20% - Accent5 3 4 2 2 2 2" xfId="17653"/>
    <cellStyle name="20% - Accent5 3 4 2 2 3" xfId="17654"/>
    <cellStyle name="20% - Accent5 3 4 2 3" xfId="17655"/>
    <cellStyle name="20% - Accent5 3 4 2 3 2" xfId="17656"/>
    <cellStyle name="20% - Accent5 3 4 2 4" xfId="17657"/>
    <cellStyle name="20% - Accent5 3 4 3" xfId="17658"/>
    <cellStyle name="20% - Accent5 3 4 3 2" xfId="17659"/>
    <cellStyle name="20% - Accent5 3 4 3 2 2" xfId="17660"/>
    <cellStyle name="20% - Accent5 3 4 3 3" xfId="17661"/>
    <cellStyle name="20% - Accent5 3 4 4" xfId="17662"/>
    <cellStyle name="20% - Accent5 3 4 4 2" xfId="17663"/>
    <cellStyle name="20% - Accent5 3 4 5" xfId="17664"/>
    <cellStyle name="20% - Accent5 3 5" xfId="17665"/>
    <cellStyle name="20% - Accent5 3 5 2" xfId="17666"/>
    <cellStyle name="20% - Accent5 3 5 2 2" xfId="17667"/>
    <cellStyle name="20% - Accent5 3 5 2 2 2" xfId="17668"/>
    <cellStyle name="20% - Accent5 3 5 2 2 2 2" xfId="17669"/>
    <cellStyle name="20% - Accent5 3 5 2 2 3" xfId="17670"/>
    <cellStyle name="20% - Accent5 3 5 2 3" xfId="17671"/>
    <cellStyle name="20% - Accent5 3 5 2 3 2" xfId="17672"/>
    <cellStyle name="20% - Accent5 3 5 2 4" xfId="17673"/>
    <cellStyle name="20% - Accent5 3 5 3" xfId="17674"/>
    <cellStyle name="20% - Accent5 3 5 3 2" xfId="17675"/>
    <cellStyle name="20% - Accent5 3 5 3 2 2" xfId="17676"/>
    <cellStyle name="20% - Accent5 3 5 3 3" xfId="17677"/>
    <cellStyle name="20% - Accent5 3 5 4" xfId="17678"/>
    <cellStyle name="20% - Accent5 3 5 4 2" xfId="17679"/>
    <cellStyle name="20% - Accent5 3 5 5" xfId="17680"/>
    <cellStyle name="20% - Accent5 3 6" xfId="17681"/>
    <cellStyle name="20% - Accent5 3 6 2" xfId="17682"/>
    <cellStyle name="20% - Accent5 3 6 2 2" xfId="17683"/>
    <cellStyle name="20% - Accent5 3 6 2 2 2" xfId="17684"/>
    <cellStyle name="20% - Accent5 3 6 2 2 2 2" xfId="17685"/>
    <cellStyle name="20% - Accent5 3 6 2 2 3" xfId="17686"/>
    <cellStyle name="20% - Accent5 3 6 2 3" xfId="17687"/>
    <cellStyle name="20% - Accent5 3 6 2 3 2" xfId="17688"/>
    <cellStyle name="20% - Accent5 3 6 2 4" xfId="17689"/>
    <cellStyle name="20% - Accent5 3 6 3" xfId="17690"/>
    <cellStyle name="20% - Accent5 3 6 3 2" xfId="17691"/>
    <cellStyle name="20% - Accent5 3 6 3 2 2" xfId="17692"/>
    <cellStyle name="20% - Accent5 3 6 3 3" xfId="17693"/>
    <cellStyle name="20% - Accent5 3 6 4" xfId="17694"/>
    <cellStyle name="20% - Accent5 3 6 4 2" xfId="17695"/>
    <cellStyle name="20% - Accent5 3 6 5" xfId="17696"/>
    <cellStyle name="20% - Accent5 3 7" xfId="17697"/>
    <cellStyle name="20% - Accent5 3 7 2" xfId="17698"/>
    <cellStyle name="20% - Accent5 3 7 2 2" xfId="17699"/>
    <cellStyle name="20% - Accent5 3 7 2 2 2" xfId="17700"/>
    <cellStyle name="20% - Accent5 3 7 2 2 2 2" xfId="17701"/>
    <cellStyle name="20% - Accent5 3 7 2 2 3" xfId="17702"/>
    <cellStyle name="20% - Accent5 3 7 2 3" xfId="17703"/>
    <cellStyle name="20% - Accent5 3 7 2 3 2" xfId="17704"/>
    <cellStyle name="20% - Accent5 3 7 2 4" xfId="17705"/>
    <cellStyle name="20% - Accent5 3 7 3" xfId="17706"/>
    <cellStyle name="20% - Accent5 3 7 3 2" xfId="17707"/>
    <cellStyle name="20% - Accent5 3 7 3 2 2" xfId="17708"/>
    <cellStyle name="20% - Accent5 3 7 3 3" xfId="17709"/>
    <cellStyle name="20% - Accent5 3 7 4" xfId="17710"/>
    <cellStyle name="20% - Accent5 3 7 4 2" xfId="17711"/>
    <cellStyle name="20% - Accent5 3 7 5" xfId="17712"/>
    <cellStyle name="20% - Accent5 3 8" xfId="17713"/>
    <cellStyle name="20% - Accent5 3 8 2" xfId="17714"/>
    <cellStyle name="20% - Accent5 3 8 2 2" xfId="17715"/>
    <cellStyle name="20% - Accent5 3 8 2 2 2" xfId="17716"/>
    <cellStyle name="20% - Accent5 3 8 2 3" xfId="17717"/>
    <cellStyle name="20% - Accent5 3 8 3" xfId="17718"/>
    <cellStyle name="20% - Accent5 3 8 3 2" xfId="17719"/>
    <cellStyle name="20% - Accent5 3 8 4" xfId="17720"/>
    <cellStyle name="20% - Accent5 3 9" xfId="17721"/>
    <cellStyle name="20% - Accent5 3 9 2" xfId="17722"/>
    <cellStyle name="20% - Accent5 3 9 2 2" xfId="17723"/>
    <cellStyle name="20% - Accent5 3 9 3" xfId="17724"/>
    <cellStyle name="20% - Accent5 4" xfId="17725"/>
    <cellStyle name="20% - Accent5 4 10" xfId="17726"/>
    <cellStyle name="20% - Accent5 4 10 2" xfId="17727"/>
    <cellStyle name="20% - Accent5 4 11" xfId="17728"/>
    <cellStyle name="20% - Accent5 4 2" xfId="17729"/>
    <cellStyle name="20% - Accent5 4 2 10" xfId="17730"/>
    <cellStyle name="20% - Accent5 4 2 2" xfId="17731"/>
    <cellStyle name="20% - Accent5 4 2 2 2" xfId="17732"/>
    <cellStyle name="20% - Accent5 4 2 2 2 2" xfId="17733"/>
    <cellStyle name="20% - Accent5 4 2 2 2 2 2" xfId="17734"/>
    <cellStyle name="20% - Accent5 4 2 2 2 2 2 2" xfId="17735"/>
    <cellStyle name="20% - Accent5 4 2 2 2 2 3" xfId="17736"/>
    <cellStyle name="20% - Accent5 4 2 2 2 3" xfId="17737"/>
    <cellStyle name="20% - Accent5 4 2 2 2 3 2" xfId="17738"/>
    <cellStyle name="20% - Accent5 4 2 2 2 4" xfId="17739"/>
    <cellStyle name="20% - Accent5 4 2 2 3" xfId="17740"/>
    <cellStyle name="20% - Accent5 4 2 2 3 2" xfId="17741"/>
    <cellStyle name="20% - Accent5 4 2 2 3 2 2" xfId="17742"/>
    <cellStyle name="20% - Accent5 4 2 2 3 3" xfId="17743"/>
    <cellStyle name="20% - Accent5 4 2 2 4" xfId="17744"/>
    <cellStyle name="20% - Accent5 4 2 2 4 2" xfId="17745"/>
    <cellStyle name="20% - Accent5 4 2 2 5" xfId="17746"/>
    <cellStyle name="20% - Accent5 4 2 3" xfId="17747"/>
    <cellStyle name="20% - Accent5 4 2 3 2" xfId="17748"/>
    <cellStyle name="20% - Accent5 4 2 3 2 2" xfId="17749"/>
    <cellStyle name="20% - Accent5 4 2 3 2 2 2" xfId="17750"/>
    <cellStyle name="20% - Accent5 4 2 3 2 2 2 2" xfId="17751"/>
    <cellStyle name="20% - Accent5 4 2 3 2 2 3" xfId="17752"/>
    <cellStyle name="20% - Accent5 4 2 3 2 3" xfId="17753"/>
    <cellStyle name="20% - Accent5 4 2 3 2 3 2" xfId="17754"/>
    <cellStyle name="20% - Accent5 4 2 3 2 4" xfId="17755"/>
    <cellStyle name="20% - Accent5 4 2 3 3" xfId="17756"/>
    <cellStyle name="20% - Accent5 4 2 3 3 2" xfId="17757"/>
    <cellStyle name="20% - Accent5 4 2 3 3 2 2" xfId="17758"/>
    <cellStyle name="20% - Accent5 4 2 3 3 3" xfId="17759"/>
    <cellStyle name="20% - Accent5 4 2 3 4" xfId="17760"/>
    <cellStyle name="20% - Accent5 4 2 3 4 2" xfId="17761"/>
    <cellStyle name="20% - Accent5 4 2 3 5" xfId="17762"/>
    <cellStyle name="20% - Accent5 4 2 4" xfId="17763"/>
    <cellStyle name="20% - Accent5 4 2 4 2" xfId="17764"/>
    <cellStyle name="20% - Accent5 4 2 4 2 2" xfId="17765"/>
    <cellStyle name="20% - Accent5 4 2 4 2 2 2" xfId="17766"/>
    <cellStyle name="20% - Accent5 4 2 4 2 2 2 2" xfId="17767"/>
    <cellStyle name="20% - Accent5 4 2 4 2 2 3" xfId="17768"/>
    <cellStyle name="20% - Accent5 4 2 4 2 3" xfId="17769"/>
    <cellStyle name="20% - Accent5 4 2 4 2 3 2" xfId="17770"/>
    <cellStyle name="20% - Accent5 4 2 4 2 4" xfId="17771"/>
    <cellStyle name="20% - Accent5 4 2 4 3" xfId="17772"/>
    <cellStyle name="20% - Accent5 4 2 4 3 2" xfId="17773"/>
    <cellStyle name="20% - Accent5 4 2 4 3 2 2" xfId="17774"/>
    <cellStyle name="20% - Accent5 4 2 4 3 3" xfId="17775"/>
    <cellStyle name="20% - Accent5 4 2 4 4" xfId="17776"/>
    <cellStyle name="20% - Accent5 4 2 4 4 2" xfId="17777"/>
    <cellStyle name="20% - Accent5 4 2 4 5" xfId="17778"/>
    <cellStyle name="20% - Accent5 4 2 5" xfId="17779"/>
    <cellStyle name="20% - Accent5 4 2 5 2" xfId="17780"/>
    <cellStyle name="20% - Accent5 4 2 5 2 2" xfId="17781"/>
    <cellStyle name="20% - Accent5 4 2 5 2 2 2" xfId="17782"/>
    <cellStyle name="20% - Accent5 4 2 5 2 2 2 2" xfId="17783"/>
    <cellStyle name="20% - Accent5 4 2 5 2 2 3" xfId="17784"/>
    <cellStyle name="20% - Accent5 4 2 5 2 3" xfId="17785"/>
    <cellStyle name="20% - Accent5 4 2 5 2 3 2" xfId="17786"/>
    <cellStyle name="20% - Accent5 4 2 5 2 4" xfId="17787"/>
    <cellStyle name="20% - Accent5 4 2 5 3" xfId="17788"/>
    <cellStyle name="20% - Accent5 4 2 5 3 2" xfId="17789"/>
    <cellStyle name="20% - Accent5 4 2 5 3 2 2" xfId="17790"/>
    <cellStyle name="20% - Accent5 4 2 5 3 3" xfId="17791"/>
    <cellStyle name="20% - Accent5 4 2 5 4" xfId="17792"/>
    <cellStyle name="20% - Accent5 4 2 5 4 2" xfId="17793"/>
    <cellStyle name="20% - Accent5 4 2 5 5" xfId="17794"/>
    <cellStyle name="20% - Accent5 4 2 6" xfId="17795"/>
    <cellStyle name="20% - Accent5 4 2 6 2" xfId="17796"/>
    <cellStyle name="20% - Accent5 4 2 6 2 2" xfId="17797"/>
    <cellStyle name="20% - Accent5 4 2 6 2 2 2" xfId="17798"/>
    <cellStyle name="20% - Accent5 4 2 6 2 2 2 2" xfId="17799"/>
    <cellStyle name="20% - Accent5 4 2 6 2 2 3" xfId="17800"/>
    <cellStyle name="20% - Accent5 4 2 6 2 3" xfId="17801"/>
    <cellStyle name="20% - Accent5 4 2 6 2 3 2" xfId="17802"/>
    <cellStyle name="20% - Accent5 4 2 6 2 4" xfId="17803"/>
    <cellStyle name="20% - Accent5 4 2 6 3" xfId="17804"/>
    <cellStyle name="20% - Accent5 4 2 6 3 2" xfId="17805"/>
    <cellStyle name="20% - Accent5 4 2 6 3 2 2" xfId="17806"/>
    <cellStyle name="20% - Accent5 4 2 6 3 3" xfId="17807"/>
    <cellStyle name="20% - Accent5 4 2 6 4" xfId="17808"/>
    <cellStyle name="20% - Accent5 4 2 6 4 2" xfId="17809"/>
    <cellStyle name="20% - Accent5 4 2 6 5" xfId="17810"/>
    <cellStyle name="20% - Accent5 4 2 7" xfId="17811"/>
    <cellStyle name="20% - Accent5 4 2 7 2" xfId="17812"/>
    <cellStyle name="20% - Accent5 4 2 7 2 2" xfId="17813"/>
    <cellStyle name="20% - Accent5 4 2 7 2 2 2" xfId="17814"/>
    <cellStyle name="20% - Accent5 4 2 7 2 3" xfId="17815"/>
    <cellStyle name="20% - Accent5 4 2 7 3" xfId="17816"/>
    <cellStyle name="20% - Accent5 4 2 7 3 2" xfId="17817"/>
    <cellStyle name="20% - Accent5 4 2 7 4" xfId="17818"/>
    <cellStyle name="20% - Accent5 4 2 8" xfId="17819"/>
    <cellStyle name="20% - Accent5 4 2 8 2" xfId="17820"/>
    <cellStyle name="20% - Accent5 4 2 8 2 2" xfId="17821"/>
    <cellStyle name="20% - Accent5 4 2 8 3" xfId="17822"/>
    <cellStyle name="20% - Accent5 4 2 9" xfId="17823"/>
    <cellStyle name="20% - Accent5 4 2 9 2" xfId="17824"/>
    <cellStyle name="20% - Accent5 4 3" xfId="17825"/>
    <cellStyle name="20% - Accent5 4 3 2" xfId="17826"/>
    <cellStyle name="20% - Accent5 4 3 2 2" xfId="17827"/>
    <cellStyle name="20% - Accent5 4 3 2 2 2" xfId="17828"/>
    <cellStyle name="20% - Accent5 4 3 2 2 2 2" xfId="17829"/>
    <cellStyle name="20% - Accent5 4 3 2 2 3" xfId="17830"/>
    <cellStyle name="20% - Accent5 4 3 2 3" xfId="17831"/>
    <cellStyle name="20% - Accent5 4 3 2 3 2" xfId="17832"/>
    <cellStyle name="20% - Accent5 4 3 2 4" xfId="17833"/>
    <cellStyle name="20% - Accent5 4 3 3" xfId="17834"/>
    <cellStyle name="20% - Accent5 4 3 3 2" xfId="17835"/>
    <cellStyle name="20% - Accent5 4 3 3 2 2" xfId="17836"/>
    <cellStyle name="20% - Accent5 4 3 3 3" xfId="17837"/>
    <cellStyle name="20% - Accent5 4 3 4" xfId="17838"/>
    <cellStyle name="20% - Accent5 4 3 4 2" xfId="17839"/>
    <cellStyle name="20% - Accent5 4 3 5" xfId="17840"/>
    <cellStyle name="20% - Accent5 4 4" xfId="17841"/>
    <cellStyle name="20% - Accent5 4 4 2" xfId="17842"/>
    <cellStyle name="20% - Accent5 4 4 2 2" xfId="17843"/>
    <cellStyle name="20% - Accent5 4 4 2 2 2" xfId="17844"/>
    <cellStyle name="20% - Accent5 4 4 2 2 2 2" xfId="17845"/>
    <cellStyle name="20% - Accent5 4 4 2 2 3" xfId="17846"/>
    <cellStyle name="20% - Accent5 4 4 2 3" xfId="17847"/>
    <cellStyle name="20% - Accent5 4 4 2 3 2" xfId="17848"/>
    <cellStyle name="20% - Accent5 4 4 2 4" xfId="17849"/>
    <cellStyle name="20% - Accent5 4 4 3" xfId="17850"/>
    <cellStyle name="20% - Accent5 4 4 3 2" xfId="17851"/>
    <cellStyle name="20% - Accent5 4 4 3 2 2" xfId="17852"/>
    <cellStyle name="20% - Accent5 4 4 3 3" xfId="17853"/>
    <cellStyle name="20% - Accent5 4 4 4" xfId="17854"/>
    <cellStyle name="20% - Accent5 4 4 4 2" xfId="17855"/>
    <cellStyle name="20% - Accent5 4 4 5" xfId="17856"/>
    <cellStyle name="20% - Accent5 4 5" xfId="17857"/>
    <cellStyle name="20% - Accent5 4 5 2" xfId="17858"/>
    <cellStyle name="20% - Accent5 4 5 2 2" xfId="17859"/>
    <cellStyle name="20% - Accent5 4 5 2 2 2" xfId="17860"/>
    <cellStyle name="20% - Accent5 4 5 2 2 2 2" xfId="17861"/>
    <cellStyle name="20% - Accent5 4 5 2 2 3" xfId="17862"/>
    <cellStyle name="20% - Accent5 4 5 2 3" xfId="17863"/>
    <cellStyle name="20% - Accent5 4 5 2 3 2" xfId="17864"/>
    <cellStyle name="20% - Accent5 4 5 2 4" xfId="17865"/>
    <cellStyle name="20% - Accent5 4 5 3" xfId="17866"/>
    <cellStyle name="20% - Accent5 4 5 3 2" xfId="17867"/>
    <cellStyle name="20% - Accent5 4 5 3 2 2" xfId="17868"/>
    <cellStyle name="20% - Accent5 4 5 3 3" xfId="17869"/>
    <cellStyle name="20% - Accent5 4 5 4" xfId="17870"/>
    <cellStyle name="20% - Accent5 4 5 4 2" xfId="17871"/>
    <cellStyle name="20% - Accent5 4 5 5" xfId="17872"/>
    <cellStyle name="20% - Accent5 4 6" xfId="17873"/>
    <cellStyle name="20% - Accent5 4 6 2" xfId="17874"/>
    <cellStyle name="20% - Accent5 4 6 2 2" xfId="17875"/>
    <cellStyle name="20% - Accent5 4 6 2 2 2" xfId="17876"/>
    <cellStyle name="20% - Accent5 4 6 2 2 2 2" xfId="17877"/>
    <cellStyle name="20% - Accent5 4 6 2 2 3" xfId="17878"/>
    <cellStyle name="20% - Accent5 4 6 2 3" xfId="17879"/>
    <cellStyle name="20% - Accent5 4 6 2 3 2" xfId="17880"/>
    <cellStyle name="20% - Accent5 4 6 2 4" xfId="17881"/>
    <cellStyle name="20% - Accent5 4 6 3" xfId="17882"/>
    <cellStyle name="20% - Accent5 4 6 3 2" xfId="17883"/>
    <cellStyle name="20% - Accent5 4 6 3 2 2" xfId="17884"/>
    <cellStyle name="20% - Accent5 4 6 3 3" xfId="17885"/>
    <cellStyle name="20% - Accent5 4 6 4" xfId="17886"/>
    <cellStyle name="20% - Accent5 4 6 4 2" xfId="17887"/>
    <cellStyle name="20% - Accent5 4 6 5" xfId="17888"/>
    <cellStyle name="20% - Accent5 4 7" xfId="17889"/>
    <cellStyle name="20% - Accent5 4 7 2" xfId="17890"/>
    <cellStyle name="20% - Accent5 4 7 2 2" xfId="17891"/>
    <cellStyle name="20% - Accent5 4 7 2 2 2" xfId="17892"/>
    <cellStyle name="20% - Accent5 4 7 2 2 2 2" xfId="17893"/>
    <cellStyle name="20% - Accent5 4 7 2 2 3" xfId="17894"/>
    <cellStyle name="20% - Accent5 4 7 2 3" xfId="17895"/>
    <cellStyle name="20% - Accent5 4 7 2 3 2" xfId="17896"/>
    <cellStyle name="20% - Accent5 4 7 2 4" xfId="17897"/>
    <cellStyle name="20% - Accent5 4 7 3" xfId="17898"/>
    <cellStyle name="20% - Accent5 4 7 3 2" xfId="17899"/>
    <cellStyle name="20% - Accent5 4 7 3 2 2" xfId="17900"/>
    <cellStyle name="20% - Accent5 4 7 3 3" xfId="17901"/>
    <cellStyle name="20% - Accent5 4 7 4" xfId="17902"/>
    <cellStyle name="20% - Accent5 4 7 4 2" xfId="17903"/>
    <cellStyle name="20% - Accent5 4 7 5" xfId="17904"/>
    <cellStyle name="20% - Accent5 4 8" xfId="17905"/>
    <cellStyle name="20% - Accent5 4 8 2" xfId="17906"/>
    <cellStyle name="20% - Accent5 4 8 2 2" xfId="17907"/>
    <cellStyle name="20% - Accent5 4 8 2 2 2" xfId="17908"/>
    <cellStyle name="20% - Accent5 4 8 2 3" xfId="17909"/>
    <cellStyle name="20% - Accent5 4 8 3" xfId="17910"/>
    <cellStyle name="20% - Accent5 4 8 3 2" xfId="17911"/>
    <cellStyle name="20% - Accent5 4 8 4" xfId="17912"/>
    <cellStyle name="20% - Accent5 4 9" xfId="17913"/>
    <cellStyle name="20% - Accent5 4 9 2" xfId="17914"/>
    <cellStyle name="20% - Accent5 4 9 2 2" xfId="17915"/>
    <cellStyle name="20% - Accent5 4 9 3" xfId="17916"/>
    <cellStyle name="20% - Accent5 5" xfId="17917"/>
    <cellStyle name="20% - Accent5 5 10" xfId="17918"/>
    <cellStyle name="20% - Accent5 5 10 2" xfId="17919"/>
    <cellStyle name="20% - Accent5 5 11" xfId="17920"/>
    <cellStyle name="20% - Accent5 5 2" xfId="17921"/>
    <cellStyle name="20% - Accent5 5 2 10" xfId="17922"/>
    <cellStyle name="20% - Accent5 5 2 2" xfId="17923"/>
    <cellStyle name="20% - Accent5 5 2 2 2" xfId="17924"/>
    <cellStyle name="20% - Accent5 5 2 2 2 2" xfId="17925"/>
    <cellStyle name="20% - Accent5 5 2 2 2 2 2" xfId="17926"/>
    <cellStyle name="20% - Accent5 5 2 2 2 2 2 2" xfId="17927"/>
    <cellStyle name="20% - Accent5 5 2 2 2 2 3" xfId="17928"/>
    <cellStyle name="20% - Accent5 5 2 2 2 3" xfId="17929"/>
    <cellStyle name="20% - Accent5 5 2 2 2 3 2" xfId="17930"/>
    <cellStyle name="20% - Accent5 5 2 2 2 4" xfId="17931"/>
    <cellStyle name="20% - Accent5 5 2 2 3" xfId="17932"/>
    <cellStyle name="20% - Accent5 5 2 2 3 2" xfId="17933"/>
    <cellStyle name="20% - Accent5 5 2 2 3 2 2" xfId="17934"/>
    <cellStyle name="20% - Accent5 5 2 2 3 3" xfId="17935"/>
    <cellStyle name="20% - Accent5 5 2 2 4" xfId="17936"/>
    <cellStyle name="20% - Accent5 5 2 2 4 2" xfId="17937"/>
    <cellStyle name="20% - Accent5 5 2 2 5" xfId="17938"/>
    <cellStyle name="20% - Accent5 5 2 3" xfId="17939"/>
    <cellStyle name="20% - Accent5 5 2 3 2" xfId="17940"/>
    <cellStyle name="20% - Accent5 5 2 3 2 2" xfId="17941"/>
    <cellStyle name="20% - Accent5 5 2 3 2 2 2" xfId="17942"/>
    <cellStyle name="20% - Accent5 5 2 3 2 2 2 2" xfId="17943"/>
    <cellStyle name="20% - Accent5 5 2 3 2 2 3" xfId="17944"/>
    <cellStyle name="20% - Accent5 5 2 3 2 3" xfId="17945"/>
    <cellStyle name="20% - Accent5 5 2 3 2 3 2" xfId="17946"/>
    <cellStyle name="20% - Accent5 5 2 3 2 4" xfId="17947"/>
    <cellStyle name="20% - Accent5 5 2 3 3" xfId="17948"/>
    <cellStyle name="20% - Accent5 5 2 3 3 2" xfId="17949"/>
    <cellStyle name="20% - Accent5 5 2 3 3 2 2" xfId="17950"/>
    <cellStyle name="20% - Accent5 5 2 3 3 3" xfId="17951"/>
    <cellStyle name="20% - Accent5 5 2 3 4" xfId="17952"/>
    <cellStyle name="20% - Accent5 5 2 3 4 2" xfId="17953"/>
    <cellStyle name="20% - Accent5 5 2 3 5" xfId="17954"/>
    <cellStyle name="20% - Accent5 5 2 4" xfId="17955"/>
    <cellStyle name="20% - Accent5 5 2 4 2" xfId="17956"/>
    <cellStyle name="20% - Accent5 5 2 4 2 2" xfId="17957"/>
    <cellStyle name="20% - Accent5 5 2 4 2 2 2" xfId="17958"/>
    <cellStyle name="20% - Accent5 5 2 4 2 2 2 2" xfId="17959"/>
    <cellStyle name="20% - Accent5 5 2 4 2 2 3" xfId="17960"/>
    <cellStyle name="20% - Accent5 5 2 4 2 3" xfId="17961"/>
    <cellStyle name="20% - Accent5 5 2 4 2 3 2" xfId="17962"/>
    <cellStyle name="20% - Accent5 5 2 4 2 4" xfId="17963"/>
    <cellStyle name="20% - Accent5 5 2 4 3" xfId="17964"/>
    <cellStyle name="20% - Accent5 5 2 4 3 2" xfId="17965"/>
    <cellStyle name="20% - Accent5 5 2 4 3 2 2" xfId="17966"/>
    <cellStyle name="20% - Accent5 5 2 4 3 3" xfId="17967"/>
    <cellStyle name="20% - Accent5 5 2 4 4" xfId="17968"/>
    <cellStyle name="20% - Accent5 5 2 4 4 2" xfId="17969"/>
    <cellStyle name="20% - Accent5 5 2 4 5" xfId="17970"/>
    <cellStyle name="20% - Accent5 5 2 5" xfId="17971"/>
    <cellStyle name="20% - Accent5 5 2 5 2" xfId="17972"/>
    <cellStyle name="20% - Accent5 5 2 5 2 2" xfId="17973"/>
    <cellStyle name="20% - Accent5 5 2 5 2 2 2" xfId="17974"/>
    <cellStyle name="20% - Accent5 5 2 5 2 2 2 2" xfId="17975"/>
    <cellStyle name="20% - Accent5 5 2 5 2 2 3" xfId="17976"/>
    <cellStyle name="20% - Accent5 5 2 5 2 3" xfId="17977"/>
    <cellStyle name="20% - Accent5 5 2 5 2 3 2" xfId="17978"/>
    <cellStyle name="20% - Accent5 5 2 5 2 4" xfId="17979"/>
    <cellStyle name="20% - Accent5 5 2 5 3" xfId="17980"/>
    <cellStyle name="20% - Accent5 5 2 5 3 2" xfId="17981"/>
    <cellStyle name="20% - Accent5 5 2 5 3 2 2" xfId="17982"/>
    <cellStyle name="20% - Accent5 5 2 5 3 3" xfId="17983"/>
    <cellStyle name="20% - Accent5 5 2 5 4" xfId="17984"/>
    <cellStyle name="20% - Accent5 5 2 5 4 2" xfId="17985"/>
    <cellStyle name="20% - Accent5 5 2 5 5" xfId="17986"/>
    <cellStyle name="20% - Accent5 5 2 6" xfId="17987"/>
    <cellStyle name="20% - Accent5 5 2 6 2" xfId="17988"/>
    <cellStyle name="20% - Accent5 5 2 6 2 2" xfId="17989"/>
    <cellStyle name="20% - Accent5 5 2 6 2 2 2" xfId="17990"/>
    <cellStyle name="20% - Accent5 5 2 6 2 2 2 2" xfId="17991"/>
    <cellStyle name="20% - Accent5 5 2 6 2 2 3" xfId="17992"/>
    <cellStyle name="20% - Accent5 5 2 6 2 3" xfId="17993"/>
    <cellStyle name="20% - Accent5 5 2 6 2 3 2" xfId="17994"/>
    <cellStyle name="20% - Accent5 5 2 6 2 4" xfId="17995"/>
    <cellStyle name="20% - Accent5 5 2 6 3" xfId="17996"/>
    <cellStyle name="20% - Accent5 5 2 6 3 2" xfId="17997"/>
    <cellStyle name="20% - Accent5 5 2 6 3 2 2" xfId="17998"/>
    <cellStyle name="20% - Accent5 5 2 6 3 3" xfId="17999"/>
    <cellStyle name="20% - Accent5 5 2 6 4" xfId="18000"/>
    <cellStyle name="20% - Accent5 5 2 6 4 2" xfId="18001"/>
    <cellStyle name="20% - Accent5 5 2 6 5" xfId="18002"/>
    <cellStyle name="20% - Accent5 5 2 7" xfId="18003"/>
    <cellStyle name="20% - Accent5 5 2 7 2" xfId="18004"/>
    <cellStyle name="20% - Accent5 5 2 7 2 2" xfId="18005"/>
    <cellStyle name="20% - Accent5 5 2 7 2 2 2" xfId="18006"/>
    <cellStyle name="20% - Accent5 5 2 7 2 3" xfId="18007"/>
    <cellStyle name="20% - Accent5 5 2 7 3" xfId="18008"/>
    <cellStyle name="20% - Accent5 5 2 7 3 2" xfId="18009"/>
    <cellStyle name="20% - Accent5 5 2 7 4" xfId="18010"/>
    <cellStyle name="20% - Accent5 5 2 8" xfId="18011"/>
    <cellStyle name="20% - Accent5 5 2 8 2" xfId="18012"/>
    <cellStyle name="20% - Accent5 5 2 8 2 2" xfId="18013"/>
    <cellStyle name="20% - Accent5 5 2 8 3" xfId="18014"/>
    <cellStyle name="20% - Accent5 5 2 9" xfId="18015"/>
    <cellStyle name="20% - Accent5 5 2 9 2" xfId="18016"/>
    <cellStyle name="20% - Accent5 5 3" xfId="18017"/>
    <cellStyle name="20% - Accent5 5 3 2" xfId="18018"/>
    <cellStyle name="20% - Accent5 5 3 2 2" xfId="18019"/>
    <cellStyle name="20% - Accent5 5 3 2 2 2" xfId="18020"/>
    <cellStyle name="20% - Accent5 5 3 2 2 2 2" xfId="18021"/>
    <cellStyle name="20% - Accent5 5 3 2 2 3" xfId="18022"/>
    <cellStyle name="20% - Accent5 5 3 2 3" xfId="18023"/>
    <cellStyle name="20% - Accent5 5 3 2 3 2" xfId="18024"/>
    <cellStyle name="20% - Accent5 5 3 2 4" xfId="18025"/>
    <cellStyle name="20% - Accent5 5 3 3" xfId="18026"/>
    <cellStyle name="20% - Accent5 5 3 3 2" xfId="18027"/>
    <cellStyle name="20% - Accent5 5 3 3 2 2" xfId="18028"/>
    <cellStyle name="20% - Accent5 5 3 3 3" xfId="18029"/>
    <cellStyle name="20% - Accent5 5 3 4" xfId="18030"/>
    <cellStyle name="20% - Accent5 5 3 4 2" xfId="18031"/>
    <cellStyle name="20% - Accent5 5 3 5" xfId="18032"/>
    <cellStyle name="20% - Accent5 5 4" xfId="18033"/>
    <cellStyle name="20% - Accent5 5 4 2" xfId="18034"/>
    <cellStyle name="20% - Accent5 5 4 2 2" xfId="18035"/>
    <cellStyle name="20% - Accent5 5 4 2 2 2" xfId="18036"/>
    <cellStyle name="20% - Accent5 5 4 2 2 2 2" xfId="18037"/>
    <cellStyle name="20% - Accent5 5 4 2 2 3" xfId="18038"/>
    <cellStyle name="20% - Accent5 5 4 2 3" xfId="18039"/>
    <cellStyle name="20% - Accent5 5 4 2 3 2" xfId="18040"/>
    <cellStyle name="20% - Accent5 5 4 2 4" xfId="18041"/>
    <cellStyle name="20% - Accent5 5 4 3" xfId="18042"/>
    <cellStyle name="20% - Accent5 5 4 3 2" xfId="18043"/>
    <cellStyle name="20% - Accent5 5 4 3 2 2" xfId="18044"/>
    <cellStyle name="20% - Accent5 5 4 3 3" xfId="18045"/>
    <cellStyle name="20% - Accent5 5 4 4" xfId="18046"/>
    <cellStyle name="20% - Accent5 5 4 4 2" xfId="18047"/>
    <cellStyle name="20% - Accent5 5 4 5" xfId="18048"/>
    <cellStyle name="20% - Accent5 5 5" xfId="18049"/>
    <cellStyle name="20% - Accent5 5 5 2" xfId="18050"/>
    <cellStyle name="20% - Accent5 5 5 2 2" xfId="18051"/>
    <cellStyle name="20% - Accent5 5 5 2 2 2" xfId="18052"/>
    <cellStyle name="20% - Accent5 5 5 2 2 2 2" xfId="18053"/>
    <cellStyle name="20% - Accent5 5 5 2 2 3" xfId="18054"/>
    <cellStyle name="20% - Accent5 5 5 2 3" xfId="18055"/>
    <cellStyle name="20% - Accent5 5 5 2 3 2" xfId="18056"/>
    <cellStyle name="20% - Accent5 5 5 2 4" xfId="18057"/>
    <cellStyle name="20% - Accent5 5 5 3" xfId="18058"/>
    <cellStyle name="20% - Accent5 5 5 3 2" xfId="18059"/>
    <cellStyle name="20% - Accent5 5 5 3 2 2" xfId="18060"/>
    <cellStyle name="20% - Accent5 5 5 3 3" xfId="18061"/>
    <cellStyle name="20% - Accent5 5 5 4" xfId="18062"/>
    <cellStyle name="20% - Accent5 5 5 4 2" xfId="18063"/>
    <cellStyle name="20% - Accent5 5 5 5" xfId="18064"/>
    <cellStyle name="20% - Accent5 5 6" xfId="18065"/>
    <cellStyle name="20% - Accent5 5 6 2" xfId="18066"/>
    <cellStyle name="20% - Accent5 5 6 2 2" xfId="18067"/>
    <cellStyle name="20% - Accent5 5 6 2 2 2" xfId="18068"/>
    <cellStyle name="20% - Accent5 5 6 2 2 2 2" xfId="18069"/>
    <cellStyle name="20% - Accent5 5 6 2 2 3" xfId="18070"/>
    <cellStyle name="20% - Accent5 5 6 2 3" xfId="18071"/>
    <cellStyle name="20% - Accent5 5 6 2 3 2" xfId="18072"/>
    <cellStyle name="20% - Accent5 5 6 2 4" xfId="18073"/>
    <cellStyle name="20% - Accent5 5 6 3" xfId="18074"/>
    <cellStyle name="20% - Accent5 5 6 3 2" xfId="18075"/>
    <cellStyle name="20% - Accent5 5 6 3 2 2" xfId="18076"/>
    <cellStyle name="20% - Accent5 5 6 3 3" xfId="18077"/>
    <cellStyle name="20% - Accent5 5 6 4" xfId="18078"/>
    <cellStyle name="20% - Accent5 5 6 4 2" xfId="18079"/>
    <cellStyle name="20% - Accent5 5 6 5" xfId="18080"/>
    <cellStyle name="20% - Accent5 5 7" xfId="18081"/>
    <cellStyle name="20% - Accent5 5 7 2" xfId="18082"/>
    <cellStyle name="20% - Accent5 5 7 2 2" xfId="18083"/>
    <cellStyle name="20% - Accent5 5 7 2 2 2" xfId="18084"/>
    <cellStyle name="20% - Accent5 5 7 2 2 2 2" xfId="18085"/>
    <cellStyle name="20% - Accent5 5 7 2 2 3" xfId="18086"/>
    <cellStyle name="20% - Accent5 5 7 2 3" xfId="18087"/>
    <cellStyle name="20% - Accent5 5 7 2 3 2" xfId="18088"/>
    <cellStyle name="20% - Accent5 5 7 2 4" xfId="18089"/>
    <cellStyle name="20% - Accent5 5 7 3" xfId="18090"/>
    <cellStyle name="20% - Accent5 5 7 3 2" xfId="18091"/>
    <cellStyle name="20% - Accent5 5 7 3 2 2" xfId="18092"/>
    <cellStyle name="20% - Accent5 5 7 3 3" xfId="18093"/>
    <cellStyle name="20% - Accent5 5 7 4" xfId="18094"/>
    <cellStyle name="20% - Accent5 5 7 4 2" xfId="18095"/>
    <cellStyle name="20% - Accent5 5 7 5" xfId="18096"/>
    <cellStyle name="20% - Accent5 5 8" xfId="18097"/>
    <cellStyle name="20% - Accent5 5 8 2" xfId="18098"/>
    <cellStyle name="20% - Accent5 5 8 2 2" xfId="18099"/>
    <cellStyle name="20% - Accent5 5 8 2 2 2" xfId="18100"/>
    <cellStyle name="20% - Accent5 5 8 2 3" xfId="18101"/>
    <cellStyle name="20% - Accent5 5 8 3" xfId="18102"/>
    <cellStyle name="20% - Accent5 5 8 3 2" xfId="18103"/>
    <cellStyle name="20% - Accent5 5 8 4" xfId="18104"/>
    <cellStyle name="20% - Accent5 5 9" xfId="18105"/>
    <cellStyle name="20% - Accent5 5 9 2" xfId="18106"/>
    <cellStyle name="20% - Accent5 5 9 2 2" xfId="18107"/>
    <cellStyle name="20% - Accent5 5 9 3" xfId="18108"/>
    <cellStyle name="20% - Accent5 6" xfId="18109"/>
    <cellStyle name="20% - Accent5 6 10" xfId="18110"/>
    <cellStyle name="20% - Accent5 6 10 2" xfId="18111"/>
    <cellStyle name="20% - Accent5 6 11" xfId="18112"/>
    <cellStyle name="20% - Accent5 6 2" xfId="18113"/>
    <cellStyle name="20% - Accent5 6 2 10" xfId="18114"/>
    <cellStyle name="20% - Accent5 6 2 2" xfId="18115"/>
    <cellStyle name="20% - Accent5 6 2 2 2" xfId="18116"/>
    <cellStyle name="20% - Accent5 6 2 2 2 2" xfId="18117"/>
    <cellStyle name="20% - Accent5 6 2 2 2 2 2" xfId="18118"/>
    <cellStyle name="20% - Accent5 6 2 2 2 2 2 2" xfId="18119"/>
    <cellStyle name="20% - Accent5 6 2 2 2 2 3" xfId="18120"/>
    <cellStyle name="20% - Accent5 6 2 2 2 3" xfId="18121"/>
    <cellStyle name="20% - Accent5 6 2 2 2 3 2" xfId="18122"/>
    <cellStyle name="20% - Accent5 6 2 2 2 4" xfId="18123"/>
    <cellStyle name="20% - Accent5 6 2 2 3" xfId="18124"/>
    <cellStyle name="20% - Accent5 6 2 2 3 2" xfId="18125"/>
    <cellStyle name="20% - Accent5 6 2 2 3 2 2" xfId="18126"/>
    <cellStyle name="20% - Accent5 6 2 2 3 3" xfId="18127"/>
    <cellStyle name="20% - Accent5 6 2 2 4" xfId="18128"/>
    <cellStyle name="20% - Accent5 6 2 2 4 2" xfId="18129"/>
    <cellStyle name="20% - Accent5 6 2 2 5" xfId="18130"/>
    <cellStyle name="20% - Accent5 6 2 3" xfId="18131"/>
    <cellStyle name="20% - Accent5 6 2 3 2" xfId="18132"/>
    <cellStyle name="20% - Accent5 6 2 3 2 2" xfId="18133"/>
    <cellStyle name="20% - Accent5 6 2 3 2 2 2" xfId="18134"/>
    <cellStyle name="20% - Accent5 6 2 3 2 2 2 2" xfId="18135"/>
    <cellStyle name="20% - Accent5 6 2 3 2 2 3" xfId="18136"/>
    <cellStyle name="20% - Accent5 6 2 3 2 3" xfId="18137"/>
    <cellStyle name="20% - Accent5 6 2 3 2 3 2" xfId="18138"/>
    <cellStyle name="20% - Accent5 6 2 3 2 4" xfId="18139"/>
    <cellStyle name="20% - Accent5 6 2 3 3" xfId="18140"/>
    <cellStyle name="20% - Accent5 6 2 3 3 2" xfId="18141"/>
    <cellStyle name="20% - Accent5 6 2 3 3 2 2" xfId="18142"/>
    <cellStyle name="20% - Accent5 6 2 3 3 3" xfId="18143"/>
    <cellStyle name="20% - Accent5 6 2 3 4" xfId="18144"/>
    <cellStyle name="20% - Accent5 6 2 3 4 2" xfId="18145"/>
    <cellStyle name="20% - Accent5 6 2 3 5" xfId="18146"/>
    <cellStyle name="20% - Accent5 6 2 4" xfId="18147"/>
    <cellStyle name="20% - Accent5 6 2 4 2" xfId="18148"/>
    <cellStyle name="20% - Accent5 6 2 4 2 2" xfId="18149"/>
    <cellStyle name="20% - Accent5 6 2 4 2 2 2" xfId="18150"/>
    <cellStyle name="20% - Accent5 6 2 4 2 2 2 2" xfId="18151"/>
    <cellStyle name="20% - Accent5 6 2 4 2 2 3" xfId="18152"/>
    <cellStyle name="20% - Accent5 6 2 4 2 3" xfId="18153"/>
    <cellStyle name="20% - Accent5 6 2 4 2 3 2" xfId="18154"/>
    <cellStyle name="20% - Accent5 6 2 4 2 4" xfId="18155"/>
    <cellStyle name="20% - Accent5 6 2 4 3" xfId="18156"/>
    <cellStyle name="20% - Accent5 6 2 4 3 2" xfId="18157"/>
    <cellStyle name="20% - Accent5 6 2 4 3 2 2" xfId="18158"/>
    <cellStyle name="20% - Accent5 6 2 4 3 3" xfId="18159"/>
    <cellStyle name="20% - Accent5 6 2 4 4" xfId="18160"/>
    <cellStyle name="20% - Accent5 6 2 4 4 2" xfId="18161"/>
    <cellStyle name="20% - Accent5 6 2 4 5" xfId="18162"/>
    <cellStyle name="20% - Accent5 6 2 5" xfId="18163"/>
    <cellStyle name="20% - Accent5 6 2 5 2" xfId="18164"/>
    <cellStyle name="20% - Accent5 6 2 5 2 2" xfId="18165"/>
    <cellStyle name="20% - Accent5 6 2 5 2 2 2" xfId="18166"/>
    <cellStyle name="20% - Accent5 6 2 5 2 2 2 2" xfId="18167"/>
    <cellStyle name="20% - Accent5 6 2 5 2 2 3" xfId="18168"/>
    <cellStyle name="20% - Accent5 6 2 5 2 3" xfId="18169"/>
    <cellStyle name="20% - Accent5 6 2 5 2 3 2" xfId="18170"/>
    <cellStyle name="20% - Accent5 6 2 5 2 4" xfId="18171"/>
    <cellStyle name="20% - Accent5 6 2 5 3" xfId="18172"/>
    <cellStyle name="20% - Accent5 6 2 5 3 2" xfId="18173"/>
    <cellStyle name="20% - Accent5 6 2 5 3 2 2" xfId="18174"/>
    <cellStyle name="20% - Accent5 6 2 5 3 3" xfId="18175"/>
    <cellStyle name="20% - Accent5 6 2 5 4" xfId="18176"/>
    <cellStyle name="20% - Accent5 6 2 5 4 2" xfId="18177"/>
    <cellStyle name="20% - Accent5 6 2 5 5" xfId="18178"/>
    <cellStyle name="20% - Accent5 6 2 6" xfId="18179"/>
    <cellStyle name="20% - Accent5 6 2 6 2" xfId="18180"/>
    <cellStyle name="20% - Accent5 6 2 6 2 2" xfId="18181"/>
    <cellStyle name="20% - Accent5 6 2 6 2 2 2" xfId="18182"/>
    <cellStyle name="20% - Accent5 6 2 6 2 2 2 2" xfId="18183"/>
    <cellStyle name="20% - Accent5 6 2 6 2 2 3" xfId="18184"/>
    <cellStyle name="20% - Accent5 6 2 6 2 3" xfId="18185"/>
    <cellStyle name="20% - Accent5 6 2 6 2 3 2" xfId="18186"/>
    <cellStyle name="20% - Accent5 6 2 6 2 4" xfId="18187"/>
    <cellStyle name="20% - Accent5 6 2 6 3" xfId="18188"/>
    <cellStyle name="20% - Accent5 6 2 6 3 2" xfId="18189"/>
    <cellStyle name="20% - Accent5 6 2 6 3 2 2" xfId="18190"/>
    <cellStyle name="20% - Accent5 6 2 6 3 3" xfId="18191"/>
    <cellStyle name="20% - Accent5 6 2 6 4" xfId="18192"/>
    <cellStyle name="20% - Accent5 6 2 6 4 2" xfId="18193"/>
    <cellStyle name="20% - Accent5 6 2 6 5" xfId="18194"/>
    <cellStyle name="20% - Accent5 6 2 7" xfId="18195"/>
    <cellStyle name="20% - Accent5 6 2 7 2" xfId="18196"/>
    <cellStyle name="20% - Accent5 6 2 7 2 2" xfId="18197"/>
    <cellStyle name="20% - Accent5 6 2 7 2 2 2" xfId="18198"/>
    <cellStyle name="20% - Accent5 6 2 7 2 3" xfId="18199"/>
    <cellStyle name="20% - Accent5 6 2 7 3" xfId="18200"/>
    <cellStyle name="20% - Accent5 6 2 7 3 2" xfId="18201"/>
    <cellStyle name="20% - Accent5 6 2 7 4" xfId="18202"/>
    <cellStyle name="20% - Accent5 6 2 8" xfId="18203"/>
    <cellStyle name="20% - Accent5 6 2 8 2" xfId="18204"/>
    <cellStyle name="20% - Accent5 6 2 8 2 2" xfId="18205"/>
    <cellStyle name="20% - Accent5 6 2 8 3" xfId="18206"/>
    <cellStyle name="20% - Accent5 6 2 9" xfId="18207"/>
    <cellStyle name="20% - Accent5 6 2 9 2" xfId="18208"/>
    <cellStyle name="20% - Accent5 6 3" xfId="18209"/>
    <cellStyle name="20% - Accent5 6 3 2" xfId="18210"/>
    <cellStyle name="20% - Accent5 6 3 2 2" xfId="18211"/>
    <cellStyle name="20% - Accent5 6 3 2 2 2" xfId="18212"/>
    <cellStyle name="20% - Accent5 6 3 2 2 2 2" xfId="18213"/>
    <cellStyle name="20% - Accent5 6 3 2 2 3" xfId="18214"/>
    <cellStyle name="20% - Accent5 6 3 2 3" xfId="18215"/>
    <cellStyle name="20% - Accent5 6 3 2 3 2" xfId="18216"/>
    <cellStyle name="20% - Accent5 6 3 2 4" xfId="18217"/>
    <cellStyle name="20% - Accent5 6 3 3" xfId="18218"/>
    <cellStyle name="20% - Accent5 6 3 3 2" xfId="18219"/>
    <cellStyle name="20% - Accent5 6 3 3 2 2" xfId="18220"/>
    <cellStyle name="20% - Accent5 6 3 3 3" xfId="18221"/>
    <cellStyle name="20% - Accent5 6 3 4" xfId="18222"/>
    <cellStyle name="20% - Accent5 6 3 4 2" xfId="18223"/>
    <cellStyle name="20% - Accent5 6 3 5" xfId="18224"/>
    <cellStyle name="20% - Accent5 6 4" xfId="18225"/>
    <cellStyle name="20% - Accent5 6 4 2" xfId="18226"/>
    <cellStyle name="20% - Accent5 6 4 2 2" xfId="18227"/>
    <cellStyle name="20% - Accent5 6 4 2 2 2" xfId="18228"/>
    <cellStyle name="20% - Accent5 6 4 2 2 2 2" xfId="18229"/>
    <cellStyle name="20% - Accent5 6 4 2 2 3" xfId="18230"/>
    <cellStyle name="20% - Accent5 6 4 2 3" xfId="18231"/>
    <cellStyle name="20% - Accent5 6 4 2 3 2" xfId="18232"/>
    <cellStyle name="20% - Accent5 6 4 2 4" xfId="18233"/>
    <cellStyle name="20% - Accent5 6 4 3" xfId="18234"/>
    <cellStyle name="20% - Accent5 6 4 3 2" xfId="18235"/>
    <cellStyle name="20% - Accent5 6 4 3 2 2" xfId="18236"/>
    <cellStyle name="20% - Accent5 6 4 3 3" xfId="18237"/>
    <cellStyle name="20% - Accent5 6 4 4" xfId="18238"/>
    <cellStyle name="20% - Accent5 6 4 4 2" xfId="18239"/>
    <cellStyle name="20% - Accent5 6 4 5" xfId="18240"/>
    <cellStyle name="20% - Accent5 6 5" xfId="18241"/>
    <cellStyle name="20% - Accent5 6 5 2" xfId="18242"/>
    <cellStyle name="20% - Accent5 6 5 2 2" xfId="18243"/>
    <cellStyle name="20% - Accent5 6 5 2 2 2" xfId="18244"/>
    <cellStyle name="20% - Accent5 6 5 2 2 2 2" xfId="18245"/>
    <cellStyle name="20% - Accent5 6 5 2 2 3" xfId="18246"/>
    <cellStyle name="20% - Accent5 6 5 2 3" xfId="18247"/>
    <cellStyle name="20% - Accent5 6 5 2 3 2" xfId="18248"/>
    <cellStyle name="20% - Accent5 6 5 2 4" xfId="18249"/>
    <cellStyle name="20% - Accent5 6 5 3" xfId="18250"/>
    <cellStyle name="20% - Accent5 6 5 3 2" xfId="18251"/>
    <cellStyle name="20% - Accent5 6 5 3 2 2" xfId="18252"/>
    <cellStyle name="20% - Accent5 6 5 3 3" xfId="18253"/>
    <cellStyle name="20% - Accent5 6 5 4" xfId="18254"/>
    <cellStyle name="20% - Accent5 6 5 4 2" xfId="18255"/>
    <cellStyle name="20% - Accent5 6 5 5" xfId="18256"/>
    <cellStyle name="20% - Accent5 6 6" xfId="18257"/>
    <cellStyle name="20% - Accent5 6 6 2" xfId="18258"/>
    <cellStyle name="20% - Accent5 6 6 2 2" xfId="18259"/>
    <cellStyle name="20% - Accent5 6 6 2 2 2" xfId="18260"/>
    <cellStyle name="20% - Accent5 6 6 2 2 2 2" xfId="18261"/>
    <cellStyle name="20% - Accent5 6 6 2 2 3" xfId="18262"/>
    <cellStyle name="20% - Accent5 6 6 2 3" xfId="18263"/>
    <cellStyle name="20% - Accent5 6 6 2 3 2" xfId="18264"/>
    <cellStyle name="20% - Accent5 6 6 2 4" xfId="18265"/>
    <cellStyle name="20% - Accent5 6 6 3" xfId="18266"/>
    <cellStyle name="20% - Accent5 6 6 3 2" xfId="18267"/>
    <cellStyle name="20% - Accent5 6 6 3 2 2" xfId="18268"/>
    <cellStyle name="20% - Accent5 6 6 3 3" xfId="18269"/>
    <cellStyle name="20% - Accent5 6 6 4" xfId="18270"/>
    <cellStyle name="20% - Accent5 6 6 4 2" xfId="18271"/>
    <cellStyle name="20% - Accent5 6 6 5" xfId="18272"/>
    <cellStyle name="20% - Accent5 6 7" xfId="18273"/>
    <cellStyle name="20% - Accent5 6 7 2" xfId="18274"/>
    <cellStyle name="20% - Accent5 6 7 2 2" xfId="18275"/>
    <cellStyle name="20% - Accent5 6 7 2 2 2" xfId="18276"/>
    <cellStyle name="20% - Accent5 6 7 2 2 2 2" xfId="18277"/>
    <cellStyle name="20% - Accent5 6 7 2 2 3" xfId="18278"/>
    <cellStyle name="20% - Accent5 6 7 2 3" xfId="18279"/>
    <cellStyle name="20% - Accent5 6 7 2 3 2" xfId="18280"/>
    <cellStyle name="20% - Accent5 6 7 2 4" xfId="18281"/>
    <cellStyle name="20% - Accent5 6 7 3" xfId="18282"/>
    <cellStyle name="20% - Accent5 6 7 3 2" xfId="18283"/>
    <cellStyle name="20% - Accent5 6 7 3 2 2" xfId="18284"/>
    <cellStyle name="20% - Accent5 6 7 3 3" xfId="18285"/>
    <cellStyle name="20% - Accent5 6 7 4" xfId="18286"/>
    <cellStyle name="20% - Accent5 6 7 4 2" xfId="18287"/>
    <cellStyle name="20% - Accent5 6 7 5" xfId="18288"/>
    <cellStyle name="20% - Accent5 6 8" xfId="18289"/>
    <cellStyle name="20% - Accent5 6 8 2" xfId="18290"/>
    <cellStyle name="20% - Accent5 6 8 2 2" xfId="18291"/>
    <cellStyle name="20% - Accent5 6 8 2 2 2" xfId="18292"/>
    <cellStyle name="20% - Accent5 6 8 2 3" xfId="18293"/>
    <cellStyle name="20% - Accent5 6 8 3" xfId="18294"/>
    <cellStyle name="20% - Accent5 6 8 3 2" xfId="18295"/>
    <cellStyle name="20% - Accent5 6 8 4" xfId="18296"/>
    <cellStyle name="20% - Accent5 6 9" xfId="18297"/>
    <cellStyle name="20% - Accent5 6 9 2" xfId="18298"/>
    <cellStyle name="20% - Accent5 6 9 2 2" xfId="18299"/>
    <cellStyle name="20% - Accent5 6 9 3" xfId="18300"/>
    <cellStyle name="20% - Accent5 7" xfId="18301"/>
    <cellStyle name="20% - Accent5 7 10" xfId="18302"/>
    <cellStyle name="20% - Accent5 7 10 2" xfId="18303"/>
    <cellStyle name="20% - Accent5 7 11" xfId="18304"/>
    <cellStyle name="20% - Accent5 7 2" xfId="18305"/>
    <cellStyle name="20% - Accent5 7 2 10" xfId="18306"/>
    <cellStyle name="20% - Accent5 7 2 2" xfId="18307"/>
    <cellStyle name="20% - Accent5 7 2 2 2" xfId="18308"/>
    <cellStyle name="20% - Accent5 7 2 2 2 2" xfId="18309"/>
    <cellStyle name="20% - Accent5 7 2 2 2 2 2" xfId="18310"/>
    <cellStyle name="20% - Accent5 7 2 2 2 2 2 2" xfId="18311"/>
    <cellStyle name="20% - Accent5 7 2 2 2 2 3" xfId="18312"/>
    <cellStyle name="20% - Accent5 7 2 2 2 3" xfId="18313"/>
    <cellStyle name="20% - Accent5 7 2 2 2 3 2" xfId="18314"/>
    <cellStyle name="20% - Accent5 7 2 2 2 4" xfId="18315"/>
    <cellStyle name="20% - Accent5 7 2 2 3" xfId="18316"/>
    <cellStyle name="20% - Accent5 7 2 2 3 2" xfId="18317"/>
    <cellStyle name="20% - Accent5 7 2 2 3 2 2" xfId="18318"/>
    <cellStyle name="20% - Accent5 7 2 2 3 3" xfId="18319"/>
    <cellStyle name="20% - Accent5 7 2 2 4" xfId="18320"/>
    <cellStyle name="20% - Accent5 7 2 2 4 2" xfId="18321"/>
    <cellStyle name="20% - Accent5 7 2 2 5" xfId="18322"/>
    <cellStyle name="20% - Accent5 7 2 3" xfId="18323"/>
    <cellStyle name="20% - Accent5 7 2 3 2" xfId="18324"/>
    <cellStyle name="20% - Accent5 7 2 3 2 2" xfId="18325"/>
    <cellStyle name="20% - Accent5 7 2 3 2 2 2" xfId="18326"/>
    <cellStyle name="20% - Accent5 7 2 3 2 2 2 2" xfId="18327"/>
    <cellStyle name="20% - Accent5 7 2 3 2 2 3" xfId="18328"/>
    <cellStyle name="20% - Accent5 7 2 3 2 3" xfId="18329"/>
    <cellStyle name="20% - Accent5 7 2 3 2 3 2" xfId="18330"/>
    <cellStyle name="20% - Accent5 7 2 3 2 4" xfId="18331"/>
    <cellStyle name="20% - Accent5 7 2 3 3" xfId="18332"/>
    <cellStyle name="20% - Accent5 7 2 3 3 2" xfId="18333"/>
    <cellStyle name="20% - Accent5 7 2 3 3 2 2" xfId="18334"/>
    <cellStyle name="20% - Accent5 7 2 3 3 3" xfId="18335"/>
    <cellStyle name="20% - Accent5 7 2 3 4" xfId="18336"/>
    <cellStyle name="20% - Accent5 7 2 3 4 2" xfId="18337"/>
    <cellStyle name="20% - Accent5 7 2 3 5" xfId="18338"/>
    <cellStyle name="20% - Accent5 7 2 4" xfId="18339"/>
    <cellStyle name="20% - Accent5 7 2 4 2" xfId="18340"/>
    <cellStyle name="20% - Accent5 7 2 4 2 2" xfId="18341"/>
    <cellStyle name="20% - Accent5 7 2 4 2 2 2" xfId="18342"/>
    <cellStyle name="20% - Accent5 7 2 4 2 2 2 2" xfId="18343"/>
    <cellStyle name="20% - Accent5 7 2 4 2 2 3" xfId="18344"/>
    <cellStyle name="20% - Accent5 7 2 4 2 3" xfId="18345"/>
    <cellStyle name="20% - Accent5 7 2 4 2 3 2" xfId="18346"/>
    <cellStyle name="20% - Accent5 7 2 4 2 4" xfId="18347"/>
    <cellStyle name="20% - Accent5 7 2 4 3" xfId="18348"/>
    <cellStyle name="20% - Accent5 7 2 4 3 2" xfId="18349"/>
    <cellStyle name="20% - Accent5 7 2 4 3 2 2" xfId="18350"/>
    <cellStyle name="20% - Accent5 7 2 4 3 3" xfId="18351"/>
    <cellStyle name="20% - Accent5 7 2 4 4" xfId="18352"/>
    <cellStyle name="20% - Accent5 7 2 4 4 2" xfId="18353"/>
    <cellStyle name="20% - Accent5 7 2 4 5" xfId="18354"/>
    <cellStyle name="20% - Accent5 7 2 5" xfId="18355"/>
    <cellStyle name="20% - Accent5 7 2 5 2" xfId="18356"/>
    <cellStyle name="20% - Accent5 7 2 5 2 2" xfId="18357"/>
    <cellStyle name="20% - Accent5 7 2 5 2 2 2" xfId="18358"/>
    <cellStyle name="20% - Accent5 7 2 5 2 2 2 2" xfId="18359"/>
    <cellStyle name="20% - Accent5 7 2 5 2 2 3" xfId="18360"/>
    <cellStyle name="20% - Accent5 7 2 5 2 3" xfId="18361"/>
    <cellStyle name="20% - Accent5 7 2 5 2 3 2" xfId="18362"/>
    <cellStyle name="20% - Accent5 7 2 5 2 4" xfId="18363"/>
    <cellStyle name="20% - Accent5 7 2 5 3" xfId="18364"/>
    <cellStyle name="20% - Accent5 7 2 5 3 2" xfId="18365"/>
    <cellStyle name="20% - Accent5 7 2 5 3 2 2" xfId="18366"/>
    <cellStyle name="20% - Accent5 7 2 5 3 3" xfId="18367"/>
    <cellStyle name="20% - Accent5 7 2 5 4" xfId="18368"/>
    <cellStyle name="20% - Accent5 7 2 5 4 2" xfId="18369"/>
    <cellStyle name="20% - Accent5 7 2 5 5" xfId="18370"/>
    <cellStyle name="20% - Accent5 7 2 6" xfId="18371"/>
    <cellStyle name="20% - Accent5 7 2 6 2" xfId="18372"/>
    <cellStyle name="20% - Accent5 7 2 6 2 2" xfId="18373"/>
    <cellStyle name="20% - Accent5 7 2 6 2 2 2" xfId="18374"/>
    <cellStyle name="20% - Accent5 7 2 6 2 2 2 2" xfId="18375"/>
    <cellStyle name="20% - Accent5 7 2 6 2 2 3" xfId="18376"/>
    <cellStyle name="20% - Accent5 7 2 6 2 3" xfId="18377"/>
    <cellStyle name="20% - Accent5 7 2 6 2 3 2" xfId="18378"/>
    <cellStyle name="20% - Accent5 7 2 6 2 4" xfId="18379"/>
    <cellStyle name="20% - Accent5 7 2 6 3" xfId="18380"/>
    <cellStyle name="20% - Accent5 7 2 6 3 2" xfId="18381"/>
    <cellStyle name="20% - Accent5 7 2 6 3 2 2" xfId="18382"/>
    <cellStyle name="20% - Accent5 7 2 6 3 3" xfId="18383"/>
    <cellStyle name="20% - Accent5 7 2 6 4" xfId="18384"/>
    <cellStyle name="20% - Accent5 7 2 6 4 2" xfId="18385"/>
    <cellStyle name="20% - Accent5 7 2 6 5" xfId="18386"/>
    <cellStyle name="20% - Accent5 7 2 7" xfId="18387"/>
    <cellStyle name="20% - Accent5 7 2 7 2" xfId="18388"/>
    <cellStyle name="20% - Accent5 7 2 7 2 2" xfId="18389"/>
    <cellStyle name="20% - Accent5 7 2 7 2 2 2" xfId="18390"/>
    <cellStyle name="20% - Accent5 7 2 7 2 3" xfId="18391"/>
    <cellStyle name="20% - Accent5 7 2 7 3" xfId="18392"/>
    <cellStyle name="20% - Accent5 7 2 7 3 2" xfId="18393"/>
    <cellStyle name="20% - Accent5 7 2 7 4" xfId="18394"/>
    <cellStyle name="20% - Accent5 7 2 8" xfId="18395"/>
    <cellStyle name="20% - Accent5 7 2 8 2" xfId="18396"/>
    <cellStyle name="20% - Accent5 7 2 8 2 2" xfId="18397"/>
    <cellStyle name="20% - Accent5 7 2 8 3" xfId="18398"/>
    <cellStyle name="20% - Accent5 7 2 9" xfId="18399"/>
    <cellStyle name="20% - Accent5 7 2 9 2" xfId="18400"/>
    <cellStyle name="20% - Accent5 7 3" xfId="18401"/>
    <cellStyle name="20% - Accent5 7 3 2" xfId="18402"/>
    <cellStyle name="20% - Accent5 7 3 2 2" xfId="18403"/>
    <cellStyle name="20% - Accent5 7 3 2 2 2" xfId="18404"/>
    <cellStyle name="20% - Accent5 7 3 2 2 2 2" xfId="18405"/>
    <cellStyle name="20% - Accent5 7 3 2 2 3" xfId="18406"/>
    <cellStyle name="20% - Accent5 7 3 2 3" xfId="18407"/>
    <cellStyle name="20% - Accent5 7 3 2 3 2" xfId="18408"/>
    <cellStyle name="20% - Accent5 7 3 2 4" xfId="18409"/>
    <cellStyle name="20% - Accent5 7 3 3" xfId="18410"/>
    <cellStyle name="20% - Accent5 7 3 3 2" xfId="18411"/>
    <cellStyle name="20% - Accent5 7 3 3 2 2" xfId="18412"/>
    <cellStyle name="20% - Accent5 7 3 3 3" xfId="18413"/>
    <cellStyle name="20% - Accent5 7 3 4" xfId="18414"/>
    <cellStyle name="20% - Accent5 7 3 4 2" xfId="18415"/>
    <cellStyle name="20% - Accent5 7 3 5" xfId="18416"/>
    <cellStyle name="20% - Accent5 7 4" xfId="18417"/>
    <cellStyle name="20% - Accent5 7 4 2" xfId="18418"/>
    <cellStyle name="20% - Accent5 7 4 2 2" xfId="18419"/>
    <cellStyle name="20% - Accent5 7 4 2 2 2" xfId="18420"/>
    <cellStyle name="20% - Accent5 7 4 2 2 2 2" xfId="18421"/>
    <cellStyle name="20% - Accent5 7 4 2 2 3" xfId="18422"/>
    <cellStyle name="20% - Accent5 7 4 2 3" xfId="18423"/>
    <cellStyle name="20% - Accent5 7 4 2 3 2" xfId="18424"/>
    <cellStyle name="20% - Accent5 7 4 2 4" xfId="18425"/>
    <cellStyle name="20% - Accent5 7 4 3" xfId="18426"/>
    <cellStyle name="20% - Accent5 7 4 3 2" xfId="18427"/>
    <cellStyle name="20% - Accent5 7 4 3 2 2" xfId="18428"/>
    <cellStyle name="20% - Accent5 7 4 3 3" xfId="18429"/>
    <cellStyle name="20% - Accent5 7 4 4" xfId="18430"/>
    <cellStyle name="20% - Accent5 7 4 4 2" xfId="18431"/>
    <cellStyle name="20% - Accent5 7 4 5" xfId="18432"/>
    <cellStyle name="20% - Accent5 7 5" xfId="18433"/>
    <cellStyle name="20% - Accent5 7 5 2" xfId="18434"/>
    <cellStyle name="20% - Accent5 7 5 2 2" xfId="18435"/>
    <cellStyle name="20% - Accent5 7 5 2 2 2" xfId="18436"/>
    <cellStyle name="20% - Accent5 7 5 2 2 2 2" xfId="18437"/>
    <cellStyle name="20% - Accent5 7 5 2 2 3" xfId="18438"/>
    <cellStyle name="20% - Accent5 7 5 2 3" xfId="18439"/>
    <cellStyle name="20% - Accent5 7 5 2 3 2" xfId="18440"/>
    <cellStyle name="20% - Accent5 7 5 2 4" xfId="18441"/>
    <cellStyle name="20% - Accent5 7 5 3" xfId="18442"/>
    <cellStyle name="20% - Accent5 7 5 3 2" xfId="18443"/>
    <cellStyle name="20% - Accent5 7 5 3 2 2" xfId="18444"/>
    <cellStyle name="20% - Accent5 7 5 3 3" xfId="18445"/>
    <cellStyle name="20% - Accent5 7 5 4" xfId="18446"/>
    <cellStyle name="20% - Accent5 7 5 4 2" xfId="18447"/>
    <cellStyle name="20% - Accent5 7 5 5" xfId="18448"/>
    <cellStyle name="20% - Accent5 7 6" xfId="18449"/>
    <cellStyle name="20% - Accent5 7 6 2" xfId="18450"/>
    <cellStyle name="20% - Accent5 7 6 2 2" xfId="18451"/>
    <cellStyle name="20% - Accent5 7 6 2 2 2" xfId="18452"/>
    <cellStyle name="20% - Accent5 7 6 2 2 2 2" xfId="18453"/>
    <cellStyle name="20% - Accent5 7 6 2 2 3" xfId="18454"/>
    <cellStyle name="20% - Accent5 7 6 2 3" xfId="18455"/>
    <cellStyle name="20% - Accent5 7 6 2 3 2" xfId="18456"/>
    <cellStyle name="20% - Accent5 7 6 2 4" xfId="18457"/>
    <cellStyle name="20% - Accent5 7 6 3" xfId="18458"/>
    <cellStyle name="20% - Accent5 7 6 3 2" xfId="18459"/>
    <cellStyle name="20% - Accent5 7 6 3 2 2" xfId="18460"/>
    <cellStyle name="20% - Accent5 7 6 3 3" xfId="18461"/>
    <cellStyle name="20% - Accent5 7 6 4" xfId="18462"/>
    <cellStyle name="20% - Accent5 7 6 4 2" xfId="18463"/>
    <cellStyle name="20% - Accent5 7 6 5" xfId="18464"/>
    <cellStyle name="20% - Accent5 7 7" xfId="18465"/>
    <cellStyle name="20% - Accent5 7 7 2" xfId="18466"/>
    <cellStyle name="20% - Accent5 7 7 2 2" xfId="18467"/>
    <cellStyle name="20% - Accent5 7 7 2 2 2" xfId="18468"/>
    <cellStyle name="20% - Accent5 7 7 2 2 2 2" xfId="18469"/>
    <cellStyle name="20% - Accent5 7 7 2 2 3" xfId="18470"/>
    <cellStyle name="20% - Accent5 7 7 2 3" xfId="18471"/>
    <cellStyle name="20% - Accent5 7 7 2 3 2" xfId="18472"/>
    <cellStyle name="20% - Accent5 7 7 2 4" xfId="18473"/>
    <cellStyle name="20% - Accent5 7 7 3" xfId="18474"/>
    <cellStyle name="20% - Accent5 7 7 3 2" xfId="18475"/>
    <cellStyle name="20% - Accent5 7 7 3 2 2" xfId="18476"/>
    <cellStyle name="20% - Accent5 7 7 3 3" xfId="18477"/>
    <cellStyle name="20% - Accent5 7 7 4" xfId="18478"/>
    <cellStyle name="20% - Accent5 7 7 4 2" xfId="18479"/>
    <cellStyle name="20% - Accent5 7 7 5" xfId="18480"/>
    <cellStyle name="20% - Accent5 7 8" xfId="18481"/>
    <cellStyle name="20% - Accent5 7 8 2" xfId="18482"/>
    <cellStyle name="20% - Accent5 7 8 2 2" xfId="18483"/>
    <cellStyle name="20% - Accent5 7 8 2 2 2" xfId="18484"/>
    <cellStyle name="20% - Accent5 7 8 2 3" xfId="18485"/>
    <cellStyle name="20% - Accent5 7 8 3" xfId="18486"/>
    <cellStyle name="20% - Accent5 7 8 3 2" xfId="18487"/>
    <cellStyle name="20% - Accent5 7 8 4" xfId="18488"/>
    <cellStyle name="20% - Accent5 7 9" xfId="18489"/>
    <cellStyle name="20% - Accent5 7 9 2" xfId="18490"/>
    <cellStyle name="20% - Accent5 7 9 2 2" xfId="18491"/>
    <cellStyle name="20% - Accent5 7 9 3" xfId="18492"/>
    <cellStyle name="20% - Accent5 8" xfId="18493"/>
    <cellStyle name="20% - Accent5 8 10" xfId="18494"/>
    <cellStyle name="20% - Accent5 8 10 2" xfId="18495"/>
    <cellStyle name="20% - Accent5 8 11" xfId="18496"/>
    <cellStyle name="20% - Accent5 8 2" xfId="18497"/>
    <cellStyle name="20% - Accent5 8 2 10" xfId="18498"/>
    <cellStyle name="20% - Accent5 8 2 2" xfId="18499"/>
    <cellStyle name="20% - Accent5 8 2 2 2" xfId="18500"/>
    <cellStyle name="20% - Accent5 8 2 2 2 2" xfId="18501"/>
    <cellStyle name="20% - Accent5 8 2 2 2 2 2" xfId="18502"/>
    <cellStyle name="20% - Accent5 8 2 2 2 2 2 2" xfId="18503"/>
    <cellStyle name="20% - Accent5 8 2 2 2 2 3" xfId="18504"/>
    <cellStyle name="20% - Accent5 8 2 2 2 3" xfId="18505"/>
    <cellStyle name="20% - Accent5 8 2 2 2 3 2" xfId="18506"/>
    <cellStyle name="20% - Accent5 8 2 2 2 4" xfId="18507"/>
    <cellStyle name="20% - Accent5 8 2 2 3" xfId="18508"/>
    <cellStyle name="20% - Accent5 8 2 2 3 2" xfId="18509"/>
    <cellStyle name="20% - Accent5 8 2 2 3 2 2" xfId="18510"/>
    <cellStyle name="20% - Accent5 8 2 2 3 3" xfId="18511"/>
    <cellStyle name="20% - Accent5 8 2 2 4" xfId="18512"/>
    <cellStyle name="20% - Accent5 8 2 2 4 2" xfId="18513"/>
    <cellStyle name="20% - Accent5 8 2 2 5" xfId="18514"/>
    <cellStyle name="20% - Accent5 8 2 3" xfId="18515"/>
    <cellStyle name="20% - Accent5 8 2 3 2" xfId="18516"/>
    <cellStyle name="20% - Accent5 8 2 3 2 2" xfId="18517"/>
    <cellStyle name="20% - Accent5 8 2 3 2 2 2" xfId="18518"/>
    <cellStyle name="20% - Accent5 8 2 3 2 2 2 2" xfId="18519"/>
    <cellStyle name="20% - Accent5 8 2 3 2 2 3" xfId="18520"/>
    <cellStyle name="20% - Accent5 8 2 3 2 3" xfId="18521"/>
    <cellStyle name="20% - Accent5 8 2 3 2 3 2" xfId="18522"/>
    <cellStyle name="20% - Accent5 8 2 3 2 4" xfId="18523"/>
    <cellStyle name="20% - Accent5 8 2 3 3" xfId="18524"/>
    <cellStyle name="20% - Accent5 8 2 3 3 2" xfId="18525"/>
    <cellStyle name="20% - Accent5 8 2 3 3 2 2" xfId="18526"/>
    <cellStyle name="20% - Accent5 8 2 3 3 3" xfId="18527"/>
    <cellStyle name="20% - Accent5 8 2 3 4" xfId="18528"/>
    <cellStyle name="20% - Accent5 8 2 3 4 2" xfId="18529"/>
    <cellStyle name="20% - Accent5 8 2 3 5" xfId="18530"/>
    <cellStyle name="20% - Accent5 8 2 4" xfId="18531"/>
    <cellStyle name="20% - Accent5 8 2 4 2" xfId="18532"/>
    <cellStyle name="20% - Accent5 8 2 4 2 2" xfId="18533"/>
    <cellStyle name="20% - Accent5 8 2 4 2 2 2" xfId="18534"/>
    <cellStyle name="20% - Accent5 8 2 4 2 2 2 2" xfId="18535"/>
    <cellStyle name="20% - Accent5 8 2 4 2 2 3" xfId="18536"/>
    <cellStyle name="20% - Accent5 8 2 4 2 3" xfId="18537"/>
    <cellStyle name="20% - Accent5 8 2 4 2 3 2" xfId="18538"/>
    <cellStyle name="20% - Accent5 8 2 4 2 4" xfId="18539"/>
    <cellStyle name="20% - Accent5 8 2 4 3" xfId="18540"/>
    <cellStyle name="20% - Accent5 8 2 4 3 2" xfId="18541"/>
    <cellStyle name="20% - Accent5 8 2 4 3 2 2" xfId="18542"/>
    <cellStyle name="20% - Accent5 8 2 4 3 3" xfId="18543"/>
    <cellStyle name="20% - Accent5 8 2 4 4" xfId="18544"/>
    <cellStyle name="20% - Accent5 8 2 4 4 2" xfId="18545"/>
    <cellStyle name="20% - Accent5 8 2 4 5" xfId="18546"/>
    <cellStyle name="20% - Accent5 8 2 5" xfId="18547"/>
    <cellStyle name="20% - Accent5 8 2 5 2" xfId="18548"/>
    <cellStyle name="20% - Accent5 8 2 5 2 2" xfId="18549"/>
    <cellStyle name="20% - Accent5 8 2 5 2 2 2" xfId="18550"/>
    <cellStyle name="20% - Accent5 8 2 5 2 2 2 2" xfId="18551"/>
    <cellStyle name="20% - Accent5 8 2 5 2 2 3" xfId="18552"/>
    <cellStyle name="20% - Accent5 8 2 5 2 3" xfId="18553"/>
    <cellStyle name="20% - Accent5 8 2 5 2 3 2" xfId="18554"/>
    <cellStyle name="20% - Accent5 8 2 5 2 4" xfId="18555"/>
    <cellStyle name="20% - Accent5 8 2 5 3" xfId="18556"/>
    <cellStyle name="20% - Accent5 8 2 5 3 2" xfId="18557"/>
    <cellStyle name="20% - Accent5 8 2 5 3 2 2" xfId="18558"/>
    <cellStyle name="20% - Accent5 8 2 5 3 3" xfId="18559"/>
    <cellStyle name="20% - Accent5 8 2 5 4" xfId="18560"/>
    <cellStyle name="20% - Accent5 8 2 5 4 2" xfId="18561"/>
    <cellStyle name="20% - Accent5 8 2 5 5" xfId="18562"/>
    <cellStyle name="20% - Accent5 8 2 6" xfId="18563"/>
    <cellStyle name="20% - Accent5 8 2 6 2" xfId="18564"/>
    <cellStyle name="20% - Accent5 8 2 6 2 2" xfId="18565"/>
    <cellStyle name="20% - Accent5 8 2 6 2 2 2" xfId="18566"/>
    <cellStyle name="20% - Accent5 8 2 6 2 2 2 2" xfId="18567"/>
    <cellStyle name="20% - Accent5 8 2 6 2 2 3" xfId="18568"/>
    <cellStyle name="20% - Accent5 8 2 6 2 3" xfId="18569"/>
    <cellStyle name="20% - Accent5 8 2 6 2 3 2" xfId="18570"/>
    <cellStyle name="20% - Accent5 8 2 6 2 4" xfId="18571"/>
    <cellStyle name="20% - Accent5 8 2 6 3" xfId="18572"/>
    <cellStyle name="20% - Accent5 8 2 6 3 2" xfId="18573"/>
    <cellStyle name="20% - Accent5 8 2 6 3 2 2" xfId="18574"/>
    <cellStyle name="20% - Accent5 8 2 6 3 3" xfId="18575"/>
    <cellStyle name="20% - Accent5 8 2 6 4" xfId="18576"/>
    <cellStyle name="20% - Accent5 8 2 6 4 2" xfId="18577"/>
    <cellStyle name="20% - Accent5 8 2 6 5" xfId="18578"/>
    <cellStyle name="20% - Accent5 8 2 7" xfId="18579"/>
    <cellStyle name="20% - Accent5 8 2 7 2" xfId="18580"/>
    <cellStyle name="20% - Accent5 8 2 7 2 2" xfId="18581"/>
    <cellStyle name="20% - Accent5 8 2 7 2 2 2" xfId="18582"/>
    <cellStyle name="20% - Accent5 8 2 7 2 3" xfId="18583"/>
    <cellStyle name="20% - Accent5 8 2 7 3" xfId="18584"/>
    <cellStyle name="20% - Accent5 8 2 7 3 2" xfId="18585"/>
    <cellStyle name="20% - Accent5 8 2 7 4" xfId="18586"/>
    <cellStyle name="20% - Accent5 8 2 8" xfId="18587"/>
    <cellStyle name="20% - Accent5 8 2 8 2" xfId="18588"/>
    <cellStyle name="20% - Accent5 8 2 8 2 2" xfId="18589"/>
    <cellStyle name="20% - Accent5 8 2 8 3" xfId="18590"/>
    <cellStyle name="20% - Accent5 8 2 9" xfId="18591"/>
    <cellStyle name="20% - Accent5 8 2 9 2" xfId="18592"/>
    <cellStyle name="20% - Accent5 8 3" xfId="18593"/>
    <cellStyle name="20% - Accent5 8 3 2" xfId="18594"/>
    <cellStyle name="20% - Accent5 8 3 2 2" xfId="18595"/>
    <cellStyle name="20% - Accent5 8 3 2 2 2" xfId="18596"/>
    <cellStyle name="20% - Accent5 8 3 2 2 2 2" xfId="18597"/>
    <cellStyle name="20% - Accent5 8 3 2 2 3" xfId="18598"/>
    <cellStyle name="20% - Accent5 8 3 2 3" xfId="18599"/>
    <cellStyle name="20% - Accent5 8 3 2 3 2" xfId="18600"/>
    <cellStyle name="20% - Accent5 8 3 2 4" xfId="18601"/>
    <cellStyle name="20% - Accent5 8 3 3" xfId="18602"/>
    <cellStyle name="20% - Accent5 8 3 3 2" xfId="18603"/>
    <cellStyle name="20% - Accent5 8 3 3 2 2" xfId="18604"/>
    <cellStyle name="20% - Accent5 8 3 3 3" xfId="18605"/>
    <cellStyle name="20% - Accent5 8 3 4" xfId="18606"/>
    <cellStyle name="20% - Accent5 8 3 4 2" xfId="18607"/>
    <cellStyle name="20% - Accent5 8 3 5" xfId="18608"/>
    <cellStyle name="20% - Accent5 8 4" xfId="18609"/>
    <cellStyle name="20% - Accent5 8 4 2" xfId="18610"/>
    <cellStyle name="20% - Accent5 8 4 2 2" xfId="18611"/>
    <cellStyle name="20% - Accent5 8 4 2 2 2" xfId="18612"/>
    <cellStyle name="20% - Accent5 8 4 2 2 2 2" xfId="18613"/>
    <cellStyle name="20% - Accent5 8 4 2 2 3" xfId="18614"/>
    <cellStyle name="20% - Accent5 8 4 2 3" xfId="18615"/>
    <cellStyle name="20% - Accent5 8 4 2 3 2" xfId="18616"/>
    <cellStyle name="20% - Accent5 8 4 2 4" xfId="18617"/>
    <cellStyle name="20% - Accent5 8 4 3" xfId="18618"/>
    <cellStyle name="20% - Accent5 8 4 3 2" xfId="18619"/>
    <cellStyle name="20% - Accent5 8 4 3 2 2" xfId="18620"/>
    <cellStyle name="20% - Accent5 8 4 3 3" xfId="18621"/>
    <cellStyle name="20% - Accent5 8 4 4" xfId="18622"/>
    <cellStyle name="20% - Accent5 8 4 4 2" xfId="18623"/>
    <cellStyle name="20% - Accent5 8 4 5" xfId="18624"/>
    <cellStyle name="20% - Accent5 8 5" xfId="18625"/>
    <cellStyle name="20% - Accent5 8 5 2" xfId="18626"/>
    <cellStyle name="20% - Accent5 8 5 2 2" xfId="18627"/>
    <cellStyle name="20% - Accent5 8 5 2 2 2" xfId="18628"/>
    <cellStyle name="20% - Accent5 8 5 2 2 2 2" xfId="18629"/>
    <cellStyle name="20% - Accent5 8 5 2 2 3" xfId="18630"/>
    <cellStyle name="20% - Accent5 8 5 2 3" xfId="18631"/>
    <cellStyle name="20% - Accent5 8 5 2 3 2" xfId="18632"/>
    <cellStyle name="20% - Accent5 8 5 2 4" xfId="18633"/>
    <cellStyle name="20% - Accent5 8 5 3" xfId="18634"/>
    <cellStyle name="20% - Accent5 8 5 3 2" xfId="18635"/>
    <cellStyle name="20% - Accent5 8 5 3 2 2" xfId="18636"/>
    <cellStyle name="20% - Accent5 8 5 3 3" xfId="18637"/>
    <cellStyle name="20% - Accent5 8 5 4" xfId="18638"/>
    <cellStyle name="20% - Accent5 8 5 4 2" xfId="18639"/>
    <cellStyle name="20% - Accent5 8 5 5" xfId="18640"/>
    <cellStyle name="20% - Accent5 8 6" xfId="18641"/>
    <cellStyle name="20% - Accent5 8 6 2" xfId="18642"/>
    <cellStyle name="20% - Accent5 8 6 2 2" xfId="18643"/>
    <cellStyle name="20% - Accent5 8 6 2 2 2" xfId="18644"/>
    <cellStyle name="20% - Accent5 8 6 2 2 2 2" xfId="18645"/>
    <cellStyle name="20% - Accent5 8 6 2 2 3" xfId="18646"/>
    <cellStyle name="20% - Accent5 8 6 2 3" xfId="18647"/>
    <cellStyle name="20% - Accent5 8 6 2 3 2" xfId="18648"/>
    <cellStyle name="20% - Accent5 8 6 2 4" xfId="18649"/>
    <cellStyle name="20% - Accent5 8 6 3" xfId="18650"/>
    <cellStyle name="20% - Accent5 8 6 3 2" xfId="18651"/>
    <cellStyle name="20% - Accent5 8 6 3 2 2" xfId="18652"/>
    <cellStyle name="20% - Accent5 8 6 3 3" xfId="18653"/>
    <cellStyle name="20% - Accent5 8 6 4" xfId="18654"/>
    <cellStyle name="20% - Accent5 8 6 4 2" xfId="18655"/>
    <cellStyle name="20% - Accent5 8 6 5" xfId="18656"/>
    <cellStyle name="20% - Accent5 8 7" xfId="18657"/>
    <cellStyle name="20% - Accent5 8 7 2" xfId="18658"/>
    <cellStyle name="20% - Accent5 8 7 2 2" xfId="18659"/>
    <cellStyle name="20% - Accent5 8 7 2 2 2" xfId="18660"/>
    <cellStyle name="20% - Accent5 8 7 2 2 2 2" xfId="18661"/>
    <cellStyle name="20% - Accent5 8 7 2 2 3" xfId="18662"/>
    <cellStyle name="20% - Accent5 8 7 2 3" xfId="18663"/>
    <cellStyle name="20% - Accent5 8 7 2 3 2" xfId="18664"/>
    <cellStyle name="20% - Accent5 8 7 2 4" xfId="18665"/>
    <cellStyle name="20% - Accent5 8 7 3" xfId="18666"/>
    <cellStyle name="20% - Accent5 8 7 3 2" xfId="18667"/>
    <cellStyle name="20% - Accent5 8 7 3 2 2" xfId="18668"/>
    <cellStyle name="20% - Accent5 8 7 3 3" xfId="18669"/>
    <cellStyle name="20% - Accent5 8 7 4" xfId="18670"/>
    <cellStyle name="20% - Accent5 8 7 4 2" xfId="18671"/>
    <cellStyle name="20% - Accent5 8 7 5" xfId="18672"/>
    <cellStyle name="20% - Accent5 8 8" xfId="18673"/>
    <cellStyle name="20% - Accent5 8 8 2" xfId="18674"/>
    <cellStyle name="20% - Accent5 8 8 2 2" xfId="18675"/>
    <cellStyle name="20% - Accent5 8 8 2 2 2" xfId="18676"/>
    <cellStyle name="20% - Accent5 8 8 2 3" xfId="18677"/>
    <cellStyle name="20% - Accent5 8 8 3" xfId="18678"/>
    <cellStyle name="20% - Accent5 8 8 3 2" xfId="18679"/>
    <cellStyle name="20% - Accent5 8 8 4" xfId="18680"/>
    <cellStyle name="20% - Accent5 8 9" xfId="18681"/>
    <cellStyle name="20% - Accent5 8 9 2" xfId="18682"/>
    <cellStyle name="20% - Accent5 8 9 2 2" xfId="18683"/>
    <cellStyle name="20% - Accent5 8 9 3" xfId="18684"/>
    <cellStyle name="20% - Accent5 9" xfId="18685"/>
    <cellStyle name="20% - Accent5 9 10" xfId="18686"/>
    <cellStyle name="20% - Accent5 9 10 2" xfId="18687"/>
    <cellStyle name="20% - Accent5 9 11" xfId="18688"/>
    <cellStyle name="20% - Accent5 9 2" xfId="18689"/>
    <cellStyle name="20% - Accent5 9 2 10" xfId="18690"/>
    <cellStyle name="20% - Accent5 9 2 2" xfId="18691"/>
    <cellStyle name="20% - Accent5 9 2 2 2" xfId="18692"/>
    <cellStyle name="20% - Accent5 9 2 2 2 2" xfId="18693"/>
    <cellStyle name="20% - Accent5 9 2 2 2 2 2" xfId="18694"/>
    <cellStyle name="20% - Accent5 9 2 2 2 2 2 2" xfId="18695"/>
    <cellStyle name="20% - Accent5 9 2 2 2 2 3" xfId="18696"/>
    <cellStyle name="20% - Accent5 9 2 2 2 3" xfId="18697"/>
    <cellStyle name="20% - Accent5 9 2 2 2 3 2" xfId="18698"/>
    <cellStyle name="20% - Accent5 9 2 2 2 4" xfId="18699"/>
    <cellStyle name="20% - Accent5 9 2 2 3" xfId="18700"/>
    <cellStyle name="20% - Accent5 9 2 2 3 2" xfId="18701"/>
    <cellStyle name="20% - Accent5 9 2 2 3 2 2" xfId="18702"/>
    <cellStyle name="20% - Accent5 9 2 2 3 3" xfId="18703"/>
    <cellStyle name="20% - Accent5 9 2 2 4" xfId="18704"/>
    <cellStyle name="20% - Accent5 9 2 2 4 2" xfId="18705"/>
    <cellStyle name="20% - Accent5 9 2 2 5" xfId="18706"/>
    <cellStyle name="20% - Accent5 9 2 3" xfId="18707"/>
    <cellStyle name="20% - Accent5 9 2 3 2" xfId="18708"/>
    <cellStyle name="20% - Accent5 9 2 3 2 2" xfId="18709"/>
    <cellStyle name="20% - Accent5 9 2 3 2 2 2" xfId="18710"/>
    <cellStyle name="20% - Accent5 9 2 3 2 2 2 2" xfId="18711"/>
    <cellStyle name="20% - Accent5 9 2 3 2 2 3" xfId="18712"/>
    <cellStyle name="20% - Accent5 9 2 3 2 3" xfId="18713"/>
    <cellStyle name="20% - Accent5 9 2 3 2 3 2" xfId="18714"/>
    <cellStyle name="20% - Accent5 9 2 3 2 4" xfId="18715"/>
    <cellStyle name="20% - Accent5 9 2 3 3" xfId="18716"/>
    <cellStyle name="20% - Accent5 9 2 3 3 2" xfId="18717"/>
    <cellStyle name="20% - Accent5 9 2 3 3 2 2" xfId="18718"/>
    <cellStyle name="20% - Accent5 9 2 3 3 3" xfId="18719"/>
    <cellStyle name="20% - Accent5 9 2 3 4" xfId="18720"/>
    <cellStyle name="20% - Accent5 9 2 3 4 2" xfId="18721"/>
    <cellStyle name="20% - Accent5 9 2 3 5" xfId="18722"/>
    <cellStyle name="20% - Accent5 9 2 4" xfId="18723"/>
    <cellStyle name="20% - Accent5 9 2 4 2" xfId="18724"/>
    <cellStyle name="20% - Accent5 9 2 4 2 2" xfId="18725"/>
    <cellStyle name="20% - Accent5 9 2 4 2 2 2" xfId="18726"/>
    <cellStyle name="20% - Accent5 9 2 4 2 2 2 2" xfId="18727"/>
    <cellStyle name="20% - Accent5 9 2 4 2 2 3" xfId="18728"/>
    <cellStyle name="20% - Accent5 9 2 4 2 3" xfId="18729"/>
    <cellStyle name="20% - Accent5 9 2 4 2 3 2" xfId="18730"/>
    <cellStyle name="20% - Accent5 9 2 4 2 4" xfId="18731"/>
    <cellStyle name="20% - Accent5 9 2 4 3" xfId="18732"/>
    <cellStyle name="20% - Accent5 9 2 4 3 2" xfId="18733"/>
    <cellStyle name="20% - Accent5 9 2 4 3 2 2" xfId="18734"/>
    <cellStyle name="20% - Accent5 9 2 4 3 3" xfId="18735"/>
    <cellStyle name="20% - Accent5 9 2 4 4" xfId="18736"/>
    <cellStyle name="20% - Accent5 9 2 4 4 2" xfId="18737"/>
    <cellStyle name="20% - Accent5 9 2 4 5" xfId="18738"/>
    <cellStyle name="20% - Accent5 9 2 5" xfId="18739"/>
    <cellStyle name="20% - Accent5 9 2 5 2" xfId="18740"/>
    <cellStyle name="20% - Accent5 9 2 5 2 2" xfId="18741"/>
    <cellStyle name="20% - Accent5 9 2 5 2 2 2" xfId="18742"/>
    <cellStyle name="20% - Accent5 9 2 5 2 2 2 2" xfId="18743"/>
    <cellStyle name="20% - Accent5 9 2 5 2 2 3" xfId="18744"/>
    <cellStyle name="20% - Accent5 9 2 5 2 3" xfId="18745"/>
    <cellStyle name="20% - Accent5 9 2 5 2 3 2" xfId="18746"/>
    <cellStyle name="20% - Accent5 9 2 5 2 4" xfId="18747"/>
    <cellStyle name="20% - Accent5 9 2 5 3" xfId="18748"/>
    <cellStyle name="20% - Accent5 9 2 5 3 2" xfId="18749"/>
    <cellStyle name="20% - Accent5 9 2 5 3 2 2" xfId="18750"/>
    <cellStyle name="20% - Accent5 9 2 5 3 3" xfId="18751"/>
    <cellStyle name="20% - Accent5 9 2 5 4" xfId="18752"/>
    <cellStyle name="20% - Accent5 9 2 5 4 2" xfId="18753"/>
    <cellStyle name="20% - Accent5 9 2 5 5" xfId="18754"/>
    <cellStyle name="20% - Accent5 9 2 6" xfId="18755"/>
    <cellStyle name="20% - Accent5 9 2 6 2" xfId="18756"/>
    <cellStyle name="20% - Accent5 9 2 6 2 2" xfId="18757"/>
    <cellStyle name="20% - Accent5 9 2 6 2 2 2" xfId="18758"/>
    <cellStyle name="20% - Accent5 9 2 6 2 2 2 2" xfId="18759"/>
    <cellStyle name="20% - Accent5 9 2 6 2 2 3" xfId="18760"/>
    <cellStyle name="20% - Accent5 9 2 6 2 3" xfId="18761"/>
    <cellStyle name="20% - Accent5 9 2 6 2 3 2" xfId="18762"/>
    <cellStyle name="20% - Accent5 9 2 6 2 4" xfId="18763"/>
    <cellStyle name="20% - Accent5 9 2 6 3" xfId="18764"/>
    <cellStyle name="20% - Accent5 9 2 6 3 2" xfId="18765"/>
    <cellStyle name="20% - Accent5 9 2 6 3 2 2" xfId="18766"/>
    <cellStyle name="20% - Accent5 9 2 6 3 3" xfId="18767"/>
    <cellStyle name="20% - Accent5 9 2 6 4" xfId="18768"/>
    <cellStyle name="20% - Accent5 9 2 6 4 2" xfId="18769"/>
    <cellStyle name="20% - Accent5 9 2 6 5" xfId="18770"/>
    <cellStyle name="20% - Accent5 9 2 7" xfId="18771"/>
    <cellStyle name="20% - Accent5 9 2 7 2" xfId="18772"/>
    <cellStyle name="20% - Accent5 9 2 7 2 2" xfId="18773"/>
    <cellStyle name="20% - Accent5 9 2 7 2 2 2" xfId="18774"/>
    <cellStyle name="20% - Accent5 9 2 7 2 3" xfId="18775"/>
    <cellStyle name="20% - Accent5 9 2 7 3" xfId="18776"/>
    <cellStyle name="20% - Accent5 9 2 7 3 2" xfId="18777"/>
    <cellStyle name="20% - Accent5 9 2 7 4" xfId="18778"/>
    <cellStyle name="20% - Accent5 9 2 8" xfId="18779"/>
    <cellStyle name="20% - Accent5 9 2 8 2" xfId="18780"/>
    <cellStyle name="20% - Accent5 9 2 8 2 2" xfId="18781"/>
    <cellStyle name="20% - Accent5 9 2 8 3" xfId="18782"/>
    <cellStyle name="20% - Accent5 9 2 9" xfId="18783"/>
    <cellStyle name="20% - Accent5 9 2 9 2" xfId="18784"/>
    <cellStyle name="20% - Accent5 9 3" xfId="18785"/>
    <cellStyle name="20% - Accent5 9 3 2" xfId="18786"/>
    <cellStyle name="20% - Accent5 9 3 2 2" xfId="18787"/>
    <cellStyle name="20% - Accent5 9 3 2 2 2" xfId="18788"/>
    <cellStyle name="20% - Accent5 9 3 2 2 2 2" xfId="18789"/>
    <cellStyle name="20% - Accent5 9 3 2 2 3" xfId="18790"/>
    <cellStyle name="20% - Accent5 9 3 2 3" xfId="18791"/>
    <cellStyle name="20% - Accent5 9 3 2 3 2" xfId="18792"/>
    <cellStyle name="20% - Accent5 9 3 2 4" xfId="18793"/>
    <cellStyle name="20% - Accent5 9 3 3" xfId="18794"/>
    <cellStyle name="20% - Accent5 9 3 3 2" xfId="18795"/>
    <cellStyle name="20% - Accent5 9 3 3 2 2" xfId="18796"/>
    <cellStyle name="20% - Accent5 9 3 3 3" xfId="18797"/>
    <cellStyle name="20% - Accent5 9 3 4" xfId="18798"/>
    <cellStyle name="20% - Accent5 9 3 4 2" xfId="18799"/>
    <cellStyle name="20% - Accent5 9 3 5" xfId="18800"/>
    <cellStyle name="20% - Accent5 9 4" xfId="18801"/>
    <cellStyle name="20% - Accent5 9 4 2" xfId="18802"/>
    <cellStyle name="20% - Accent5 9 4 2 2" xfId="18803"/>
    <cellStyle name="20% - Accent5 9 4 2 2 2" xfId="18804"/>
    <cellStyle name="20% - Accent5 9 4 2 2 2 2" xfId="18805"/>
    <cellStyle name="20% - Accent5 9 4 2 2 3" xfId="18806"/>
    <cellStyle name="20% - Accent5 9 4 2 3" xfId="18807"/>
    <cellStyle name="20% - Accent5 9 4 2 3 2" xfId="18808"/>
    <cellStyle name="20% - Accent5 9 4 2 4" xfId="18809"/>
    <cellStyle name="20% - Accent5 9 4 3" xfId="18810"/>
    <cellStyle name="20% - Accent5 9 4 3 2" xfId="18811"/>
    <cellStyle name="20% - Accent5 9 4 3 2 2" xfId="18812"/>
    <cellStyle name="20% - Accent5 9 4 3 3" xfId="18813"/>
    <cellStyle name="20% - Accent5 9 4 4" xfId="18814"/>
    <cellStyle name="20% - Accent5 9 4 4 2" xfId="18815"/>
    <cellStyle name="20% - Accent5 9 4 5" xfId="18816"/>
    <cellStyle name="20% - Accent5 9 5" xfId="18817"/>
    <cellStyle name="20% - Accent5 9 5 2" xfId="18818"/>
    <cellStyle name="20% - Accent5 9 5 2 2" xfId="18819"/>
    <cellStyle name="20% - Accent5 9 5 2 2 2" xfId="18820"/>
    <cellStyle name="20% - Accent5 9 5 2 2 2 2" xfId="18821"/>
    <cellStyle name="20% - Accent5 9 5 2 2 3" xfId="18822"/>
    <cellStyle name="20% - Accent5 9 5 2 3" xfId="18823"/>
    <cellStyle name="20% - Accent5 9 5 2 3 2" xfId="18824"/>
    <cellStyle name="20% - Accent5 9 5 2 4" xfId="18825"/>
    <cellStyle name="20% - Accent5 9 5 3" xfId="18826"/>
    <cellStyle name="20% - Accent5 9 5 3 2" xfId="18827"/>
    <cellStyle name="20% - Accent5 9 5 3 2 2" xfId="18828"/>
    <cellStyle name="20% - Accent5 9 5 3 3" xfId="18829"/>
    <cellStyle name="20% - Accent5 9 5 4" xfId="18830"/>
    <cellStyle name="20% - Accent5 9 5 4 2" xfId="18831"/>
    <cellStyle name="20% - Accent5 9 5 5" xfId="18832"/>
    <cellStyle name="20% - Accent5 9 6" xfId="18833"/>
    <cellStyle name="20% - Accent5 9 6 2" xfId="18834"/>
    <cellStyle name="20% - Accent5 9 6 2 2" xfId="18835"/>
    <cellStyle name="20% - Accent5 9 6 2 2 2" xfId="18836"/>
    <cellStyle name="20% - Accent5 9 6 2 2 2 2" xfId="18837"/>
    <cellStyle name="20% - Accent5 9 6 2 2 3" xfId="18838"/>
    <cellStyle name="20% - Accent5 9 6 2 3" xfId="18839"/>
    <cellStyle name="20% - Accent5 9 6 2 3 2" xfId="18840"/>
    <cellStyle name="20% - Accent5 9 6 2 4" xfId="18841"/>
    <cellStyle name="20% - Accent5 9 6 3" xfId="18842"/>
    <cellStyle name="20% - Accent5 9 6 3 2" xfId="18843"/>
    <cellStyle name="20% - Accent5 9 6 3 2 2" xfId="18844"/>
    <cellStyle name="20% - Accent5 9 6 3 3" xfId="18845"/>
    <cellStyle name="20% - Accent5 9 6 4" xfId="18846"/>
    <cellStyle name="20% - Accent5 9 6 4 2" xfId="18847"/>
    <cellStyle name="20% - Accent5 9 6 5" xfId="18848"/>
    <cellStyle name="20% - Accent5 9 7" xfId="18849"/>
    <cellStyle name="20% - Accent5 9 7 2" xfId="18850"/>
    <cellStyle name="20% - Accent5 9 7 2 2" xfId="18851"/>
    <cellStyle name="20% - Accent5 9 7 2 2 2" xfId="18852"/>
    <cellStyle name="20% - Accent5 9 7 2 2 2 2" xfId="18853"/>
    <cellStyle name="20% - Accent5 9 7 2 2 3" xfId="18854"/>
    <cellStyle name="20% - Accent5 9 7 2 3" xfId="18855"/>
    <cellStyle name="20% - Accent5 9 7 2 3 2" xfId="18856"/>
    <cellStyle name="20% - Accent5 9 7 2 4" xfId="18857"/>
    <cellStyle name="20% - Accent5 9 7 3" xfId="18858"/>
    <cellStyle name="20% - Accent5 9 7 3 2" xfId="18859"/>
    <cellStyle name="20% - Accent5 9 7 3 2 2" xfId="18860"/>
    <cellStyle name="20% - Accent5 9 7 3 3" xfId="18861"/>
    <cellStyle name="20% - Accent5 9 7 4" xfId="18862"/>
    <cellStyle name="20% - Accent5 9 7 4 2" xfId="18863"/>
    <cellStyle name="20% - Accent5 9 7 5" xfId="18864"/>
    <cellStyle name="20% - Accent5 9 8" xfId="18865"/>
    <cellStyle name="20% - Accent5 9 8 2" xfId="18866"/>
    <cellStyle name="20% - Accent5 9 8 2 2" xfId="18867"/>
    <cellStyle name="20% - Accent5 9 8 2 2 2" xfId="18868"/>
    <cellStyle name="20% - Accent5 9 8 2 3" xfId="18869"/>
    <cellStyle name="20% - Accent5 9 8 3" xfId="18870"/>
    <cellStyle name="20% - Accent5 9 8 3 2" xfId="18871"/>
    <cellStyle name="20% - Accent5 9 8 4" xfId="18872"/>
    <cellStyle name="20% - Accent5 9 9" xfId="18873"/>
    <cellStyle name="20% - Accent5 9 9 2" xfId="18874"/>
    <cellStyle name="20% - Accent5 9 9 2 2" xfId="18875"/>
    <cellStyle name="20% - Accent5 9 9 3" xfId="18876"/>
    <cellStyle name="20% - Accent6 10" xfId="18877"/>
    <cellStyle name="20% - Accent6 10 10" xfId="18878"/>
    <cellStyle name="20% - Accent6 10 10 2" xfId="18879"/>
    <cellStyle name="20% - Accent6 10 11" xfId="18880"/>
    <cellStyle name="20% - Accent6 10 2" xfId="18881"/>
    <cellStyle name="20% - Accent6 10 2 10" xfId="18882"/>
    <cellStyle name="20% - Accent6 10 2 2" xfId="18883"/>
    <cellStyle name="20% - Accent6 10 2 2 2" xfId="18884"/>
    <cellStyle name="20% - Accent6 10 2 2 2 2" xfId="18885"/>
    <cellStyle name="20% - Accent6 10 2 2 2 2 2" xfId="18886"/>
    <cellStyle name="20% - Accent6 10 2 2 2 2 2 2" xfId="18887"/>
    <cellStyle name="20% - Accent6 10 2 2 2 2 3" xfId="18888"/>
    <cellStyle name="20% - Accent6 10 2 2 2 3" xfId="18889"/>
    <cellStyle name="20% - Accent6 10 2 2 2 3 2" xfId="18890"/>
    <cellStyle name="20% - Accent6 10 2 2 2 4" xfId="18891"/>
    <cellStyle name="20% - Accent6 10 2 2 3" xfId="18892"/>
    <cellStyle name="20% - Accent6 10 2 2 3 2" xfId="18893"/>
    <cellStyle name="20% - Accent6 10 2 2 3 2 2" xfId="18894"/>
    <cellStyle name="20% - Accent6 10 2 2 3 3" xfId="18895"/>
    <cellStyle name="20% - Accent6 10 2 2 4" xfId="18896"/>
    <cellStyle name="20% - Accent6 10 2 2 4 2" xfId="18897"/>
    <cellStyle name="20% - Accent6 10 2 2 5" xfId="18898"/>
    <cellStyle name="20% - Accent6 10 2 3" xfId="18899"/>
    <cellStyle name="20% - Accent6 10 2 3 2" xfId="18900"/>
    <cellStyle name="20% - Accent6 10 2 3 2 2" xfId="18901"/>
    <cellStyle name="20% - Accent6 10 2 3 2 2 2" xfId="18902"/>
    <cellStyle name="20% - Accent6 10 2 3 2 2 2 2" xfId="18903"/>
    <cellStyle name="20% - Accent6 10 2 3 2 2 3" xfId="18904"/>
    <cellStyle name="20% - Accent6 10 2 3 2 3" xfId="18905"/>
    <cellStyle name="20% - Accent6 10 2 3 2 3 2" xfId="18906"/>
    <cellStyle name="20% - Accent6 10 2 3 2 4" xfId="18907"/>
    <cellStyle name="20% - Accent6 10 2 3 3" xfId="18908"/>
    <cellStyle name="20% - Accent6 10 2 3 3 2" xfId="18909"/>
    <cellStyle name="20% - Accent6 10 2 3 3 2 2" xfId="18910"/>
    <cellStyle name="20% - Accent6 10 2 3 3 3" xfId="18911"/>
    <cellStyle name="20% - Accent6 10 2 3 4" xfId="18912"/>
    <cellStyle name="20% - Accent6 10 2 3 4 2" xfId="18913"/>
    <cellStyle name="20% - Accent6 10 2 3 5" xfId="18914"/>
    <cellStyle name="20% - Accent6 10 2 4" xfId="18915"/>
    <cellStyle name="20% - Accent6 10 2 4 2" xfId="18916"/>
    <cellStyle name="20% - Accent6 10 2 4 2 2" xfId="18917"/>
    <cellStyle name="20% - Accent6 10 2 4 2 2 2" xfId="18918"/>
    <cellStyle name="20% - Accent6 10 2 4 2 2 2 2" xfId="18919"/>
    <cellStyle name="20% - Accent6 10 2 4 2 2 3" xfId="18920"/>
    <cellStyle name="20% - Accent6 10 2 4 2 3" xfId="18921"/>
    <cellStyle name="20% - Accent6 10 2 4 2 3 2" xfId="18922"/>
    <cellStyle name="20% - Accent6 10 2 4 2 4" xfId="18923"/>
    <cellStyle name="20% - Accent6 10 2 4 3" xfId="18924"/>
    <cellStyle name="20% - Accent6 10 2 4 3 2" xfId="18925"/>
    <cellStyle name="20% - Accent6 10 2 4 3 2 2" xfId="18926"/>
    <cellStyle name="20% - Accent6 10 2 4 3 3" xfId="18927"/>
    <cellStyle name="20% - Accent6 10 2 4 4" xfId="18928"/>
    <cellStyle name="20% - Accent6 10 2 4 4 2" xfId="18929"/>
    <cellStyle name="20% - Accent6 10 2 4 5" xfId="18930"/>
    <cellStyle name="20% - Accent6 10 2 5" xfId="18931"/>
    <cellStyle name="20% - Accent6 10 2 5 2" xfId="18932"/>
    <cellStyle name="20% - Accent6 10 2 5 2 2" xfId="18933"/>
    <cellStyle name="20% - Accent6 10 2 5 2 2 2" xfId="18934"/>
    <cellStyle name="20% - Accent6 10 2 5 2 2 2 2" xfId="18935"/>
    <cellStyle name="20% - Accent6 10 2 5 2 2 3" xfId="18936"/>
    <cellStyle name="20% - Accent6 10 2 5 2 3" xfId="18937"/>
    <cellStyle name="20% - Accent6 10 2 5 2 3 2" xfId="18938"/>
    <cellStyle name="20% - Accent6 10 2 5 2 4" xfId="18939"/>
    <cellStyle name="20% - Accent6 10 2 5 3" xfId="18940"/>
    <cellStyle name="20% - Accent6 10 2 5 3 2" xfId="18941"/>
    <cellStyle name="20% - Accent6 10 2 5 3 2 2" xfId="18942"/>
    <cellStyle name="20% - Accent6 10 2 5 3 3" xfId="18943"/>
    <cellStyle name="20% - Accent6 10 2 5 4" xfId="18944"/>
    <cellStyle name="20% - Accent6 10 2 5 4 2" xfId="18945"/>
    <cellStyle name="20% - Accent6 10 2 5 5" xfId="18946"/>
    <cellStyle name="20% - Accent6 10 2 6" xfId="18947"/>
    <cellStyle name="20% - Accent6 10 2 6 2" xfId="18948"/>
    <cellStyle name="20% - Accent6 10 2 6 2 2" xfId="18949"/>
    <cellStyle name="20% - Accent6 10 2 6 2 2 2" xfId="18950"/>
    <cellStyle name="20% - Accent6 10 2 6 2 2 2 2" xfId="18951"/>
    <cellStyle name="20% - Accent6 10 2 6 2 2 3" xfId="18952"/>
    <cellStyle name="20% - Accent6 10 2 6 2 3" xfId="18953"/>
    <cellStyle name="20% - Accent6 10 2 6 2 3 2" xfId="18954"/>
    <cellStyle name="20% - Accent6 10 2 6 2 4" xfId="18955"/>
    <cellStyle name="20% - Accent6 10 2 6 3" xfId="18956"/>
    <cellStyle name="20% - Accent6 10 2 6 3 2" xfId="18957"/>
    <cellStyle name="20% - Accent6 10 2 6 3 2 2" xfId="18958"/>
    <cellStyle name="20% - Accent6 10 2 6 3 3" xfId="18959"/>
    <cellStyle name="20% - Accent6 10 2 6 4" xfId="18960"/>
    <cellStyle name="20% - Accent6 10 2 6 4 2" xfId="18961"/>
    <cellStyle name="20% - Accent6 10 2 6 5" xfId="18962"/>
    <cellStyle name="20% - Accent6 10 2 7" xfId="18963"/>
    <cellStyle name="20% - Accent6 10 2 7 2" xfId="18964"/>
    <cellStyle name="20% - Accent6 10 2 7 2 2" xfId="18965"/>
    <cellStyle name="20% - Accent6 10 2 7 2 2 2" xfId="18966"/>
    <cellStyle name="20% - Accent6 10 2 7 2 3" xfId="18967"/>
    <cellStyle name="20% - Accent6 10 2 7 3" xfId="18968"/>
    <cellStyle name="20% - Accent6 10 2 7 3 2" xfId="18969"/>
    <cellStyle name="20% - Accent6 10 2 7 4" xfId="18970"/>
    <cellStyle name="20% - Accent6 10 2 8" xfId="18971"/>
    <cellStyle name="20% - Accent6 10 2 8 2" xfId="18972"/>
    <cellStyle name="20% - Accent6 10 2 8 2 2" xfId="18973"/>
    <cellStyle name="20% - Accent6 10 2 8 3" xfId="18974"/>
    <cellStyle name="20% - Accent6 10 2 9" xfId="18975"/>
    <cellStyle name="20% - Accent6 10 2 9 2" xfId="18976"/>
    <cellStyle name="20% - Accent6 10 3" xfId="18977"/>
    <cellStyle name="20% - Accent6 10 3 2" xfId="18978"/>
    <cellStyle name="20% - Accent6 10 3 2 2" xfId="18979"/>
    <cellStyle name="20% - Accent6 10 3 2 2 2" xfId="18980"/>
    <cellStyle name="20% - Accent6 10 3 2 2 2 2" xfId="18981"/>
    <cellStyle name="20% - Accent6 10 3 2 2 3" xfId="18982"/>
    <cellStyle name="20% - Accent6 10 3 2 3" xfId="18983"/>
    <cellStyle name="20% - Accent6 10 3 2 3 2" xfId="18984"/>
    <cellStyle name="20% - Accent6 10 3 2 4" xfId="18985"/>
    <cellStyle name="20% - Accent6 10 3 3" xfId="18986"/>
    <cellStyle name="20% - Accent6 10 3 3 2" xfId="18987"/>
    <cellStyle name="20% - Accent6 10 3 3 2 2" xfId="18988"/>
    <cellStyle name="20% - Accent6 10 3 3 3" xfId="18989"/>
    <cellStyle name="20% - Accent6 10 3 4" xfId="18990"/>
    <cellStyle name="20% - Accent6 10 3 4 2" xfId="18991"/>
    <cellStyle name="20% - Accent6 10 3 5" xfId="18992"/>
    <cellStyle name="20% - Accent6 10 4" xfId="18993"/>
    <cellStyle name="20% - Accent6 10 4 2" xfId="18994"/>
    <cellStyle name="20% - Accent6 10 4 2 2" xfId="18995"/>
    <cellStyle name="20% - Accent6 10 4 2 2 2" xfId="18996"/>
    <cellStyle name="20% - Accent6 10 4 2 2 2 2" xfId="18997"/>
    <cellStyle name="20% - Accent6 10 4 2 2 3" xfId="18998"/>
    <cellStyle name="20% - Accent6 10 4 2 3" xfId="18999"/>
    <cellStyle name="20% - Accent6 10 4 2 3 2" xfId="19000"/>
    <cellStyle name="20% - Accent6 10 4 2 4" xfId="19001"/>
    <cellStyle name="20% - Accent6 10 4 3" xfId="19002"/>
    <cellStyle name="20% - Accent6 10 4 3 2" xfId="19003"/>
    <cellStyle name="20% - Accent6 10 4 3 2 2" xfId="19004"/>
    <cellStyle name="20% - Accent6 10 4 3 3" xfId="19005"/>
    <cellStyle name="20% - Accent6 10 4 4" xfId="19006"/>
    <cellStyle name="20% - Accent6 10 4 4 2" xfId="19007"/>
    <cellStyle name="20% - Accent6 10 4 5" xfId="19008"/>
    <cellStyle name="20% - Accent6 10 5" xfId="19009"/>
    <cellStyle name="20% - Accent6 10 5 2" xfId="19010"/>
    <cellStyle name="20% - Accent6 10 5 2 2" xfId="19011"/>
    <cellStyle name="20% - Accent6 10 5 2 2 2" xfId="19012"/>
    <cellStyle name="20% - Accent6 10 5 2 2 2 2" xfId="19013"/>
    <cellStyle name="20% - Accent6 10 5 2 2 3" xfId="19014"/>
    <cellStyle name="20% - Accent6 10 5 2 3" xfId="19015"/>
    <cellStyle name="20% - Accent6 10 5 2 3 2" xfId="19016"/>
    <cellStyle name="20% - Accent6 10 5 2 4" xfId="19017"/>
    <cellStyle name="20% - Accent6 10 5 3" xfId="19018"/>
    <cellStyle name="20% - Accent6 10 5 3 2" xfId="19019"/>
    <cellStyle name="20% - Accent6 10 5 3 2 2" xfId="19020"/>
    <cellStyle name="20% - Accent6 10 5 3 3" xfId="19021"/>
    <cellStyle name="20% - Accent6 10 5 4" xfId="19022"/>
    <cellStyle name="20% - Accent6 10 5 4 2" xfId="19023"/>
    <cellStyle name="20% - Accent6 10 5 5" xfId="19024"/>
    <cellStyle name="20% - Accent6 10 6" xfId="19025"/>
    <cellStyle name="20% - Accent6 10 6 2" xfId="19026"/>
    <cellStyle name="20% - Accent6 10 6 2 2" xfId="19027"/>
    <cellStyle name="20% - Accent6 10 6 2 2 2" xfId="19028"/>
    <cellStyle name="20% - Accent6 10 6 2 2 2 2" xfId="19029"/>
    <cellStyle name="20% - Accent6 10 6 2 2 3" xfId="19030"/>
    <cellStyle name="20% - Accent6 10 6 2 3" xfId="19031"/>
    <cellStyle name="20% - Accent6 10 6 2 3 2" xfId="19032"/>
    <cellStyle name="20% - Accent6 10 6 2 4" xfId="19033"/>
    <cellStyle name="20% - Accent6 10 6 3" xfId="19034"/>
    <cellStyle name="20% - Accent6 10 6 3 2" xfId="19035"/>
    <cellStyle name="20% - Accent6 10 6 3 2 2" xfId="19036"/>
    <cellStyle name="20% - Accent6 10 6 3 3" xfId="19037"/>
    <cellStyle name="20% - Accent6 10 6 4" xfId="19038"/>
    <cellStyle name="20% - Accent6 10 6 4 2" xfId="19039"/>
    <cellStyle name="20% - Accent6 10 6 5" xfId="19040"/>
    <cellStyle name="20% - Accent6 10 7" xfId="19041"/>
    <cellStyle name="20% - Accent6 10 7 2" xfId="19042"/>
    <cellStyle name="20% - Accent6 10 7 2 2" xfId="19043"/>
    <cellStyle name="20% - Accent6 10 7 2 2 2" xfId="19044"/>
    <cellStyle name="20% - Accent6 10 7 2 2 2 2" xfId="19045"/>
    <cellStyle name="20% - Accent6 10 7 2 2 3" xfId="19046"/>
    <cellStyle name="20% - Accent6 10 7 2 3" xfId="19047"/>
    <cellStyle name="20% - Accent6 10 7 2 3 2" xfId="19048"/>
    <cellStyle name="20% - Accent6 10 7 2 4" xfId="19049"/>
    <cellStyle name="20% - Accent6 10 7 3" xfId="19050"/>
    <cellStyle name="20% - Accent6 10 7 3 2" xfId="19051"/>
    <cellStyle name="20% - Accent6 10 7 3 2 2" xfId="19052"/>
    <cellStyle name="20% - Accent6 10 7 3 3" xfId="19053"/>
    <cellStyle name="20% - Accent6 10 7 4" xfId="19054"/>
    <cellStyle name="20% - Accent6 10 7 4 2" xfId="19055"/>
    <cellStyle name="20% - Accent6 10 7 5" xfId="19056"/>
    <cellStyle name="20% - Accent6 10 8" xfId="19057"/>
    <cellStyle name="20% - Accent6 10 8 2" xfId="19058"/>
    <cellStyle name="20% - Accent6 10 8 2 2" xfId="19059"/>
    <cellStyle name="20% - Accent6 10 8 2 2 2" xfId="19060"/>
    <cellStyle name="20% - Accent6 10 8 2 3" xfId="19061"/>
    <cellStyle name="20% - Accent6 10 8 3" xfId="19062"/>
    <cellStyle name="20% - Accent6 10 8 3 2" xfId="19063"/>
    <cellStyle name="20% - Accent6 10 8 4" xfId="19064"/>
    <cellStyle name="20% - Accent6 10 9" xfId="19065"/>
    <cellStyle name="20% - Accent6 10 9 2" xfId="19066"/>
    <cellStyle name="20% - Accent6 10 9 2 2" xfId="19067"/>
    <cellStyle name="20% - Accent6 10 9 3" xfId="19068"/>
    <cellStyle name="20% - Accent6 11" xfId="19069"/>
    <cellStyle name="20% - Accent6 11 10" xfId="19070"/>
    <cellStyle name="20% - Accent6 11 10 2" xfId="19071"/>
    <cellStyle name="20% - Accent6 11 11" xfId="19072"/>
    <cellStyle name="20% - Accent6 11 2" xfId="19073"/>
    <cellStyle name="20% - Accent6 11 2 10" xfId="19074"/>
    <cellStyle name="20% - Accent6 11 2 2" xfId="19075"/>
    <cellStyle name="20% - Accent6 11 2 2 2" xfId="19076"/>
    <cellStyle name="20% - Accent6 11 2 2 2 2" xfId="19077"/>
    <cellStyle name="20% - Accent6 11 2 2 2 2 2" xfId="19078"/>
    <cellStyle name="20% - Accent6 11 2 2 2 2 2 2" xfId="19079"/>
    <cellStyle name="20% - Accent6 11 2 2 2 2 3" xfId="19080"/>
    <cellStyle name="20% - Accent6 11 2 2 2 3" xfId="19081"/>
    <cellStyle name="20% - Accent6 11 2 2 2 3 2" xfId="19082"/>
    <cellStyle name="20% - Accent6 11 2 2 2 4" xfId="19083"/>
    <cellStyle name="20% - Accent6 11 2 2 3" xfId="19084"/>
    <cellStyle name="20% - Accent6 11 2 2 3 2" xfId="19085"/>
    <cellStyle name="20% - Accent6 11 2 2 3 2 2" xfId="19086"/>
    <cellStyle name="20% - Accent6 11 2 2 3 3" xfId="19087"/>
    <cellStyle name="20% - Accent6 11 2 2 4" xfId="19088"/>
    <cellStyle name="20% - Accent6 11 2 2 4 2" xfId="19089"/>
    <cellStyle name="20% - Accent6 11 2 2 5" xfId="19090"/>
    <cellStyle name="20% - Accent6 11 2 3" xfId="19091"/>
    <cellStyle name="20% - Accent6 11 2 3 2" xfId="19092"/>
    <cellStyle name="20% - Accent6 11 2 3 2 2" xfId="19093"/>
    <cellStyle name="20% - Accent6 11 2 3 2 2 2" xfId="19094"/>
    <cellStyle name="20% - Accent6 11 2 3 2 2 2 2" xfId="19095"/>
    <cellStyle name="20% - Accent6 11 2 3 2 2 3" xfId="19096"/>
    <cellStyle name="20% - Accent6 11 2 3 2 3" xfId="19097"/>
    <cellStyle name="20% - Accent6 11 2 3 2 3 2" xfId="19098"/>
    <cellStyle name="20% - Accent6 11 2 3 2 4" xfId="19099"/>
    <cellStyle name="20% - Accent6 11 2 3 3" xfId="19100"/>
    <cellStyle name="20% - Accent6 11 2 3 3 2" xfId="19101"/>
    <cellStyle name="20% - Accent6 11 2 3 3 2 2" xfId="19102"/>
    <cellStyle name="20% - Accent6 11 2 3 3 3" xfId="19103"/>
    <cellStyle name="20% - Accent6 11 2 3 4" xfId="19104"/>
    <cellStyle name="20% - Accent6 11 2 3 4 2" xfId="19105"/>
    <cellStyle name="20% - Accent6 11 2 3 5" xfId="19106"/>
    <cellStyle name="20% - Accent6 11 2 4" xfId="19107"/>
    <cellStyle name="20% - Accent6 11 2 4 2" xfId="19108"/>
    <cellStyle name="20% - Accent6 11 2 4 2 2" xfId="19109"/>
    <cellStyle name="20% - Accent6 11 2 4 2 2 2" xfId="19110"/>
    <cellStyle name="20% - Accent6 11 2 4 2 2 2 2" xfId="19111"/>
    <cellStyle name="20% - Accent6 11 2 4 2 2 3" xfId="19112"/>
    <cellStyle name="20% - Accent6 11 2 4 2 3" xfId="19113"/>
    <cellStyle name="20% - Accent6 11 2 4 2 3 2" xfId="19114"/>
    <cellStyle name="20% - Accent6 11 2 4 2 4" xfId="19115"/>
    <cellStyle name="20% - Accent6 11 2 4 3" xfId="19116"/>
    <cellStyle name="20% - Accent6 11 2 4 3 2" xfId="19117"/>
    <cellStyle name="20% - Accent6 11 2 4 3 2 2" xfId="19118"/>
    <cellStyle name="20% - Accent6 11 2 4 3 3" xfId="19119"/>
    <cellStyle name="20% - Accent6 11 2 4 4" xfId="19120"/>
    <cellStyle name="20% - Accent6 11 2 4 4 2" xfId="19121"/>
    <cellStyle name="20% - Accent6 11 2 4 5" xfId="19122"/>
    <cellStyle name="20% - Accent6 11 2 5" xfId="19123"/>
    <cellStyle name="20% - Accent6 11 2 5 2" xfId="19124"/>
    <cellStyle name="20% - Accent6 11 2 5 2 2" xfId="19125"/>
    <cellStyle name="20% - Accent6 11 2 5 2 2 2" xfId="19126"/>
    <cellStyle name="20% - Accent6 11 2 5 2 2 2 2" xfId="19127"/>
    <cellStyle name="20% - Accent6 11 2 5 2 2 3" xfId="19128"/>
    <cellStyle name="20% - Accent6 11 2 5 2 3" xfId="19129"/>
    <cellStyle name="20% - Accent6 11 2 5 2 3 2" xfId="19130"/>
    <cellStyle name="20% - Accent6 11 2 5 2 4" xfId="19131"/>
    <cellStyle name="20% - Accent6 11 2 5 3" xfId="19132"/>
    <cellStyle name="20% - Accent6 11 2 5 3 2" xfId="19133"/>
    <cellStyle name="20% - Accent6 11 2 5 3 2 2" xfId="19134"/>
    <cellStyle name="20% - Accent6 11 2 5 3 3" xfId="19135"/>
    <cellStyle name="20% - Accent6 11 2 5 4" xfId="19136"/>
    <cellStyle name="20% - Accent6 11 2 5 4 2" xfId="19137"/>
    <cellStyle name="20% - Accent6 11 2 5 5" xfId="19138"/>
    <cellStyle name="20% - Accent6 11 2 6" xfId="19139"/>
    <cellStyle name="20% - Accent6 11 2 6 2" xfId="19140"/>
    <cellStyle name="20% - Accent6 11 2 6 2 2" xfId="19141"/>
    <cellStyle name="20% - Accent6 11 2 6 2 2 2" xfId="19142"/>
    <cellStyle name="20% - Accent6 11 2 6 2 2 2 2" xfId="19143"/>
    <cellStyle name="20% - Accent6 11 2 6 2 2 3" xfId="19144"/>
    <cellStyle name="20% - Accent6 11 2 6 2 3" xfId="19145"/>
    <cellStyle name="20% - Accent6 11 2 6 2 3 2" xfId="19146"/>
    <cellStyle name="20% - Accent6 11 2 6 2 4" xfId="19147"/>
    <cellStyle name="20% - Accent6 11 2 6 3" xfId="19148"/>
    <cellStyle name="20% - Accent6 11 2 6 3 2" xfId="19149"/>
    <cellStyle name="20% - Accent6 11 2 6 3 2 2" xfId="19150"/>
    <cellStyle name="20% - Accent6 11 2 6 3 3" xfId="19151"/>
    <cellStyle name="20% - Accent6 11 2 6 4" xfId="19152"/>
    <cellStyle name="20% - Accent6 11 2 6 4 2" xfId="19153"/>
    <cellStyle name="20% - Accent6 11 2 6 5" xfId="19154"/>
    <cellStyle name="20% - Accent6 11 2 7" xfId="19155"/>
    <cellStyle name="20% - Accent6 11 2 7 2" xfId="19156"/>
    <cellStyle name="20% - Accent6 11 2 7 2 2" xfId="19157"/>
    <cellStyle name="20% - Accent6 11 2 7 2 2 2" xfId="19158"/>
    <cellStyle name="20% - Accent6 11 2 7 2 3" xfId="19159"/>
    <cellStyle name="20% - Accent6 11 2 7 3" xfId="19160"/>
    <cellStyle name="20% - Accent6 11 2 7 3 2" xfId="19161"/>
    <cellStyle name="20% - Accent6 11 2 7 4" xfId="19162"/>
    <cellStyle name="20% - Accent6 11 2 8" xfId="19163"/>
    <cellStyle name="20% - Accent6 11 2 8 2" xfId="19164"/>
    <cellStyle name="20% - Accent6 11 2 8 2 2" xfId="19165"/>
    <cellStyle name="20% - Accent6 11 2 8 3" xfId="19166"/>
    <cellStyle name="20% - Accent6 11 2 9" xfId="19167"/>
    <cellStyle name="20% - Accent6 11 2 9 2" xfId="19168"/>
    <cellStyle name="20% - Accent6 11 3" xfId="19169"/>
    <cellStyle name="20% - Accent6 11 3 2" xfId="19170"/>
    <cellStyle name="20% - Accent6 11 3 2 2" xfId="19171"/>
    <cellStyle name="20% - Accent6 11 3 2 2 2" xfId="19172"/>
    <cellStyle name="20% - Accent6 11 3 2 2 2 2" xfId="19173"/>
    <cellStyle name="20% - Accent6 11 3 2 2 3" xfId="19174"/>
    <cellStyle name="20% - Accent6 11 3 2 3" xfId="19175"/>
    <cellStyle name="20% - Accent6 11 3 2 3 2" xfId="19176"/>
    <cellStyle name="20% - Accent6 11 3 2 4" xfId="19177"/>
    <cellStyle name="20% - Accent6 11 3 3" xfId="19178"/>
    <cellStyle name="20% - Accent6 11 3 3 2" xfId="19179"/>
    <cellStyle name="20% - Accent6 11 3 3 2 2" xfId="19180"/>
    <cellStyle name="20% - Accent6 11 3 3 3" xfId="19181"/>
    <cellStyle name="20% - Accent6 11 3 4" xfId="19182"/>
    <cellStyle name="20% - Accent6 11 3 4 2" xfId="19183"/>
    <cellStyle name="20% - Accent6 11 3 5" xfId="19184"/>
    <cellStyle name="20% - Accent6 11 4" xfId="19185"/>
    <cellStyle name="20% - Accent6 11 4 2" xfId="19186"/>
    <cellStyle name="20% - Accent6 11 4 2 2" xfId="19187"/>
    <cellStyle name="20% - Accent6 11 4 2 2 2" xfId="19188"/>
    <cellStyle name="20% - Accent6 11 4 2 2 2 2" xfId="19189"/>
    <cellStyle name="20% - Accent6 11 4 2 2 3" xfId="19190"/>
    <cellStyle name="20% - Accent6 11 4 2 3" xfId="19191"/>
    <cellStyle name="20% - Accent6 11 4 2 3 2" xfId="19192"/>
    <cellStyle name="20% - Accent6 11 4 2 4" xfId="19193"/>
    <cellStyle name="20% - Accent6 11 4 3" xfId="19194"/>
    <cellStyle name="20% - Accent6 11 4 3 2" xfId="19195"/>
    <cellStyle name="20% - Accent6 11 4 3 2 2" xfId="19196"/>
    <cellStyle name="20% - Accent6 11 4 3 3" xfId="19197"/>
    <cellStyle name="20% - Accent6 11 4 4" xfId="19198"/>
    <cellStyle name="20% - Accent6 11 4 4 2" xfId="19199"/>
    <cellStyle name="20% - Accent6 11 4 5" xfId="19200"/>
    <cellStyle name="20% - Accent6 11 5" xfId="19201"/>
    <cellStyle name="20% - Accent6 11 5 2" xfId="19202"/>
    <cellStyle name="20% - Accent6 11 5 2 2" xfId="19203"/>
    <cellStyle name="20% - Accent6 11 5 2 2 2" xfId="19204"/>
    <cellStyle name="20% - Accent6 11 5 2 2 2 2" xfId="19205"/>
    <cellStyle name="20% - Accent6 11 5 2 2 3" xfId="19206"/>
    <cellStyle name="20% - Accent6 11 5 2 3" xfId="19207"/>
    <cellStyle name="20% - Accent6 11 5 2 3 2" xfId="19208"/>
    <cellStyle name="20% - Accent6 11 5 2 4" xfId="19209"/>
    <cellStyle name="20% - Accent6 11 5 3" xfId="19210"/>
    <cellStyle name="20% - Accent6 11 5 3 2" xfId="19211"/>
    <cellStyle name="20% - Accent6 11 5 3 2 2" xfId="19212"/>
    <cellStyle name="20% - Accent6 11 5 3 3" xfId="19213"/>
    <cellStyle name="20% - Accent6 11 5 4" xfId="19214"/>
    <cellStyle name="20% - Accent6 11 5 4 2" xfId="19215"/>
    <cellStyle name="20% - Accent6 11 5 5" xfId="19216"/>
    <cellStyle name="20% - Accent6 11 6" xfId="19217"/>
    <cellStyle name="20% - Accent6 11 6 2" xfId="19218"/>
    <cellStyle name="20% - Accent6 11 6 2 2" xfId="19219"/>
    <cellStyle name="20% - Accent6 11 6 2 2 2" xfId="19220"/>
    <cellStyle name="20% - Accent6 11 6 2 2 2 2" xfId="19221"/>
    <cellStyle name="20% - Accent6 11 6 2 2 3" xfId="19222"/>
    <cellStyle name="20% - Accent6 11 6 2 3" xfId="19223"/>
    <cellStyle name="20% - Accent6 11 6 2 3 2" xfId="19224"/>
    <cellStyle name="20% - Accent6 11 6 2 4" xfId="19225"/>
    <cellStyle name="20% - Accent6 11 6 3" xfId="19226"/>
    <cellStyle name="20% - Accent6 11 6 3 2" xfId="19227"/>
    <cellStyle name="20% - Accent6 11 6 3 2 2" xfId="19228"/>
    <cellStyle name="20% - Accent6 11 6 3 3" xfId="19229"/>
    <cellStyle name="20% - Accent6 11 6 4" xfId="19230"/>
    <cellStyle name="20% - Accent6 11 6 4 2" xfId="19231"/>
    <cellStyle name="20% - Accent6 11 6 5" xfId="19232"/>
    <cellStyle name="20% - Accent6 11 7" xfId="19233"/>
    <cellStyle name="20% - Accent6 11 7 2" xfId="19234"/>
    <cellStyle name="20% - Accent6 11 7 2 2" xfId="19235"/>
    <cellStyle name="20% - Accent6 11 7 2 2 2" xfId="19236"/>
    <cellStyle name="20% - Accent6 11 7 2 2 2 2" xfId="19237"/>
    <cellStyle name="20% - Accent6 11 7 2 2 3" xfId="19238"/>
    <cellStyle name="20% - Accent6 11 7 2 3" xfId="19239"/>
    <cellStyle name="20% - Accent6 11 7 2 3 2" xfId="19240"/>
    <cellStyle name="20% - Accent6 11 7 2 4" xfId="19241"/>
    <cellStyle name="20% - Accent6 11 7 3" xfId="19242"/>
    <cellStyle name="20% - Accent6 11 7 3 2" xfId="19243"/>
    <cellStyle name="20% - Accent6 11 7 3 2 2" xfId="19244"/>
    <cellStyle name="20% - Accent6 11 7 3 3" xfId="19245"/>
    <cellStyle name="20% - Accent6 11 7 4" xfId="19246"/>
    <cellStyle name="20% - Accent6 11 7 4 2" xfId="19247"/>
    <cellStyle name="20% - Accent6 11 7 5" xfId="19248"/>
    <cellStyle name="20% - Accent6 11 8" xfId="19249"/>
    <cellStyle name="20% - Accent6 11 8 2" xfId="19250"/>
    <cellStyle name="20% - Accent6 11 8 2 2" xfId="19251"/>
    <cellStyle name="20% - Accent6 11 8 2 2 2" xfId="19252"/>
    <cellStyle name="20% - Accent6 11 8 2 3" xfId="19253"/>
    <cellStyle name="20% - Accent6 11 8 3" xfId="19254"/>
    <cellStyle name="20% - Accent6 11 8 3 2" xfId="19255"/>
    <cellStyle name="20% - Accent6 11 8 4" xfId="19256"/>
    <cellStyle name="20% - Accent6 11 9" xfId="19257"/>
    <cellStyle name="20% - Accent6 11 9 2" xfId="19258"/>
    <cellStyle name="20% - Accent6 11 9 2 2" xfId="19259"/>
    <cellStyle name="20% - Accent6 11 9 3" xfId="19260"/>
    <cellStyle name="20% - Accent6 12" xfId="19261"/>
    <cellStyle name="20% - Accent6 12 10" xfId="19262"/>
    <cellStyle name="20% - Accent6 12 2" xfId="19263"/>
    <cellStyle name="20% - Accent6 12 2 2" xfId="19264"/>
    <cellStyle name="20% - Accent6 12 2 2 2" xfId="19265"/>
    <cellStyle name="20% - Accent6 12 2 2 2 2" xfId="19266"/>
    <cellStyle name="20% - Accent6 12 2 2 2 2 2" xfId="19267"/>
    <cellStyle name="20% - Accent6 12 2 2 2 3" xfId="19268"/>
    <cellStyle name="20% - Accent6 12 2 2 3" xfId="19269"/>
    <cellStyle name="20% - Accent6 12 2 2 3 2" xfId="19270"/>
    <cellStyle name="20% - Accent6 12 2 2 4" xfId="19271"/>
    <cellStyle name="20% - Accent6 12 2 3" xfId="19272"/>
    <cellStyle name="20% - Accent6 12 2 3 2" xfId="19273"/>
    <cellStyle name="20% - Accent6 12 2 3 2 2" xfId="19274"/>
    <cellStyle name="20% - Accent6 12 2 3 3" xfId="19275"/>
    <cellStyle name="20% - Accent6 12 2 4" xfId="19276"/>
    <cellStyle name="20% - Accent6 12 2 4 2" xfId="19277"/>
    <cellStyle name="20% - Accent6 12 2 5" xfId="19278"/>
    <cellStyle name="20% - Accent6 12 3" xfId="19279"/>
    <cellStyle name="20% - Accent6 12 3 2" xfId="19280"/>
    <cellStyle name="20% - Accent6 12 3 2 2" xfId="19281"/>
    <cellStyle name="20% - Accent6 12 3 2 2 2" xfId="19282"/>
    <cellStyle name="20% - Accent6 12 3 2 2 2 2" xfId="19283"/>
    <cellStyle name="20% - Accent6 12 3 2 2 3" xfId="19284"/>
    <cellStyle name="20% - Accent6 12 3 2 3" xfId="19285"/>
    <cellStyle name="20% - Accent6 12 3 2 3 2" xfId="19286"/>
    <cellStyle name="20% - Accent6 12 3 2 4" xfId="19287"/>
    <cellStyle name="20% - Accent6 12 3 3" xfId="19288"/>
    <cellStyle name="20% - Accent6 12 3 3 2" xfId="19289"/>
    <cellStyle name="20% - Accent6 12 3 3 2 2" xfId="19290"/>
    <cellStyle name="20% - Accent6 12 3 3 3" xfId="19291"/>
    <cellStyle name="20% - Accent6 12 3 4" xfId="19292"/>
    <cellStyle name="20% - Accent6 12 3 4 2" xfId="19293"/>
    <cellStyle name="20% - Accent6 12 3 5" xfId="19294"/>
    <cellStyle name="20% - Accent6 12 4" xfId="19295"/>
    <cellStyle name="20% - Accent6 12 4 2" xfId="19296"/>
    <cellStyle name="20% - Accent6 12 4 2 2" xfId="19297"/>
    <cellStyle name="20% - Accent6 12 4 2 2 2" xfId="19298"/>
    <cellStyle name="20% - Accent6 12 4 2 2 2 2" xfId="19299"/>
    <cellStyle name="20% - Accent6 12 4 2 2 3" xfId="19300"/>
    <cellStyle name="20% - Accent6 12 4 2 3" xfId="19301"/>
    <cellStyle name="20% - Accent6 12 4 2 3 2" xfId="19302"/>
    <cellStyle name="20% - Accent6 12 4 2 4" xfId="19303"/>
    <cellStyle name="20% - Accent6 12 4 3" xfId="19304"/>
    <cellStyle name="20% - Accent6 12 4 3 2" xfId="19305"/>
    <cellStyle name="20% - Accent6 12 4 3 2 2" xfId="19306"/>
    <cellStyle name="20% - Accent6 12 4 3 3" xfId="19307"/>
    <cellStyle name="20% - Accent6 12 4 4" xfId="19308"/>
    <cellStyle name="20% - Accent6 12 4 4 2" xfId="19309"/>
    <cellStyle name="20% - Accent6 12 4 5" xfId="19310"/>
    <cellStyle name="20% - Accent6 12 5" xfId="19311"/>
    <cellStyle name="20% - Accent6 12 5 2" xfId="19312"/>
    <cellStyle name="20% - Accent6 12 5 2 2" xfId="19313"/>
    <cellStyle name="20% - Accent6 12 5 2 2 2" xfId="19314"/>
    <cellStyle name="20% - Accent6 12 5 2 2 2 2" xfId="19315"/>
    <cellStyle name="20% - Accent6 12 5 2 2 3" xfId="19316"/>
    <cellStyle name="20% - Accent6 12 5 2 3" xfId="19317"/>
    <cellStyle name="20% - Accent6 12 5 2 3 2" xfId="19318"/>
    <cellStyle name="20% - Accent6 12 5 2 4" xfId="19319"/>
    <cellStyle name="20% - Accent6 12 5 3" xfId="19320"/>
    <cellStyle name="20% - Accent6 12 5 3 2" xfId="19321"/>
    <cellStyle name="20% - Accent6 12 5 3 2 2" xfId="19322"/>
    <cellStyle name="20% - Accent6 12 5 3 3" xfId="19323"/>
    <cellStyle name="20% - Accent6 12 5 4" xfId="19324"/>
    <cellStyle name="20% - Accent6 12 5 4 2" xfId="19325"/>
    <cellStyle name="20% - Accent6 12 5 5" xfId="19326"/>
    <cellStyle name="20% - Accent6 12 6" xfId="19327"/>
    <cellStyle name="20% - Accent6 12 6 2" xfId="19328"/>
    <cellStyle name="20% - Accent6 12 6 2 2" xfId="19329"/>
    <cellStyle name="20% - Accent6 12 6 2 2 2" xfId="19330"/>
    <cellStyle name="20% - Accent6 12 6 2 2 2 2" xfId="19331"/>
    <cellStyle name="20% - Accent6 12 6 2 2 3" xfId="19332"/>
    <cellStyle name="20% - Accent6 12 6 2 3" xfId="19333"/>
    <cellStyle name="20% - Accent6 12 6 2 3 2" xfId="19334"/>
    <cellStyle name="20% - Accent6 12 6 2 4" xfId="19335"/>
    <cellStyle name="20% - Accent6 12 6 3" xfId="19336"/>
    <cellStyle name="20% - Accent6 12 6 3 2" xfId="19337"/>
    <cellStyle name="20% - Accent6 12 6 3 2 2" xfId="19338"/>
    <cellStyle name="20% - Accent6 12 6 3 3" xfId="19339"/>
    <cellStyle name="20% - Accent6 12 6 4" xfId="19340"/>
    <cellStyle name="20% - Accent6 12 6 4 2" xfId="19341"/>
    <cellStyle name="20% - Accent6 12 6 5" xfId="19342"/>
    <cellStyle name="20% - Accent6 12 7" xfId="19343"/>
    <cellStyle name="20% - Accent6 12 7 2" xfId="19344"/>
    <cellStyle name="20% - Accent6 12 7 2 2" xfId="19345"/>
    <cellStyle name="20% - Accent6 12 7 2 2 2" xfId="19346"/>
    <cellStyle name="20% - Accent6 12 7 2 3" xfId="19347"/>
    <cellStyle name="20% - Accent6 12 7 3" xfId="19348"/>
    <cellStyle name="20% - Accent6 12 7 3 2" xfId="19349"/>
    <cellStyle name="20% - Accent6 12 7 4" xfId="19350"/>
    <cellStyle name="20% - Accent6 12 8" xfId="19351"/>
    <cellStyle name="20% - Accent6 12 8 2" xfId="19352"/>
    <cellStyle name="20% - Accent6 12 8 2 2" xfId="19353"/>
    <cellStyle name="20% - Accent6 12 8 3" xfId="19354"/>
    <cellStyle name="20% - Accent6 12 9" xfId="19355"/>
    <cellStyle name="20% - Accent6 12 9 2" xfId="19356"/>
    <cellStyle name="20% - Accent6 13" xfId="19357"/>
    <cellStyle name="20% - Accent6 13 10" xfId="19358"/>
    <cellStyle name="20% - Accent6 13 2" xfId="19359"/>
    <cellStyle name="20% - Accent6 13 2 2" xfId="19360"/>
    <cellStyle name="20% - Accent6 13 2 2 2" xfId="19361"/>
    <cellStyle name="20% - Accent6 13 2 2 2 2" xfId="19362"/>
    <cellStyle name="20% - Accent6 13 2 2 2 2 2" xfId="19363"/>
    <cellStyle name="20% - Accent6 13 2 2 2 3" xfId="19364"/>
    <cellStyle name="20% - Accent6 13 2 2 3" xfId="19365"/>
    <cellStyle name="20% - Accent6 13 2 2 3 2" xfId="19366"/>
    <cellStyle name="20% - Accent6 13 2 2 4" xfId="19367"/>
    <cellStyle name="20% - Accent6 13 2 3" xfId="19368"/>
    <cellStyle name="20% - Accent6 13 2 3 2" xfId="19369"/>
    <cellStyle name="20% - Accent6 13 2 3 2 2" xfId="19370"/>
    <cellStyle name="20% - Accent6 13 2 3 3" xfId="19371"/>
    <cellStyle name="20% - Accent6 13 2 4" xfId="19372"/>
    <cellStyle name="20% - Accent6 13 2 4 2" xfId="19373"/>
    <cellStyle name="20% - Accent6 13 2 5" xfId="19374"/>
    <cellStyle name="20% - Accent6 13 3" xfId="19375"/>
    <cellStyle name="20% - Accent6 13 3 2" xfId="19376"/>
    <cellStyle name="20% - Accent6 13 3 2 2" xfId="19377"/>
    <cellStyle name="20% - Accent6 13 3 2 2 2" xfId="19378"/>
    <cellStyle name="20% - Accent6 13 3 2 2 2 2" xfId="19379"/>
    <cellStyle name="20% - Accent6 13 3 2 2 3" xfId="19380"/>
    <cellStyle name="20% - Accent6 13 3 2 3" xfId="19381"/>
    <cellStyle name="20% - Accent6 13 3 2 3 2" xfId="19382"/>
    <cellStyle name="20% - Accent6 13 3 2 4" xfId="19383"/>
    <cellStyle name="20% - Accent6 13 3 3" xfId="19384"/>
    <cellStyle name="20% - Accent6 13 3 3 2" xfId="19385"/>
    <cellStyle name="20% - Accent6 13 3 3 2 2" xfId="19386"/>
    <cellStyle name="20% - Accent6 13 3 3 3" xfId="19387"/>
    <cellStyle name="20% - Accent6 13 3 4" xfId="19388"/>
    <cellStyle name="20% - Accent6 13 3 4 2" xfId="19389"/>
    <cellStyle name="20% - Accent6 13 3 5" xfId="19390"/>
    <cellStyle name="20% - Accent6 13 4" xfId="19391"/>
    <cellStyle name="20% - Accent6 13 4 2" xfId="19392"/>
    <cellStyle name="20% - Accent6 13 4 2 2" xfId="19393"/>
    <cellStyle name="20% - Accent6 13 4 2 2 2" xfId="19394"/>
    <cellStyle name="20% - Accent6 13 4 2 2 2 2" xfId="19395"/>
    <cellStyle name="20% - Accent6 13 4 2 2 3" xfId="19396"/>
    <cellStyle name="20% - Accent6 13 4 2 3" xfId="19397"/>
    <cellStyle name="20% - Accent6 13 4 2 3 2" xfId="19398"/>
    <cellStyle name="20% - Accent6 13 4 2 4" xfId="19399"/>
    <cellStyle name="20% - Accent6 13 4 3" xfId="19400"/>
    <cellStyle name="20% - Accent6 13 4 3 2" xfId="19401"/>
    <cellStyle name="20% - Accent6 13 4 3 2 2" xfId="19402"/>
    <cellStyle name="20% - Accent6 13 4 3 3" xfId="19403"/>
    <cellStyle name="20% - Accent6 13 4 4" xfId="19404"/>
    <cellStyle name="20% - Accent6 13 4 4 2" xfId="19405"/>
    <cellStyle name="20% - Accent6 13 4 5" xfId="19406"/>
    <cellStyle name="20% - Accent6 13 5" xfId="19407"/>
    <cellStyle name="20% - Accent6 13 5 2" xfId="19408"/>
    <cellStyle name="20% - Accent6 13 5 2 2" xfId="19409"/>
    <cellStyle name="20% - Accent6 13 5 2 2 2" xfId="19410"/>
    <cellStyle name="20% - Accent6 13 5 2 2 2 2" xfId="19411"/>
    <cellStyle name="20% - Accent6 13 5 2 2 3" xfId="19412"/>
    <cellStyle name="20% - Accent6 13 5 2 3" xfId="19413"/>
    <cellStyle name="20% - Accent6 13 5 2 3 2" xfId="19414"/>
    <cellStyle name="20% - Accent6 13 5 2 4" xfId="19415"/>
    <cellStyle name="20% - Accent6 13 5 3" xfId="19416"/>
    <cellStyle name="20% - Accent6 13 5 3 2" xfId="19417"/>
    <cellStyle name="20% - Accent6 13 5 3 2 2" xfId="19418"/>
    <cellStyle name="20% - Accent6 13 5 3 3" xfId="19419"/>
    <cellStyle name="20% - Accent6 13 5 4" xfId="19420"/>
    <cellStyle name="20% - Accent6 13 5 4 2" xfId="19421"/>
    <cellStyle name="20% - Accent6 13 5 5" xfId="19422"/>
    <cellStyle name="20% - Accent6 13 6" xfId="19423"/>
    <cellStyle name="20% - Accent6 13 6 2" xfId="19424"/>
    <cellStyle name="20% - Accent6 13 6 2 2" xfId="19425"/>
    <cellStyle name="20% - Accent6 13 6 2 2 2" xfId="19426"/>
    <cellStyle name="20% - Accent6 13 6 2 2 2 2" xfId="19427"/>
    <cellStyle name="20% - Accent6 13 6 2 2 3" xfId="19428"/>
    <cellStyle name="20% - Accent6 13 6 2 3" xfId="19429"/>
    <cellStyle name="20% - Accent6 13 6 2 3 2" xfId="19430"/>
    <cellStyle name="20% - Accent6 13 6 2 4" xfId="19431"/>
    <cellStyle name="20% - Accent6 13 6 3" xfId="19432"/>
    <cellStyle name="20% - Accent6 13 6 3 2" xfId="19433"/>
    <cellStyle name="20% - Accent6 13 6 3 2 2" xfId="19434"/>
    <cellStyle name="20% - Accent6 13 6 3 3" xfId="19435"/>
    <cellStyle name="20% - Accent6 13 6 4" xfId="19436"/>
    <cellStyle name="20% - Accent6 13 6 4 2" xfId="19437"/>
    <cellStyle name="20% - Accent6 13 6 5" xfId="19438"/>
    <cellStyle name="20% - Accent6 13 7" xfId="19439"/>
    <cellStyle name="20% - Accent6 13 7 2" xfId="19440"/>
    <cellStyle name="20% - Accent6 13 7 2 2" xfId="19441"/>
    <cellStyle name="20% - Accent6 13 7 2 2 2" xfId="19442"/>
    <cellStyle name="20% - Accent6 13 7 2 3" xfId="19443"/>
    <cellStyle name="20% - Accent6 13 7 3" xfId="19444"/>
    <cellStyle name="20% - Accent6 13 7 3 2" xfId="19445"/>
    <cellStyle name="20% - Accent6 13 7 4" xfId="19446"/>
    <cellStyle name="20% - Accent6 13 8" xfId="19447"/>
    <cellStyle name="20% - Accent6 13 8 2" xfId="19448"/>
    <cellStyle name="20% - Accent6 13 8 2 2" xfId="19449"/>
    <cellStyle name="20% - Accent6 13 8 3" xfId="19450"/>
    <cellStyle name="20% - Accent6 13 9" xfId="19451"/>
    <cellStyle name="20% - Accent6 13 9 2" xfId="19452"/>
    <cellStyle name="20% - Accent6 14" xfId="19453"/>
    <cellStyle name="20% - Accent6 14 2" xfId="19454"/>
    <cellStyle name="20% - Accent6 14 2 2" xfId="19455"/>
    <cellStyle name="20% - Accent6 14 2 2 2" xfId="19456"/>
    <cellStyle name="20% - Accent6 14 2 2 2 2" xfId="19457"/>
    <cellStyle name="20% - Accent6 14 2 2 3" xfId="19458"/>
    <cellStyle name="20% - Accent6 14 2 3" xfId="19459"/>
    <cellStyle name="20% - Accent6 14 2 3 2" xfId="19460"/>
    <cellStyle name="20% - Accent6 14 2 4" xfId="19461"/>
    <cellStyle name="20% - Accent6 14 3" xfId="19462"/>
    <cellStyle name="20% - Accent6 14 3 2" xfId="19463"/>
    <cellStyle name="20% - Accent6 14 3 2 2" xfId="19464"/>
    <cellStyle name="20% - Accent6 14 3 3" xfId="19465"/>
    <cellStyle name="20% - Accent6 14 4" xfId="19466"/>
    <cellStyle name="20% - Accent6 14 4 2" xfId="19467"/>
    <cellStyle name="20% - Accent6 14 5" xfId="19468"/>
    <cellStyle name="20% - Accent6 15" xfId="19469"/>
    <cellStyle name="20% - Accent6 15 2" xfId="19470"/>
    <cellStyle name="20% - Accent6 15 2 2" xfId="19471"/>
    <cellStyle name="20% - Accent6 15 2 2 2" xfId="19472"/>
    <cellStyle name="20% - Accent6 15 2 2 2 2" xfId="19473"/>
    <cellStyle name="20% - Accent6 15 2 2 3" xfId="19474"/>
    <cellStyle name="20% - Accent6 15 2 3" xfId="19475"/>
    <cellStyle name="20% - Accent6 15 2 3 2" xfId="19476"/>
    <cellStyle name="20% - Accent6 15 2 4" xfId="19477"/>
    <cellStyle name="20% - Accent6 15 3" xfId="19478"/>
    <cellStyle name="20% - Accent6 15 3 2" xfId="19479"/>
    <cellStyle name="20% - Accent6 15 3 2 2" xfId="19480"/>
    <cellStyle name="20% - Accent6 15 3 3" xfId="19481"/>
    <cellStyle name="20% - Accent6 15 4" xfId="19482"/>
    <cellStyle name="20% - Accent6 15 4 2" xfId="19483"/>
    <cellStyle name="20% - Accent6 15 5" xfId="19484"/>
    <cellStyle name="20% - Accent6 16" xfId="19485"/>
    <cellStyle name="20% - Accent6 16 2" xfId="19486"/>
    <cellStyle name="20% - Accent6 16 2 2" xfId="19487"/>
    <cellStyle name="20% - Accent6 16 2 2 2" xfId="19488"/>
    <cellStyle name="20% - Accent6 16 2 2 2 2" xfId="19489"/>
    <cellStyle name="20% - Accent6 16 2 2 3" xfId="19490"/>
    <cellStyle name="20% - Accent6 16 2 3" xfId="19491"/>
    <cellStyle name="20% - Accent6 16 2 3 2" xfId="19492"/>
    <cellStyle name="20% - Accent6 16 2 4" xfId="19493"/>
    <cellStyle name="20% - Accent6 16 3" xfId="19494"/>
    <cellStyle name="20% - Accent6 16 3 2" xfId="19495"/>
    <cellStyle name="20% - Accent6 16 3 2 2" xfId="19496"/>
    <cellStyle name="20% - Accent6 16 3 3" xfId="19497"/>
    <cellStyle name="20% - Accent6 16 4" xfId="19498"/>
    <cellStyle name="20% - Accent6 16 4 2" xfId="19499"/>
    <cellStyle name="20% - Accent6 16 5" xfId="19500"/>
    <cellStyle name="20% - Accent6 17" xfId="19501"/>
    <cellStyle name="20% - Accent6 17 2" xfId="19502"/>
    <cellStyle name="20% - Accent6 17 2 2" xfId="19503"/>
    <cellStyle name="20% - Accent6 17 2 2 2" xfId="19504"/>
    <cellStyle name="20% - Accent6 17 2 2 2 2" xfId="19505"/>
    <cellStyle name="20% - Accent6 17 2 2 3" xfId="19506"/>
    <cellStyle name="20% - Accent6 17 2 3" xfId="19507"/>
    <cellStyle name="20% - Accent6 17 2 3 2" xfId="19508"/>
    <cellStyle name="20% - Accent6 17 2 4" xfId="19509"/>
    <cellStyle name="20% - Accent6 17 3" xfId="19510"/>
    <cellStyle name="20% - Accent6 17 3 2" xfId="19511"/>
    <cellStyle name="20% - Accent6 17 3 2 2" xfId="19512"/>
    <cellStyle name="20% - Accent6 17 3 3" xfId="19513"/>
    <cellStyle name="20% - Accent6 17 4" xfId="19514"/>
    <cellStyle name="20% - Accent6 17 4 2" xfId="19515"/>
    <cellStyle name="20% - Accent6 17 5" xfId="19516"/>
    <cellStyle name="20% - Accent6 18" xfId="19517"/>
    <cellStyle name="20% - Accent6 18 2" xfId="19518"/>
    <cellStyle name="20% - Accent6 18 2 2" xfId="19519"/>
    <cellStyle name="20% - Accent6 18 2 2 2" xfId="19520"/>
    <cellStyle name="20% - Accent6 18 2 2 2 2" xfId="19521"/>
    <cellStyle name="20% - Accent6 18 2 2 3" xfId="19522"/>
    <cellStyle name="20% - Accent6 18 2 3" xfId="19523"/>
    <cellStyle name="20% - Accent6 18 2 3 2" xfId="19524"/>
    <cellStyle name="20% - Accent6 18 2 4" xfId="19525"/>
    <cellStyle name="20% - Accent6 18 3" xfId="19526"/>
    <cellStyle name="20% - Accent6 18 3 2" xfId="19527"/>
    <cellStyle name="20% - Accent6 18 3 2 2" xfId="19528"/>
    <cellStyle name="20% - Accent6 18 3 3" xfId="19529"/>
    <cellStyle name="20% - Accent6 18 4" xfId="19530"/>
    <cellStyle name="20% - Accent6 18 4 2" xfId="19531"/>
    <cellStyle name="20% - Accent6 18 5" xfId="19532"/>
    <cellStyle name="20% - Accent6 19" xfId="19533"/>
    <cellStyle name="20% - Accent6 19 2" xfId="19534"/>
    <cellStyle name="20% - Accent6 19 2 2" xfId="19535"/>
    <cellStyle name="20% - Accent6 19 2 2 2" xfId="19536"/>
    <cellStyle name="20% - Accent6 19 2 2 2 2" xfId="19537"/>
    <cellStyle name="20% - Accent6 19 2 2 3" xfId="19538"/>
    <cellStyle name="20% - Accent6 19 2 3" xfId="19539"/>
    <cellStyle name="20% - Accent6 19 2 3 2" xfId="19540"/>
    <cellStyle name="20% - Accent6 19 2 4" xfId="19541"/>
    <cellStyle name="20% - Accent6 19 3" xfId="19542"/>
    <cellStyle name="20% - Accent6 19 3 2" xfId="19543"/>
    <cellStyle name="20% - Accent6 19 3 2 2" xfId="19544"/>
    <cellStyle name="20% - Accent6 19 3 3" xfId="19545"/>
    <cellStyle name="20% - Accent6 19 4" xfId="19546"/>
    <cellStyle name="20% - Accent6 19 4 2" xfId="19547"/>
    <cellStyle name="20% - Accent6 19 5" xfId="19548"/>
    <cellStyle name="20% - Accent6 2" xfId="19549"/>
    <cellStyle name="20% - Accent6 2 10" xfId="19550"/>
    <cellStyle name="20% - Accent6 2 10 10" xfId="19551"/>
    <cellStyle name="20% - Accent6 2 10 2" xfId="19552"/>
    <cellStyle name="20% - Accent6 2 10 2 2" xfId="19553"/>
    <cellStyle name="20% - Accent6 2 10 2 2 2" xfId="19554"/>
    <cellStyle name="20% - Accent6 2 10 2 2 2 2" xfId="19555"/>
    <cellStyle name="20% - Accent6 2 10 2 2 2 2 2" xfId="19556"/>
    <cellStyle name="20% - Accent6 2 10 2 2 2 3" xfId="19557"/>
    <cellStyle name="20% - Accent6 2 10 2 2 3" xfId="19558"/>
    <cellStyle name="20% - Accent6 2 10 2 2 3 2" xfId="19559"/>
    <cellStyle name="20% - Accent6 2 10 2 2 4" xfId="19560"/>
    <cellStyle name="20% - Accent6 2 10 2 3" xfId="19561"/>
    <cellStyle name="20% - Accent6 2 10 2 3 2" xfId="19562"/>
    <cellStyle name="20% - Accent6 2 10 2 3 2 2" xfId="19563"/>
    <cellStyle name="20% - Accent6 2 10 2 3 3" xfId="19564"/>
    <cellStyle name="20% - Accent6 2 10 2 4" xfId="19565"/>
    <cellStyle name="20% - Accent6 2 10 2 4 2" xfId="19566"/>
    <cellStyle name="20% - Accent6 2 10 2 5" xfId="19567"/>
    <cellStyle name="20% - Accent6 2 10 3" xfId="19568"/>
    <cellStyle name="20% - Accent6 2 10 3 2" xfId="19569"/>
    <cellStyle name="20% - Accent6 2 10 3 2 2" xfId="19570"/>
    <cellStyle name="20% - Accent6 2 10 3 2 2 2" xfId="19571"/>
    <cellStyle name="20% - Accent6 2 10 3 2 2 2 2" xfId="19572"/>
    <cellStyle name="20% - Accent6 2 10 3 2 2 3" xfId="19573"/>
    <cellStyle name="20% - Accent6 2 10 3 2 3" xfId="19574"/>
    <cellStyle name="20% - Accent6 2 10 3 2 3 2" xfId="19575"/>
    <cellStyle name="20% - Accent6 2 10 3 2 4" xfId="19576"/>
    <cellStyle name="20% - Accent6 2 10 3 3" xfId="19577"/>
    <cellStyle name="20% - Accent6 2 10 3 3 2" xfId="19578"/>
    <cellStyle name="20% - Accent6 2 10 3 3 2 2" xfId="19579"/>
    <cellStyle name="20% - Accent6 2 10 3 3 3" xfId="19580"/>
    <cellStyle name="20% - Accent6 2 10 3 4" xfId="19581"/>
    <cellStyle name="20% - Accent6 2 10 3 4 2" xfId="19582"/>
    <cellStyle name="20% - Accent6 2 10 3 5" xfId="19583"/>
    <cellStyle name="20% - Accent6 2 10 4" xfId="19584"/>
    <cellStyle name="20% - Accent6 2 10 4 2" xfId="19585"/>
    <cellStyle name="20% - Accent6 2 10 4 2 2" xfId="19586"/>
    <cellStyle name="20% - Accent6 2 10 4 2 2 2" xfId="19587"/>
    <cellStyle name="20% - Accent6 2 10 4 2 2 2 2" xfId="19588"/>
    <cellStyle name="20% - Accent6 2 10 4 2 2 3" xfId="19589"/>
    <cellStyle name="20% - Accent6 2 10 4 2 3" xfId="19590"/>
    <cellStyle name="20% - Accent6 2 10 4 2 3 2" xfId="19591"/>
    <cellStyle name="20% - Accent6 2 10 4 2 4" xfId="19592"/>
    <cellStyle name="20% - Accent6 2 10 4 3" xfId="19593"/>
    <cellStyle name="20% - Accent6 2 10 4 3 2" xfId="19594"/>
    <cellStyle name="20% - Accent6 2 10 4 3 2 2" xfId="19595"/>
    <cellStyle name="20% - Accent6 2 10 4 3 3" xfId="19596"/>
    <cellStyle name="20% - Accent6 2 10 4 4" xfId="19597"/>
    <cellStyle name="20% - Accent6 2 10 4 4 2" xfId="19598"/>
    <cellStyle name="20% - Accent6 2 10 4 5" xfId="19599"/>
    <cellStyle name="20% - Accent6 2 10 5" xfId="19600"/>
    <cellStyle name="20% - Accent6 2 10 5 2" xfId="19601"/>
    <cellStyle name="20% - Accent6 2 10 5 2 2" xfId="19602"/>
    <cellStyle name="20% - Accent6 2 10 5 2 2 2" xfId="19603"/>
    <cellStyle name="20% - Accent6 2 10 5 2 2 2 2" xfId="19604"/>
    <cellStyle name="20% - Accent6 2 10 5 2 2 3" xfId="19605"/>
    <cellStyle name="20% - Accent6 2 10 5 2 3" xfId="19606"/>
    <cellStyle name="20% - Accent6 2 10 5 2 3 2" xfId="19607"/>
    <cellStyle name="20% - Accent6 2 10 5 2 4" xfId="19608"/>
    <cellStyle name="20% - Accent6 2 10 5 3" xfId="19609"/>
    <cellStyle name="20% - Accent6 2 10 5 3 2" xfId="19610"/>
    <cellStyle name="20% - Accent6 2 10 5 3 2 2" xfId="19611"/>
    <cellStyle name="20% - Accent6 2 10 5 3 3" xfId="19612"/>
    <cellStyle name="20% - Accent6 2 10 5 4" xfId="19613"/>
    <cellStyle name="20% - Accent6 2 10 5 4 2" xfId="19614"/>
    <cellStyle name="20% - Accent6 2 10 5 5" xfId="19615"/>
    <cellStyle name="20% - Accent6 2 10 6" xfId="19616"/>
    <cellStyle name="20% - Accent6 2 10 6 2" xfId="19617"/>
    <cellStyle name="20% - Accent6 2 10 6 2 2" xfId="19618"/>
    <cellStyle name="20% - Accent6 2 10 6 2 2 2" xfId="19619"/>
    <cellStyle name="20% - Accent6 2 10 6 2 2 2 2" xfId="19620"/>
    <cellStyle name="20% - Accent6 2 10 6 2 2 3" xfId="19621"/>
    <cellStyle name="20% - Accent6 2 10 6 2 3" xfId="19622"/>
    <cellStyle name="20% - Accent6 2 10 6 2 3 2" xfId="19623"/>
    <cellStyle name="20% - Accent6 2 10 6 2 4" xfId="19624"/>
    <cellStyle name="20% - Accent6 2 10 6 3" xfId="19625"/>
    <cellStyle name="20% - Accent6 2 10 6 3 2" xfId="19626"/>
    <cellStyle name="20% - Accent6 2 10 6 3 2 2" xfId="19627"/>
    <cellStyle name="20% - Accent6 2 10 6 3 3" xfId="19628"/>
    <cellStyle name="20% - Accent6 2 10 6 4" xfId="19629"/>
    <cellStyle name="20% - Accent6 2 10 6 4 2" xfId="19630"/>
    <cellStyle name="20% - Accent6 2 10 6 5" xfId="19631"/>
    <cellStyle name="20% - Accent6 2 10 7" xfId="19632"/>
    <cellStyle name="20% - Accent6 2 10 7 2" xfId="19633"/>
    <cellStyle name="20% - Accent6 2 10 7 2 2" xfId="19634"/>
    <cellStyle name="20% - Accent6 2 10 7 2 2 2" xfId="19635"/>
    <cellStyle name="20% - Accent6 2 10 7 2 3" xfId="19636"/>
    <cellStyle name="20% - Accent6 2 10 7 3" xfId="19637"/>
    <cellStyle name="20% - Accent6 2 10 7 3 2" xfId="19638"/>
    <cellStyle name="20% - Accent6 2 10 7 4" xfId="19639"/>
    <cellStyle name="20% - Accent6 2 10 8" xfId="19640"/>
    <cellStyle name="20% - Accent6 2 10 8 2" xfId="19641"/>
    <cellStyle name="20% - Accent6 2 10 8 2 2" xfId="19642"/>
    <cellStyle name="20% - Accent6 2 10 8 3" xfId="19643"/>
    <cellStyle name="20% - Accent6 2 10 9" xfId="19644"/>
    <cellStyle name="20% - Accent6 2 10 9 2" xfId="19645"/>
    <cellStyle name="20% - Accent6 2 11" xfId="19646"/>
    <cellStyle name="20% - Accent6 2 11 2" xfId="19647"/>
    <cellStyle name="20% - Accent6 2 11 2 2" xfId="19648"/>
    <cellStyle name="20% - Accent6 2 11 2 2 2" xfId="19649"/>
    <cellStyle name="20% - Accent6 2 11 2 2 2 2" xfId="19650"/>
    <cellStyle name="20% - Accent6 2 11 2 2 3" xfId="19651"/>
    <cellStyle name="20% - Accent6 2 11 2 3" xfId="19652"/>
    <cellStyle name="20% - Accent6 2 11 2 3 2" xfId="19653"/>
    <cellStyle name="20% - Accent6 2 11 2 4" xfId="19654"/>
    <cellStyle name="20% - Accent6 2 11 3" xfId="19655"/>
    <cellStyle name="20% - Accent6 2 11 3 2" xfId="19656"/>
    <cellStyle name="20% - Accent6 2 11 3 2 2" xfId="19657"/>
    <cellStyle name="20% - Accent6 2 11 3 3" xfId="19658"/>
    <cellStyle name="20% - Accent6 2 11 4" xfId="19659"/>
    <cellStyle name="20% - Accent6 2 11 4 2" xfId="19660"/>
    <cellStyle name="20% - Accent6 2 11 5" xfId="19661"/>
    <cellStyle name="20% - Accent6 2 12" xfId="19662"/>
    <cellStyle name="20% - Accent6 2 12 2" xfId="19663"/>
    <cellStyle name="20% - Accent6 2 12 2 2" xfId="19664"/>
    <cellStyle name="20% - Accent6 2 12 2 2 2" xfId="19665"/>
    <cellStyle name="20% - Accent6 2 12 2 2 2 2" xfId="19666"/>
    <cellStyle name="20% - Accent6 2 12 2 2 3" xfId="19667"/>
    <cellStyle name="20% - Accent6 2 12 2 3" xfId="19668"/>
    <cellStyle name="20% - Accent6 2 12 2 3 2" xfId="19669"/>
    <cellStyle name="20% - Accent6 2 12 2 4" xfId="19670"/>
    <cellStyle name="20% - Accent6 2 12 3" xfId="19671"/>
    <cellStyle name="20% - Accent6 2 12 3 2" xfId="19672"/>
    <cellStyle name="20% - Accent6 2 12 3 2 2" xfId="19673"/>
    <cellStyle name="20% - Accent6 2 12 3 3" xfId="19674"/>
    <cellStyle name="20% - Accent6 2 12 4" xfId="19675"/>
    <cellStyle name="20% - Accent6 2 12 4 2" xfId="19676"/>
    <cellStyle name="20% - Accent6 2 12 5" xfId="19677"/>
    <cellStyle name="20% - Accent6 2 13" xfId="19678"/>
    <cellStyle name="20% - Accent6 2 13 2" xfId="19679"/>
    <cellStyle name="20% - Accent6 2 13 2 2" xfId="19680"/>
    <cellStyle name="20% - Accent6 2 13 2 2 2" xfId="19681"/>
    <cellStyle name="20% - Accent6 2 13 2 2 2 2" xfId="19682"/>
    <cellStyle name="20% - Accent6 2 13 2 2 3" xfId="19683"/>
    <cellStyle name="20% - Accent6 2 13 2 3" xfId="19684"/>
    <cellStyle name="20% - Accent6 2 13 2 3 2" xfId="19685"/>
    <cellStyle name="20% - Accent6 2 13 2 4" xfId="19686"/>
    <cellStyle name="20% - Accent6 2 13 3" xfId="19687"/>
    <cellStyle name="20% - Accent6 2 13 3 2" xfId="19688"/>
    <cellStyle name="20% - Accent6 2 13 3 2 2" xfId="19689"/>
    <cellStyle name="20% - Accent6 2 13 3 3" xfId="19690"/>
    <cellStyle name="20% - Accent6 2 13 4" xfId="19691"/>
    <cellStyle name="20% - Accent6 2 13 4 2" xfId="19692"/>
    <cellStyle name="20% - Accent6 2 13 5" xfId="19693"/>
    <cellStyle name="20% - Accent6 2 14" xfId="19694"/>
    <cellStyle name="20% - Accent6 2 14 2" xfId="19695"/>
    <cellStyle name="20% - Accent6 2 14 2 2" xfId="19696"/>
    <cellStyle name="20% - Accent6 2 14 2 2 2" xfId="19697"/>
    <cellStyle name="20% - Accent6 2 14 2 2 2 2" xfId="19698"/>
    <cellStyle name="20% - Accent6 2 14 2 2 3" xfId="19699"/>
    <cellStyle name="20% - Accent6 2 14 2 3" xfId="19700"/>
    <cellStyle name="20% - Accent6 2 14 2 3 2" xfId="19701"/>
    <cellStyle name="20% - Accent6 2 14 2 4" xfId="19702"/>
    <cellStyle name="20% - Accent6 2 14 3" xfId="19703"/>
    <cellStyle name="20% - Accent6 2 14 3 2" xfId="19704"/>
    <cellStyle name="20% - Accent6 2 14 3 2 2" xfId="19705"/>
    <cellStyle name="20% - Accent6 2 14 3 3" xfId="19706"/>
    <cellStyle name="20% - Accent6 2 14 4" xfId="19707"/>
    <cellStyle name="20% - Accent6 2 14 4 2" xfId="19708"/>
    <cellStyle name="20% - Accent6 2 14 5" xfId="19709"/>
    <cellStyle name="20% - Accent6 2 15" xfId="19710"/>
    <cellStyle name="20% - Accent6 2 15 2" xfId="19711"/>
    <cellStyle name="20% - Accent6 2 15 2 2" xfId="19712"/>
    <cellStyle name="20% - Accent6 2 15 2 2 2" xfId="19713"/>
    <cellStyle name="20% - Accent6 2 15 2 2 2 2" xfId="19714"/>
    <cellStyle name="20% - Accent6 2 15 2 2 3" xfId="19715"/>
    <cellStyle name="20% - Accent6 2 15 2 3" xfId="19716"/>
    <cellStyle name="20% - Accent6 2 15 2 3 2" xfId="19717"/>
    <cellStyle name="20% - Accent6 2 15 2 4" xfId="19718"/>
    <cellStyle name="20% - Accent6 2 15 3" xfId="19719"/>
    <cellStyle name="20% - Accent6 2 15 3 2" xfId="19720"/>
    <cellStyle name="20% - Accent6 2 15 3 2 2" xfId="19721"/>
    <cellStyle name="20% - Accent6 2 15 3 3" xfId="19722"/>
    <cellStyle name="20% - Accent6 2 15 4" xfId="19723"/>
    <cellStyle name="20% - Accent6 2 15 4 2" xfId="19724"/>
    <cellStyle name="20% - Accent6 2 15 5" xfId="19725"/>
    <cellStyle name="20% - Accent6 2 16" xfId="19726"/>
    <cellStyle name="20% - Accent6 2 16 2" xfId="19727"/>
    <cellStyle name="20% - Accent6 2 16 2 2" xfId="19728"/>
    <cellStyle name="20% - Accent6 2 16 2 2 2" xfId="19729"/>
    <cellStyle name="20% - Accent6 2 16 2 3" xfId="19730"/>
    <cellStyle name="20% - Accent6 2 16 3" xfId="19731"/>
    <cellStyle name="20% - Accent6 2 16 3 2" xfId="19732"/>
    <cellStyle name="20% - Accent6 2 16 4" xfId="19733"/>
    <cellStyle name="20% - Accent6 2 17" xfId="19734"/>
    <cellStyle name="20% - Accent6 2 17 2" xfId="19735"/>
    <cellStyle name="20% - Accent6 2 17 2 2" xfId="19736"/>
    <cellStyle name="20% - Accent6 2 17 3" xfId="19737"/>
    <cellStyle name="20% - Accent6 2 18" xfId="19738"/>
    <cellStyle name="20% - Accent6 2 18 2" xfId="19739"/>
    <cellStyle name="20% - Accent6 2 19" xfId="19740"/>
    <cellStyle name="20% - Accent6 2 2" xfId="19741"/>
    <cellStyle name="20% - Accent6 2 2 10" xfId="19742"/>
    <cellStyle name="20% - Accent6 2 2 10 2" xfId="19743"/>
    <cellStyle name="20% - Accent6 2 2 11" xfId="19744"/>
    <cellStyle name="20% - Accent6 2 2 2" xfId="19745"/>
    <cellStyle name="20% - Accent6 2 2 2 10" xfId="19746"/>
    <cellStyle name="20% - Accent6 2 2 2 2" xfId="19747"/>
    <cellStyle name="20% - Accent6 2 2 2 2 2" xfId="19748"/>
    <cellStyle name="20% - Accent6 2 2 2 2 2 2" xfId="19749"/>
    <cellStyle name="20% - Accent6 2 2 2 2 2 2 2" xfId="19750"/>
    <cellStyle name="20% - Accent6 2 2 2 2 2 2 2 2" xfId="19751"/>
    <cellStyle name="20% - Accent6 2 2 2 2 2 2 3" xfId="19752"/>
    <cellStyle name="20% - Accent6 2 2 2 2 2 3" xfId="19753"/>
    <cellStyle name="20% - Accent6 2 2 2 2 2 3 2" xfId="19754"/>
    <cellStyle name="20% - Accent6 2 2 2 2 2 4" xfId="19755"/>
    <cellStyle name="20% - Accent6 2 2 2 2 3" xfId="19756"/>
    <cellStyle name="20% - Accent6 2 2 2 2 3 2" xfId="19757"/>
    <cellStyle name="20% - Accent6 2 2 2 2 3 2 2" xfId="19758"/>
    <cellStyle name="20% - Accent6 2 2 2 2 3 3" xfId="19759"/>
    <cellStyle name="20% - Accent6 2 2 2 2 4" xfId="19760"/>
    <cellStyle name="20% - Accent6 2 2 2 2 4 2" xfId="19761"/>
    <cellStyle name="20% - Accent6 2 2 2 2 5" xfId="19762"/>
    <cellStyle name="20% - Accent6 2 2 2 3" xfId="19763"/>
    <cellStyle name="20% - Accent6 2 2 2 3 2" xfId="19764"/>
    <cellStyle name="20% - Accent6 2 2 2 3 2 2" xfId="19765"/>
    <cellStyle name="20% - Accent6 2 2 2 3 2 2 2" xfId="19766"/>
    <cellStyle name="20% - Accent6 2 2 2 3 2 2 2 2" xfId="19767"/>
    <cellStyle name="20% - Accent6 2 2 2 3 2 2 3" xfId="19768"/>
    <cellStyle name="20% - Accent6 2 2 2 3 2 3" xfId="19769"/>
    <cellStyle name="20% - Accent6 2 2 2 3 2 3 2" xfId="19770"/>
    <cellStyle name="20% - Accent6 2 2 2 3 2 4" xfId="19771"/>
    <cellStyle name="20% - Accent6 2 2 2 3 3" xfId="19772"/>
    <cellStyle name="20% - Accent6 2 2 2 3 3 2" xfId="19773"/>
    <cellStyle name="20% - Accent6 2 2 2 3 3 2 2" xfId="19774"/>
    <cellStyle name="20% - Accent6 2 2 2 3 3 3" xfId="19775"/>
    <cellStyle name="20% - Accent6 2 2 2 3 4" xfId="19776"/>
    <cellStyle name="20% - Accent6 2 2 2 3 4 2" xfId="19777"/>
    <cellStyle name="20% - Accent6 2 2 2 3 5" xfId="19778"/>
    <cellStyle name="20% - Accent6 2 2 2 4" xfId="19779"/>
    <cellStyle name="20% - Accent6 2 2 2 4 2" xfId="19780"/>
    <cellStyle name="20% - Accent6 2 2 2 4 2 2" xfId="19781"/>
    <cellStyle name="20% - Accent6 2 2 2 4 2 2 2" xfId="19782"/>
    <cellStyle name="20% - Accent6 2 2 2 4 2 2 2 2" xfId="19783"/>
    <cellStyle name="20% - Accent6 2 2 2 4 2 2 3" xfId="19784"/>
    <cellStyle name="20% - Accent6 2 2 2 4 2 3" xfId="19785"/>
    <cellStyle name="20% - Accent6 2 2 2 4 2 3 2" xfId="19786"/>
    <cellStyle name="20% - Accent6 2 2 2 4 2 4" xfId="19787"/>
    <cellStyle name="20% - Accent6 2 2 2 4 3" xfId="19788"/>
    <cellStyle name="20% - Accent6 2 2 2 4 3 2" xfId="19789"/>
    <cellStyle name="20% - Accent6 2 2 2 4 3 2 2" xfId="19790"/>
    <cellStyle name="20% - Accent6 2 2 2 4 3 3" xfId="19791"/>
    <cellStyle name="20% - Accent6 2 2 2 4 4" xfId="19792"/>
    <cellStyle name="20% - Accent6 2 2 2 4 4 2" xfId="19793"/>
    <cellStyle name="20% - Accent6 2 2 2 4 5" xfId="19794"/>
    <cellStyle name="20% - Accent6 2 2 2 5" xfId="19795"/>
    <cellStyle name="20% - Accent6 2 2 2 5 2" xfId="19796"/>
    <cellStyle name="20% - Accent6 2 2 2 5 2 2" xfId="19797"/>
    <cellStyle name="20% - Accent6 2 2 2 5 2 2 2" xfId="19798"/>
    <cellStyle name="20% - Accent6 2 2 2 5 2 2 2 2" xfId="19799"/>
    <cellStyle name="20% - Accent6 2 2 2 5 2 2 3" xfId="19800"/>
    <cellStyle name="20% - Accent6 2 2 2 5 2 3" xfId="19801"/>
    <cellStyle name="20% - Accent6 2 2 2 5 2 3 2" xfId="19802"/>
    <cellStyle name="20% - Accent6 2 2 2 5 2 4" xfId="19803"/>
    <cellStyle name="20% - Accent6 2 2 2 5 3" xfId="19804"/>
    <cellStyle name="20% - Accent6 2 2 2 5 3 2" xfId="19805"/>
    <cellStyle name="20% - Accent6 2 2 2 5 3 2 2" xfId="19806"/>
    <cellStyle name="20% - Accent6 2 2 2 5 3 3" xfId="19807"/>
    <cellStyle name="20% - Accent6 2 2 2 5 4" xfId="19808"/>
    <cellStyle name="20% - Accent6 2 2 2 5 4 2" xfId="19809"/>
    <cellStyle name="20% - Accent6 2 2 2 5 5" xfId="19810"/>
    <cellStyle name="20% - Accent6 2 2 2 6" xfId="19811"/>
    <cellStyle name="20% - Accent6 2 2 2 6 2" xfId="19812"/>
    <cellStyle name="20% - Accent6 2 2 2 6 2 2" xfId="19813"/>
    <cellStyle name="20% - Accent6 2 2 2 6 2 2 2" xfId="19814"/>
    <cellStyle name="20% - Accent6 2 2 2 6 2 2 2 2" xfId="19815"/>
    <cellStyle name="20% - Accent6 2 2 2 6 2 2 3" xfId="19816"/>
    <cellStyle name="20% - Accent6 2 2 2 6 2 3" xfId="19817"/>
    <cellStyle name="20% - Accent6 2 2 2 6 2 3 2" xfId="19818"/>
    <cellStyle name="20% - Accent6 2 2 2 6 2 4" xfId="19819"/>
    <cellStyle name="20% - Accent6 2 2 2 6 3" xfId="19820"/>
    <cellStyle name="20% - Accent6 2 2 2 6 3 2" xfId="19821"/>
    <cellStyle name="20% - Accent6 2 2 2 6 3 2 2" xfId="19822"/>
    <cellStyle name="20% - Accent6 2 2 2 6 3 3" xfId="19823"/>
    <cellStyle name="20% - Accent6 2 2 2 6 4" xfId="19824"/>
    <cellStyle name="20% - Accent6 2 2 2 6 4 2" xfId="19825"/>
    <cellStyle name="20% - Accent6 2 2 2 6 5" xfId="19826"/>
    <cellStyle name="20% - Accent6 2 2 2 7" xfId="19827"/>
    <cellStyle name="20% - Accent6 2 2 2 7 2" xfId="19828"/>
    <cellStyle name="20% - Accent6 2 2 2 7 2 2" xfId="19829"/>
    <cellStyle name="20% - Accent6 2 2 2 7 2 2 2" xfId="19830"/>
    <cellStyle name="20% - Accent6 2 2 2 7 2 3" xfId="19831"/>
    <cellStyle name="20% - Accent6 2 2 2 7 3" xfId="19832"/>
    <cellStyle name="20% - Accent6 2 2 2 7 3 2" xfId="19833"/>
    <cellStyle name="20% - Accent6 2 2 2 7 4" xfId="19834"/>
    <cellStyle name="20% - Accent6 2 2 2 8" xfId="19835"/>
    <cellStyle name="20% - Accent6 2 2 2 8 2" xfId="19836"/>
    <cellStyle name="20% - Accent6 2 2 2 8 2 2" xfId="19837"/>
    <cellStyle name="20% - Accent6 2 2 2 8 3" xfId="19838"/>
    <cellStyle name="20% - Accent6 2 2 2 9" xfId="19839"/>
    <cellStyle name="20% - Accent6 2 2 2 9 2" xfId="19840"/>
    <cellStyle name="20% - Accent6 2 2 3" xfId="19841"/>
    <cellStyle name="20% - Accent6 2 2 3 2" xfId="19842"/>
    <cellStyle name="20% - Accent6 2 2 3 2 2" xfId="19843"/>
    <cellStyle name="20% - Accent6 2 2 3 2 2 2" xfId="19844"/>
    <cellStyle name="20% - Accent6 2 2 3 2 2 2 2" xfId="19845"/>
    <cellStyle name="20% - Accent6 2 2 3 2 2 3" xfId="19846"/>
    <cellStyle name="20% - Accent6 2 2 3 2 3" xfId="19847"/>
    <cellStyle name="20% - Accent6 2 2 3 2 3 2" xfId="19848"/>
    <cellStyle name="20% - Accent6 2 2 3 2 4" xfId="19849"/>
    <cellStyle name="20% - Accent6 2 2 3 3" xfId="19850"/>
    <cellStyle name="20% - Accent6 2 2 3 3 2" xfId="19851"/>
    <cellStyle name="20% - Accent6 2 2 3 3 2 2" xfId="19852"/>
    <cellStyle name="20% - Accent6 2 2 3 3 3" xfId="19853"/>
    <cellStyle name="20% - Accent6 2 2 3 4" xfId="19854"/>
    <cellStyle name="20% - Accent6 2 2 3 4 2" xfId="19855"/>
    <cellStyle name="20% - Accent6 2 2 3 5" xfId="19856"/>
    <cellStyle name="20% - Accent6 2 2 4" xfId="19857"/>
    <cellStyle name="20% - Accent6 2 2 4 2" xfId="19858"/>
    <cellStyle name="20% - Accent6 2 2 4 2 2" xfId="19859"/>
    <cellStyle name="20% - Accent6 2 2 4 2 2 2" xfId="19860"/>
    <cellStyle name="20% - Accent6 2 2 4 2 2 2 2" xfId="19861"/>
    <cellStyle name="20% - Accent6 2 2 4 2 2 3" xfId="19862"/>
    <cellStyle name="20% - Accent6 2 2 4 2 3" xfId="19863"/>
    <cellStyle name="20% - Accent6 2 2 4 2 3 2" xfId="19864"/>
    <cellStyle name="20% - Accent6 2 2 4 2 4" xfId="19865"/>
    <cellStyle name="20% - Accent6 2 2 4 3" xfId="19866"/>
    <cellStyle name="20% - Accent6 2 2 4 3 2" xfId="19867"/>
    <cellStyle name="20% - Accent6 2 2 4 3 2 2" xfId="19868"/>
    <cellStyle name="20% - Accent6 2 2 4 3 3" xfId="19869"/>
    <cellStyle name="20% - Accent6 2 2 4 4" xfId="19870"/>
    <cellStyle name="20% - Accent6 2 2 4 4 2" xfId="19871"/>
    <cellStyle name="20% - Accent6 2 2 4 5" xfId="19872"/>
    <cellStyle name="20% - Accent6 2 2 5" xfId="19873"/>
    <cellStyle name="20% - Accent6 2 2 5 2" xfId="19874"/>
    <cellStyle name="20% - Accent6 2 2 5 2 2" xfId="19875"/>
    <cellStyle name="20% - Accent6 2 2 5 2 2 2" xfId="19876"/>
    <cellStyle name="20% - Accent6 2 2 5 2 2 2 2" xfId="19877"/>
    <cellStyle name="20% - Accent6 2 2 5 2 2 3" xfId="19878"/>
    <cellStyle name="20% - Accent6 2 2 5 2 3" xfId="19879"/>
    <cellStyle name="20% - Accent6 2 2 5 2 3 2" xfId="19880"/>
    <cellStyle name="20% - Accent6 2 2 5 2 4" xfId="19881"/>
    <cellStyle name="20% - Accent6 2 2 5 3" xfId="19882"/>
    <cellStyle name="20% - Accent6 2 2 5 3 2" xfId="19883"/>
    <cellStyle name="20% - Accent6 2 2 5 3 2 2" xfId="19884"/>
    <cellStyle name="20% - Accent6 2 2 5 3 3" xfId="19885"/>
    <cellStyle name="20% - Accent6 2 2 5 4" xfId="19886"/>
    <cellStyle name="20% - Accent6 2 2 5 4 2" xfId="19887"/>
    <cellStyle name="20% - Accent6 2 2 5 5" xfId="19888"/>
    <cellStyle name="20% - Accent6 2 2 6" xfId="19889"/>
    <cellStyle name="20% - Accent6 2 2 6 2" xfId="19890"/>
    <cellStyle name="20% - Accent6 2 2 6 2 2" xfId="19891"/>
    <cellStyle name="20% - Accent6 2 2 6 2 2 2" xfId="19892"/>
    <cellStyle name="20% - Accent6 2 2 6 2 2 2 2" xfId="19893"/>
    <cellStyle name="20% - Accent6 2 2 6 2 2 3" xfId="19894"/>
    <cellStyle name="20% - Accent6 2 2 6 2 3" xfId="19895"/>
    <cellStyle name="20% - Accent6 2 2 6 2 3 2" xfId="19896"/>
    <cellStyle name="20% - Accent6 2 2 6 2 4" xfId="19897"/>
    <cellStyle name="20% - Accent6 2 2 6 3" xfId="19898"/>
    <cellStyle name="20% - Accent6 2 2 6 3 2" xfId="19899"/>
    <cellStyle name="20% - Accent6 2 2 6 3 2 2" xfId="19900"/>
    <cellStyle name="20% - Accent6 2 2 6 3 3" xfId="19901"/>
    <cellStyle name="20% - Accent6 2 2 6 4" xfId="19902"/>
    <cellStyle name="20% - Accent6 2 2 6 4 2" xfId="19903"/>
    <cellStyle name="20% - Accent6 2 2 6 5" xfId="19904"/>
    <cellStyle name="20% - Accent6 2 2 7" xfId="19905"/>
    <cellStyle name="20% - Accent6 2 2 7 2" xfId="19906"/>
    <cellStyle name="20% - Accent6 2 2 7 2 2" xfId="19907"/>
    <cellStyle name="20% - Accent6 2 2 7 2 2 2" xfId="19908"/>
    <cellStyle name="20% - Accent6 2 2 7 2 2 2 2" xfId="19909"/>
    <cellStyle name="20% - Accent6 2 2 7 2 2 3" xfId="19910"/>
    <cellStyle name="20% - Accent6 2 2 7 2 3" xfId="19911"/>
    <cellStyle name="20% - Accent6 2 2 7 2 3 2" xfId="19912"/>
    <cellStyle name="20% - Accent6 2 2 7 2 4" xfId="19913"/>
    <cellStyle name="20% - Accent6 2 2 7 3" xfId="19914"/>
    <cellStyle name="20% - Accent6 2 2 7 3 2" xfId="19915"/>
    <cellStyle name="20% - Accent6 2 2 7 3 2 2" xfId="19916"/>
    <cellStyle name="20% - Accent6 2 2 7 3 3" xfId="19917"/>
    <cellStyle name="20% - Accent6 2 2 7 4" xfId="19918"/>
    <cellStyle name="20% - Accent6 2 2 7 4 2" xfId="19919"/>
    <cellStyle name="20% - Accent6 2 2 7 5" xfId="19920"/>
    <cellStyle name="20% - Accent6 2 2 8" xfId="19921"/>
    <cellStyle name="20% - Accent6 2 2 8 2" xfId="19922"/>
    <cellStyle name="20% - Accent6 2 2 8 2 2" xfId="19923"/>
    <cellStyle name="20% - Accent6 2 2 8 2 2 2" xfId="19924"/>
    <cellStyle name="20% - Accent6 2 2 8 2 3" xfId="19925"/>
    <cellStyle name="20% - Accent6 2 2 8 3" xfId="19926"/>
    <cellStyle name="20% - Accent6 2 2 8 3 2" xfId="19927"/>
    <cellStyle name="20% - Accent6 2 2 8 4" xfId="19928"/>
    <cellStyle name="20% - Accent6 2 2 9" xfId="19929"/>
    <cellStyle name="20% - Accent6 2 2 9 2" xfId="19930"/>
    <cellStyle name="20% - Accent6 2 2 9 2 2" xfId="19931"/>
    <cellStyle name="20% - Accent6 2 2 9 3" xfId="19932"/>
    <cellStyle name="20% - Accent6 2 3" xfId="19933"/>
    <cellStyle name="20% - Accent6 2 3 10" xfId="19934"/>
    <cellStyle name="20% - Accent6 2 3 10 2" xfId="19935"/>
    <cellStyle name="20% - Accent6 2 3 11" xfId="19936"/>
    <cellStyle name="20% - Accent6 2 3 2" xfId="19937"/>
    <cellStyle name="20% - Accent6 2 3 2 10" xfId="19938"/>
    <cellStyle name="20% - Accent6 2 3 2 2" xfId="19939"/>
    <cellStyle name="20% - Accent6 2 3 2 2 2" xfId="19940"/>
    <cellStyle name="20% - Accent6 2 3 2 2 2 2" xfId="19941"/>
    <cellStyle name="20% - Accent6 2 3 2 2 2 2 2" xfId="19942"/>
    <cellStyle name="20% - Accent6 2 3 2 2 2 2 2 2" xfId="19943"/>
    <cellStyle name="20% - Accent6 2 3 2 2 2 2 3" xfId="19944"/>
    <cellStyle name="20% - Accent6 2 3 2 2 2 3" xfId="19945"/>
    <cellStyle name="20% - Accent6 2 3 2 2 2 3 2" xfId="19946"/>
    <cellStyle name="20% - Accent6 2 3 2 2 2 4" xfId="19947"/>
    <cellStyle name="20% - Accent6 2 3 2 2 3" xfId="19948"/>
    <cellStyle name="20% - Accent6 2 3 2 2 3 2" xfId="19949"/>
    <cellStyle name="20% - Accent6 2 3 2 2 3 2 2" xfId="19950"/>
    <cellStyle name="20% - Accent6 2 3 2 2 3 3" xfId="19951"/>
    <cellStyle name="20% - Accent6 2 3 2 2 4" xfId="19952"/>
    <cellStyle name="20% - Accent6 2 3 2 2 4 2" xfId="19953"/>
    <cellStyle name="20% - Accent6 2 3 2 2 5" xfId="19954"/>
    <cellStyle name="20% - Accent6 2 3 2 3" xfId="19955"/>
    <cellStyle name="20% - Accent6 2 3 2 3 2" xfId="19956"/>
    <cellStyle name="20% - Accent6 2 3 2 3 2 2" xfId="19957"/>
    <cellStyle name="20% - Accent6 2 3 2 3 2 2 2" xfId="19958"/>
    <cellStyle name="20% - Accent6 2 3 2 3 2 2 2 2" xfId="19959"/>
    <cellStyle name="20% - Accent6 2 3 2 3 2 2 3" xfId="19960"/>
    <cellStyle name="20% - Accent6 2 3 2 3 2 3" xfId="19961"/>
    <cellStyle name="20% - Accent6 2 3 2 3 2 3 2" xfId="19962"/>
    <cellStyle name="20% - Accent6 2 3 2 3 2 4" xfId="19963"/>
    <cellStyle name="20% - Accent6 2 3 2 3 3" xfId="19964"/>
    <cellStyle name="20% - Accent6 2 3 2 3 3 2" xfId="19965"/>
    <cellStyle name="20% - Accent6 2 3 2 3 3 2 2" xfId="19966"/>
    <cellStyle name="20% - Accent6 2 3 2 3 3 3" xfId="19967"/>
    <cellStyle name="20% - Accent6 2 3 2 3 4" xfId="19968"/>
    <cellStyle name="20% - Accent6 2 3 2 3 4 2" xfId="19969"/>
    <cellStyle name="20% - Accent6 2 3 2 3 5" xfId="19970"/>
    <cellStyle name="20% - Accent6 2 3 2 4" xfId="19971"/>
    <cellStyle name="20% - Accent6 2 3 2 4 2" xfId="19972"/>
    <cellStyle name="20% - Accent6 2 3 2 4 2 2" xfId="19973"/>
    <cellStyle name="20% - Accent6 2 3 2 4 2 2 2" xfId="19974"/>
    <cellStyle name="20% - Accent6 2 3 2 4 2 2 2 2" xfId="19975"/>
    <cellStyle name="20% - Accent6 2 3 2 4 2 2 3" xfId="19976"/>
    <cellStyle name="20% - Accent6 2 3 2 4 2 3" xfId="19977"/>
    <cellStyle name="20% - Accent6 2 3 2 4 2 3 2" xfId="19978"/>
    <cellStyle name="20% - Accent6 2 3 2 4 2 4" xfId="19979"/>
    <cellStyle name="20% - Accent6 2 3 2 4 3" xfId="19980"/>
    <cellStyle name="20% - Accent6 2 3 2 4 3 2" xfId="19981"/>
    <cellStyle name="20% - Accent6 2 3 2 4 3 2 2" xfId="19982"/>
    <cellStyle name="20% - Accent6 2 3 2 4 3 3" xfId="19983"/>
    <cellStyle name="20% - Accent6 2 3 2 4 4" xfId="19984"/>
    <cellStyle name="20% - Accent6 2 3 2 4 4 2" xfId="19985"/>
    <cellStyle name="20% - Accent6 2 3 2 4 5" xfId="19986"/>
    <cellStyle name="20% - Accent6 2 3 2 5" xfId="19987"/>
    <cellStyle name="20% - Accent6 2 3 2 5 2" xfId="19988"/>
    <cellStyle name="20% - Accent6 2 3 2 5 2 2" xfId="19989"/>
    <cellStyle name="20% - Accent6 2 3 2 5 2 2 2" xfId="19990"/>
    <cellStyle name="20% - Accent6 2 3 2 5 2 2 2 2" xfId="19991"/>
    <cellStyle name="20% - Accent6 2 3 2 5 2 2 3" xfId="19992"/>
    <cellStyle name="20% - Accent6 2 3 2 5 2 3" xfId="19993"/>
    <cellStyle name="20% - Accent6 2 3 2 5 2 3 2" xfId="19994"/>
    <cellStyle name="20% - Accent6 2 3 2 5 2 4" xfId="19995"/>
    <cellStyle name="20% - Accent6 2 3 2 5 3" xfId="19996"/>
    <cellStyle name="20% - Accent6 2 3 2 5 3 2" xfId="19997"/>
    <cellStyle name="20% - Accent6 2 3 2 5 3 2 2" xfId="19998"/>
    <cellStyle name="20% - Accent6 2 3 2 5 3 3" xfId="19999"/>
    <cellStyle name="20% - Accent6 2 3 2 5 4" xfId="20000"/>
    <cellStyle name="20% - Accent6 2 3 2 5 4 2" xfId="20001"/>
    <cellStyle name="20% - Accent6 2 3 2 5 5" xfId="20002"/>
    <cellStyle name="20% - Accent6 2 3 2 6" xfId="20003"/>
    <cellStyle name="20% - Accent6 2 3 2 6 2" xfId="20004"/>
    <cellStyle name="20% - Accent6 2 3 2 6 2 2" xfId="20005"/>
    <cellStyle name="20% - Accent6 2 3 2 6 2 2 2" xfId="20006"/>
    <cellStyle name="20% - Accent6 2 3 2 6 2 2 2 2" xfId="20007"/>
    <cellStyle name="20% - Accent6 2 3 2 6 2 2 3" xfId="20008"/>
    <cellStyle name="20% - Accent6 2 3 2 6 2 3" xfId="20009"/>
    <cellStyle name="20% - Accent6 2 3 2 6 2 3 2" xfId="20010"/>
    <cellStyle name="20% - Accent6 2 3 2 6 2 4" xfId="20011"/>
    <cellStyle name="20% - Accent6 2 3 2 6 3" xfId="20012"/>
    <cellStyle name="20% - Accent6 2 3 2 6 3 2" xfId="20013"/>
    <cellStyle name="20% - Accent6 2 3 2 6 3 2 2" xfId="20014"/>
    <cellStyle name="20% - Accent6 2 3 2 6 3 3" xfId="20015"/>
    <cellStyle name="20% - Accent6 2 3 2 6 4" xfId="20016"/>
    <cellStyle name="20% - Accent6 2 3 2 6 4 2" xfId="20017"/>
    <cellStyle name="20% - Accent6 2 3 2 6 5" xfId="20018"/>
    <cellStyle name="20% - Accent6 2 3 2 7" xfId="20019"/>
    <cellStyle name="20% - Accent6 2 3 2 7 2" xfId="20020"/>
    <cellStyle name="20% - Accent6 2 3 2 7 2 2" xfId="20021"/>
    <cellStyle name="20% - Accent6 2 3 2 7 2 2 2" xfId="20022"/>
    <cellStyle name="20% - Accent6 2 3 2 7 2 3" xfId="20023"/>
    <cellStyle name="20% - Accent6 2 3 2 7 3" xfId="20024"/>
    <cellStyle name="20% - Accent6 2 3 2 7 3 2" xfId="20025"/>
    <cellStyle name="20% - Accent6 2 3 2 7 4" xfId="20026"/>
    <cellStyle name="20% - Accent6 2 3 2 8" xfId="20027"/>
    <cellStyle name="20% - Accent6 2 3 2 8 2" xfId="20028"/>
    <cellStyle name="20% - Accent6 2 3 2 8 2 2" xfId="20029"/>
    <cellStyle name="20% - Accent6 2 3 2 8 3" xfId="20030"/>
    <cellStyle name="20% - Accent6 2 3 2 9" xfId="20031"/>
    <cellStyle name="20% - Accent6 2 3 2 9 2" xfId="20032"/>
    <cellStyle name="20% - Accent6 2 3 3" xfId="20033"/>
    <cellStyle name="20% - Accent6 2 3 3 2" xfId="20034"/>
    <cellStyle name="20% - Accent6 2 3 3 2 2" xfId="20035"/>
    <cellStyle name="20% - Accent6 2 3 3 2 2 2" xfId="20036"/>
    <cellStyle name="20% - Accent6 2 3 3 2 2 2 2" xfId="20037"/>
    <cellStyle name="20% - Accent6 2 3 3 2 2 3" xfId="20038"/>
    <cellStyle name="20% - Accent6 2 3 3 2 3" xfId="20039"/>
    <cellStyle name="20% - Accent6 2 3 3 2 3 2" xfId="20040"/>
    <cellStyle name="20% - Accent6 2 3 3 2 4" xfId="20041"/>
    <cellStyle name="20% - Accent6 2 3 3 3" xfId="20042"/>
    <cellStyle name="20% - Accent6 2 3 3 3 2" xfId="20043"/>
    <cellStyle name="20% - Accent6 2 3 3 3 2 2" xfId="20044"/>
    <cellStyle name="20% - Accent6 2 3 3 3 3" xfId="20045"/>
    <cellStyle name="20% - Accent6 2 3 3 4" xfId="20046"/>
    <cellStyle name="20% - Accent6 2 3 3 4 2" xfId="20047"/>
    <cellStyle name="20% - Accent6 2 3 3 5" xfId="20048"/>
    <cellStyle name="20% - Accent6 2 3 4" xfId="20049"/>
    <cellStyle name="20% - Accent6 2 3 4 2" xfId="20050"/>
    <cellStyle name="20% - Accent6 2 3 4 2 2" xfId="20051"/>
    <cellStyle name="20% - Accent6 2 3 4 2 2 2" xfId="20052"/>
    <cellStyle name="20% - Accent6 2 3 4 2 2 2 2" xfId="20053"/>
    <cellStyle name="20% - Accent6 2 3 4 2 2 3" xfId="20054"/>
    <cellStyle name="20% - Accent6 2 3 4 2 3" xfId="20055"/>
    <cellStyle name="20% - Accent6 2 3 4 2 3 2" xfId="20056"/>
    <cellStyle name="20% - Accent6 2 3 4 2 4" xfId="20057"/>
    <cellStyle name="20% - Accent6 2 3 4 3" xfId="20058"/>
    <cellStyle name="20% - Accent6 2 3 4 3 2" xfId="20059"/>
    <cellStyle name="20% - Accent6 2 3 4 3 2 2" xfId="20060"/>
    <cellStyle name="20% - Accent6 2 3 4 3 3" xfId="20061"/>
    <cellStyle name="20% - Accent6 2 3 4 4" xfId="20062"/>
    <cellStyle name="20% - Accent6 2 3 4 4 2" xfId="20063"/>
    <cellStyle name="20% - Accent6 2 3 4 5" xfId="20064"/>
    <cellStyle name="20% - Accent6 2 3 5" xfId="20065"/>
    <cellStyle name="20% - Accent6 2 3 5 2" xfId="20066"/>
    <cellStyle name="20% - Accent6 2 3 5 2 2" xfId="20067"/>
    <cellStyle name="20% - Accent6 2 3 5 2 2 2" xfId="20068"/>
    <cellStyle name="20% - Accent6 2 3 5 2 2 2 2" xfId="20069"/>
    <cellStyle name="20% - Accent6 2 3 5 2 2 3" xfId="20070"/>
    <cellStyle name="20% - Accent6 2 3 5 2 3" xfId="20071"/>
    <cellStyle name="20% - Accent6 2 3 5 2 3 2" xfId="20072"/>
    <cellStyle name="20% - Accent6 2 3 5 2 4" xfId="20073"/>
    <cellStyle name="20% - Accent6 2 3 5 3" xfId="20074"/>
    <cellStyle name="20% - Accent6 2 3 5 3 2" xfId="20075"/>
    <cellStyle name="20% - Accent6 2 3 5 3 2 2" xfId="20076"/>
    <cellStyle name="20% - Accent6 2 3 5 3 3" xfId="20077"/>
    <cellStyle name="20% - Accent6 2 3 5 4" xfId="20078"/>
    <cellStyle name="20% - Accent6 2 3 5 4 2" xfId="20079"/>
    <cellStyle name="20% - Accent6 2 3 5 5" xfId="20080"/>
    <cellStyle name="20% - Accent6 2 3 6" xfId="20081"/>
    <cellStyle name="20% - Accent6 2 3 6 2" xfId="20082"/>
    <cellStyle name="20% - Accent6 2 3 6 2 2" xfId="20083"/>
    <cellStyle name="20% - Accent6 2 3 6 2 2 2" xfId="20084"/>
    <cellStyle name="20% - Accent6 2 3 6 2 2 2 2" xfId="20085"/>
    <cellStyle name="20% - Accent6 2 3 6 2 2 3" xfId="20086"/>
    <cellStyle name="20% - Accent6 2 3 6 2 3" xfId="20087"/>
    <cellStyle name="20% - Accent6 2 3 6 2 3 2" xfId="20088"/>
    <cellStyle name="20% - Accent6 2 3 6 2 4" xfId="20089"/>
    <cellStyle name="20% - Accent6 2 3 6 3" xfId="20090"/>
    <cellStyle name="20% - Accent6 2 3 6 3 2" xfId="20091"/>
    <cellStyle name="20% - Accent6 2 3 6 3 2 2" xfId="20092"/>
    <cellStyle name="20% - Accent6 2 3 6 3 3" xfId="20093"/>
    <cellStyle name="20% - Accent6 2 3 6 4" xfId="20094"/>
    <cellStyle name="20% - Accent6 2 3 6 4 2" xfId="20095"/>
    <cellStyle name="20% - Accent6 2 3 6 5" xfId="20096"/>
    <cellStyle name="20% - Accent6 2 3 7" xfId="20097"/>
    <cellStyle name="20% - Accent6 2 3 7 2" xfId="20098"/>
    <cellStyle name="20% - Accent6 2 3 7 2 2" xfId="20099"/>
    <cellStyle name="20% - Accent6 2 3 7 2 2 2" xfId="20100"/>
    <cellStyle name="20% - Accent6 2 3 7 2 2 2 2" xfId="20101"/>
    <cellStyle name="20% - Accent6 2 3 7 2 2 3" xfId="20102"/>
    <cellStyle name="20% - Accent6 2 3 7 2 3" xfId="20103"/>
    <cellStyle name="20% - Accent6 2 3 7 2 3 2" xfId="20104"/>
    <cellStyle name="20% - Accent6 2 3 7 2 4" xfId="20105"/>
    <cellStyle name="20% - Accent6 2 3 7 3" xfId="20106"/>
    <cellStyle name="20% - Accent6 2 3 7 3 2" xfId="20107"/>
    <cellStyle name="20% - Accent6 2 3 7 3 2 2" xfId="20108"/>
    <cellStyle name="20% - Accent6 2 3 7 3 3" xfId="20109"/>
    <cellStyle name="20% - Accent6 2 3 7 4" xfId="20110"/>
    <cellStyle name="20% - Accent6 2 3 7 4 2" xfId="20111"/>
    <cellStyle name="20% - Accent6 2 3 7 5" xfId="20112"/>
    <cellStyle name="20% - Accent6 2 3 8" xfId="20113"/>
    <cellStyle name="20% - Accent6 2 3 8 2" xfId="20114"/>
    <cellStyle name="20% - Accent6 2 3 8 2 2" xfId="20115"/>
    <cellStyle name="20% - Accent6 2 3 8 2 2 2" xfId="20116"/>
    <cellStyle name="20% - Accent6 2 3 8 2 3" xfId="20117"/>
    <cellStyle name="20% - Accent6 2 3 8 3" xfId="20118"/>
    <cellStyle name="20% - Accent6 2 3 8 3 2" xfId="20119"/>
    <cellStyle name="20% - Accent6 2 3 8 4" xfId="20120"/>
    <cellStyle name="20% - Accent6 2 3 9" xfId="20121"/>
    <cellStyle name="20% - Accent6 2 3 9 2" xfId="20122"/>
    <cellStyle name="20% - Accent6 2 3 9 2 2" xfId="20123"/>
    <cellStyle name="20% - Accent6 2 3 9 3" xfId="20124"/>
    <cellStyle name="20% - Accent6 2 4" xfId="20125"/>
    <cellStyle name="20% - Accent6 2 4 10" xfId="20126"/>
    <cellStyle name="20% - Accent6 2 4 10 2" xfId="20127"/>
    <cellStyle name="20% - Accent6 2 4 11" xfId="20128"/>
    <cellStyle name="20% - Accent6 2 4 2" xfId="20129"/>
    <cellStyle name="20% - Accent6 2 4 2 10" xfId="20130"/>
    <cellStyle name="20% - Accent6 2 4 2 2" xfId="20131"/>
    <cellStyle name="20% - Accent6 2 4 2 2 2" xfId="20132"/>
    <cellStyle name="20% - Accent6 2 4 2 2 2 2" xfId="20133"/>
    <cellStyle name="20% - Accent6 2 4 2 2 2 2 2" xfId="20134"/>
    <cellStyle name="20% - Accent6 2 4 2 2 2 2 2 2" xfId="20135"/>
    <cellStyle name="20% - Accent6 2 4 2 2 2 2 3" xfId="20136"/>
    <cellStyle name="20% - Accent6 2 4 2 2 2 3" xfId="20137"/>
    <cellStyle name="20% - Accent6 2 4 2 2 2 3 2" xfId="20138"/>
    <cellStyle name="20% - Accent6 2 4 2 2 2 4" xfId="20139"/>
    <cellStyle name="20% - Accent6 2 4 2 2 3" xfId="20140"/>
    <cellStyle name="20% - Accent6 2 4 2 2 3 2" xfId="20141"/>
    <cellStyle name="20% - Accent6 2 4 2 2 3 2 2" xfId="20142"/>
    <cellStyle name="20% - Accent6 2 4 2 2 3 3" xfId="20143"/>
    <cellStyle name="20% - Accent6 2 4 2 2 4" xfId="20144"/>
    <cellStyle name="20% - Accent6 2 4 2 2 4 2" xfId="20145"/>
    <cellStyle name="20% - Accent6 2 4 2 2 5" xfId="20146"/>
    <cellStyle name="20% - Accent6 2 4 2 3" xfId="20147"/>
    <cellStyle name="20% - Accent6 2 4 2 3 2" xfId="20148"/>
    <cellStyle name="20% - Accent6 2 4 2 3 2 2" xfId="20149"/>
    <cellStyle name="20% - Accent6 2 4 2 3 2 2 2" xfId="20150"/>
    <cellStyle name="20% - Accent6 2 4 2 3 2 2 2 2" xfId="20151"/>
    <cellStyle name="20% - Accent6 2 4 2 3 2 2 3" xfId="20152"/>
    <cellStyle name="20% - Accent6 2 4 2 3 2 3" xfId="20153"/>
    <cellStyle name="20% - Accent6 2 4 2 3 2 3 2" xfId="20154"/>
    <cellStyle name="20% - Accent6 2 4 2 3 2 4" xfId="20155"/>
    <cellStyle name="20% - Accent6 2 4 2 3 3" xfId="20156"/>
    <cellStyle name="20% - Accent6 2 4 2 3 3 2" xfId="20157"/>
    <cellStyle name="20% - Accent6 2 4 2 3 3 2 2" xfId="20158"/>
    <cellStyle name="20% - Accent6 2 4 2 3 3 3" xfId="20159"/>
    <cellStyle name="20% - Accent6 2 4 2 3 4" xfId="20160"/>
    <cellStyle name="20% - Accent6 2 4 2 3 4 2" xfId="20161"/>
    <cellStyle name="20% - Accent6 2 4 2 3 5" xfId="20162"/>
    <cellStyle name="20% - Accent6 2 4 2 4" xfId="20163"/>
    <cellStyle name="20% - Accent6 2 4 2 4 2" xfId="20164"/>
    <cellStyle name="20% - Accent6 2 4 2 4 2 2" xfId="20165"/>
    <cellStyle name="20% - Accent6 2 4 2 4 2 2 2" xfId="20166"/>
    <cellStyle name="20% - Accent6 2 4 2 4 2 2 2 2" xfId="20167"/>
    <cellStyle name="20% - Accent6 2 4 2 4 2 2 3" xfId="20168"/>
    <cellStyle name="20% - Accent6 2 4 2 4 2 3" xfId="20169"/>
    <cellStyle name="20% - Accent6 2 4 2 4 2 3 2" xfId="20170"/>
    <cellStyle name="20% - Accent6 2 4 2 4 2 4" xfId="20171"/>
    <cellStyle name="20% - Accent6 2 4 2 4 3" xfId="20172"/>
    <cellStyle name="20% - Accent6 2 4 2 4 3 2" xfId="20173"/>
    <cellStyle name="20% - Accent6 2 4 2 4 3 2 2" xfId="20174"/>
    <cellStyle name="20% - Accent6 2 4 2 4 3 3" xfId="20175"/>
    <cellStyle name="20% - Accent6 2 4 2 4 4" xfId="20176"/>
    <cellStyle name="20% - Accent6 2 4 2 4 4 2" xfId="20177"/>
    <cellStyle name="20% - Accent6 2 4 2 4 5" xfId="20178"/>
    <cellStyle name="20% - Accent6 2 4 2 5" xfId="20179"/>
    <cellStyle name="20% - Accent6 2 4 2 5 2" xfId="20180"/>
    <cellStyle name="20% - Accent6 2 4 2 5 2 2" xfId="20181"/>
    <cellStyle name="20% - Accent6 2 4 2 5 2 2 2" xfId="20182"/>
    <cellStyle name="20% - Accent6 2 4 2 5 2 2 2 2" xfId="20183"/>
    <cellStyle name="20% - Accent6 2 4 2 5 2 2 3" xfId="20184"/>
    <cellStyle name="20% - Accent6 2 4 2 5 2 3" xfId="20185"/>
    <cellStyle name="20% - Accent6 2 4 2 5 2 3 2" xfId="20186"/>
    <cellStyle name="20% - Accent6 2 4 2 5 2 4" xfId="20187"/>
    <cellStyle name="20% - Accent6 2 4 2 5 3" xfId="20188"/>
    <cellStyle name="20% - Accent6 2 4 2 5 3 2" xfId="20189"/>
    <cellStyle name="20% - Accent6 2 4 2 5 3 2 2" xfId="20190"/>
    <cellStyle name="20% - Accent6 2 4 2 5 3 3" xfId="20191"/>
    <cellStyle name="20% - Accent6 2 4 2 5 4" xfId="20192"/>
    <cellStyle name="20% - Accent6 2 4 2 5 4 2" xfId="20193"/>
    <cellStyle name="20% - Accent6 2 4 2 5 5" xfId="20194"/>
    <cellStyle name="20% - Accent6 2 4 2 6" xfId="20195"/>
    <cellStyle name="20% - Accent6 2 4 2 6 2" xfId="20196"/>
    <cellStyle name="20% - Accent6 2 4 2 6 2 2" xfId="20197"/>
    <cellStyle name="20% - Accent6 2 4 2 6 2 2 2" xfId="20198"/>
    <cellStyle name="20% - Accent6 2 4 2 6 2 2 2 2" xfId="20199"/>
    <cellStyle name="20% - Accent6 2 4 2 6 2 2 3" xfId="20200"/>
    <cellStyle name="20% - Accent6 2 4 2 6 2 3" xfId="20201"/>
    <cellStyle name="20% - Accent6 2 4 2 6 2 3 2" xfId="20202"/>
    <cellStyle name="20% - Accent6 2 4 2 6 2 4" xfId="20203"/>
    <cellStyle name="20% - Accent6 2 4 2 6 3" xfId="20204"/>
    <cellStyle name="20% - Accent6 2 4 2 6 3 2" xfId="20205"/>
    <cellStyle name="20% - Accent6 2 4 2 6 3 2 2" xfId="20206"/>
    <cellStyle name="20% - Accent6 2 4 2 6 3 3" xfId="20207"/>
    <cellStyle name="20% - Accent6 2 4 2 6 4" xfId="20208"/>
    <cellStyle name="20% - Accent6 2 4 2 6 4 2" xfId="20209"/>
    <cellStyle name="20% - Accent6 2 4 2 6 5" xfId="20210"/>
    <cellStyle name="20% - Accent6 2 4 2 7" xfId="20211"/>
    <cellStyle name="20% - Accent6 2 4 2 7 2" xfId="20212"/>
    <cellStyle name="20% - Accent6 2 4 2 7 2 2" xfId="20213"/>
    <cellStyle name="20% - Accent6 2 4 2 7 2 2 2" xfId="20214"/>
    <cellStyle name="20% - Accent6 2 4 2 7 2 3" xfId="20215"/>
    <cellStyle name="20% - Accent6 2 4 2 7 3" xfId="20216"/>
    <cellStyle name="20% - Accent6 2 4 2 7 3 2" xfId="20217"/>
    <cellStyle name="20% - Accent6 2 4 2 7 4" xfId="20218"/>
    <cellStyle name="20% - Accent6 2 4 2 8" xfId="20219"/>
    <cellStyle name="20% - Accent6 2 4 2 8 2" xfId="20220"/>
    <cellStyle name="20% - Accent6 2 4 2 8 2 2" xfId="20221"/>
    <cellStyle name="20% - Accent6 2 4 2 8 3" xfId="20222"/>
    <cellStyle name="20% - Accent6 2 4 2 9" xfId="20223"/>
    <cellStyle name="20% - Accent6 2 4 2 9 2" xfId="20224"/>
    <cellStyle name="20% - Accent6 2 4 3" xfId="20225"/>
    <cellStyle name="20% - Accent6 2 4 3 2" xfId="20226"/>
    <cellStyle name="20% - Accent6 2 4 3 2 2" xfId="20227"/>
    <cellStyle name="20% - Accent6 2 4 3 2 2 2" xfId="20228"/>
    <cellStyle name="20% - Accent6 2 4 3 2 2 2 2" xfId="20229"/>
    <cellStyle name="20% - Accent6 2 4 3 2 2 3" xfId="20230"/>
    <cellStyle name="20% - Accent6 2 4 3 2 3" xfId="20231"/>
    <cellStyle name="20% - Accent6 2 4 3 2 3 2" xfId="20232"/>
    <cellStyle name="20% - Accent6 2 4 3 2 4" xfId="20233"/>
    <cellStyle name="20% - Accent6 2 4 3 3" xfId="20234"/>
    <cellStyle name="20% - Accent6 2 4 3 3 2" xfId="20235"/>
    <cellStyle name="20% - Accent6 2 4 3 3 2 2" xfId="20236"/>
    <cellStyle name="20% - Accent6 2 4 3 3 3" xfId="20237"/>
    <cellStyle name="20% - Accent6 2 4 3 4" xfId="20238"/>
    <cellStyle name="20% - Accent6 2 4 3 4 2" xfId="20239"/>
    <cellStyle name="20% - Accent6 2 4 3 5" xfId="20240"/>
    <cellStyle name="20% - Accent6 2 4 4" xfId="20241"/>
    <cellStyle name="20% - Accent6 2 4 4 2" xfId="20242"/>
    <cellStyle name="20% - Accent6 2 4 4 2 2" xfId="20243"/>
    <cellStyle name="20% - Accent6 2 4 4 2 2 2" xfId="20244"/>
    <cellStyle name="20% - Accent6 2 4 4 2 2 2 2" xfId="20245"/>
    <cellStyle name="20% - Accent6 2 4 4 2 2 3" xfId="20246"/>
    <cellStyle name="20% - Accent6 2 4 4 2 3" xfId="20247"/>
    <cellStyle name="20% - Accent6 2 4 4 2 3 2" xfId="20248"/>
    <cellStyle name="20% - Accent6 2 4 4 2 4" xfId="20249"/>
    <cellStyle name="20% - Accent6 2 4 4 3" xfId="20250"/>
    <cellStyle name="20% - Accent6 2 4 4 3 2" xfId="20251"/>
    <cellStyle name="20% - Accent6 2 4 4 3 2 2" xfId="20252"/>
    <cellStyle name="20% - Accent6 2 4 4 3 3" xfId="20253"/>
    <cellStyle name="20% - Accent6 2 4 4 4" xfId="20254"/>
    <cellStyle name="20% - Accent6 2 4 4 4 2" xfId="20255"/>
    <cellStyle name="20% - Accent6 2 4 4 5" xfId="20256"/>
    <cellStyle name="20% - Accent6 2 4 5" xfId="20257"/>
    <cellStyle name="20% - Accent6 2 4 5 2" xfId="20258"/>
    <cellStyle name="20% - Accent6 2 4 5 2 2" xfId="20259"/>
    <cellStyle name="20% - Accent6 2 4 5 2 2 2" xfId="20260"/>
    <cellStyle name="20% - Accent6 2 4 5 2 2 2 2" xfId="20261"/>
    <cellStyle name="20% - Accent6 2 4 5 2 2 3" xfId="20262"/>
    <cellStyle name="20% - Accent6 2 4 5 2 3" xfId="20263"/>
    <cellStyle name="20% - Accent6 2 4 5 2 3 2" xfId="20264"/>
    <cellStyle name="20% - Accent6 2 4 5 2 4" xfId="20265"/>
    <cellStyle name="20% - Accent6 2 4 5 3" xfId="20266"/>
    <cellStyle name="20% - Accent6 2 4 5 3 2" xfId="20267"/>
    <cellStyle name="20% - Accent6 2 4 5 3 2 2" xfId="20268"/>
    <cellStyle name="20% - Accent6 2 4 5 3 3" xfId="20269"/>
    <cellStyle name="20% - Accent6 2 4 5 4" xfId="20270"/>
    <cellStyle name="20% - Accent6 2 4 5 4 2" xfId="20271"/>
    <cellStyle name="20% - Accent6 2 4 5 5" xfId="20272"/>
    <cellStyle name="20% - Accent6 2 4 6" xfId="20273"/>
    <cellStyle name="20% - Accent6 2 4 6 2" xfId="20274"/>
    <cellStyle name="20% - Accent6 2 4 6 2 2" xfId="20275"/>
    <cellStyle name="20% - Accent6 2 4 6 2 2 2" xfId="20276"/>
    <cellStyle name="20% - Accent6 2 4 6 2 2 2 2" xfId="20277"/>
    <cellStyle name="20% - Accent6 2 4 6 2 2 3" xfId="20278"/>
    <cellStyle name="20% - Accent6 2 4 6 2 3" xfId="20279"/>
    <cellStyle name="20% - Accent6 2 4 6 2 3 2" xfId="20280"/>
    <cellStyle name="20% - Accent6 2 4 6 2 4" xfId="20281"/>
    <cellStyle name="20% - Accent6 2 4 6 3" xfId="20282"/>
    <cellStyle name="20% - Accent6 2 4 6 3 2" xfId="20283"/>
    <cellStyle name="20% - Accent6 2 4 6 3 2 2" xfId="20284"/>
    <cellStyle name="20% - Accent6 2 4 6 3 3" xfId="20285"/>
    <cellStyle name="20% - Accent6 2 4 6 4" xfId="20286"/>
    <cellStyle name="20% - Accent6 2 4 6 4 2" xfId="20287"/>
    <cellStyle name="20% - Accent6 2 4 6 5" xfId="20288"/>
    <cellStyle name="20% - Accent6 2 4 7" xfId="20289"/>
    <cellStyle name="20% - Accent6 2 4 7 2" xfId="20290"/>
    <cellStyle name="20% - Accent6 2 4 7 2 2" xfId="20291"/>
    <cellStyle name="20% - Accent6 2 4 7 2 2 2" xfId="20292"/>
    <cellStyle name="20% - Accent6 2 4 7 2 2 2 2" xfId="20293"/>
    <cellStyle name="20% - Accent6 2 4 7 2 2 3" xfId="20294"/>
    <cellStyle name="20% - Accent6 2 4 7 2 3" xfId="20295"/>
    <cellStyle name="20% - Accent6 2 4 7 2 3 2" xfId="20296"/>
    <cellStyle name="20% - Accent6 2 4 7 2 4" xfId="20297"/>
    <cellStyle name="20% - Accent6 2 4 7 3" xfId="20298"/>
    <cellStyle name="20% - Accent6 2 4 7 3 2" xfId="20299"/>
    <cellStyle name="20% - Accent6 2 4 7 3 2 2" xfId="20300"/>
    <cellStyle name="20% - Accent6 2 4 7 3 3" xfId="20301"/>
    <cellStyle name="20% - Accent6 2 4 7 4" xfId="20302"/>
    <cellStyle name="20% - Accent6 2 4 7 4 2" xfId="20303"/>
    <cellStyle name="20% - Accent6 2 4 7 5" xfId="20304"/>
    <cellStyle name="20% - Accent6 2 4 8" xfId="20305"/>
    <cellStyle name="20% - Accent6 2 4 8 2" xfId="20306"/>
    <cellStyle name="20% - Accent6 2 4 8 2 2" xfId="20307"/>
    <cellStyle name="20% - Accent6 2 4 8 2 2 2" xfId="20308"/>
    <cellStyle name="20% - Accent6 2 4 8 2 3" xfId="20309"/>
    <cellStyle name="20% - Accent6 2 4 8 3" xfId="20310"/>
    <cellStyle name="20% - Accent6 2 4 8 3 2" xfId="20311"/>
    <cellStyle name="20% - Accent6 2 4 8 4" xfId="20312"/>
    <cellStyle name="20% - Accent6 2 4 9" xfId="20313"/>
    <cellStyle name="20% - Accent6 2 4 9 2" xfId="20314"/>
    <cellStyle name="20% - Accent6 2 4 9 2 2" xfId="20315"/>
    <cellStyle name="20% - Accent6 2 4 9 3" xfId="20316"/>
    <cellStyle name="20% - Accent6 2 5" xfId="20317"/>
    <cellStyle name="20% - Accent6 2 5 10" xfId="20318"/>
    <cellStyle name="20% - Accent6 2 5 10 2" xfId="20319"/>
    <cellStyle name="20% - Accent6 2 5 11" xfId="20320"/>
    <cellStyle name="20% - Accent6 2 5 2" xfId="20321"/>
    <cellStyle name="20% - Accent6 2 5 2 10" xfId="20322"/>
    <cellStyle name="20% - Accent6 2 5 2 2" xfId="20323"/>
    <cellStyle name="20% - Accent6 2 5 2 2 2" xfId="20324"/>
    <cellStyle name="20% - Accent6 2 5 2 2 2 2" xfId="20325"/>
    <cellStyle name="20% - Accent6 2 5 2 2 2 2 2" xfId="20326"/>
    <cellStyle name="20% - Accent6 2 5 2 2 2 2 2 2" xfId="20327"/>
    <cellStyle name="20% - Accent6 2 5 2 2 2 2 3" xfId="20328"/>
    <cellStyle name="20% - Accent6 2 5 2 2 2 3" xfId="20329"/>
    <cellStyle name="20% - Accent6 2 5 2 2 2 3 2" xfId="20330"/>
    <cellStyle name="20% - Accent6 2 5 2 2 2 4" xfId="20331"/>
    <cellStyle name="20% - Accent6 2 5 2 2 3" xfId="20332"/>
    <cellStyle name="20% - Accent6 2 5 2 2 3 2" xfId="20333"/>
    <cellStyle name="20% - Accent6 2 5 2 2 3 2 2" xfId="20334"/>
    <cellStyle name="20% - Accent6 2 5 2 2 3 3" xfId="20335"/>
    <cellStyle name="20% - Accent6 2 5 2 2 4" xfId="20336"/>
    <cellStyle name="20% - Accent6 2 5 2 2 4 2" xfId="20337"/>
    <cellStyle name="20% - Accent6 2 5 2 2 5" xfId="20338"/>
    <cellStyle name="20% - Accent6 2 5 2 3" xfId="20339"/>
    <cellStyle name="20% - Accent6 2 5 2 3 2" xfId="20340"/>
    <cellStyle name="20% - Accent6 2 5 2 3 2 2" xfId="20341"/>
    <cellStyle name="20% - Accent6 2 5 2 3 2 2 2" xfId="20342"/>
    <cellStyle name="20% - Accent6 2 5 2 3 2 2 2 2" xfId="20343"/>
    <cellStyle name="20% - Accent6 2 5 2 3 2 2 3" xfId="20344"/>
    <cellStyle name="20% - Accent6 2 5 2 3 2 3" xfId="20345"/>
    <cellStyle name="20% - Accent6 2 5 2 3 2 3 2" xfId="20346"/>
    <cellStyle name="20% - Accent6 2 5 2 3 2 4" xfId="20347"/>
    <cellStyle name="20% - Accent6 2 5 2 3 3" xfId="20348"/>
    <cellStyle name="20% - Accent6 2 5 2 3 3 2" xfId="20349"/>
    <cellStyle name="20% - Accent6 2 5 2 3 3 2 2" xfId="20350"/>
    <cellStyle name="20% - Accent6 2 5 2 3 3 3" xfId="20351"/>
    <cellStyle name="20% - Accent6 2 5 2 3 4" xfId="20352"/>
    <cellStyle name="20% - Accent6 2 5 2 3 4 2" xfId="20353"/>
    <cellStyle name="20% - Accent6 2 5 2 3 5" xfId="20354"/>
    <cellStyle name="20% - Accent6 2 5 2 4" xfId="20355"/>
    <cellStyle name="20% - Accent6 2 5 2 4 2" xfId="20356"/>
    <cellStyle name="20% - Accent6 2 5 2 4 2 2" xfId="20357"/>
    <cellStyle name="20% - Accent6 2 5 2 4 2 2 2" xfId="20358"/>
    <cellStyle name="20% - Accent6 2 5 2 4 2 2 2 2" xfId="20359"/>
    <cellStyle name="20% - Accent6 2 5 2 4 2 2 3" xfId="20360"/>
    <cellStyle name="20% - Accent6 2 5 2 4 2 3" xfId="20361"/>
    <cellStyle name="20% - Accent6 2 5 2 4 2 3 2" xfId="20362"/>
    <cellStyle name="20% - Accent6 2 5 2 4 2 4" xfId="20363"/>
    <cellStyle name="20% - Accent6 2 5 2 4 3" xfId="20364"/>
    <cellStyle name="20% - Accent6 2 5 2 4 3 2" xfId="20365"/>
    <cellStyle name="20% - Accent6 2 5 2 4 3 2 2" xfId="20366"/>
    <cellStyle name="20% - Accent6 2 5 2 4 3 3" xfId="20367"/>
    <cellStyle name="20% - Accent6 2 5 2 4 4" xfId="20368"/>
    <cellStyle name="20% - Accent6 2 5 2 4 4 2" xfId="20369"/>
    <cellStyle name="20% - Accent6 2 5 2 4 5" xfId="20370"/>
    <cellStyle name="20% - Accent6 2 5 2 5" xfId="20371"/>
    <cellStyle name="20% - Accent6 2 5 2 5 2" xfId="20372"/>
    <cellStyle name="20% - Accent6 2 5 2 5 2 2" xfId="20373"/>
    <cellStyle name="20% - Accent6 2 5 2 5 2 2 2" xfId="20374"/>
    <cellStyle name="20% - Accent6 2 5 2 5 2 2 2 2" xfId="20375"/>
    <cellStyle name="20% - Accent6 2 5 2 5 2 2 3" xfId="20376"/>
    <cellStyle name="20% - Accent6 2 5 2 5 2 3" xfId="20377"/>
    <cellStyle name="20% - Accent6 2 5 2 5 2 3 2" xfId="20378"/>
    <cellStyle name="20% - Accent6 2 5 2 5 2 4" xfId="20379"/>
    <cellStyle name="20% - Accent6 2 5 2 5 3" xfId="20380"/>
    <cellStyle name="20% - Accent6 2 5 2 5 3 2" xfId="20381"/>
    <cellStyle name="20% - Accent6 2 5 2 5 3 2 2" xfId="20382"/>
    <cellStyle name="20% - Accent6 2 5 2 5 3 3" xfId="20383"/>
    <cellStyle name="20% - Accent6 2 5 2 5 4" xfId="20384"/>
    <cellStyle name="20% - Accent6 2 5 2 5 4 2" xfId="20385"/>
    <cellStyle name="20% - Accent6 2 5 2 5 5" xfId="20386"/>
    <cellStyle name="20% - Accent6 2 5 2 6" xfId="20387"/>
    <cellStyle name="20% - Accent6 2 5 2 6 2" xfId="20388"/>
    <cellStyle name="20% - Accent6 2 5 2 6 2 2" xfId="20389"/>
    <cellStyle name="20% - Accent6 2 5 2 6 2 2 2" xfId="20390"/>
    <cellStyle name="20% - Accent6 2 5 2 6 2 2 2 2" xfId="20391"/>
    <cellStyle name="20% - Accent6 2 5 2 6 2 2 3" xfId="20392"/>
    <cellStyle name="20% - Accent6 2 5 2 6 2 3" xfId="20393"/>
    <cellStyle name="20% - Accent6 2 5 2 6 2 3 2" xfId="20394"/>
    <cellStyle name="20% - Accent6 2 5 2 6 2 4" xfId="20395"/>
    <cellStyle name="20% - Accent6 2 5 2 6 3" xfId="20396"/>
    <cellStyle name="20% - Accent6 2 5 2 6 3 2" xfId="20397"/>
    <cellStyle name="20% - Accent6 2 5 2 6 3 2 2" xfId="20398"/>
    <cellStyle name="20% - Accent6 2 5 2 6 3 3" xfId="20399"/>
    <cellStyle name="20% - Accent6 2 5 2 6 4" xfId="20400"/>
    <cellStyle name="20% - Accent6 2 5 2 6 4 2" xfId="20401"/>
    <cellStyle name="20% - Accent6 2 5 2 6 5" xfId="20402"/>
    <cellStyle name="20% - Accent6 2 5 2 7" xfId="20403"/>
    <cellStyle name="20% - Accent6 2 5 2 7 2" xfId="20404"/>
    <cellStyle name="20% - Accent6 2 5 2 7 2 2" xfId="20405"/>
    <cellStyle name="20% - Accent6 2 5 2 7 2 2 2" xfId="20406"/>
    <cellStyle name="20% - Accent6 2 5 2 7 2 3" xfId="20407"/>
    <cellStyle name="20% - Accent6 2 5 2 7 3" xfId="20408"/>
    <cellStyle name="20% - Accent6 2 5 2 7 3 2" xfId="20409"/>
    <cellStyle name="20% - Accent6 2 5 2 7 4" xfId="20410"/>
    <cellStyle name="20% - Accent6 2 5 2 8" xfId="20411"/>
    <cellStyle name="20% - Accent6 2 5 2 8 2" xfId="20412"/>
    <cellStyle name="20% - Accent6 2 5 2 8 2 2" xfId="20413"/>
    <cellStyle name="20% - Accent6 2 5 2 8 3" xfId="20414"/>
    <cellStyle name="20% - Accent6 2 5 2 9" xfId="20415"/>
    <cellStyle name="20% - Accent6 2 5 2 9 2" xfId="20416"/>
    <cellStyle name="20% - Accent6 2 5 3" xfId="20417"/>
    <cellStyle name="20% - Accent6 2 5 3 2" xfId="20418"/>
    <cellStyle name="20% - Accent6 2 5 3 2 2" xfId="20419"/>
    <cellStyle name="20% - Accent6 2 5 3 2 2 2" xfId="20420"/>
    <cellStyle name="20% - Accent6 2 5 3 2 2 2 2" xfId="20421"/>
    <cellStyle name="20% - Accent6 2 5 3 2 2 3" xfId="20422"/>
    <cellStyle name="20% - Accent6 2 5 3 2 3" xfId="20423"/>
    <cellStyle name="20% - Accent6 2 5 3 2 3 2" xfId="20424"/>
    <cellStyle name="20% - Accent6 2 5 3 2 4" xfId="20425"/>
    <cellStyle name="20% - Accent6 2 5 3 3" xfId="20426"/>
    <cellStyle name="20% - Accent6 2 5 3 3 2" xfId="20427"/>
    <cellStyle name="20% - Accent6 2 5 3 3 2 2" xfId="20428"/>
    <cellStyle name="20% - Accent6 2 5 3 3 3" xfId="20429"/>
    <cellStyle name="20% - Accent6 2 5 3 4" xfId="20430"/>
    <cellStyle name="20% - Accent6 2 5 3 4 2" xfId="20431"/>
    <cellStyle name="20% - Accent6 2 5 3 5" xfId="20432"/>
    <cellStyle name="20% - Accent6 2 5 4" xfId="20433"/>
    <cellStyle name="20% - Accent6 2 5 4 2" xfId="20434"/>
    <cellStyle name="20% - Accent6 2 5 4 2 2" xfId="20435"/>
    <cellStyle name="20% - Accent6 2 5 4 2 2 2" xfId="20436"/>
    <cellStyle name="20% - Accent6 2 5 4 2 2 2 2" xfId="20437"/>
    <cellStyle name="20% - Accent6 2 5 4 2 2 3" xfId="20438"/>
    <cellStyle name="20% - Accent6 2 5 4 2 3" xfId="20439"/>
    <cellStyle name="20% - Accent6 2 5 4 2 3 2" xfId="20440"/>
    <cellStyle name="20% - Accent6 2 5 4 2 4" xfId="20441"/>
    <cellStyle name="20% - Accent6 2 5 4 3" xfId="20442"/>
    <cellStyle name="20% - Accent6 2 5 4 3 2" xfId="20443"/>
    <cellStyle name="20% - Accent6 2 5 4 3 2 2" xfId="20444"/>
    <cellStyle name="20% - Accent6 2 5 4 3 3" xfId="20445"/>
    <cellStyle name="20% - Accent6 2 5 4 4" xfId="20446"/>
    <cellStyle name="20% - Accent6 2 5 4 4 2" xfId="20447"/>
    <cellStyle name="20% - Accent6 2 5 4 5" xfId="20448"/>
    <cellStyle name="20% - Accent6 2 5 5" xfId="20449"/>
    <cellStyle name="20% - Accent6 2 5 5 2" xfId="20450"/>
    <cellStyle name="20% - Accent6 2 5 5 2 2" xfId="20451"/>
    <cellStyle name="20% - Accent6 2 5 5 2 2 2" xfId="20452"/>
    <cellStyle name="20% - Accent6 2 5 5 2 2 2 2" xfId="20453"/>
    <cellStyle name="20% - Accent6 2 5 5 2 2 3" xfId="20454"/>
    <cellStyle name="20% - Accent6 2 5 5 2 3" xfId="20455"/>
    <cellStyle name="20% - Accent6 2 5 5 2 3 2" xfId="20456"/>
    <cellStyle name="20% - Accent6 2 5 5 2 4" xfId="20457"/>
    <cellStyle name="20% - Accent6 2 5 5 3" xfId="20458"/>
    <cellStyle name="20% - Accent6 2 5 5 3 2" xfId="20459"/>
    <cellStyle name="20% - Accent6 2 5 5 3 2 2" xfId="20460"/>
    <cellStyle name="20% - Accent6 2 5 5 3 3" xfId="20461"/>
    <cellStyle name="20% - Accent6 2 5 5 4" xfId="20462"/>
    <cellStyle name="20% - Accent6 2 5 5 4 2" xfId="20463"/>
    <cellStyle name="20% - Accent6 2 5 5 5" xfId="20464"/>
    <cellStyle name="20% - Accent6 2 5 6" xfId="20465"/>
    <cellStyle name="20% - Accent6 2 5 6 2" xfId="20466"/>
    <cellStyle name="20% - Accent6 2 5 6 2 2" xfId="20467"/>
    <cellStyle name="20% - Accent6 2 5 6 2 2 2" xfId="20468"/>
    <cellStyle name="20% - Accent6 2 5 6 2 2 2 2" xfId="20469"/>
    <cellStyle name="20% - Accent6 2 5 6 2 2 3" xfId="20470"/>
    <cellStyle name="20% - Accent6 2 5 6 2 3" xfId="20471"/>
    <cellStyle name="20% - Accent6 2 5 6 2 3 2" xfId="20472"/>
    <cellStyle name="20% - Accent6 2 5 6 2 4" xfId="20473"/>
    <cellStyle name="20% - Accent6 2 5 6 3" xfId="20474"/>
    <cellStyle name="20% - Accent6 2 5 6 3 2" xfId="20475"/>
    <cellStyle name="20% - Accent6 2 5 6 3 2 2" xfId="20476"/>
    <cellStyle name="20% - Accent6 2 5 6 3 3" xfId="20477"/>
    <cellStyle name="20% - Accent6 2 5 6 4" xfId="20478"/>
    <cellStyle name="20% - Accent6 2 5 6 4 2" xfId="20479"/>
    <cellStyle name="20% - Accent6 2 5 6 5" xfId="20480"/>
    <cellStyle name="20% - Accent6 2 5 7" xfId="20481"/>
    <cellStyle name="20% - Accent6 2 5 7 2" xfId="20482"/>
    <cellStyle name="20% - Accent6 2 5 7 2 2" xfId="20483"/>
    <cellStyle name="20% - Accent6 2 5 7 2 2 2" xfId="20484"/>
    <cellStyle name="20% - Accent6 2 5 7 2 2 2 2" xfId="20485"/>
    <cellStyle name="20% - Accent6 2 5 7 2 2 3" xfId="20486"/>
    <cellStyle name="20% - Accent6 2 5 7 2 3" xfId="20487"/>
    <cellStyle name="20% - Accent6 2 5 7 2 3 2" xfId="20488"/>
    <cellStyle name="20% - Accent6 2 5 7 2 4" xfId="20489"/>
    <cellStyle name="20% - Accent6 2 5 7 3" xfId="20490"/>
    <cellStyle name="20% - Accent6 2 5 7 3 2" xfId="20491"/>
    <cellStyle name="20% - Accent6 2 5 7 3 2 2" xfId="20492"/>
    <cellStyle name="20% - Accent6 2 5 7 3 3" xfId="20493"/>
    <cellStyle name="20% - Accent6 2 5 7 4" xfId="20494"/>
    <cellStyle name="20% - Accent6 2 5 7 4 2" xfId="20495"/>
    <cellStyle name="20% - Accent6 2 5 7 5" xfId="20496"/>
    <cellStyle name="20% - Accent6 2 5 8" xfId="20497"/>
    <cellStyle name="20% - Accent6 2 5 8 2" xfId="20498"/>
    <cellStyle name="20% - Accent6 2 5 8 2 2" xfId="20499"/>
    <cellStyle name="20% - Accent6 2 5 8 2 2 2" xfId="20500"/>
    <cellStyle name="20% - Accent6 2 5 8 2 3" xfId="20501"/>
    <cellStyle name="20% - Accent6 2 5 8 3" xfId="20502"/>
    <cellStyle name="20% - Accent6 2 5 8 3 2" xfId="20503"/>
    <cellStyle name="20% - Accent6 2 5 8 4" xfId="20504"/>
    <cellStyle name="20% - Accent6 2 5 9" xfId="20505"/>
    <cellStyle name="20% - Accent6 2 5 9 2" xfId="20506"/>
    <cellStyle name="20% - Accent6 2 5 9 2 2" xfId="20507"/>
    <cellStyle name="20% - Accent6 2 5 9 3" xfId="20508"/>
    <cellStyle name="20% - Accent6 2 6" xfId="20509"/>
    <cellStyle name="20% - Accent6 2 6 10" xfId="20510"/>
    <cellStyle name="20% - Accent6 2 6 10 2" xfId="20511"/>
    <cellStyle name="20% - Accent6 2 6 11" xfId="20512"/>
    <cellStyle name="20% - Accent6 2 6 2" xfId="20513"/>
    <cellStyle name="20% - Accent6 2 6 2 10" xfId="20514"/>
    <cellStyle name="20% - Accent6 2 6 2 2" xfId="20515"/>
    <cellStyle name="20% - Accent6 2 6 2 2 2" xfId="20516"/>
    <cellStyle name="20% - Accent6 2 6 2 2 2 2" xfId="20517"/>
    <cellStyle name="20% - Accent6 2 6 2 2 2 2 2" xfId="20518"/>
    <cellStyle name="20% - Accent6 2 6 2 2 2 2 2 2" xfId="20519"/>
    <cellStyle name="20% - Accent6 2 6 2 2 2 2 3" xfId="20520"/>
    <cellStyle name="20% - Accent6 2 6 2 2 2 3" xfId="20521"/>
    <cellStyle name="20% - Accent6 2 6 2 2 2 3 2" xfId="20522"/>
    <cellStyle name="20% - Accent6 2 6 2 2 2 4" xfId="20523"/>
    <cellStyle name="20% - Accent6 2 6 2 2 3" xfId="20524"/>
    <cellStyle name="20% - Accent6 2 6 2 2 3 2" xfId="20525"/>
    <cellStyle name="20% - Accent6 2 6 2 2 3 2 2" xfId="20526"/>
    <cellStyle name="20% - Accent6 2 6 2 2 3 3" xfId="20527"/>
    <cellStyle name="20% - Accent6 2 6 2 2 4" xfId="20528"/>
    <cellStyle name="20% - Accent6 2 6 2 2 4 2" xfId="20529"/>
    <cellStyle name="20% - Accent6 2 6 2 2 5" xfId="20530"/>
    <cellStyle name="20% - Accent6 2 6 2 3" xfId="20531"/>
    <cellStyle name="20% - Accent6 2 6 2 3 2" xfId="20532"/>
    <cellStyle name="20% - Accent6 2 6 2 3 2 2" xfId="20533"/>
    <cellStyle name="20% - Accent6 2 6 2 3 2 2 2" xfId="20534"/>
    <cellStyle name="20% - Accent6 2 6 2 3 2 2 2 2" xfId="20535"/>
    <cellStyle name="20% - Accent6 2 6 2 3 2 2 3" xfId="20536"/>
    <cellStyle name="20% - Accent6 2 6 2 3 2 3" xfId="20537"/>
    <cellStyle name="20% - Accent6 2 6 2 3 2 3 2" xfId="20538"/>
    <cellStyle name="20% - Accent6 2 6 2 3 2 4" xfId="20539"/>
    <cellStyle name="20% - Accent6 2 6 2 3 3" xfId="20540"/>
    <cellStyle name="20% - Accent6 2 6 2 3 3 2" xfId="20541"/>
    <cellStyle name="20% - Accent6 2 6 2 3 3 2 2" xfId="20542"/>
    <cellStyle name="20% - Accent6 2 6 2 3 3 3" xfId="20543"/>
    <cellStyle name="20% - Accent6 2 6 2 3 4" xfId="20544"/>
    <cellStyle name="20% - Accent6 2 6 2 3 4 2" xfId="20545"/>
    <cellStyle name="20% - Accent6 2 6 2 3 5" xfId="20546"/>
    <cellStyle name="20% - Accent6 2 6 2 4" xfId="20547"/>
    <cellStyle name="20% - Accent6 2 6 2 4 2" xfId="20548"/>
    <cellStyle name="20% - Accent6 2 6 2 4 2 2" xfId="20549"/>
    <cellStyle name="20% - Accent6 2 6 2 4 2 2 2" xfId="20550"/>
    <cellStyle name="20% - Accent6 2 6 2 4 2 2 2 2" xfId="20551"/>
    <cellStyle name="20% - Accent6 2 6 2 4 2 2 3" xfId="20552"/>
    <cellStyle name="20% - Accent6 2 6 2 4 2 3" xfId="20553"/>
    <cellStyle name="20% - Accent6 2 6 2 4 2 3 2" xfId="20554"/>
    <cellStyle name="20% - Accent6 2 6 2 4 2 4" xfId="20555"/>
    <cellStyle name="20% - Accent6 2 6 2 4 3" xfId="20556"/>
    <cellStyle name="20% - Accent6 2 6 2 4 3 2" xfId="20557"/>
    <cellStyle name="20% - Accent6 2 6 2 4 3 2 2" xfId="20558"/>
    <cellStyle name="20% - Accent6 2 6 2 4 3 3" xfId="20559"/>
    <cellStyle name="20% - Accent6 2 6 2 4 4" xfId="20560"/>
    <cellStyle name="20% - Accent6 2 6 2 4 4 2" xfId="20561"/>
    <cellStyle name="20% - Accent6 2 6 2 4 5" xfId="20562"/>
    <cellStyle name="20% - Accent6 2 6 2 5" xfId="20563"/>
    <cellStyle name="20% - Accent6 2 6 2 5 2" xfId="20564"/>
    <cellStyle name="20% - Accent6 2 6 2 5 2 2" xfId="20565"/>
    <cellStyle name="20% - Accent6 2 6 2 5 2 2 2" xfId="20566"/>
    <cellStyle name="20% - Accent6 2 6 2 5 2 2 2 2" xfId="20567"/>
    <cellStyle name="20% - Accent6 2 6 2 5 2 2 3" xfId="20568"/>
    <cellStyle name="20% - Accent6 2 6 2 5 2 3" xfId="20569"/>
    <cellStyle name="20% - Accent6 2 6 2 5 2 3 2" xfId="20570"/>
    <cellStyle name="20% - Accent6 2 6 2 5 2 4" xfId="20571"/>
    <cellStyle name="20% - Accent6 2 6 2 5 3" xfId="20572"/>
    <cellStyle name="20% - Accent6 2 6 2 5 3 2" xfId="20573"/>
    <cellStyle name="20% - Accent6 2 6 2 5 3 2 2" xfId="20574"/>
    <cellStyle name="20% - Accent6 2 6 2 5 3 3" xfId="20575"/>
    <cellStyle name="20% - Accent6 2 6 2 5 4" xfId="20576"/>
    <cellStyle name="20% - Accent6 2 6 2 5 4 2" xfId="20577"/>
    <cellStyle name="20% - Accent6 2 6 2 5 5" xfId="20578"/>
    <cellStyle name="20% - Accent6 2 6 2 6" xfId="20579"/>
    <cellStyle name="20% - Accent6 2 6 2 6 2" xfId="20580"/>
    <cellStyle name="20% - Accent6 2 6 2 6 2 2" xfId="20581"/>
    <cellStyle name="20% - Accent6 2 6 2 6 2 2 2" xfId="20582"/>
    <cellStyle name="20% - Accent6 2 6 2 6 2 2 2 2" xfId="20583"/>
    <cellStyle name="20% - Accent6 2 6 2 6 2 2 3" xfId="20584"/>
    <cellStyle name="20% - Accent6 2 6 2 6 2 3" xfId="20585"/>
    <cellStyle name="20% - Accent6 2 6 2 6 2 3 2" xfId="20586"/>
    <cellStyle name="20% - Accent6 2 6 2 6 2 4" xfId="20587"/>
    <cellStyle name="20% - Accent6 2 6 2 6 3" xfId="20588"/>
    <cellStyle name="20% - Accent6 2 6 2 6 3 2" xfId="20589"/>
    <cellStyle name="20% - Accent6 2 6 2 6 3 2 2" xfId="20590"/>
    <cellStyle name="20% - Accent6 2 6 2 6 3 3" xfId="20591"/>
    <cellStyle name="20% - Accent6 2 6 2 6 4" xfId="20592"/>
    <cellStyle name="20% - Accent6 2 6 2 6 4 2" xfId="20593"/>
    <cellStyle name="20% - Accent6 2 6 2 6 5" xfId="20594"/>
    <cellStyle name="20% - Accent6 2 6 2 7" xfId="20595"/>
    <cellStyle name="20% - Accent6 2 6 2 7 2" xfId="20596"/>
    <cellStyle name="20% - Accent6 2 6 2 7 2 2" xfId="20597"/>
    <cellStyle name="20% - Accent6 2 6 2 7 2 2 2" xfId="20598"/>
    <cellStyle name="20% - Accent6 2 6 2 7 2 3" xfId="20599"/>
    <cellStyle name="20% - Accent6 2 6 2 7 3" xfId="20600"/>
    <cellStyle name="20% - Accent6 2 6 2 7 3 2" xfId="20601"/>
    <cellStyle name="20% - Accent6 2 6 2 7 4" xfId="20602"/>
    <cellStyle name="20% - Accent6 2 6 2 8" xfId="20603"/>
    <cellStyle name="20% - Accent6 2 6 2 8 2" xfId="20604"/>
    <cellStyle name="20% - Accent6 2 6 2 8 2 2" xfId="20605"/>
    <cellStyle name="20% - Accent6 2 6 2 8 3" xfId="20606"/>
    <cellStyle name="20% - Accent6 2 6 2 9" xfId="20607"/>
    <cellStyle name="20% - Accent6 2 6 2 9 2" xfId="20608"/>
    <cellStyle name="20% - Accent6 2 6 3" xfId="20609"/>
    <cellStyle name="20% - Accent6 2 6 3 2" xfId="20610"/>
    <cellStyle name="20% - Accent6 2 6 3 2 2" xfId="20611"/>
    <cellStyle name="20% - Accent6 2 6 3 2 2 2" xfId="20612"/>
    <cellStyle name="20% - Accent6 2 6 3 2 2 2 2" xfId="20613"/>
    <cellStyle name="20% - Accent6 2 6 3 2 2 3" xfId="20614"/>
    <cellStyle name="20% - Accent6 2 6 3 2 3" xfId="20615"/>
    <cellStyle name="20% - Accent6 2 6 3 2 3 2" xfId="20616"/>
    <cellStyle name="20% - Accent6 2 6 3 2 4" xfId="20617"/>
    <cellStyle name="20% - Accent6 2 6 3 3" xfId="20618"/>
    <cellStyle name="20% - Accent6 2 6 3 3 2" xfId="20619"/>
    <cellStyle name="20% - Accent6 2 6 3 3 2 2" xfId="20620"/>
    <cellStyle name="20% - Accent6 2 6 3 3 3" xfId="20621"/>
    <cellStyle name="20% - Accent6 2 6 3 4" xfId="20622"/>
    <cellStyle name="20% - Accent6 2 6 3 4 2" xfId="20623"/>
    <cellStyle name="20% - Accent6 2 6 3 5" xfId="20624"/>
    <cellStyle name="20% - Accent6 2 6 4" xfId="20625"/>
    <cellStyle name="20% - Accent6 2 6 4 2" xfId="20626"/>
    <cellStyle name="20% - Accent6 2 6 4 2 2" xfId="20627"/>
    <cellStyle name="20% - Accent6 2 6 4 2 2 2" xfId="20628"/>
    <cellStyle name="20% - Accent6 2 6 4 2 2 2 2" xfId="20629"/>
    <cellStyle name="20% - Accent6 2 6 4 2 2 3" xfId="20630"/>
    <cellStyle name="20% - Accent6 2 6 4 2 3" xfId="20631"/>
    <cellStyle name="20% - Accent6 2 6 4 2 3 2" xfId="20632"/>
    <cellStyle name="20% - Accent6 2 6 4 2 4" xfId="20633"/>
    <cellStyle name="20% - Accent6 2 6 4 3" xfId="20634"/>
    <cellStyle name="20% - Accent6 2 6 4 3 2" xfId="20635"/>
    <cellStyle name="20% - Accent6 2 6 4 3 2 2" xfId="20636"/>
    <cellStyle name="20% - Accent6 2 6 4 3 3" xfId="20637"/>
    <cellStyle name="20% - Accent6 2 6 4 4" xfId="20638"/>
    <cellStyle name="20% - Accent6 2 6 4 4 2" xfId="20639"/>
    <cellStyle name="20% - Accent6 2 6 4 5" xfId="20640"/>
    <cellStyle name="20% - Accent6 2 6 5" xfId="20641"/>
    <cellStyle name="20% - Accent6 2 6 5 2" xfId="20642"/>
    <cellStyle name="20% - Accent6 2 6 5 2 2" xfId="20643"/>
    <cellStyle name="20% - Accent6 2 6 5 2 2 2" xfId="20644"/>
    <cellStyle name="20% - Accent6 2 6 5 2 2 2 2" xfId="20645"/>
    <cellStyle name="20% - Accent6 2 6 5 2 2 3" xfId="20646"/>
    <cellStyle name="20% - Accent6 2 6 5 2 3" xfId="20647"/>
    <cellStyle name="20% - Accent6 2 6 5 2 3 2" xfId="20648"/>
    <cellStyle name="20% - Accent6 2 6 5 2 4" xfId="20649"/>
    <cellStyle name="20% - Accent6 2 6 5 3" xfId="20650"/>
    <cellStyle name="20% - Accent6 2 6 5 3 2" xfId="20651"/>
    <cellStyle name="20% - Accent6 2 6 5 3 2 2" xfId="20652"/>
    <cellStyle name="20% - Accent6 2 6 5 3 3" xfId="20653"/>
    <cellStyle name="20% - Accent6 2 6 5 4" xfId="20654"/>
    <cellStyle name="20% - Accent6 2 6 5 4 2" xfId="20655"/>
    <cellStyle name="20% - Accent6 2 6 5 5" xfId="20656"/>
    <cellStyle name="20% - Accent6 2 6 6" xfId="20657"/>
    <cellStyle name="20% - Accent6 2 6 6 2" xfId="20658"/>
    <cellStyle name="20% - Accent6 2 6 6 2 2" xfId="20659"/>
    <cellStyle name="20% - Accent6 2 6 6 2 2 2" xfId="20660"/>
    <cellStyle name="20% - Accent6 2 6 6 2 2 2 2" xfId="20661"/>
    <cellStyle name="20% - Accent6 2 6 6 2 2 3" xfId="20662"/>
    <cellStyle name="20% - Accent6 2 6 6 2 3" xfId="20663"/>
    <cellStyle name="20% - Accent6 2 6 6 2 3 2" xfId="20664"/>
    <cellStyle name="20% - Accent6 2 6 6 2 4" xfId="20665"/>
    <cellStyle name="20% - Accent6 2 6 6 3" xfId="20666"/>
    <cellStyle name="20% - Accent6 2 6 6 3 2" xfId="20667"/>
    <cellStyle name="20% - Accent6 2 6 6 3 2 2" xfId="20668"/>
    <cellStyle name="20% - Accent6 2 6 6 3 3" xfId="20669"/>
    <cellStyle name="20% - Accent6 2 6 6 4" xfId="20670"/>
    <cellStyle name="20% - Accent6 2 6 6 4 2" xfId="20671"/>
    <cellStyle name="20% - Accent6 2 6 6 5" xfId="20672"/>
    <cellStyle name="20% - Accent6 2 6 7" xfId="20673"/>
    <cellStyle name="20% - Accent6 2 6 7 2" xfId="20674"/>
    <cellStyle name="20% - Accent6 2 6 7 2 2" xfId="20675"/>
    <cellStyle name="20% - Accent6 2 6 7 2 2 2" xfId="20676"/>
    <cellStyle name="20% - Accent6 2 6 7 2 2 2 2" xfId="20677"/>
    <cellStyle name="20% - Accent6 2 6 7 2 2 3" xfId="20678"/>
    <cellStyle name="20% - Accent6 2 6 7 2 3" xfId="20679"/>
    <cellStyle name="20% - Accent6 2 6 7 2 3 2" xfId="20680"/>
    <cellStyle name="20% - Accent6 2 6 7 2 4" xfId="20681"/>
    <cellStyle name="20% - Accent6 2 6 7 3" xfId="20682"/>
    <cellStyle name="20% - Accent6 2 6 7 3 2" xfId="20683"/>
    <cellStyle name="20% - Accent6 2 6 7 3 2 2" xfId="20684"/>
    <cellStyle name="20% - Accent6 2 6 7 3 3" xfId="20685"/>
    <cellStyle name="20% - Accent6 2 6 7 4" xfId="20686"/>
    <cellStyle name="20% - Accent6 2 6 7 4 2" xfId="20687"/>
    <cellStyle name="20% - Accent6 2 6 7 5" xfId="20688"/>
    <cellStyle name="20% - Accent6 2 6 8" xfId="20689"/>
    <cellStyle name="20% - Accent6 2 6 8 2" xfId="20690"/>
    <cellStyle name="20% - Accent6 2 6 8 2 2" xfId="20691"/>
    <cellStyle name="20% - Accent6 2 6 8 2 2 2" xfId="20692"/>
    <cellStyle name="20% - Accent6 2 6 8 2 3" xfId="20693"/>
    <cellStyle name="20% - Accent6 2 6 8 3" xfId="20694"/>
    <cellStyle name="20% - Accent6 2 6 8 3 2" xfId="20695"/>
    <cellStyle name="20% - Accent6 2 6 8 4" xfId="20696"/>
    <cellStyle name="20% - Accent6 2 6 9" xfId="20697"/>
    <cellStyle name="20% - Accent6 2 6 9 2" xfId="20698"/>
    <cellStyle name="20% - Accent6 2 6 9 2 2" xfId="20699"/>
    <cellStyle name="20% - Accent6 2 6 9 3" xfId="20700"/>
    <cellStyle name="20% - Accent6 2 7" xfId="20701"/>
    <cellStyle name="20% - Accent6 2 7 10" xfId="20702"/>
    <cellStyle name="20% - Accent6 2 7 10 2" xfId="20703"/>
    <cellStyle name="20% - Accent6 2 7 11" xfId="20704"/>
    <cellStyle name="20% - Accent6 2 7 2" xfId="20705"/>
    <cellStyle name="20% - Accent6 2 7 2 10" xfId="20706"/>
    <cellStyle name="20% - Accent6 2 7 2 2" xfId="20707"/>
    <cellStyle name="20% - Accent6 2 7 2 2 2" xfId="20708"/>
    <cellStyle name="20% - Accent6 2 7 2 2 2 2" xfId="20709"/>
    <cellStyle name="20% - Accent6 2 7 2 2 2 2 2" xfId="20710"/>
    <cellStyle name="20% - Accent6 2 7 2 2 2 2 2 2" xfId="20711"/>
    <cellStyle name="20% - Accent6 2 7 2 2 2 2 3" xfId="20712"/>
    <cellStyle name="20% - Accent6 2 7 2 2 2 3" xfId="20713"/>
    <cellStyle name="20% - Accent6 2 7 2 2 2 3 2" xfId="20714"/>
    <cellStyle name="20% - Accent6 2 7 2 2 2 4" xfId="20715"/>
    <cellStyle name="20% - Accent6 2 7 2 2 3" xfId="20716"/>
    <cellStyle name="20% - Accent6 2 7 2 2 3 2" xfId="20717"/>
    <cellStyle name="20% - Accent6 2 7 2 2 3 2 2" xfId="20718"/>
    <cellStyle name="20% - Accent6 2 7 2 2 3 3" xfId="20719"/>
    <cellStyle name="20% - Accent6 2 7 2 2 4" xfId="20720"/>
    <cellStyle name="20% - Accent6 2 7 2 2 4 2" xfId="20721"/>
    <cellStyle name="20% - Accent6 2 7 2 2 5" xfId="20722"/>
    <cellStyle name="20% - Accent6 2 7 2 3" xfId="20723"/>
    <cellStyle name="20% - Accent6 2 7 2 3 2" xfId="20724"/>
    <cellStyle name="20% - Accent6 2 7 2 3 2 2" xfId="20725"/>
    <cellStyle name="20% - Accent6 2 7 2 3 2 2 2" xfId="20726"/>
    <cellStyle name="20% - Accent6 2 7 2 3 2 2 2 2" xfId="20727"/>
    <cellStyle name="20% - Accent6 2 7 2 3 2 2 3" xfId="20728"/>
    <cellStyle name="20% - Accent6 2 7 2 3 2 3" xfId="20729"/>
    <cellStyle name="20% - Accent6 2 7 2 3 2 3 2" xfId="20730"/>
    <cellStyle name="20% - Accent6 2 7 2 3 2 4" xfId="20731"/>
    <cellStyle name="20% - Accent6 2 7 2 3 3" xfId="20732"/>
    <cellStyle name="20% - Accent6 2 7 2 3 3 2" xfId="20733"/>
    <cellStyle name="20% - Accent6 2 7 2 3 3 2 2" xfId="20734"/>
    <cellStyle name="20% - Accent6 2 7 2 3 3 3" xfId="20735"/>
    <cellStyle name="20% - Accent6 2 7 2 3 4" xfId="20736"/>
    <cellStyle name="20% - Accent6 2 7 2 3 4 2" xfId="20737"/>
    <cellStyle name="20% - Accent6 2 7 2 3 5" xfId="20738"/>
    <cellStyle name="20% - Accent6 2 7 2 4" xfId="20739"/>
    <cellStyle name="20% - Accent6 2 7 2 4 2" xfId="20740"/>
    <cellStyle name="20% - Accent6 2 7 2 4 2 2" xfId="20741"/>
    <cellStyle name="20% - Accent6 2 7 2 4 2 2 2" xfId="20742"/>
    <cellStyle name="20% - Accent6 2 7 2 4 2 2 2 2" xfId="20743"/>
    <cellStyle name="20% - Accent6 2 7 2 4 2 2 3" xfId="20744"/>
    <cellStyle name="20% - Accent6 2 7 2 4 2 3" xfId="20745"/>
    <cellStyle name="20% - Accent6 2 7 2 4 2 3 2" xfId="20746"/>
    <cellStyle name="20% - Accent6 2 7 2 4 2 4" xfId="20747"/>
    <cellStyle name="20% - Accent6 2 7 2 4 3" xfId="20748"/>
    <cellStyle name="20% - Accent6 2 7 2 4 3 2" xfId="20749"/>
    <cellStyle name="20% - Accent6 2 7 2 4 3 2 2" xfId="20750"/>
    <cellStyle name="20% - Accent6 2 7 2 4 3 3" xfId="20751"/>
    <cellStyle name="20% - Accent6 2 7 2 4 4" xfId="20752"/>
    <cellStyle name="20% - Accent6 2 7 2 4 4 2" xfId="20753"/>
    <cellStyle name="20% - Accent6 2 7 2 4 5" xfId="20754"/>
    <cellStyle name="20% - Accent6 2 7 2 5" xfId="20755"/>
    <cellStyle name="20% - Accent6 2 7 2 5 2" xfId="20756"/>
    <cellStyle name="20% - Accent6 2 7 2 5 2 2" xfId="20757"/>
    <cellStyle name="20% - Accent6 2 7 2 5 2 2 2" xfId="20758"/>
    <cellStyle name="20% - Accent6 2 7 2 5 2 2 2 2" xfId="20759"/>
    <cellStyle name="20% - Accent6 2 7 2 5 2 2 3" xfId="20760"/>
    <cellStyle name="20% - Accent6 2 7 2 5 2 3" xfId="20761"/>
    <cellStyle name="20% - Accent6 2 7 2 5 2 3 2" xfId="20762"/>
    <cellStyle name="20% - Accent6 2 7 2 5 2 4" xfId="20763"/>
    <cellStyle name="20% - Accent6 2 7 2 5 3" xfId="20764"/>
    <cellStyle name="20% - Accent6 2 7 2 5 3 2" xfId="20765"/>
    <cellStyle name="20% - Accent6 2 7 2 5 3 2 2" xfId="20766"/>
    <cellStyle name="20% - Accent6 2 7 2 5 3 3" xfId="20767"/>
    <cellStyle name="20% - Accent6 2 7 2 5 4" xfId="20768"/>
    <cellStyle name="20% - Accent6 2 7 2 5 4 2" xfId="20769"/>
    <cellStyle name="20% - Accent6 2 7 2 5 5" xfId="20770"/>
    <cellStyle name="20% - Accent6 2 7 2 6" xfId="20771"/>
    <cellStyle name="20% - Accent6 2 7 2 6 2" xfId="20772"/>
    <cellStyle name="20% - Accent6 2 7 2 6 2 2" xfId="20773"/>
    <cellStyle name="20% - Accent6 2 7 2 6 2 2 2" xfId="20774"/>
    <cellStyle name="20% - Accent6 2 7 2 6 2 2 2 2" xfId="20775"/>
    <cellStyle name="20% - Accent6 2 7 2 6 2 2 3" xfId="20776"/>
    <cellStyle name="20% - Accent6 2 7 2 6 2 3" xfId="20777"/>
    <cellStyle name="20% - Accent6 2 7 2 6 2 3 2" xfId="20778"/>
    <cellStyle name="20% - Accent6 2 7 2 6 2 4" xfId="20779"/>
    <cellStyle name="20% - Accent6 2 7 2 6 3" xfId="20780"/>
    <cellStyle name="20% - Accent6 2 7 2 6 3 2" xfId="20781"/>
    <cellStyle name="20% - Accent6 2 7 2 6 3 2 2" xfId="20782"/>
    <cellStyle name="20% - Accent6 2 7 2 6 3 3" xfId="20783"/>
    <cellStyle name="20% - Accent6 2 7 2 6 4" xfId="20784"/>
    <cellStyle name="20% - Accent6 2 7 2 6 4 2" xfId="20785"/>
    <cellStyle name="20% - Accent6 2 7 2 6 5" xfId="20786"/>
    <cellStyle name="20% - Accent6 2 7 2 7" xfId="20787"/>
    <cellStyle name="20% - Accent6 2 7 2 7 2" xfId="20788"/>
    <cellStyle name="20% - Accent6 2 7 2 7 2 2" xfId="20789"/>
    <cellStyle name="20% - Accent6 2 7 2 7 2 2 2" xfId="20790"/>
    <cellStyle name="20% - Accent6 2 7 2 7 2 3" xfId="20791"/>
    <cellStyle name="20% - Accent6 2 7 2 7 3" xfId="20792"/>
    <cellStyle name="20% - Accent6 2 7 2 7 3 2" xfId="20793"/>
    <cellStyle name="20% - Accent6 2 7 2 7 4" xfId="20794"/>
    <cellStyle name="20% - Accent6 2 7 2 8" xfId="20795"/>
    <cellStyle name="20% - Accent6 2 7 2 8 2" xfId="20796"/>
    <cellStyle name="20% - Accent6 2 7 2 8 2 2" xfId="20797"/>
    <cellStyle name="20% - Accent6 2 7 2 8 3" xfId="20798"/>
    <cellStyle name="20% - Accent6 2 7 2 9" xfId="20799"/>
    <cellStyle name="20% - Accent6 2 7 2 9 2" xfId="20800"/>
    <cellStyle name="20% - Accent6 2 7 3" xfId="20801"/>
    <cellStyle name="20% - Accent6 2 7 3 2" xfId="20802"/>
    <cellStyle name="20% - Accent6 2 7 3 2 2" xfId="20803"/>
    <cellStyle name="20% - Accent6 2 7 3 2 2 2" xfId="20804"/>
    <cellStyle name="20% - Accent6 2 7 3 2 2 2 2" xfId="20805"/>
    <cellStyle name="20% - Accent6 2 7 3 2 2 3" xfId="20806"/>
    <cellStyle name="20% - Accent6 2 7 3 2 3" xfId="20807"/>
    <cellStyle name="20% - Accent6 2 7 3 2 3 2" xfId="20808"/>
    <cellStyle name="20% - Accent6 2 7 3 2 4" xfId="20809"/>
    <cellStyle name="20% - Accent6 2 7 3 3" xfId="20810"/>
    <cellStyle name="20% - Accent6 2 7 3 3 2" xfId="20811"/>
    <cellStyle name="20% - Accent6 2 7 3 3 2 2" xfId="20812"/>
    <cellStyle name="20% - Accent6 2 7 3 3 3" xfId="20813"/>
    <cellStyle name="20% - Accent6 2 7 3 4" xfId="20814"/>
    <cellStyle name="20% - Accent6 2 7 3 4 2" xfId="20815"/>
    <cellStyle name="20% - Accent6 2 7 3 5" xfId="20816"/>
    <cellStyle name="20% - Accent6 2 7 4" xfId="20817"/>
    <cellStyle name="20% - Accent6 2 7 4 2" xfId="20818"/>
    <cellStyle name="20% - Accent6 2 7 4 2 2" xfId="20819"/>
    <cellStyle name="20% - Accent6 2 7 4 2 2 2" xfId="20820"/>
    <cellStyle name="20% - Accent6 2 7 4 2 2 2 2" xfId="20821"/>
    <cellStyle name="20% - Accent6 2 7 4 2 2 3" xfId="20822"/>
    <cellStyle name="20% - Accent6 2 7 4 2 3" xfId="20823"/>
    <cellStyle name="20% - Accent6 2 7 4 2 3 2" xfId="20824"/>
    <cellStyle name="20% - Accent6 2 7 4 2 4" xfId="20825"/>
    <cellStyle name="20% - Accent6 2 7 4 3" xfId="20826"/>
    <cellStyle name="20% - Accent6 2 7 4 3 2" xfId="20827"/>
    <cellStyle name="20% - Accent6 2 7 4 3 2 2" xfId="20828"/>
    <cellStyle name="20% - Accent6 2 7 4 3 3" xfId="20829"/>
    <cellStyle name="20% - Accent6 2 7 4 4" xfId="20830"/>
    <cellStyle name="20% - Accent6 2 7 4 4 2" xfId="20831"/>
    <cellStyle name="20% - Accent6 2 7 4 5" xfId="20832"/>
    <cellStyle name="20% - Accent6 2 7 5" xfId="20833"/>
    <cellStyle name="20% - Accent6 2 7 5 2" xfId="20834"/>
    <cellStyle name="20% - Accent6 2 7 5 2 2" xfId="20835"/>
    <cellStyle name="20% - Accent6 2 7 5 2 2 2" xfId="20836"/>
    <cellStyle name="20% - Accent6 2 7 5 2 2 2 2" xfId="20837"/>
    <cellStyle name="20% - Accent6 2 7 5 2 2 3" xfId="20838"/>
    <cellStyle name="20% - Accent6 2 7 5 2 3" xfId="20839"/>
    <cellStyle name="20% - Accent6 2 7 5 2 3 2" xfId="20840"/>
    <cellStyle name="20% - Accent6 2 7 5 2 4" xfId="20841"/>
    <cellStyle name="20% - Accent6 2 7 5 3" xfId="20842"/>
    <cellStyle name="20% - Accent6 2 7 5 3 2" xfId="20843"/>
    <cellStyle name="20% - Accent6 2 7 5 3 2 2" xfId="20844"/>
    <cellStyle name="20% - Accent6 2 7 5 3 3" xfId="20845"/>
    <cellStyle name="20% - Accent6 2 7 5 4" xfId="20846"/>
    <cellStyle name="20% - Accent6 2 7 5 4 2" xfId="20847"/>
    <cellStyle name="20% - Accent6 2 7 5 5" xfId="20848"/>
    <cellStyle name="20% - Accent6 2 7 6" xfId="20849"/>
    <cellStyle name="20% - Accent6 2 7 6 2" xfId="20850"/>
    <cellStyle name="20% - Accent6 2 7 6 2 2" xfId="20851"/>
    <cellStyle name="20% - Accent6 2 7 6 2 2 2" xfId="20852"/>
    <cellStyle name="20% - Accent6 2 7 6 2 2 2 2" xfId="20853"/>
    <cellStyle name="20% - Accent6 2 7 6 2 2 3" xfId="20854"/>
    <cellStyle name="20% - Accent6 2 7 6 2 3" xfId="20855"/>
    <cellStyle name="20% - Accent6 2 7 6 2 3 2" xfId="20856"/>
    <cellStyle name="20% - Accent6 2 7 6 2 4" xfId="20857"/>
    <cellStyle name="20% - Accent6 2 7 6 3" xfId="20858"/>
    <cellStyle name="20% - Accent6 2 7 6 3 2" xfId="20859"/>
    <cellStyle name="20% - Accent6 2 7 6 3 2 2" xfId="20860"/>
    <cellStyle name="20% - Accent6 2 7 6 3 3" xfId="20861"/>
    <cellStyle name="20% - Accent6 2 7 6 4" xfId="20862"/>
    <cellStyle name="20% - Accent6 2 7 6 4 2" xfId="20863"/>
    <cellStyle name="20% - Accent6 2 7 6 5" xfId="20864"/>
    <cellStyle name="20% - Accent6 2 7 7" xfId="20865"/>
    <cellStyle name="20% - Accent6 2 7 7 2" xfId="20866"/>
    <cellStyle name="20% - Accent6 2 7 7 2 2" xfId="20867"/>
    <cellStyle name="20% - Accent6 2 7 7 2 2 2" xfId="20868"/>
    <cellStyle name="20% - Accent6 2 7 7 2 2 2 2" xfId="20869"/>
    <cellStyle name="20% - Accent6 2 7 7 2 2 3" xfId="20870"/>
    <cellStyle name="20% - Accent6 2 7 7 2 3" xfId="20871"/>
    <cellStyle name="20% - Accent6 2 7 7 2 3 2" xfId="20872"/>
    <cellStyle name="20% - Accent6 2 7 7 2 4" xfId="20873"/>
    <cellStyle name="20% - Accent6 2 7 7 3" xfId="20874"/>
    <cellStyle name="20% - Accent6 2 7 7 3 2" xfId="20875"/>
    <cellStyle name="20% - Accent6 2 7 7 3 2 2" xfId="20876"/>
    <cellStyle name="20% - Accent6 2 7 7 3 3" xfId="20877"/>
    <cellStyle name="20% - Accent6 2 7 7 4" xfId="20878"/>
    <cellStyle name="20% - Accent6 2 7 7 4 2" xfId="20879"/>
    <cellStyle name="20% - Accent6 2 7 7 5" xfId="20880"/>
    <cellStyle name="20% - Accent6 2 7 8" xfId="20881"/>
    <cellStyle name="20% - Accent6 2 7 8 2" xfId="20882"/>
    <cellStyle name="20% - Accent6 2 7 8 2 2" xfId="20883"/>
    <cellStyle name="20% - Accent6 2 7 8 2 2 2" xfId="20884"/>
    <cellStyle name="20% - Accent6 2 7 8 2 3" xfId="20885"/>
    <cellStyle name="20% - Accent6 2 7 8 3" xfId="20886"/>
    <cellStyle name="20% - Accent6 2 7 8 3 2" xfId="20887"/>
    <cellStyle name="20% - Accent6 2 7 8 4" xfId="20888"/>
    <cellStyle name="20% - Accent6 2 7 9" xfId="20889"/>
    <cellStyle name="20% - Accent6 2 7 9 2" xfId="20890"/>
    <cellStyle name="20% - Accent6 2 7 9 2 2" xfId="20891"/>
    <cellStyle name="20% - Accent6 2 7 9 3" xfId="20892"/>
    <cellStyle name="20% - Accent6 2 8" xfId="20893"/>
    <cellStyle name="20% - Accent6 2 8 10" xfId="20894"/>
    <cellStyle name="20% - Accent6 2 8 10 2" xfId="20895"/>
    <cellStyle name="20% - Accent6 2 8 11" xfId="20896"/>
    <cellStyle name="20% - Accent6 2 8 2" xfId="20897"/>
    <cellStyle name="20% - Accent6 2 8 2 10" xfId="20898"/>
    <cellStyle name="20% - Accent6 2 8 2 2" xfId="20899"/>
    <cellStyle name="20% - Accent6 2 8 2 2 2" xfId="20900"/>
    <cellStyle name="20% - Accent6 2 8 2 2 2 2" xfId="20901"/>
    <cellStyle name="20% - Accent6 2 8 2 2 2 2 2" xfId="20902"/>
    <cellStyle name="20% - Accent6 2 8 2 2 2 2 2 2" xfId="20903"/>
    <cellStyle name="20% - Accent6 2 8 2 2 2 2 3" xfId="20904"/>
    <cellStyle name="20% - Accent6 2 8 2 2 2 3" xfId="20905"/>
    <cellStyle name="20% - Accent6 2 8 2 2 2 3 2" xfId="20906"/>
    <cellStyle name="20% - Accent6 2 8 2 2 2 4" xfId="20907"/>
    <cellStyle name="20% - Accent6 2 8 2 2 3" xfId="20908"/>
    <cellStyle name="20% - Accent6 2 8 2 2 3 2" xfId="20909"/>
    <cellStyle name="20% - Accent6 2 8 2 2 3 2 2" xfId="20910"/>
    <cellStyle name="20% - Accent6 2 8 2 2 3 3" xfId="20911"/>
    <cellStyle name="20% - Accent6 2 8 2 2 4" xfId="20912"/>
    <cellStyle name="20% - Accent6 2 8 2 2 4 2" xfId="20913"/>
    <cellStyle name="20% - Accent6 2 8 2 2 5" xfId="20914"/>
    <cellStyle name="20% - Accent6 2 8 2 3" xfId="20915"/>
    <cellStyle name="20% - Accent6 2 8 2 3 2" xfId="20916"/>
    <cellStyle name="20% - Accent6 2 8 2 3 2 2" xfId="20917"/>
    <cellStyle name="20% - Accent6 2 8 2 3 2 2 2" xfId="20918"/>
    <cellStyle name="20% - Accent6 2 8 2 3 2 2 2 2" xfId="20919"/>
    <cellStyle name="20% - Accent6 2 8 2 3 2 2 3" xfId="20920"/>
    <cellStyle name="20% - Accent6 2 8 2 3 2 3" xfId="20921"/>
    <cellStyle name="20% - Accent6 2 8 2 3 2 3 2" xfId="20922"/>
    <cellStyle name="20% - Accent6 2 8 2 3 2 4" xfId="20923"/>
    <cellStyle name="20% - Accent6 2 8 2 3 3" xfId="20924"/>
    <cellStyle name="20% - Accent6 2 8 2 3 3 2" xfId="20925"/>
    <cellStyle name="20% - Accent6 2 8 2 3 3 2 2" xfId="20926"/>
    <cellStyle name="20% - Accent6 2 8 2 3 3 3" xfId="20927"/>
    <cellStyle name="20% - Accent6 2 8 2 3 4" xfId="20928"/>
    <cellStyle name="20% - Accent6 2 8 2 3 4 2" xfId="20929"/>
    <cellStyle name="20% - Accent6 2 8 2 3 5" xfId="20930"/>
    <cellStyle name="20% - Accent6 2 8 2 4" xfId="20931"/>
    <cellStyle name="20% - Accent6 2 8 2 4 2" xfId="20932"/>
    <cellStyle name="20% - Accent6 2 8 2 4 2 2" xfId="20933"/>
    <cellStyle name="20% - Accent6 2 8 2 4 2 2 2" xfId="20934"/>
    <cellStyle name="20% - Accent6 2 8 2 4 2 2 2 2" xfId="20935"/>
    <cellStyle name="20% - Accent6 2 8 2 4 2 2 3" xfId="20936"/>
    <cellStyle name="20% - Accent6 2 8 2 4 2 3" xfId="20937"/>
    <cellStyle name="20% - Accent6 2 8 2 4 2 3 2" xfId="20938"/>
    <cellStyle name="20% - Accent6 2 8 2 4 2 4" xfId="20939"/>
    <cellStyle name="20% - Accent6 2 8 2 4 3" xfId="20940"/>
    <cellStyle name="20% - Accent6 2 8 2 4 3 2" xfId="20941"/>
    <cellStyle name="20% - Accent6 2 8 2 4 3 2 2" xfId="20942"/>
    <cellStyle name="20% - Accent6 2 8 2 4 3 3" xfId="20943"/>
    <cellStyle name="20% - Accent6 2 8 2 4 4" xfId="20944"/>
    <cellStyle name="20% - Accent6 2 8 2 4 4 2" xfId="20945"/>
    <cellStyle name="20% - Accent6 2 8 2 4 5" xfId="20946"/>
    <cellStyle name="20% - Accent6 2 8 2 5" xfId="20947"/>
    <cellStyle name="20% - Accent6 2 8 2 5 2" xfId="20948"/>
    <cellStyle name="20% - Accent6 2 8 2 5 2 2" xfId="20949"/>
    <cellStyle name="20% - Accent6 2 8 2 5 2 2 2" xfId="20950"/>
    <cellStyle name="20% - Accent6 2 8 2 5 2 2 2 2" xfId="20951"/>
    <cellStyle name="20% - Accent6 2 8 2 5 2 2 3" xfId="20952"/>
    <cellStyle name="20% - Accent6 2 8 2 5 2 3" xfId="20953"/>
    <cellStyle name="20% - Accent6 2 8 2 5 2 3 2" xfId="20954"/>
    <cellStyle name="20% - Accent6 2 8 2 5 2 4" xfId="20955"/>
    <cellStyle name="20% - Accent6 2 8 2 5 3" xfId="20956"/>
    <cellStyle name="20% - Accent6 2 8 2 5 3 2" xfId="20957"/>
    <cellStyle name="20% - Accent6 2 8 2 5 3 2 2" xfId="20958"/>
    <cellStyle name="20% - Accent6 2 8 2 5 3 3" xfId="20959"/>
    <cellStyle name="20% - Accent6 2 8 2 5 4" xfId="20960"/>
    <cellStyle name="20% - Accent6 2 8 2 5 4 2" xfId="20961"/>
    <cellStyle name="20% - Accent6 2 8 2 5 5" xfId="20962"/>
    <cellStyle name="20% - Accent6 2 8 2 6" xfId="20963"/>
    <cellStyle name="20% - Accent6 2 8 2 6 2" xfId="20964"/>
    <cellStyle name="20% - Accent6 2 8 2 6 2 2" xfId="20965"/>
    <cellStyle name="20% - Accent6 2 8 2 6 2 2 2" xfId="20966"/>
    <cellStyle name="20% - Accent6 2 8 2 6 2 2 2 2" xfId="20967"/>
    <cellStyle name="20% - Accent6 2 8 2 6 2 2 3" xfId="20968"/>
    <cellStyle name="20% - Accent6 2 8 2 6 2 3" xfId="20969"/>
    <cellStyle name="20% - Accent6 2 8 2 6 2 3 2" xfId="20970"/>
    <cellStyle name="20% - Accent6 2 8 2 6 2 4" xfId="20971"/>
    <cellStyle name="20% - Accent6 2 8 2 6 3" xfId="20972"/>
    <cellStyle name="20% - Accent6 2 8 2 6 3 2" xfId="20973"/>
    <cellStyle name="20% - Accent6 2 8 2 6 3 2 2" xfId="20974"/>
    <cellStyle name="20% - Accent6 2 8 2 6 3 3" xfId="20975"/>
    <cellStyle name="20% - Accent6 2 8 2 6 4" xfId="20976"/>
    <cellStyle name="20% - Accent6 2 8 2 6 4 2" xfId="20977"/>
    <cellStyle name="20% - Accent6 2 8 2 6 5" xfId="20978"/>
    <cellStyle name="20% - Accent6 2 8 2 7" xfId="20979"/>
    <cellStyle name="20% - Accent6 2 8 2 7 2" xfId="20980"/>
    <cellStyle name="20% - Accent6 2 8 2 7 2 2" xfId="20981"/>
    <cellStyle name="20% - Accent6 2 8 2 7 2 2 2" xfId="20982"/>
    <cellStyle name="20% - Accent6 2 8 2 7 2 3" xfId="20983"/>
    <cellStyle name="20% - Accent6 2 8 2 7 3" xfId="20984"/>
    <cellStyle name="20% - Accent6 2 8 2 7 3 2" xfId="20985"/>
    <cellStyle name="20% - Accent6 2 8 2 7 4" xfId="20986"/>
    <cellStyle name="20% - Accent6 2 8 2 8" xfId="20987"/>
    <cellStyle name="20% - Accent6 2 8 2 8 2" xfId="20988"/>
    <cellStyle name="20% - Accent6 2 8 2 8 2 2" xfId="20989"/>
    <cellStyle name="20% - Accent6 2 8 2 8 3" xfId="20990"/>
    <cellStyle name="20% - Accent6 2 8 2 9" xfId="20991"/>
    <cellStyle name="20% - Accent6 2 8 2 9 2" xfId="20992"/>
    <cellStyle name="20% - Accent6 2 8 3" xfId="20993"/>
    <cellStyle name="20% - Accent6 2 8 3 2" xfId="20994"/>
    <cellStyle name="20% - Accent6 2 8 3 2 2" xfId="20995"/>
    <cellStyle name="20% - Accent6 2 8 3 2 2 2" xfId="20996"/>
    <cellStyle name="20% - Accent6 2 8 3 2 2 2 2" xfId="20997"/>
    <cellStyle name="20% - Accent6 2 8 3 2 2 3" xfId="20998"/>
    <cellStyle name="20% - Accent6 2 8 3 2 3" xfId="20999"/>
    <cellStyle name="20% - Accent6 2 8 3 2 3 2" xfId="21000"/>
    <cellStyle name="20% - Accent6 2 8 3 2 4" xfId="21001"/>
    <cellStyle name="20% - Accent6 2 8 3 3" xfId="21002"/>
    <cellStyle name="20% - Accent6 2 8 3 3 2" xfId="21003"/>
    <cellStyle name="20% - Accent6 2 8 3 3 2 2" xfId="21004"/>
    <cellStyle name="20% - Accent6 2 8 3 3 3" xfId="21005"/>
    <cellStyle name="20% - Accent6 2 8 3 4" xfId="21006"/>
    <cellStyle name="20% - Accent6 2 8 3 4 2" xfId="21007"/>
    <cellStyle name="20% - Accent6 2 8 3 5" xfId="21008"/>
    <cellStyle name="20% - Accent6 2 8 4" xfId="21009"/>
    <cellStyle name="20% - Accent6 2 8 4 2" xfId="21010"/>
    <cellStyle name="20% - Accent6 2 8 4 2 2" xfId="21011"/>
    <cellStyle name="20% - Accent6 2 8 4 2 2 2" xfId="21012"/>
    <cellStyle name="20% - Accent6 2 8 4 2 2 2 2" xfId="21013"/>
    <cellStyle name="20% - Accent6 2 8 4 2 2 3" xfId="21014"/>
    <cellStyle name="20% - Accent6 2 8 4 2 3" xfId="21015"/>
    <cellStyle name="20% - Accent6 2 8 4 2 3 2" xfId="21016"/>
    <cellStyle name="20% - Accent6 2 8 4 2 4" xfId="21017"/>
    <cellStyle name="20% - Accent6 2 8 4 3" xfId="21018"/>
    <cellStyle name="20% - Accent6 2 8 4 3 2" xfId="21019"/>
    <cellStyle name="20% - Accent6 2 8 4 3 2 2" xfId="21020"/>
    <cellStyle name="20% - Accent6 2 8 4 3 3" xfId="21021"/>
    <cellStyle name="20% - Accent6 2 8 4 4" xfId="21022"/>
    <cellStyle name="20% - Accent6 2 8 4 4 2" xfId="21023"/>
    <cellStyle name="20% - Accent6 2 8 4 5" xfId="21024"/>
    <cellStyle name="20% - Accent6 2 8 5" xfId="21025"/>
    <cellStyle name="20% - Accent6 2 8 5 2" xfId="21026"/>
    <cellStyle name="20% - Accent6 2 8 5 2 2" xfId="21027"/>
    <cellStyle name="20% - Accent6 2 8 5 2 2 2" xfId="21028"/>
    <cellStyle name="20% - Accent6 2 8 5 2 2 2 2" xfId="21029"/>
    <cellStyle name="20% - Accent6 2 8 5 2 2 3" xfId="21030"/>
    <cellStyle name="20% - Accent6 2 8 5 2 3" xfId="21031"/>
    <cellStyle name="20% - Accent6 2 8 5 2 3 2" xfId="21032"/>
    <cellStyle name="20% - Accent6 2 8 5 2 4" xfId="21033"/>
    <cellStyle name="20% - Accent6 2 8 5 3" xfId="21034"/>
    <cellStyle name="20% - Accent6 2 8 5 3 2" xfId="21035"/>
    <cellStyle name="20% - Accent6 2 8 5 3 2 2" xfId="21036"/>
    <cellStyle name="20% - Accent6 2 8 5 3 3" xfId="21037"/>
    <cellStyle name="20% - Accent6 2 8 5 4" xfId="21038"/>
    <cellStyle name="20% - Accent6 2 8 5 4 2" xfId="21039"/>
    <cellStyle name="20% - Accent6 2 8 5 5" xfId="21040"/>
    <cellStyle name="20% - Accent6 2 8 6" xfId="21041"/>
    <cellStyle name="20% - Accent6 2 8 6 2" xfId="21042"/>
    <cellStyle name="20% - Accent6 2 8 6 2 2" xfId="21043"/>
    <cellStyle name="20% - Accent6 2 8 6 2 2 2" xfId="21044"/>
    <cellStyle name="20% - Accent6 2 8 6 2 2 2 2" xfId="21045"/>
    <cellStyle name="20% - Accent6 2 8 6 2 2 3" xfId="21046"/>
    <cellStyle name="20% - Accent6 2 8 6 2 3" xfId="21047"/>
    <cellStyle name="20% - Accent6 2 8 6 2 3 2" xfId="21048"/>
    <cellStyle name="20% - Accent6 2 8 6 2 4" xfId="21049"/>
    <cellStyle name="20% - Accent6 2 8 6 3" xfId="21050"/>
    <cellStyle name="20% - Accent6 2 8 6 3 2" xfId="21051"/>
    <cellStyle name="20% - Accent6 2 8 6 3 2 2" xfId="21052"/>
    <cellStyle name="20% - Accent6 2 8 6 3 3" xfId="21053"/>
    <cellStyle name="20% - Accent6 2 8 6 4" xfId="21054"/>
    <cellStyle name="20% - Accent6 2 8 6 4 2" xfId="21055"/>
    <cellStyle name="20% - Accent6 2 8 6 5" xfId="21056"/>
    <cellStyle name="20% - Accent6 2 8 7" xfId="21057"/>
    <cellStyle name="20% - Accent6 2 8 7 2" xfId="21058"/>
    <cellStyle name="20% - Accent6 2 8 7 2 2" xfId="21059"/>
    <cellStyle name="20% - Accent6 2 8 7 2 2 2" xfId="21060"/>
    <cellStyle name="20% - Accent6 2 8 7 2 2 2 2" xfId="21061"/>
    <cellStyle name="20% - Accent6 2 8 7 2 2 3" xfId="21062"/>
    <cellStyle name="20% - Accent6 2 8 7 2 3" xfId="21063"/>
    <cellStyle name="20% - Accent6 2 8 7 2 3 2" xfId="21064"/>
    <cellStyle name="20% - Accent6 2 8 7 2 4" xfId="21065"/>
    <cellStyle name="20% - Accent6 2 8 7 3" xfId="21066"/>
    <cellStyle name="20% - Accent6 2 8 7 3 2" xfId="21067"/>
    <cellStyle name="20% - Accent6 2 8 7 3 2 2" xfId="21068"/>
    <cellStyle name="20% - Accent6 2 8 7 3 3" xfId="21069"/>
    <cellStyle name="20% - Accent6 2 8 7 4" xfId="21070"/>
    <cellStyle name="20% - Accent6 2 8 7 4 2" xfId="21071"/>
    <cellStyle name="20% - Accent6 2 8 7 5" xfId="21072"/>
    <cellStyle name="20% - Accent6 2 8 8" xfId="21073"/>
    <cellStyle name="20% - Accent6 2 8 8 2" xfId="21074"/>
    <cellStyle name="20% - Accent6 2 8 8 2 2" xfId="21075"/>
    <cellStyle name="20% - Accent6 2 8 8 2 2 2" xfId="21076"/>
    <cellStyle name="20% - Accent6 2 8 8 2 3" xfId="21077"/>
    <cellStyle name="20% - Accent6 2 8 8 3" xfId="21078"/>
    <cellStyle name="20% - Accent6 2 8 8 3 2" xfId="21079"/>
    <cellStyle name="20% - Accent6 2 8 8 4" xfId="21080"/>
    <cellStyle name="20% - Accent6 2 8 9" xfId="21081"/>
    <cellStyle name="20% - Accent6 2 8 9 2" xfId="21082"/>
    <cellStyle name="20% - Accent6 2 8 9 2 2" xfId="21083"/>
    <cellStyle name="20% - Accent6 2 8 9 3" xfId="21084"/>
    <cellStyle name="20% - Accent6 2 9" xfId="21085"/>
    <cellStyle name="20% - Accent6 2 9 10" xfId="21086"/>
    <cellStyle name="20% - Accent6 2 9 10 2" xfId="21087"/>
    <cellStyle name="20% - Accent6 2 9 11" xfId="21088"/>
    <cellStyle name="20% - Accent6 2 9 2" xfId="21089"/>
    <cellStyle name="20% - Accent6 2 9 2 10" xfId="21090"/>
    <cellStyle name="20% - Accent6 2 9 2 2" xfId="21091"/>
    <cellStyle name="20% - Accent6 2 9 2 2 2" xfId="21092"/>
    <cellStyle name="20% - Accent6 2 9 2 2 2 2" xfId="21093"/>
    <cellStyle name="20% - Accent6 2 9 2 2 2 2 2" xfId="21094"/>
    <cellStyle name="20% - Accent6 2 9 2 2 2 2 2 2" xfId="21095"/>
    <cellStyle name="20% - Accent6 2 9 2 2 2 2 3" xfId="21096"/>
    <cellStyle name="20% - Accent6 2 9 2 2 2 3" xfId="21097"/>
    <cellStyle name="20% - Accent6 2 9 2 2 2 3 2" xfId="21098"/>
    <cellStyle name="20% - Accent6 2 9 2 2 2 4" xfId="21099"/>
    <cellStyle name="20% - Accent6 2 9 2 2 3" xfId="21100"/>
    <cellStyle name="20% - Accent6 2 9 2 2 3 2" xfId="21101"/>
    <cellStyle name="20% - Accent6 2 9 2 2 3 2 2" xfId="21102"/>
    <cellStyle name="20% - Accent6 2 9 2 2 3 3" xfId="21103"/>
    <cellStyle name="20% - Accent6 2 9 2 2 4" xfId="21104"/>
    <cellStyle name="20% - Accent6 2 9 2 2 4 2" xfId="21105"/>
    <cellStyle name="20% - Accent6 2 9 2 2 5" xfId="21106"/>
    <cellStyle name="20% - Accent6 2 9 2 3" xfId="21107"/>
    <cellStyle name="20% - Accent6 2 9 2 3 2" xfId="21108"/>
    <cellStyle name="20% - Accent6 2 9 2 3 2 2" xfId="21109"/>
    <cellStyle name="20% - Accent6 2 9 2 3 2 2 2" xfId="21110"/>
    <cellStyle name="20% - Accent6 2 9 2 3 2 2 2 2" xfId="21111"/>
    <cellStyle name="20% - Accent6 2 9 2 3 2 2 3" xfId="21112"/>
    <cellStyle name="20% - Accent6 2 9 2 3 2 3" xfId="21113"/>
    <cellStyle name="20% - Accent6 2 9 2 3 2 3 2" xfId="21114"/>
    <cellStyle name="20% - Accent6 2 9 2 3 2 4" xfId="21115"/>
    <cellStyle name="20% - Accent6 2 9 2 3 3" xfId="21116"/>
    <cellStyle name="20% - Accent6 2 9 2 3 3 2" xfId="21117"/>
    <cellStyle name="20% - Accent6 2 9 2 3 3 2 2" xfId="21118"/>
    <cellStyle name="20% - Accent6 2 9 2 3 3 3" xfId="21119"/>
    <cellStyle name="20% - Accent6 2 9 2 3 4" xfId="21120"/>
    <cellStyle name="20% - Accent6 2 9 2 3 4 2" xfId="21121"/>
    <cellStyle name="20% - Accent6 2 9 2 3 5" xfId="21122"/>
    <cellStyle name="20% - Accent6 2 9 2 4" xfId="21123"/>
    <cellStyle name="20% - Accent6 2 9 2 4 2" xfId="21124"/>
    <cellStyle name="20% - Accent6 2 9 2 4 2 2" xfId="21125"/>
    <cellStyle name="20% - Accent6 2 9 2 4 2 2 2" xfId="21126"/>
    <cellStyle name="20% - Accent6 2 9 2 4 2 2 2 2" xfId="21127"/>
    <cellStyle name="20% - Accent6 2 9 2 4 2 2 3" xfId="21128"/>
    <cellStyle name="20% - Accent6 2 9 2 4 2 3" xfId="21129"/>
    <cellStyle name="20% - Accent6 2 9 2 4 2 3 2" xfId="21130"/>
    <cellStyle name="20% - Accent6 2 9 2 4 2 4" xfId="21131"/>
    <cellStyle name="20% - Accent6 2 9 2 4 3" xfId="21132"/>
    <cellStyle name="20% - Accent6 2 9 2 4 3 2" xfId="21133"/>
    <cellStyle name="20% - Accent6 2 9 2 4 3 2 2" xfId="21134"/>
    <cellStyle name="20% - Accent6 2 9 2 4 3 3" xfId="21135"/>
    <cellStyle name="20% - Accent6 2 9 2 4 4" xfId="21136"/>
    <cellStyle name="20% - Accent6 2 9 2 4 4 2" xfId="21137"/>
    <cellStyle name="20% - Accent6 2 9 2 4 5" xfId="21138"/>
    <cellStyle name="20% - Accent6 2 9 2 5" xfId="21139"/>
    <cellStyle name="20% - Accent6 2 9 2 5 2" xfId="21140"/>
    <cellStyle name="20% - Accent6 2 9 2 5 2 2" xfId="21141"/>
    <cellStyle name="20% - Accent6 2 9 2 5 2 2 2" xfId="21142"/>
    <cellStyle name="20% - Accent6 2 9 2 5 2 2 2 2" xfId="21143"/>
    <cellStyle name="20% - Accent6 2 9 2 5 2 2 3" xfId="21144"/>
    <cellStyle name="20% - Accent6 2 9 2 5 2 3" xfId="21145"/>
    <cellStyle name="20% - Accent6 2 9 2 5 2 3 2" xfId="21146"/>
    <cellStyle name="20% - Accent6 2 9 2 5 2 4" xfId="21147"/>
    <cellStyle name="20% - Accent6 2 9 2 5 3" xfId="21148"/>
    <cellStyle name="20% - Accent6 2 9 2 5 3 2" xfId="21149"/>
    <cellStyle name="20% - Accent6 2 9 2 5 3 2 2" xfId="21150"/>
    <cellStyle name="20% - Accent6 2 9 2 5 3 3" xfId="21151"/>
    <cellStyle name="20% - Accent6 2 9 2 5 4" xfId="21152"/>
    <cellStyle name="20% - Accent6 2 9 2 5 4 2" xfId="21153"/>
    <cellStyle name="20% - Accent6 2 9 2 5 5" xfId="21154"/>
    <cellStyle name="20% - Accent6 2 9 2 6" xfId="21155"/>
    <cellStyle name="20% - Accent6 2 9 2 6 2" xfId="21156"/>
    <cellStyle name="20% - Accent6 2 9 2 6 2 2" xfId="21157"/>
    <cellStyle name="20% - Accent6 2 9 2 6 2 2 2" xfId="21158"/>
    <cellStyle name="20% - Accent6 2 9 2 6 2 2 2 2" xfId="21159"/>
    <cellStyle name="20% - Accent6 2 9 2 6 2 2 3" xfId="21160"/>
    <cellStyle name="20% - Accent6 2 9 2 6 2 3" xfId="21161"/>
    <cellStyle name="20% - Accent6 2 9 2 6 2 3 2" xfId="21162"/>
    <cellStyle name="20% - Accent6 2 9 2 6 2 4" xfId="21163"/>
    <cellStyle name="20% - Accent6 2 9 2 6 3" xfId="21164"/>
    <cellStyle name="20% - Accent6 2 9 2 6 3 2" xfId="21165"/>
    <cellStyle name="20% - Accent6 2 9 2 6 3 2 2" xfId="21166"/>
    <cellStyle name="20% - Accent6 2 9 2 6 3 3" xfId="21167"/>
    <cellStyle name="20% - Accent6 2 9 2 6 4" xfId="21168"/>
    <cellStyle name="20% - Accent6 2 9 2 6 4 2" xfId="21169"/>
    <cellStyle name="20% - Accent6 2 9 2 6 5" xfId="21170"/>
    <cellStyle name="20% - Accent6 2 9 2 7" xfId="21171"/>
    <cellStyle name="20% - Accent6 2 9 2 7 2" xfId="21172"/>
    <cellStyle name="20% - Accent6 2 9 2 7 2 2" xfId="21173"/>
    <cellStyle name="20% - Accent6 2 9 2 7 2 2 2" xfId="21174"/>
    <cellStyle name="20% - Accent6 2 9 2 7 2 3" xfId="21175"/>
    <cellStyle name="20% - Accent6 2 9 2 7 3" xfId="21176"/>
    <cellStyle name="20% - Accent6 2 9 2 7 3 2" xfId="21177"/>
    <cellStyle name="20% - Accent6 2 9 2 7 4" xfId="21178"/>
    <cellStyle name="20% - Accent6 2 9 2 8" xfId="21179"/>
    <cellStyle name="20% - Accent6 2 9 2 8 2" xfId="21180"/>
    <cellStyle name="20% - Accent6 2 9 2 8 2 2" xfId="21181"/>
    <cellStyle name="20% - Accent6 2 9 2 8 3" xfId="21182"/>
    <cellStyle name="20% - Accent6 2 9 2 9" xfId="21183"/>
    <cellStyle name="20% - Accent6 2 9 2 9 2" xfId="21184"/>
    <cellStyle name="20% - Accent6 2 9 3" xfId="21185"/>
    <cellStyle name="20% - Accent6 2 9 3 2" xfId="21186"/>
    <cellStyle name="20% - Accent6 2 9 3 2 2" xfId="21187"/>
    <cellStyle name="20% - Accent6 2 9 3 2 2 2" xfId="21188"/>
    <cellStyle name="20% - Accent6 2 9 3 2 2 2 2" xfId="21189"/>
    <cellStyle name="20% - Accent6 2 9 3 2 2 3" xfId="21190"/>
    <cellStyle name="20% - Accent6 2 9 3 2 3" xfId="21191"/>
    <cellStyle name="20% - Accent6 2 9 3 2 3 2" xfId="21192"/>
    <cellStyle name="20% - Accent6 2 9 3 2 4" xfId="21193"/>
    <cellStyle name="20% - Accent6 2 9 3 3" xfId="21194"/>
    <cellStyle name="20% - Accent6 2 9 3 3 2" xfId="21195"/>
    <cellStyle name="20% - Accent6 2 9 3 3 2 2" xfId="21196"/>
    <cellStyle name="20% - Accent6 2 9 3 3 3" xfId="21197"/>
    <cellStyle name="20% - Accent6 2 9 3 4" xfId="21198"/>
    <cellStyle name="20% - Accent6 2 9 3 4 2" xfId="21199"/>
    <cellStyle name="20% - Accent6 2 9 3 5" xfId="21200"/>
    <cellStyle name="20% - Accent6 2 9 4" xfId="21201"/>
    <cellStyle name="20% - Accent6 2 9 4 2" xfId="21202"/>
    <cellStyle name="20% - Accent6 2 9 4 2 2" xfId="21203"/>
    <cellStyle name="20% - Accent6 2 9 4 2 2 2" xfId="21204"/>
    <cellStyle name="20% - Accent6 2 9 4 2 2 2 2" xfId="21205"/>
    <cellStyle name="20% - Accent6 2 9 4 2 2 3" xfId="21206"/>
    <cellStyle name="20% - Accent6 2 9 4 2 3" xfId="21207"/>
    <cellStyle name="20% - Accent6 2 9 4 2 3 2" xfId="21208"/>
    <cellStyle name="20% - Accent6 2 9 4 2 4" xfId="21209"/>
    <cellStyle name="20% - Accent6 2 9 4 3" xfId="21210"/>
    <cellStyle name="20% - Accent6 2 9 4 3 2" xfId="21211"/>
    <cellStyle name="20% - Accent6 2 9 4 3 2 2" xfId="21212"/>
    <cellStyle name="20% - Accent6 2 9 4 3 3" xfId="21213"/>
    <cellStyle name="20% - Accent6 2 9 4 4" xfId="21214"/>
    <cellStyle name="20% - Accent6 2 9 4 4 2" xfId="21215"/>
    <cellStyle name="20% - Accent6 2 9 4 5" xfId="21216"/>
    <cellStyle name="20% - Accent6 2 9 5" xfId="21217"/>
    <cellStyle name="20% - Accent6 2 9 5 2" xfId="21218"/>
    <cellStyle name="20% - Accent6 2 9 5 2 2" xfId="21219"/>
    <cellStyle name="20% - Accent6 2 9 5 2 2 2" xfId="21220"/>
    <cellStyle name="20% - Accent6 2 9 5 2 2 2 2" xfId="21221"/>
    <cellStyle name="20% - Accent6 2 9 5 2 2 3" xfId="21222"/>
    <cellStyle name="20% - Accent6 2 9 5 2 3" xfId="21223"/>
    <cellStyle name="20% - Accent6 2 9 5 2 3 2" xfId="21224"/>
    <cellStyle name="20% - Accent6 2 9 5 2 4" xfId="21225"/>
    <cellStyle name="20% - Accent6 2 9 5 3" xfId="21226"/>
    <cellStyle name="20% - Accent6 2 9 5 3 2" xfId="21227"/>
    <cellStyle name="20% - Accent6 2 9 5 3 2 2" xfId="21228"/>
    <cellStyle name="20% - Accent6 2 9 5 3 3" xfId="21229"/>
    <cellStyle name="20% - Accent6 2 9 5 4" xfId="21230"/>
    <cellStyle name="20% - Accent6 2 9 5 4 2" xfId="21231"/>
    <cellStyle name="20% - Accent6 2 9 5 5" xfId="21232"/>
    <cellStyle name="20% - Accent6 2 9 6" xfId="21233"/>
    <cellStyle name="20% - Accent6 2 9 6 2" xfId="21234"/>
    <cellStyle name="20% - Accent6 2 9 6 2 2" xfId="21235"/>
    <cellStyle name="20% - Accent6 2 9 6 2 2 2" xfId="21236"/>
    <cellStyle name="20% - Accent6 2 9 6 2 2 2 2" xfId="21237"/>
    <cellStyle name="20% - Accent6 2 9 6 2 2 3" xfId="21238"/>
    <cellStyle name="20% - Accent6 2 9 6 2 3" xfId="21239"/>
    <cellStyle name="20% - Accent6 2 9 6 2 3 2" xfId="21240"/>
    <cellStyle name="20% - Accent6 2 9 6 2 4" xfId="21241"/>
    <cellStyle name="20% - Accent6 2 9 6 3" xfId="21242"/>
    <cellStyle name="20% - Accent6 2 9 6 3 2" xfId="21243"/>
    <cellStyle name="20% - Accent6 2 9 6 3 2 2" xfId="21244"/>
    <cellStyle name="20% - Accent6 2 9 6 3 3" xfId="21245"/>
    <cellStyle name="20% - Accent6 2 9 6 4" xfId="21246"/>
    <cellStyle name="20% - Accent6 2 9 6 4 2" xfId="21247"/>
    <cellStyle name="20% - Accent6 2 9 6 5" xfId="21248"/>
    <cellStyle name="20% - Accent6 2 9 7" xfId="21249"/>
    <cellStyle name="20% - Accent6 2 9 7 2" xfId="21250"/>
    <cellStyle name="20% - Accent6 2 9 7 2 2" xfId="21251"/>
    <cellStyle name="20% - Accent6 2 9 7 2 2 2" xfId="21252"/>
    <cellStyle name="20% - Accent6 2 9 7 2 2 2 2" xfId="21253"/>
    <cellStyle name="20% - Accent6 2 9 7 2 2 3" xfId="21254"/>
    <cellStyle name="20% - Accent6 2 9 7 2 3" xfId="21255"/>
    <cellStyle name="20% - Accent6 2 9 7 2 3 2" xfId="21256"/>
    <cellStyle name="20% - Accent6 2 9 7 2 4" xfId="21257"/>
    <cellStyle name="20% - Accent6 2 9 7 3" xfId="21258"/>
    <cellStyle name="20% - Accent6 2 9 7 3 2" xfId="21259"/>
    <cellStyle name="20% - Accent6 2 9 7 3 2 2" xfId="21260"/>
    <cellStyle name="20% - Accent6 2 9 7 3 3" xfId="21261"/>
    <cellStyle name="20% - Accent6 2 9 7 4" xfId="21262"/>
    <cellStyle name="20% - Accent6 2 9 7 4 2" xfId="21263"/>
    <cellStyle name="20% - Accent6 2 9 7 5" xfId="21264"/>
    <cellStyle name="20% - Accent6 2 9 8" xfId="21265"/>
    <cellStyle name="20% - Accent6 2 9 8 2" xfId="21266"/>
    <cellStyle name="20% - Accent6 2 9 8 2 2" xfId="21267"/>
    <cellStyle name="20% - Accent6 2 9 8 2 2 2" xfId="21268"/>
    <cellStyle name="20% - Accent6 2 9 8 2 3" xfId="21269"/>
    <cellStyle name="20% - Accent6 2 9 8 3" xfId="21270"/>
    <cellStyle name="20% - Accent6 2 9 8 3 2" xfId="21271"/>
    <cellStyle name="20% - Accent6 2 9 8 4" xfId="21272"/>
    <cellStyle name="20% - Accent6 2 9 9" xfId="21273"/>
    <cellStyle name="20% - Accent6 2 9 9 2" xfId="21274"/>
    <cellStyle name="20% - Accent6 2 9 9 2 2" xfId="21275"/>
    <cellStyle name="20% - Accent6 2 9 9 3" xfId="21276"/>
    <cellStyle name="20% - Accent6 20" xfId="21277"/>
    <cellStyle name="20% - Accent6 20 2" xfId="21278"/>
    <cellStyle name="20% - Accent6 20 2 2" xfId="21279"/>
    <cellStyle name="20% - Accent6 20 2 2 2" xfId="21280"/>
    <cellStyle name="20% - Accent6 20 2 2 2 2" xfId="21281"/>
    <cellStyle name="20% - Accent6 20 2 2 3" xfId="21282"/>
    <cellStyle name="20% - Accent6 20 2 3" xfId="21283"/>
    <cellStyle name="20% - Accent6 20 2 3 2" xfId="21284"/>
    <cellStyle name="20% - Accent6 20 2 4" xfId="21285"/>
    <cellStyle name="20% - Accent6 20 3" xfId="21286"/>
    <cellStyle name="20% - Accent6 20 3 2" xfId="21287"/>
    <cellStyle name="20% - Accent6 20 3 2 2" xfId="21288"/>
    <cellStyle name="20% - Accent6 20 3 3" xfId="21289"/>
    <cellStyle name="20% - Accent6 20 4" xfId="21290"/>
    <cellStyle name="20% - Accent6 20 4 2" xfId="21291"/>
    <cellStyle name="20% - Accent6 20 5" xfId="21292"/>
    <cellStyle name="20% - Accent6 21" xfId="21293"/>
    <cellStyle name="20% - Accent6 21 2" xfId="21294"/>
    <cellStyle name="20% - Accent6 21 2 2" xfId="21295"/>
    <cellStyle name="20% - Accent6 21 2 2 2" xfId="21296"/>
    <cellStyle name="20% - Accent6 21 2 3" xfId="21297"/>
    <cellStyle name="20% - Accent6 21 3" xfId="21298"/>
    <cellStyle name="20% - Accent6 21 3 2" xfId="21299"/>
    <cellStyle name="20% - Accent6 21 4" xfId="21300"/>
    <cellStyle name="20% - Accent6 22" xfId="21301"/>
    <cellStyle name="20% - Accent6 22 2" xfId="21302"/>
    <cellStyle name="20% - Accent6 22 2 2" xfId="21303"/>
    <cellStyle name="20% - Accent6 22 3" xfId="21304"/>
    <cellStyle name="20% - Accent6 23" xfId="21305"/>
    <cellStyle name="20% - Accent6 23 2" xfId="21306"/>
    <cellStyle name="20% - Accent6 24" xfId="21307"/>
    <cellStyle name="20% - Accent6 3" xfId="21308"/>
    <cellStyle name="20% - Accent6 3 10" xfId="21309"/>
    <cellStyle name="20% - Accent6 3 10 2" xfId="21310"/>
    <cellStyle name="20% - Accent6 3 11" xfId="21311"/>
    <cellStyle name="20% - Accent6 3 2" xfId="21312"/>
    <cellStyle name="20% - Accent6 3 2 10" xfId="21313"/>
    <cellStyle name="20% - Accent6 3 2 2" xfId="21314"/>
    <cellStyle name="20% - Accent6 3 2 2 2" xfId="21315"/>
    <cellStyle name="20% - Accent6 3 2 2 2 2" xfId="21316"/>
    <cellStyle name="20% - Accent6 3 2 2 2 2 2" xfId="21317"/>
    <cellStyle name="20% - Accent6 3 2 2 2 2 2 2" xfId="21318"/>
    <cellStyle name="20% - Accent6 3 2 2 2 2 3" xfId="21319"/>
    <cellStyle name="20% - Accent6 3 2 2 2 3" xfId="21320"/>
    <cellStyle name="20% - Accent6 3 2 2 2 3 2" xfId="21321"/>
    <cellStyle name="20% - Accent6 3 2 2 2 4" xfId="21322"/>
    <cellStyle name="20% - Accent6 3 2 2 3" xfId="21323"/>
    <cellStyle name="20% - Accent6 3 2 2 3 2" xfId="21324"/>
    <cellStyle name="20% - Accent6 3 2 2 3 2 2" xfId="21325"/>
    <cellStyle name="20% - Accent6 3 2 2 3 3" xfId="21326"/>
    <cellStyle name="20% - Accent6 3 2 2 4" xfId="21327"/>
    <cellStyle name="20% - Accent6 3 2 2 4 2" xfId="21328"/>
    <cellStyle name="20% - Accent6 3 2 2 5" xfId="21329"/>
    <cellStyle name="20% - Accent6 3 2 3" xfId="21330"/>
    <cellStyle name="20% - Accent6 3 2 3 2" xfId="21331"/>
    <cellStyle name="20% - Accent6 3 2 3 2 2" xfId="21332"/>
    <cellStyle name="20% - Accent6 3 2 3 2 2 2" xfId="21333"/>
    <cellStyle name="20% - Accent6 3 2 3 2 2 2 2" xfId="21334"/>
    <cellStyle name="20% - Accent6 3 2 3 2 2 3" xfId="21335"/>
    <cellStyle name="20% - Accent6 3 2 3 2 3" xfId="21336"/>
    <cellStyle name="20% - Accent6 3 2 3 2 3 2" xfId="21337"/>
    <cellStyle name="20% - Accent6 3 2 3 2 4" xfId="21338"/>
    <cellStyle name="20% - Accent6 3 2 3 3" xfId="21339"/>
    <cellStyle name="20% - Accent6 3 2 3 3 2" xfId="21340"/>
    <cellStyle name="20% - Accent6 3 2 3 3 2 2" xfId="21341"/>
    <cellStyle name="20% - Accent6 3 2 3 3 3" xfId="21342"/>
    <cellStyle name="20% - Accent6 3 2 3 4" xfId="21343"/>
    <cellStyle name="20% - Accent6 3 2 3 4 2" xfId="21344"/>
    <cellStyle name="20% - Accent6 3 2 3 5" xfId="21345"/>
    <cellStyle name="20% - Accent6 3 2 4" xfId="21346"/>
    <cellStyle name="20% - Accent6 3 2 4 2" xfId="21347"/>
    <cellStyle name="20% - Accent6 3 2 4 2 2" xfId="21348"/>
    <cellStyle name="20% - Accent6 3 2 4 2 2 2" xfId="21349"/>
    <cellStyle name="20% - Accent6 3 2 4 2 2 2 2" xfId="21350"/>
    <cellStyle name="20% - Accent6 3 2 4 2 2 3" xfId="21351"/>
    <cellStyle name="20% - Accent6 3 2 4 2 3" xfId="21352"/>
    <cellStyle name="20% - Accent6 3 2 4 2 3 2" xfId="21353"/>
    <cellStyle name="20% - Accent6 3 2 4 2 4" xfId="21354"/>
    <cellStyle name="20% - Accent6 3 2 4 3" xfId="21355"/>
    <cellStyle name="20% - Accent6 3 2 4 3 2" xfId="21356"/>
    <cellStyle name="20% - Accent6 3 2 4 3 2 2" xfId="21357"/>
    <cellStyle name="20% - Accent6 3 2 4 3 3" xfId="21358"/>
    <cellStyle name="20% - Accent6 3 2 4 4" xfId="21359"/>
    <cellStyle name="20% - Accent6 3 2 4 4 2" xfId="21360"/>
    <cellStyle name="20% - Accent6 3 2 4 5" xfId="21361"/>
    <cellStyle name="20% - Accent6 3 2 5" xfId="21362"/>
    <cellStyle name="20% - Accent6 3 2 5 2" xfId="21363"/>
    <cellStyle name="20% - Accent6 3 2 5 2 2" xfId="21364"/>
    <cellStyle name="20% - Accent6 3 2 5 2 2 2" xfId="21365"/>
    <cellStyle name="20% - Accent6 3 2 5 2 2 2 2" xfId="21366"/>
    <cellStyle name="20% - Accent6 3 2 5 2 2 3" xfId="21367"/>
    <cellStyle name="20% - Accent6 3 2 5 2 3" xfId="21368"/>
    <cellStyle name="20% - Accent6 3 2 5 2 3 2" xfId="21369"/>
    <cellStyle name="20% - Accent6 3 2 5 2 4" xfId="21370"/>
    <cellStyle name="20% - Accent6 3 2 5 3" xfId="21371"/>
    <cellStyle name="20% - Accent6 3 2 5 3 2" xfId="21372"/>
    <cellStyle name="20% - Accent6 3 2 5 3 2 2" xfId="21373"/>
    <cellStyle name="20% - Accent6 3 2 5 3 3" xfId="21374"/>
    <cellStyle name="20% - Accent6 3 2 5 4" xfId="21375"/>
    <cellStyle name="20% - Accent6 3 2 5 4 2" xfId="21376"/>
    <cellStyle name="20% - Accent6 3 2 5 5" xfId="21377"/>
    <cellStyle name="20% - Accent6 3 2 6" xfId="21378"/>
    <cellStyle name="20% - Accent6 3 2 6 2" xfId="21379"/>
    <cellStyle name="20% - Accent6 3 2 6 2 2" xfId="21380"/>
    <cellStyle name="20% - Accent6 3 2 6 2 2 2" xfId="21381"/>
    <cellStyle name="20% - Accent6 3 2 6 2 2 2 2" xfId="21382"/>
    <cellStyle name="20% - Accent6 3 2 6 2 2 3" xfId="21383"/>
    <cellStyle name="20% - Accent6 3 2 6 2 3" xfId="21384"/>
    <cellStyle name="20% - Accent6 3 2 6 2 3 2" xfId="21385"/>
    <cellStyle name="20% - Accent6 3 2 6 2 4" xfId="21386"/>
    <cellStyle name="20% - Accent6 3 2 6 3" xfId="21387"/>
    <cellStyle name="20% - Accent6 3 2 6 3 2" xfId="21388"/>
    <cellStyle name="20% - Accent6 3 2 6 3 2 2" xfId="21389"/>
    <cellStyle name="20% - Accent6 3 2 6 3 3" xfId="21390"/>
    <cellStyle name="20% - Accent6 3 2 6 4" xfId="21391"/>
    <cellStyle name="20% - Accent6 3 2 6 4 2" xfId="21392"/>
    <cellStyle name="20% - Accent6 3 2 6 5" xfId="21393"/>
    <cellStyle name="20% - Accent6 3 2 7" xfId="21394"/>
    <cellStyle name="20% - Accent6 3 2 7 2" xfId="21395"/>
    <cellStyle name="20% - Accent6 3 2 7 2 2" xfId="21396"/>
    <cellStyle name="20% - Accent6 3 2 7 2 2 2" xfId="21397"/>
    <cellStyle name="20% - Accent6 3 2 7 2 3" xfId="21398"/>
    <cellStyle name="20% - Accent6 3 2 7 3" xfId="21399"/>
    <cellStyle name="20% - Accent6 3 2 7 3 2" xfId="21400"/>
    <cellStyle name="20% - Accent6 3 2 7 4" xfId="21401"/>
    <cellStyle name="20% - Accent6 3 2 8" xfId="21402"/>
    <cellStyle name="20% - Accent6 3 2 8 2" xfId="21403"/>
    <cellStyle name="20% - Accent6 3 2 8 2 2" xfId="21404"/>
    <cellStyle name="20% - Accent6 3 2 8 3" xfId="21405"/>
    <cellStyle name="20% - Accent6 3 2 9" xfId="21406"/>
    <cellStyle name="20% - Accent6 3 2 9 2" xfId="21407"/>
    <cellStyle name="20% - Accent6 3 3" xfId="21408"/>
    <cellStyle name="20% - Accent6 3 3 2" xfId="21409"/>
    <cellStyle name="20% - Accent6 3 3 2 2" xfId="21410"/>
    <cellStyle name="20% - Accent6 3 3 2 2 2" xfId="21411"/>
    <cellStyle name="20% - Accent6 3 3 2 2 2 2" xfId="21412"/>
    <cellStyle name="20% - Accent6 3 3 2 2 3" xfId="21413"/>
    <cellStyle name="20% - Accent6 3 3 2 3" xfId="21414"/>
    <cellStyle name="20% - Accent6 3 3 2 3 2" xfId="21415"/>
    <cellStyle name="20% - Accent6 3 3 2 4" xfId="21416"/>
    <cellStyle name="20% - Accent6 3 3 3" xfId="21417"/>
    <cellStyle name="20% - Accent6 3 3 3 2" xfId="21418"/>
    <cellStyle name="20% - Accent6 3 3 3 2 2" xfId="21419"/>
    <cellStyle name="20% - Accent6 3 3 3 3" xfId="21420"/>
    <cellStyle name="20% - Accent6 3 3 4" xfId="21421"/>
    <cellStyle name="20% - Accent6 3 3 4 2" xfId="21422"/>
    <cellStyle name="20% - Accent6 3 3 5" xfId="21423"/>
    <cellStyle name="20% - Accent6 3 4" xfId="21424"/>
    <cellStyle name="20% - Accent6 3 4 2" xfId="21425"/>
    <cellStyle name="20% - Accent6 3 4 2 2" xfId="21426"/>
    <cellStyle name="20% - Accent6 3 4 2 2 2" xfId="21427"/>
    <cellStyle name="20% - Accent6 3 4 2 2 2 2" xfId="21428"/>
    <cellStyle name="20% - Accent6 3 4 2 2 3" xfId="21429"/>
    <cellStyle name="20% - Accent6 3 4 2 3" xfId="21430"/>
    <cellStyle name="20% - Accent6 3 4 2 3 2" xfId="21431"/>
    <cellStyle name="20% - Accent6 3 4 2 4" xfId="21432"/>
    <cellStyle name="20% - Accent6 3 4 3" xfId="21433"/>
    <cellStyle name="20% - Accent6 3 4 3 2" xfId="21434"/>
    <cellStyle name="20% - Accent6 3 4 3 2 2" xfId="21435"/>
    <cellStyle name="20% - Accent6 3 4 3 3" xfId="21436"/>
    <cellStyle name="20% - Accent6 3 4 4" xfId="21437"/>
    <cellStyle name="20% - Accent6 3 4 4 2" xfId="21438"/>
    <cellStyle name="20% - Accent6 3 4 5" xfId="21439"/>
    <cellStyle name="20% - Accent6 3 5" xfId="21440"/>
    <cellStyle name="20% - Accent6 3 5 2" xfId="21441"/>
    <cellStyle name="20% - Accent6 3 5 2 2" xfId="21442"/>
    <cellStyle name="20% - Accent6 3 5 2 2 2" xfId="21443"/>
    <cellStyle name="20% - Accent6 3 5 2 2 2 2" xfId="21444"/>
    <cellStyle name="20% - Accent6 3 5 2 2 3" xfId="21445"/>
    <cellStyle name="20% - Accent6 3 5 2 3" xfId="21446"/>
    <cellStyle name="20% - Accent6 3 5 2 3 2" xfId="21447"/>
    <cellStyle name="20% - Accent6 3 5 2 4" xfId="21448"/>
    <cellStyle name="20% - Accent6 3 5 3" xfId="21449"/>
    <cellStyle name="20% - Accent6 3 5 3 2" xfId="21450"/>
    <cellStyle name="20% - Accent6 3 5 3 2 2" xfId="21451"/>
    <cellStyle name="20% - Accent6 3 5 3 3" xfId="21452"/>
    <cellStyle name="20% - Accent6 3 5 4" xfId="21453"/>
    <cellStyle name="20% - Accent6 3 5 4 2" xfId="21454"/>
    <cellStyle name="20% - Accent6 3 5 5" xfId="21455"/>
    <cellStyle name="20% - Accent6 3 6" xfId="21456"/>
    <cellStyle name="20% - Accent6 3 6 2" xfId="21457"/>
    <cellStyle name="20% - Accent6 3 6 2 2" xfId="21458"/>
    <cellStyle name="20% - Accent6 3 6 2 2 2" xfId="21459"/>
    <cellStyle name="20% - Accent6 3 6 2 2 2 2" xfId="21460"/>
    <cellStyle name="20% - Accent6 3 6 2 2 3" xfId="21461"/>
    <cellStyle name="20% - Accent6 3 6 2 3" xfId="21462"/>
    <cellStyle name="20% - Accent6 3 6 2 3 2" xfId="21463"/>
    <cellStyle name="20% - Accent6 3 6 2 4" xfId="21464"/>
    <cellStyle name="20% - Accent6 3 6 3" xfId="21465"/>
    <cellStyle name="20% - Accent6 3 6 3 2" xfId="21466"/>
    <cellStyle name="20% - Accent6 3 6 3 2 2" xfId="21467"/>
    <cellStyle name="20% - Accent6 3 6 3 3" xfId="21468"/>
    <cellStyle name="20% - Accent6 3 6 4" xfId="21469"/>
    <cellStyle name="20% - Accent6 3 6 4 2" xfId="21470"/>
    <cellStyle name="20% - Accent6 3 6 5" xfId="21471"/>
    <cellStyle name="20% - Accent6 3 7" xfId="21472"/>
    <cellStyle name="20% - Accent6 3 7 2" xfId="21473"/>
    <cellStyle name="20% - Accent6 3 7 2 2" xfId="21474"/>
    <cellStyle name="20% - Accent6 3 7 2 2 2" xfId="21475"/>
    <cellStyle name="20% - Accent6 3 7 2 2 2 2" xfId="21476"/>
    <cellStyle name="20% - Accent6 3 7 2 2 3" xfId="21477"/>
    <cellStyle name="20% - Accent6 3 7 2 3" xfId="21478"/>
    <cellStyle name="20% - Accent6 3 7 2 3 2" xfId="21479"/>
    <cellStyle name="20% - Accent6 3 7 2 4" xfId="21480"/>
    <cellStyle name="20% - Accent6 3 7 3" xfId="21481"/>
    <cellStyle name="20% - Accent6 3 7 3 2" xfId="21482"/>
    <cellStyle name="20% - Accent6 3 7 3 2 2" xfId="21483"/>
    <cellStyle name="20% - Accent6 3 7 3 3" xfId="21484"/>
    <cellStyle name="20% - Accent6 3 7 4" xfId="21485"/>
    <cellStyle name="20% - Accent6 3 7 4 2" xfId="21486"/>
    <cellStyle name="20% - Accent6 3 7 5" xfId="21487"/>
    <cellStyle name="20% - Accent6 3 8" xfId="21488"/>
    <cellStyle name="20% - Accent6 3 8 2" xfId="21489"/>
    <cellStyle name="20% - Accent6 3 8 2 2" xfId="21490"/>
    <cellStyle name="20% - Accent6 3 8 2 2 2" xfId="21491"/>
    <cellStyle name="20% - Accent6 3 8 2 3" xfId="21492"/>
    <cellStyle name="20% - Accent6 3 8 3" xfId="21493"/>
    <cellStyle name="20% - Accent6 3 8 3 2" xfId="21494"/>
    <cellStyle name="20% - Accent6 3 8 4" xfId="21495"/>
    <cellStyle name="20% - Accent6 3 9" xfId="21496"/>
    <cellStyle name="20% - Accent6 3 9 2" xfId="21497"/>
    <cellStyle name="20% - Accent6 3 9 2 2" xfId="21498"/>
    <cellStyle name="20% - Accent6 3 9 3" xfId="21499"/>
    <cellStyle name="20% - Accent6 4" xfId="21500"/>
    <cellStyle name="20% - Accent6 4 10" xfId="21501"/>
    <cellStyle name="20% - Accent6 4 10 2" xfId="21502"/>
    <cellStyle name="20% - Accent6 4 11" xfId="21503"/>
    <cellStyle name="20% - Accent6 4 2" xfId="21504"/>
    <cellStyle name="20% - Accent6 4 2 10" xfId="21505"/>
    <cellStyle name="20% - Accent6 4 2 2" xfId="21506"/>
    <cellStyle name="20% - Accent6 4 2 2 2" xfId="21507"/>
    <cellStyle name="20% - Accent6 4 2 2 2 2" xfId="21508"/>
    <cellStyle name="20% - Accent6 4 2 2 2 2 2" xfId="21509"/>
    <cellStyle name="20% - Accent6 4 2 2 2 2 2 2" xfId="21510"/>
    <cellStyle name="20% - Accent6 4 2 2 2 2 3" xfId="21511"/>
    <cellStyle name="20% - Accent6 4 2 2 2 3" xfId="21512"/>
    <cellStyle name="20% - Accent6 4 2 2 2 3 2" xfId="21513"/>
    <cellStyle name="20% - Accent6 4 2 2 2 4" xfId="21514"/>
    <cellStyle name="20% - Accent6 4 2 2 3" xfId="21515"/>
    <cellStyle name="20% - Accent6 4 2 2 3 2" xfId="21516"/>
    <cellStyle name="20% - Accent6 4 2 2 3 2 2" xfId="21517"/>
    <cellStyle name="20% - Accent6 4 2 2 3 3" xfId="21518"/>
    <cellStyle name="20% - Accent6 4 2 2 4" xfId="21519"/>
    <cellStyle name="20% - Accent6 4 2 2 4 2" xfId="21520"/>
    <cellStyle name="20% - Accent6 4 2 2 5" xfId="21521"/>
    <cellStyle name="20% - Accent6 4 2 3" xfId="21522"/>
    <cellStyle name="20% - Accent6 4 2 3 2" xfId="21523"/>
    <cellStyle name="20% - Accent6 4 2 3 2 2" xfId="21524"/>
    <cellStyle name="20% - Accent6 4 2 3 2 2 2" xfId="21525"/>
    <cellStyle name="20% - Accent6 4 2 3 2 2 2 2" xfId="21526"/>
    <cellStyle name="20% - Accent6 4 2 3 2 2 3" xfId="21527"/>
    <cellStyle name="20% - Accent6 4 2 3 2 3" xfId="21528"/>
    <cellStyle name="20% - Accent6 4 2 3 2 3 2" xfId="21529"/>
    <cellStyle name="20% - Accent6 4 2 3 2 4" xfId="21530"/>
    <cellStyle name="20% - Accent6 4 2 3 3" xfId="21531"/>
    <cellStyle name="20% - Accent6 4 2 3 3 2" xfId="21532"/>
    <cellStyle name="20% - Accent6 4 2 3 3 2 2" xfId="21533"/>
    <cellStyle name="20% - Accent6 4 2 3 3 3" xfId="21534"/>
    <cellStyle name="20% - Accent6 4 2 3 4" xfId="21535"/>
    <cellStyle name="20% - Accent6 4 2 3 4 2" xfId="21536"/>
    <cellStyle name="20% - Accent6 4 2 3 5" xfId="21537"/>
    <cellStyle name="20% - Accent6 4 2 4" xfId="21538"/>
    <cellStyle name="20% - Accent6 4 2 4 2" xfId="21539"/>
    <cellStyle name="20% - Accent6 4 2 4 2 2" xfId="21540"/>
    <cellStyle name="20% - Accent6 4 2 4 2 2 2" xfId="21541"/>
    <cellStyle name="20% - Accent6 4 2 4 2 2 2 2" xfId="21542"/>
    <cellStyle name="20% - Accent6 4 2 4 2 2 3" xfId="21543"/>
    <cellStyle name="20% - Accent6 4 2 4 2 3" xfId="21544"/>
    <cellStyle name="20% - Accent6 4 2 4 2 3 2" xfId="21545"/>
    <cellStyle name="20% - Accent6 4 2 4 2 4" xfId="21546"/>
    <cellStyle name="20% - Accent6 4 2 4 3" xfId="21547"/>
    <cellStyle name="20% - Accent6 4 2 4 3 2" xfId="21548"/>
    <cellStyle name="20% - Accent6 4 2 4 3 2 2" xfId="21549"/>
    <cellStyle name="20% - Accent6 4 2 4 3 3" xfId="21550"/>
    <cellStyle name="20% - Accent6 4 2 4 4" xfId="21551"/>
    <cellStyle name="20% - Accent6 4 2 4 4 2" xfId="21552"/>
    <cellStyle name="20% - Accent6 4 2 4 5" xfId="21553"/>
    <cellStyle name="20% - Accent6 4 2 5" xfId="21554"/>
    <cellStyle name="20% - Accent6 4 2 5 2" xfId="21555"/>
    <cellStyle name="20% - Accent6 4 2 5 2 2" xfId="21556"/>
    <cellStyle name="20% - Accent6 4 2 5 2 2 2" xfId="21557"/>
    <cellStyle name="20% - Accent6 4 2 5 2 2 2 2" xfId="21558"/>
    <cellStyle name="20% - Accent6 4 2 5 2 2 3" xfId="21559"/>
    <cellStyle name="20% - Accent6 4 2 5 2 3" xfId="21560"/>
    <cellStyle name="20% - Accent6 4 2 5 2 3 2" xfId="21561"/>
    <cellStyle name="20% - Accent6 4 2 5 2 4" xfId="21562"/>
    <cellStyle name="20% - Accent6 4 2 5 3" xfId="21563"/>
    <cellStyle name="20% - Accent6 4 2 5 3 2" xfId="21564"/>
    <cellStyle name="20% - Accent6 4 2 5 3 2 2" xfId="21565"/>
    <cellStyle name="20% - Accent6 4 2 5 3 3" xfId="21566"/>
    <cellStyle name="20% - Accent6 4 2 5 4" xfId="21567"/>
    <cellStyle name="20% - Accent6 4 2 5 4 2" xfId="21568"/>
    <cellStyle name="20% - Accent6 4 2 5 5" xfId="21569"/>
    <cellStyle name="20% - Accent6 4 2 6" xfId="21570"/>
    <cellStyle name="20% - Accent6 4 2 6 2" xfId="21571"/>
    <cellStyle name="20% - Accent6 4 2 6 2 2" xfId="21572"/>
    <cellStyle name="20% - Accent6 4 2 6 2 2 2" xfId="21573"/>
    <cellStyle name="20% - Accent6 4 2 6 2 2 2 2" xfId="21574"/>
    <cellStyle name="20% - Accent6 4 2 6 2 2 3" xfId="21575"/>
    <cellStyle name="20% - Accent6 4 2 6 2 3" xfId="21576"/>
    <cellStyle name="20% - Accent6 4 2 6 2 3 2" xfId="21577"/>
    <cellStyle name="20% - Accent6 4 2 6 2 4" xfId="21578"/>
    <cellStyle name="20% - Accent6 4 2 6 3" xfId="21579"/>
    <cellStyle name="20% - Accent6 4 2 6 3 2" xfId="21580"/>
    <cellStyle name="20% - Accent6 4 2 6 3 2 2" xfId="21581"/>
    <cellStyle name="20% - Accent6 4 2 6 3 3" xfId="21582"/>
    <cellStyle name="20% - Accent6 4 2 6 4" xfId="21583"/>
    <cellStyle name="20% - Accent6 4 2 6 4 2" xfId="21584"/>
    <cellStyle name="20% - Accent6 4 2 6 5" xfId="21585"/>
    <cellStyle name="20% - Accent6 4 2 7" xfId="21586"/>
    <cellStyle name="20% - Accent6 4 2 7 2" xfId="21587"/>
    <cellStyle name="20% - Accent6 4 2 7 2 2" xfId="21588"/>
    <cellStyle name="20% - Accent6 4 2 7 2 2 2" xfId="21589"/>
    <cellStyle name="20% - Accent6 4 2 7 2 3" xfId="21590"/>
    <cellStyle name="20% - Accent6 4 2 7 3" xfId="21591"/>
    <cellStyle name="20% - Accent6 4 2 7 3 2" xfId="21592"/>
    <cellStyle name="20% - Accent6 4 2 7 4" xfId="21593"/>
    <cellStyle name="20% - Accent6 4 2 8" xfId="21594"/>
    <cellStyle name="20% - Accent6 4 2 8 2" xfId="21595"/>
    <cellStyle name="20% - Accent6 4 2 8 2 2" xfId="21596"/>
    <cellStyle name="20% - Accent6 4 2 8 3" xfId="21597"/>
    <cellStyle name="20% - Accent6 4 2 9" xfId="21598"/>
    <cellStyle name="20% - Accent6 4 2 9 2" xfId="21599"/>
    <cellStyle name="20% - Accent6 4 3" xfId="21600"/>
    <cellStyle name="20% - Accent6 4 3 2" xfId="21601"/>
    <cellStyle name="20% - Accent6 4 3 2 2" xfId="21602"/>
    <cellStyle name="20% - Accent6 4 3 2 2 2" xfId="21603"/>
    <cellStyle name="20% - Accent6 4 3 2 2 2 2" xfId="21604"/>
    <cellStyle name="20% - Accent6 4 3 2 2 3" xfId="21605"/>
    <cellStyle name="20% - Accent6 4 3 2 3" xfId="21606"/>
    <cellStyle name="20% - Accent6 4 3 2 3 2" xfId="21607"/>
    <cellStyle name="20% - Accent6 4 3 2 4" xfId="21608"/>
    <cellStyle name="20% - Accent6 4 3 3" xfId="21609"/>
    <cellStyle name="20% - Accent6 4 3 3 2" xfId="21610"/>
    <cellStyle name="20% - Accent6 4 3 3 2 2" xfId="21611"/>
    <cellStyle name="20% - Accent6 4 3 3 3" xfId="21612"/>
    <cellStyle name="20% - Accent6 4 3 4" xfId="21613"/>
    <cellStyle name="20% - Accent6 4 3 4 2" xfId="21614"/>
    <cellStyle name="20% - Accent6 4 3 5" xfId="21615"/>
    <cellStyle name="20% - Accent6 4 4" xfId="21616"/>
    <cellStyle name="20% - Accent6 4 4 2" xfId="21617"/>
    <cellStyle name="20% - Accent6 4 4 2 2" xfId="21618"/>
    <cellStyle name="20% - Accent6 4 4 2 2 2" xfId="21619"/>
    <cellStyle name="20% - Accent6 4 4 2 2 2 2" xfId="21620"/>
    <cellStyle name="20% - Accent6 4 4 2 2 3" xfId="21621"/>
    <cellStyle name="20% - Accent6 4 4 2 3" xfId="21622"/>
    <cellStyle name="20% - Accent6 4 4 2 3 2" xfId="21623"/>
    <cellStyle name="20% - Accent6 4 4 2 4" xfId="21624"/>
    <cellStyle name="20% - Accent6 4 4 3" xfId="21625"/>
    <cellStyle name="20% - Accent6 4 4 3 2" xfId="21626"/>
    <cellStyle name="20% - Accent6 4 4 3 2 2" xfId="21627"/>
    <cellStyle name="20% - Accent6 4 4 3 3" xfId="21628"/>
    <cellStyle name="20% - Accent6 4 4 4" xfId="21629"/>
    <cellStyle name="20% - Accent6 4 4 4 2" xfId="21630"/>
    <cellStyle name="20% - Accent6 4 4 5" xfId="21631"/>
    <cellStyle name="20% - Accent6 4 5" xfId="21632"/>
    <cellStyle name="20% - Accent6 4 5 2" xfId="21633"/>
    <cellStyle name="20% - Accent6 4 5 2 2" xfId="21634"/>
    <cellStyle name="20% - Accent6 4 5 2 2 2" xfId="21635"/>
    <cellStyle name="20% - Accent6 4 5 2 2 2 2" xfId="21636"/>
    <cellStyle name="20% - Accent6 4 5 2 2 3" xfId="21637"/>
    <cellStyle name="20% - Accent6 4 5 2 3" xfId="21638"/>
    <cellStyle name="20% - Accent6 4 5 2 3 2" xfId="21639"/>
    <cellStyle name="20% - Accent6 4 5 2 4" xfId="21640"/>
    <cellStyle name="20% - Accent6 4 5 3" xfId="21641"/>
    <cellStyle name="20% - Accent6 4 5 3 2" xfId="21642"/>
    <cellStyle name="20% - Accent6 4 5 3 2 2" xfId="21643"/>
    <cellStyle name="20% - Accent6 4 5 3 3" xfId="21644"/>
    <cellStyle name="20% - Accent6 4 5 4" xfId="21645"/>
    <cellStyle name="20% - Accent6 4 5 4 2" xfId="21646"/>
    <cellStyle name="20% - Accent6 4 5 5" xfId="21647"/>
    <cellStyle name="20% - Accent6 4 6" xfId="21648"/>
    <cellStyle name="20% - Accent6 4 6 2" xfId="21649"/>
    <cellStyle name="20% - Accent6 4 6 2 2" xfId="21650"/>
    <cellStyle name="20% - Accent6 4 6 2 2 2" xfId="21651"/>
    <cellStyle name="20% - Accent6 4 6 2 2 2 2" xfId="21652"/>
    <cellStyle name="20% - Accent6 4 6 2 2 3" xfId="21653"/>
    <cellStyle name="20% - Accent6 4 6 2 3" xfId="21654"/>
    <cellStyle name="20% - Accent6 4 6 2 3 2" xfId="21655"/>
    <cellStyle name="20% - Accent6 4 6 2 4" xfId="21656"/>
    <cellStyle name="20% - Accent6 4 6 3" xfId="21657"/>
    <cellStyle name="20% - Accent6 4 6 3 2" xfId="21658"/>
    <cellStyle name="20% - Accent6 4 6 3 2 2" xfId="21659"/>
    <cellStyle name="20% - Accent6 4 6 3 3" xfId="21660"/>
    <cellStyle name="20% - Accent6 4 6 4" xfId="21661"/>
    <cellStyle name="20% - Accent6 4 6 4 2" xfId="21662"/>
    <cellStyle name="20% - Accent6 4 6 5" xfId="21663"/>
    <cellStyle name="20% - Accent6 4 7" xfId="21664"/>
    <cellStyle name="20% - Accent6 4 7 2" xfId="21665"/>
    <cellStyle name="20% - Accent6 4 7 2 2" xfId="21666"/>
    <cellStyle name="20% - Accent6 4 7 2 2 2" xfId="21667"/>
    <cellStyle name="20% - Accent6 4 7 2 2 2 2" xfId="21668"/>
    <cellStyle name="20% - Accent6 4 7 2 2 3" xfId="21669"/>
    <cellStyle name="20% - Accent6 4 7 2 3" xfId="21670"/>
    <cellStyle name="20% - Accent6 4 7 2 3 2" xfId="21671"/>
    <cellStyle name="20% - Accent6 4 7 2 4" xfId="21672"/>
    <cellStyle name="20% - Accent6 4 7 3" xfId="21673"/>
    <cellStyle name="20% - Accent6 4 7 3 2" xfId="21674"/>
    <cellStyle name="20% - Accent6 4 7 3 2 2" xfId="21675"/>
    <cellStyle name="20% - Accent6 4 7 3 3" xfId="21676"/>
    <cellStyle name="20% - Accent6 4 7 4" xfId="21677"/>
    <cellStyle name="20% - Accent6 4 7 4 2" xfId="21678"/>
    <cellStyle name="20% - Accent6 4 7 5" xfId="21679"/>
    <cellStyle name="20% - Accent6 4 8" xfId="21680"/>
    <cellStyle name="20% - Accent6 4 8 2" xfId="21681"/>
    <cellStyle name="20% - Accent6 4 8 2 2" xfId="21682"/>
    <cellStyle name="20% - Accent6 4 8 2 2 2" xfId="21683"/>
    <cellStyle name="20% - Accent6 4 8 2 3" xfId="21684"/>
    <cellStyle name="20% - Accent6 4 8 3" xfId="21685"/>
    <cellStyle name="20% - Accent6 4 8 3 2" xfId="21686"/>
    <cellStyle name="20% - Accent6 4 8 4" xfId="21687"/>
    <cellStyle name="20% - Accent6 4 9" xfId="21688"/>
    <cellStyle name="20% - Accent6 4 9 2" xfId="21689"/>
    <cellStyle name="20% - Accent6 4 9 2 2" xfId="21690"/>
    <cellStyle name="20% - Accent6 4 9 3" xfId="21691"/>
    <cellStyle name="20% - Accent6 5" xfId="21692"/>
    <cellStyle name="20% - Accent6 5 10" xfId="21693"/>
    <cellStyle name="20% - Accent6 5 10 2" xfId="21694"/>
    <cellStyle name="20% - Accent6 5 11" xfId="21695"/>
    <cellStyle name="20% - Accent6 5 2" xfId="21696"/>
    <cellStyle name="20% - Accent6 5 2 10" xfId="21697"/>
    <cellStyle name="20% - Accent6 5 2 2" xfId="21698"/>
    <cellStyle name="20% - Accent6 5 2 2 2" xfId="21699"/>
    <cellStyle name="20% - Accent6 5 2 2 2 2" xfId="21700"/>
    <cellStyle name="20% - Accent6 5 2 2 2 2 2" xfId="21701"/>
    <cellStyle name="20% - Accent6 5 2 2 2 2 2 2" xfId="21702"/>
    <cellStyle name="20% - Accent6 5 2 2 2 2 3" xfId="21703"/>
    <cellStyle name="20% - Accent6 5 2 2 2 3" xfId="21704"/>
    <cellStyle name="20% - Accent6 5 2 2 2 3 2" xfId="21705"/>
    <cellStyle name="20% - Accent6 5 2 2 2 4" xfId="21706"/>
    <cellStyle name="20% - Accent6 5 2 2 3" xfId="21707"/>
    <cellStyle name="20% - Accent6 5 2 2 3 2" xfId="21708"/>
    <cellStyle name="20% - Accent6 5 2 2 3 2 2" xfId="21709"/>
    <cellStyle name="20% - Accent6 5 2 2 3 3" xfId="21710"/>
    <cellStyle name="20% - Accent6 5 2 2 4" xfId="21711"/>
    <cellStyle name="20% - Accent6 5 2 2 4 2" xfId="21712"/>
    <cellStyle name="20% - Accent6 5 2 2 5" xfId="21713"/>
    <cellStyle name="20% - Accent6 5 2 3" xfId="21714"/>
    <cellStyle name="20% - Accent6 5 2 3 2" xfId="21715"/>
    <cellStyle name="20% - Accent6 5 2 3 2 2" xfId="21716"/>
    <cellStyle name="20% - Accent6 5 2 3 2 2 2" xfId="21717"/>
    <cellStyle name="20% - Accent6 5 2 3 2 2 2 2" xfId="21718"/>
    <cellStyle name="20% - Accent6 5 2 3 2 2 3" xfId="21719"/>
    <cellStyle name="20% - Accent6 5 2 3 2 3" xfId="21720"/>
    <cellStyle name="20% - Accent6 5 2 3 2 3 2" xfId="21721"/>
    <cellStyle name="20% - Accent6 5 2 3 2 4" xfId="21722"/>
    <cellStyle name="20% - Accent6 5 2 3 3" xfId="21723"/>
    <cellStyle name="20% - Accent6 5 2 3 3 2" xfId="21724"/>
    <cellStyle name="20% - Accent6 5 2 3 3 2 2" xfId="21725"/>
    <cellStyle name="20% - Accent6 5 2 3 3 3" xfId="21726"/>
    <cellStyle name="20% - Accent6 5 2 3 4" xfId="21727"/>
    <cellStyle name="20% - Accent6 5 2 3 4 2" xfId="21728"/>
    <cellStyle name="20% - Accent6 5 2 3 5" xfId="21729"/>
    <cellStyle name="20% - Accent6 5 2 4" xfId="21730"/>
    <cellStyle name="20% - Accent6 5 2 4 2" xfId="21731"/>
    <cellStyle name="20% - Accent6 5 2 4 2 2" xfId="21732"/>
    <cellStyle name="20% - Accent6 5 2 4 2 2 2" xfId="21733"/>
    <cellStyle name="20% - Accent6 5 2 4 2 2 2 2" xfId="21734"/>
    <cellStyle name="20% - Accent6 5 2 4 2 2 3" xfId="21735"/>
    <cellStyle name="20% - Accent6 5 2 4 2 3" xfId="21736"/>
    <cellStyle name="20% - Accent6 5 2 4 2 3 2" xfId="21737"/>
    <cellStyle name="20% - Accent6 5 2 4 2 4" xfId="21738"/>
    <cellStyle name="20% - Accent6 5 2 4 3" xfId="21739"/>
    <cellStyle name="20% - Accent6 5 2 4 3 2" xfId="21740"/>
    <cellStyle name="20% - Accent6 5 2 4 3 2 2" xfId="21741"/>
    <cellStyle name="20% - Accent6 5 2 4 3 3" xfId="21742"/>
    <cellStyle name="20% - Accent6 5 2 4 4" xfId="21743"/>
    <cellStyle name="20% - Accent6 5 2 4 4 2" xfId="21744"/>
    <cellStyle name="20% - Accent6 5 2 4 5" xfId="21745"/>
    <cellStyle name="20% - Accent6 5 2 5" xfId="21746"/>
    <cellStyle name="20% - Accent6 5 2 5 2" xfId="21747"/>
    <cellStyle name="20% - Accent6 5 2 5 2 2" xfId="21748"/>
    <cellStyle name="20% - Accent6 5 2 5 2 2 2" xfId="21749"/>
    <cellStyle name="20% - Accent6 5 2 5 2 2 2 2" xfId="21750"/>
    <cellStyle name="20% - Accent6 5 2 5 2 2 3" xfId="21751"/>
    <cellStyle name="20% - Accent6 5 2 5 2 3" xfId="21752"/>
    <cellStyle name="20% - Accent6 5 2 5 2 3 2" xfId="21753"/>
    <cellStyle name="20% - Accent6 5 2 5 2 4" xfId="21754"/>
    <cellStyle name="20% - Accent6 5 2 5 3" xfId="21755"/>
    <cellStyle name="20% - Accent6 5 2 5 3 2" xfId="21756"/>
    <cellStyle name="20% - Accent6 5 2 5 3 2 2" xfId="21757"/>
    <cellStyle name="20% - Accent6 5 2 5 3 3" xfId="21758"/>
    <cellStyle name="20% - Accent6 5 2 5 4" xfId="21759"/>
    <cellStyle name="20% - Accent6 5 2 5 4 2" xfId="21760"/>
    <cellStyle name="20% - Accent6 5 2 5 5" xfId="21761"/>
    <cellStyle name="20% - Accent6 5 2 6" xfId="21762"/>
    <cellStyle name="20% - Accent6 5 2 6 2" xfId="21763"/>
    <cellStyle name="20% - Accent6 5 2 6 2 2" xfId="21764"/>
    <cellStyle name="20% - Accent6 5 2 6 2 2 2" xfId="21765"/>
    <cellStyle name="20% - Accent6 5 2 6 2 2 2 2" xfId="21766"/>
    <cellStyle name="20% - Accent6 5 2 6 2 2 3" xfId="21767"/>
    <cellStyle name="20% - Accent6 5 2 6 2 3" xfId="21768"/>
    <cellStyle name="20% - Accent6 5 2 6 2 3 2" xfId="21769"/>
    <cellStyle name="20% - Accent6 5 2 6 2 4" xfId="21770"/>
    <cellStyle name="20% - Accent6 5 2 6 3" xfId="21771"/>
    <cellStyle name="20% - Accent6 5 2 6 3 2" xfId="21772"/>
    <cellStyle name="20% - Accent6 5 2 6 3 2 2" xfId="21773"/>
    <cellStyle name="20% - Accent6 5 2 6 3 3" xfId="21774"/>
    <cellStyle name="20% - Accent6 5 2 6 4" xfId="21775"/>
    <cellStyle name="20% - Accent6 5 2 6 4 2" xfId="21776"/>
    <cellStyle name="20% - Accent6 5 2 6 5" xfId="21777"/>
    <cellStyle name="20% - Accent6 5 2 7" xfId="21778"/>
    <cellStyle name="20% - Accent6 5 2 7 2" xfId="21779"/>
    <cellStyle name="20% - Accent6 5 2 7 2 2" xfId="21780"/>
    <cellStyle name="20% - Accent6 5 2 7 2 2 2" xfId="21781"/>
    <cellStyle name="20% - Accent6 5 2 7 2 3" xfId="21782"/>
    <cellStyle name="20% - Accent6 5 2 7 3" xfId="21783"/>
    <cellStyle name="20% - Accent6 5 2 7 3 2" xfId="21784"/>
    <cellStyle name="20% - Accent6 5 2 7 4" xfId="21785"/>
    <cellStyle name="20% - Accent6 5 2 8" xfId="21786"/>
    <cellStyle name="20% - Accent6 5 2 8 2" xfId="21787"/>
    <cellStyle name="20% - Accent6 5 2 8 2 2" xfId="21788"/>
    <cellStyle name="20% - Accent6 5 2 8 3" xfId="21789"/>
    <cellStyle name="20% - Accent6 5 2 9" xfId="21790"/>
    <cellStyle name="20% - Accent6 5 2 9 2" xfId="21791"/>
    <cellStyle name="20% - Accent6 5 3" xfId="21792"/>
    <cellStyle name="20% - Accent6 5 3 2" xfId="21793"/>
    <cellStyle name="20% - Accent6 5 3 2 2" xfId="21794"/>
    <cellStyle name="20% - Accent6 5 3 2 2 2" xfId="21795"/>
    <cellStyle name="20% - Accent6 5 3 2 2 2 2" xfId="21796"/>
    <cellStyle name="20% - Accent6 5 3 2 2 3" xfId="21797"/>
    <cellStyle name="20% - Accent6 5 3 2 3" xfId="21798"/>
    <cellStyle name="20% - Accent6 5 3 2 3 2" xfId="21799"/>
    <cellStyle name="20% - Accent6 5 3 2 4" xfId="21800"/>
    <cellStyle name="20% - Accent6 5 3 3" xfId="21801"/>
    <cellStyle name="20% - Accent6 5 3 3 2" xfId="21802"/>
    <cellStyle name="20% - Accent6 5 3 3 2 2" xfId="21803"/>
    <cellStyle name="20% - Accent6 5 3 3 3" xfId="21804"/>
    <cellStyle name="20% - Accent6 5 3 4" xfId="21805"/>
    <cellStyle name="20% - Accent6 5 3 4 2" xfId="21806"/>
    <cellStyle name="20% - Accent6 5 3 5" xfId="21807"/>
    <cellStyle name="20% - Accent6 5 4" xfId="21808"/>
    <cellStyle name="20% - Accent6 5 4 2" xfId="21809"/>
    <cellStyle name="20% - Accent6 5 4 2 2" xfId="21810"/>
    <cellStyle name="20% - Accent6 5 4 2 2 2" xfId="21811"/>
    <cellStyle name="20% - Accent6 5 4 2 2 2 2" xfId="21812"/>
    <cellStyle name="20% - Accent6 5 4 2 2 3" xfId="21813"/>
    <cellStyle name="20% - Accent6 5 4 2 3" xfId="21814"/>
    <cellStyle name="20% - Accent6 5 4 2 3 2" xfId="21815"/>
    <cellStyle name="20% - Accent6 5 4 2 4" xfId="21816"/>
    <cellStyle name="20% - Accent6 5 4 3" xfId="21817"/>
    <cellStyle name="20% - Accent6 5 4 3 2" xfId="21818"/>
    <cellStyle name="20% - Accent6 5 4 3 2 2" xfId="21819"/>
    <cellStyle name="20% - Accent6 5 4 3 3" xfId="21820"/>
    <cellStyle name="20% - Accent6 5 4 4" xfId="21821"/>
    <cellStyle name="20% - Accent6 5 4 4 2" xfId="21822"/>
    <cellStyle name="20% - Accent6 5 4 5" xfId="21823"/>
    <cellStyle name="20% - Accent6 5 5" xfId="21824"/>
    <cellStyle name="20% - Accent6 5 5 2" xfId="21825"/>
    <cellStyle name="20% - Accent6 5 5 2 2" xfId="21826"/>
    <cellStyle name="20% - Accent6 5 5 2 2 2" xfId="21827"/>
    <cellStyle name="20% - Accent6 5 5 2 2 2 2" xfId="21828"/>
    <cellStyle name="20% - Accent6 5 5 2 2 3" xfId="21829"/>
    <cellStyle name="20% - Accent6 5 5 2 3" xfId="21830"/>
    <cellStyle name="20% - Accent6 5 5 2 3 2" xfId="21831"/>
    <cellStyle name="20% - Accent6 5 5 2 4" xfId="21832"/>
    <cellStyle name="20% - Accent6 5 5 3" xfId="21833"/>
    <cellStyle name="20% - Accent6 5 5 3 2" xfId="21834"/>
    <cellStyle name="20% - Accent6 5 5 3 2 2" xfId="21835"/>
    <cellStyle name="20% - Accent6 5 5 3 3" xfId="21836"/>
    <cellStyle name="20% - Accent6 5 5 4" xfId="21837"/>
    <cellStyle name="20% - Accent6 5 5 4 2" xfId="21838"/>
    <cellStyle name="20% - Accent6 5 5 5" xfId="21839"/>
    <cellStyle name="20% - Accent6 5 6" xfId="21840"/>
    <cellStyle name="20% - Accent6 5 6 2" xfId="21841"/>
    <cellStyle name="20% - Accent6 5 6 2 2" xfId="21842"/>
    <cellStyle name="20% - Accent6 5 6 2 2 2" xfId="21843"/>
    <cellStyle name="20% - Accent6 5 6 2 2 2 2" xfId="21844"/>
    <cellStyle name="20% - Accent6 5 6 2 2 3" xfId="21845"/>
    <cellStyle name="20% - Accent6 5 6 2 3" xfId="21846"/>
    <cellStyle name="20% - Accent6 5 6 2 3 2" xfId="21847"/>
    <cellStyle name="20% - Accent6 5 6 2 4" xfId="21848"/>
    <cellStyle name="20% - Accent6 5 6 3" xfId="21849"/>
    <cellStyle name="20% - Accent6 5 6 3 2" xfId="21850"/>
    <cellStyle name="20% - Accent6 5 6 3 2 2" xfId="21851"/>
    <cellStyle name="20% - Accent6 5 6 3 3" xfId="21852"/>
    <cellStyle name="20% - Accent6 5 6 4" xfId="21853"/>
    <cellStyle name="20% - Accent6 5 6 4 2" xfId="21854"/>
    <cellStyle name="20% - Accent6 5 6 5" xfId="21855"/>
    <cellStyle name="20% - Accent6 5 7" xfId="21856"/>
    <cellStyle name="20% - Accent6 5 7 2" xfId="21857"/>
    <cellStyle name="20% - Accent6 5 7 2 2" xfId="21858"/>
    <cellStyle name="20% - Accent6 5 7 2 2 2" xfId="21859"/>
    <cellStyle name="20% - Accent6 5 7 2 2 2 2" xfId="21860"/>
    <cellStyle name="20% - Accent6 5 7 2 2 3" xfId="21861"/>
    <cellStyle name="20% - Accent6 5 7 2 3" xfId="21862"/>
    <cellStyle name="20% - Accent6 5 7 2 3 2" xfId="21863"/>
    <cellStyle name="20% - Accent6 5 7 2 4" xfId="21864"/>
    <cellStyle name="20% - Accent6 5 7 3" xfId="21865"/>
    <cellStyle name="20% - Accent6 5 7 3 2" xfId="21866"/>
    <cellStyle name="20% - Accent6 5 7 3 2 2" xfId="21867"/>
    <cellStyle name="20% - Accent6 5 7 3 3" xfId="21868"/>
    <cellStyle name="20% - Accent6 5 7 4" xfId="21869"/>
    <cellStyle name="20% - Accent6 5 7 4 2" xfId="21870"/>
    <cellStyle name="20% - Accent6 5 7 5" xfId="21871"/>
    <cellStyle name="20% - Accent6 5 8" xfId="21872"/>
    <cellStyle name="20% - Accent6 5 8 2" xfId="21873"/>
    <cellStyle name="20% - Accent6 5 8 2 2" xfId="21874"/>
    <cellStyle name="20% - Accent6 5 8 2 2 2" xfId="21875"/>
    <cellStyle name="20% - Accent6 5 8 2 3" xfId="21876"/>
    <cellStyle name="20% - Accent6 5 8 3" xfId="21877"/>
    <cellStyle name="20% - Accent6 5 8 3 2" xfId="21878"/>
    <cellStyle name="20% - Accent6 5 8 4" xfId="21879"/>
    <cellStyle name="20% - Accent6 5 9" xfId="21880"/>
    <cellStyle name="20% - Accent6 5 9 2" xfId="21881"/>
    <cellStyle name="20% - Accent6 5 9 2 2" xfId="21882"/>
    <cellStyle name="20% - Accent6 5 9 3" xfId="21883"/>
    <cellStyle name="20% - Accent6 6" xfId="21884"/>
    <cellStyle name="20% - Accent6 6 10" xfId="21885"/>
    <cellStyle name="20% - Accent6 6 10 2" xfId="21886"/>
    <cellStyle name="20% - Accent6 6 11" xfId="21887"/>
    <cellStyle name="20% - Accent6 6 2" xfId="21888"/>
    <cellStyle name="20% - Accent6 6 2 10" xfId="21889"/>
    <cellStyle name="20% - Accent6 6 2 2" xfId="21890"/>
    <cellStyle name="20% - Accent6 6 2 2 2" xfId="21891"/>
    <cellStyle name="20% - Accent6 6 2 2 2 2" xfId="21892"/>
    <cellStyle name="20% - Accent6 6 2 2 2 2 2" xfId="21893"/>
    <cellStyle name="20% - Accent6 6 2 2 2 2 2 2" xfId="21894"/>
    <cellStyle name="20% - Accent6 6 2 2 2 2 3" xfId="21895"/>
    <cellStyle name="20% - Accent6 6 2 2 2 3" xfId="21896"/>
    <cellStyle name="20% - Accent6 6 2 2 2 3 2" xfId="21897"/>
    <cellStyle name="20% - Accent6 6 2 2 2 4" xfId="21898"/>
    <cellStyle name="20% - Accent6 6 2 2 3" xfId="21899"/>
    <cellStyle name="20% - Accent6 6 2 2 3 2" xfId="21900"/>
    <cellStyle name="20% - Accent6 6 2 2 3 2 2" xfId="21901"/>
    <cellStyle name="20% - Accent6 6 2 2 3 3" xfId="21902"/>
    <cellStyle name="20% - Accent6 6 2 2 4" xfId="21903"/>
    <cellStyle name="20% - Accent6 6 2 2 4 2" xfId="21904"/>
    <cellStyle name="20% - Accent6 6 2 2 5" xfId="21905"/>
    <cellStyle name="20% - Accent6 6 2 3" xfId="21906"/>
    <cellStyle name="20% - Accent6 6 2 3 2" xfId="21907"/>
    <cellStyle name="20% - Accent6 6 2 3 2 2" xfId="21908"/>
    <cellStyle name="20% - Accent6 6 2 3 2 2 2" xfId="21909"/>
    <cellStyle name="20% - Accent6 6 2 3 2 2 2 2" xfId="21910"/>
    <cellStyle name="20% - Accent6 6 2 3 2 2 3" xfId="21911"/>
    <cellStyle name="20% - Accent6 6 2 3 2 3" xfId="21912"/>
    <cellStyle name="20% - Accent6 6 2 3 2 3 2" xfId="21913"/>
    <cellStyle name="20% - Accent6 6 2 3 2 4" xfId="21914"/>
    <cellStyle name="20% - Accent6 6 2 3 3" xfId="21915"/>
    <cellStyle name="20% - Accent6 6 2 3 3 2" xfId="21916"/>
    <cellStyle name="20% - Accent6 6 2 3 3 2 2" xfId="21917"/>
    <cellStyle name="20% - Accent6 6 2 3 3 3" xfId="21918"/>
    <cellStyle name="20% - Accent6 6 2 3 4" xfId="21919"/>
    <cellStyle name="20% - Accent6 6 2 3 4 2" xfId="21920"/>
    <cellStyle name="20% - Accent6 6 2 3 5" xfId="21921"/>
    <cellStyle name="20% - Accent6 6 2 4" xfId="21922"/>
    <cellStyle name="20% - Accent6 6 2 4 2" xfId="21923"/>
    <cellStyle name="20% - Accent6 6 2 4 2 2" xfId="21924"/>
    <cellStyle name="20% - Accent6 6 2 4 2 2 2" xfId="21925"/>
    <cellStyle name="20% - Accent6 6 2 4 2 2 2 2" xfId="21926"/>
    <cellStyle name="20% - Accent6 6 2 4 2 2 3" xfId="21927"/>
    <cellStyle name="20% - Accent6 6 2 4 2 3" xfId="21928"/>
    <cellStyle name="20% - Accent6 6 2 4 2 3 2" xfId="21929"/>
    <cellStyle name="20% - Accent6 6 2 4 2 4" xfId="21930"/>
    <cellStyle name="20% - Accent6 6 2 4 3" xfId="21931"/>
    <cellStyle name="20% - Accent6 6 2 4 3 2" xfId="21932"/>
    <cellStyle name="20% - Accent6 6 2 4 3 2 2" xfId="21933"/>
    <cellStyle name="20% - Accent6 6 2 4 3 3" xfId="21934"/>
    <cellStyle name="20% - Accent6 6 2 4 4" xfId="21935"/>
    <cellStyle name="20% - Accent6 6 2 4 4 2" xfId="21936"/>
    <cellStyle name="20% - Accent6 6 2 4 5" xfId="21937"/>
    <cellStyle name="20% - Accent6 6 2 5" xfId="21938"/>
    <cellStyle name="20% - Accent6 6 2 5 2" xfId="21939"/>
    <cellStyle name="20% - Accent6 6 2 5 2 2" xfId="21940"/>
    <cellStyle name="20% - Accent6 6 2 5 2 2 2" xfId="21941"/>
    <cellStyle name="20% - Accent6 6 2 5 2 2 2 2" xfId="21942"/>
    <cellStyle name="20% - Accent6 6 2 5 2 2 3" xfId="21943"/>
    <cellStyle name="20% - Accent6 6 2 5 2 3" xfId="21944"/>
    <cellStyle name="20% - Accent6 6 2 5 2 3 2" xfId="21945"/>
    <cellStyle name="20% - Accent6 6 2 5 2 4" xfId="21946"/>
    <cellStyle name="20% - Accent6 6 2 5 3" xfId="21947"/>
    <cellStyle name="20% - Accent6 6 2 5 3 2" xfId="21948"/>
    <cellStyle name="20% - Accent6 6 2 5 3 2 2" xfId="21949"/>
    <cellStyle name="20% - Accent6 6 2 5 3 3" xfId="21950"/>
    <cellStyle name="20% - Accent6 6 2 5 4" xfId="21951"/>
    <cellStyle name="20% - Accent6 6 2 5 4 2" xfId="21952"/>
    <cellStyle name="20% - Accent6 6 2 5 5" xfId="21953"/>
    <cellStyle name="20% - Accent6 6 2 6" xfId="21954"/>
    <cellStyle name="20% - Accent6 6 2 6 2" xfId="21955"/>
    <cellStyle name="20% - Accent6 6 2 6 2 2" xfId="21956"/>
    <cellStyle name="20% - Accent6 6 2 6 2 2 2" xfId="21957"/>
    <cellStyle name="20% - Accent6 6 2 6 2 2 2 2" xfId="21958"/>
    <cellStyle name="20% - Accent6 6 2 6 2 2 3" xfId="21959"/>
    <cellStyle name="20% - Accent6 6 2 6 2 3" xfId="21960"/>
    <cellStyle name="20% - Accent6 6 2 6 2 3 2" xfId="21961"/>
    <cellStyle name="20% - Accent6 6 2 6 2 4" xfId="21962"/>
    <cellStyle name="20% - Accent6 6 2 6 3" xfId="21963"/>
    <cellStyle name="20% - Accent6 6 2 6 3 2" xfId="21964"/>
    <cellStyle name="20% - Accent6 6 2 6 3 2 2" xfId="21965"/>
    <cellStyle name="20% - Accent6 6 2 6 3 3" xfId="21966"/>
    <cellStyle name="20% - Accent6 6 2 6 4" xfId="21967"/>
    <cellStyle name="20% - Accent6 6 2 6 4 2" xfId="21968"/>
    <cellStyle name="20% - Accent6 6 2 6 5" xfId="21969"/>
    <cellStyle name="20% - Accent6 6 2 7" xfId="21970"/>
    <cellStyle name="20% - Accent6 6 2 7 2" xfId="21971"/>
    <cellStyle name="20% - Accent6 6 2 7 2 2" xfId="21972"/>
    <cellStyle name="20% - Accent6 6 2 7 2 2 2" xfId="21973"/>
    <cellStyle name="20% - Accent6 6 2 7 2 3" xfId="21974"/>
    <cellStyle name="20% - Accent6 6 2 7 3" xfId="21975"/>
    <cellStyle name="20% - Accent6 6 2 7 3 2" xfId="21976"/>
    <cellStyle name="20% - Accent6 6 2 7 4" xfId="21977"/>
    <cellStyle name="20% - Accent6 6 2 8" xfId="21978"/>
    <cellStyle name="20% - Accent6 6 2 8 2" xfId="21979"/>
    <cellStyle name="20% - Accent6 6 2 8 2 2" xfId="21980"/>
    <cellStyle name="20% - Accent6 6 2 8 3" xfId="21981"/>
    <cellStyle name="20% - Accent6 6 2 9" xfId="21982"/>
    <cellStyle name="20% - Accent6 6 2 9 2" xfId="21983"/>
    <cellStyle name="20% - Accent6 6 3" xfId="21984"/>
    <cellStyle name="20% - Accent6 6 3 2" xfId="21985"/>
    <cellStyle name="20% - Accent6 6 3 2 2" xfId="21986"/>
    <cellStyle name="20% - Accent6 6 3 2 2 2" xfId="21987"/>
    <cellStyle name="20% - Accent6 6 3 2 2 2 2" xfId="21988"/>
    <cellStyle name="20% - Accent6 6 3 2 2 3" xfId="21989"/>
    <cellStyle name="20% - Accent6 6 3 2 3" xfId="21990"/>
    <cellStyle name="20% - Accent6 6 3 2 3 2" xfId="21991"/>
    <cellStyle name="20% - Accent6 6 3 2 4" xfId="21992"/>
    <cellStyle name="20% - Accent6 6 3 3" xfId="21993"/>
    <cellStyle name="20% - Accent6 6 3 3 2" xfId="21994"/>
    <cellStyle name="20% - Accent6 6 3 3 2 2" xfId="21995"/>
    <cellStyle name="20% - Accent6 6 3 3 3" xfId="21996"/>
    <cellStyle name="20% - Accent6 6 3 4" xfId="21997"/>
    <cellStyle name="20% - Accent6 6 3 4 2" xfId="21998"/>
    <cellStyle name="20% - Accent6 6 3 5" xfId="21999"/>
    <cellStyle name="20% - Accent6 6 4" xfId="22000"/>
    <cellStyle name="20% - Accent6 6 4 2" xfId="22001"/>
    <cellStyle name="20% - Accent6 6 4 2 2" xfId="22002"/>
    <cellStyle name="20% - Accent6 6 4 2 2 2" xfId="22003"/>
    <cellStyle name="20% - Accent6 6 4 2 2 2 2" xfId="22004"/>
    <cellStyle name="20% - Accent6 6 4 2 2 3" xfId="22005"/>
    <cellStyle name="20% - Accent6 6 4 2 3" xfId="22006"/>
    <cellStyle name="20% - Accent6 6 4 2 3 2" xfId="22007"/>
    <cellStyle name="20% - Accent6 6 4 2 4" xfId="22008"/>
    <cellStyle name="20% - Accent6 6 4 3" xfId="22009"/>
    <cellStyle name="20% - Accent6 6 4 3 2" xfId="22010"/>
    <cellStyle name="20% - Accent6 6 4 3 2 2" xfId="22011"/>
    <cellStyle name="20% - Accent6 6 4 3 3" xfId="22012"/>
    <cellStyle name="20% - Accent6 6 4 4" xfId="22013"/>
    <cellStyle name="20% - Accent6 6 4 4 2" xfId="22014"/>
    <cellStyle name="20% - Accent6 6 4 5" xfId="22015"/>
    <cellStyle name="20% - Accent6 6 5" xfId="22016"/>
    <cellStyle name="20% - Accent6 6 5 2" xfId="22017"/>
    <cellStyle name="20% - Accent6 6 5 2 2" xfId="22018"/>
    <cellStyle name="20% - Accent6 6 5 2 2 2" xfId="22019"/>
    <cellStyle name="20% - Accent6 6 5 2 2 2 2" xfId="22020"/>
    <cellStyle name="20% - Accent6 6 5 2 2 3" xfId="22021"/>
    <cellStyle name="20% - Accent6 6 5 2 3" xfId="22022"/>
    <cellStyle name="20% - Accent6 6 5 2 3 2" xfId="22023"/>
    <cellStyle name="20% - Accent6 6 5 2 4" xfId="22024"/>
    <cellStyle name="20% - Accent6 6 5 3" xfId="22025"/>
    <cellStyle name="20% - Accent6 6 5 3 2" xfId="22026"/>
    <cellStyle name="20% - Accent6 6 5 3 2 2" xfId="22027"/>
    <cellStyle name="20% - Accent6 6 5 3 3" xfId="22028"/>
    <cellStyle name="20% - Accent6 6 5 4" xfId="22029"/>
    <cellStyle name="20% - Accent6 6 5 4 2" xfId="22030"/>
    <cellStyle name="20% - Accent6 6 5 5" xfId="22031"/>
    <cellStyle name="20% - Accent6 6 6" xfId="22032"/>
    <cellStyle name="20% - Accent6 6 6 2" xfId="22033"/>
    <cellStyle name="20% - Accent6 6 6 2 2" xfId="22034"/>
    <cellStyle name="20% - Accent6 6 6 2 2 2" xfId="22035"/>
    <cellStyle name="20% - Accent6 6 6 2 2 2 2" xfId="22036"/>
    <cellStyle name="20% - Accent6 6 6 2 2 3" xfId="22037"/>
    <cellStyle name="20% - Accent6 6 6 2 3" xfId="22038"/>
    <cellStyle name="20% - Accent6 6 6 2 3 2" xfId="22039"/>
    <cellStyle name="20% - Accent6 6 6 2 4" xfId="22040"/>
    <cellStyle name="20% - Accent6 6 6 3" xfId="22041"/>
    <cellStyle name="20% - Accent6 6 6 3 2" xfId="22042"/>
    <cellStyle name="20% - Accent6 6 6 3 2 2" xfId="22043"/>
    <cellStyle name="20% - Accent6 6 6 3 3" xfId="22044"/>
    <cellStyle name="20% - Accent6 6 6 4" xfId="22045"/>
    <cellStyle name="20% - Accent6 6 6 4 2" xfId="22046"/>
    <cellStyle name="20% - Accent6 6 6 5" xfId="22047"/>
    <cellStyle name="20% - Accent6 6 7" xfId="22048"/>
    <cellStyle name="20% - Accent6 6 7 2" xfId="22049"/>
    <cellStyle name="20% - Accent6 6 7 2 2" xfId="22050"/>
    <cellStyle name="20% - Accent6 6 7 2 2 2" xfId="22051"/>
    <cellStyle name="20% - Accent6 6 7 2 2 2 2" xfId="22052"/>
    <cellStyle name="20% - Accent6 6 7 2 2 3" xfId="22053"/>
    <cellStyle name="20% - Accent6 6 7 2 3" xfId="22054"/>
    <cellStyle name="20% - Accent6 6 7 2 3 2" xfId="22055"/>
    <cellStyle name="20% - Accent6 6 7 2 4" xfId="22056"/>
    <cellStyle name="20% - Accent6 6 7 3" xfId="22057"/>
    <cellStyle name="20% - Accent6 6 7 3 2" xfId="22058"/>
    <cellStyle name="20% - Accent6 6 7 3 2 2" xfId="22059"/>
    <cellStyle name="20% - Accent6 6 7 3 3" xfId="22060"/>
    <cellStyle name="20% - Accent6 6 7 4" xfId="22061"/>
    <cellStyle name="20% - Accent6 6 7 4 2" xfId="22062"/>
    <cellStyle name="20% - Accent6 6 7 5" xfId="22063"/>
    <cellStyle name="20% - Accent6 6 8" xfId="22064"/>
    <cellStyle name="20% - Accent6 6 8 2" xfId="22065"/>
    <cellStyle name="20% - Accent6 6 8 2 2" xfId="22066"/>
    <cellStyle name="20% - Accent6 6 8 2 2 2" xfId="22067"/>
    <cellStyle name="20% - Accent6 6 8 2 3" xfId="22068"/>
    <cellStyle name="20% - Accent6 6 8 3" xfId="22069"/>
    <cellStyle name="20% - Accent6 6 8 3 2" xfId="22070"/>
    <cellStyle name="20% - Accent6 6 8 4" xfId="22071"/>
    <cellStyle name="20% - Accent6 6 9" xfId="22072"/>
    <cellStyle name="20% - Accent6 6 9 2" xfId="22073"/>
    <cellStyle name="20% - Accent6 6 9 2 2" xfId="22074"/>
    <cellStyle name="20% - Accent6 6 9 3" xfId="22075"/>
    <cellStyle name="20% - Accent6 7" xfId="22076"/>
    <cellStyle name="20% - Accent6 7 10" xfId="22077"/>
    <cellStyle name="20% - Accent6 7 10 2" xfId="22078"/>
    <cellStyle name="20% - Accent6 7 11" xfId="22079"/>
    <cellStyle name="20% - Accent6 7 2" xfId="22080"/>
    <cellStyle name="20% - Accent6 7 2 10" xfId="22081"/>
    <cellStyle name="20% - Accent6 7 2 2" xfId="22082"/>
    <cellStyle name="20% - Accent6 7 2 2 2" xfId="22083"/>
    <cellStyle name="20% - Accent6 7 2 2 2 2" xfId="22084"/>
    <cellStyle name="20% - Accent6 7 2 2 2 2 2" xfId="22085"/>
    <cellStyle name="20% - Accent6 7 2 2 2 2 2 2" xfId="22086"/>
    <cellStyle name="20% - Accent6 7 2 2 2 2 3" xfId="22087"/>
    <cellStyle name="20% - Accent6 7 2 2 2 3" xfId="22088"/>
    <cellStyle name="20% - Accent6 7 2 2 2 3 2" xfId="22089"/>
    <cellStyle name="20% - Accent6 7 2 2 2 4" xfId="22090"/>
    <cellStyle name="20% - Accent6 7 2 2 3" xfId="22091"/>
    <cellStyle name="20% - Accent6 7 2 2 3 2" xfId="22092"/>
    <cellStyle name="20% - Accent6 7 2 2 3 2 2" xfId="22093"/>
    <cellStyle name="20% - Accent6 7 2 2 3 3" xfId="22094"/>
    <cellStyle name="20% - Accent6 7 2 2 4" xfId="22095"/>
    <cellStyle name="20% - Accent6 7 2 2 4 2" xfId="22096"/>
    <cellStyle name="20% - Accent6 7 2 2 5" xfId="22097"/>
    <cellStyle name="20% - Accent6 7 2 3" xfId="22098"/>
    <cellStyle name="20% - Accent6 7 2 3 2" xfId="22099"/>
    <cellStyle name="20% - Accent6 7 2 3 2 2" xfId="22100"/>
    <cellStyle name="20% - Accent6 7 2 3 2 2 2" xfId="22101"/>
    <cellStyle name="20% - Accent6 7 2 3 2 2 2 2" xfId="22102"/>
    <cellStyle name="20% - Accent6 7 2 3 2 2 3" xfId="22103"/>
    <cellStyle name="20% - Accent6 7 2 3 2 3" xfId="22104"/>
    <cellStyle name="20% - Accent6 7 2 3 2 3 2" xfId="22105"/>
    <cellStyle name="20% - Accent6 7 2 3 2 4" xfId="22106"/>
    <cellStyle name="20% - Accent6 7 2 3 3" xfId="22107"/>
    <cellStyle name="20% - Accent6 7 2 3 3 2" xfId="22108"/>
    <cellStyle name="20% - Accent6 7 2 3 3 2 2" xfId="22109"/>
    <cellStyle name="20% - Accent6 7 2 3 3 3" xfId="22110"/>
    <cellStyle name="20% - Accent6 7 2 3 4" xfId="22111"/>
    <cellStyle name="20% - Accent6 7 2 3 4 2" xfId="22112"/>
    <cellStyle name="20% - Accent6 7 2 3 5" xfId="22113"/>
    <cellStyle name="20% - Accent6 7 2 4" xfId="22114"/>
    <cellStyle name="20% - Accent6 7 2 4 2" xfId="22115"/>
    <cellStyle name="20% - Accent6 7 2 4 2 2" xfId="22116"/>
    <cellStyle name="20% - Accent6 7 2 4 2 2 2" xfId="22117"/>
    <cellStyle name="20% - Accent6 7 2 4 2 2 2 2" xfId="22118"/>
    <cellStyle name="20% - Accent6 7 2 4 2 2 3" xfId="22119"/>
    <cellStyle name="20% - Accent6 7 2 4 2 3" xfId="22120"/>
    <cellStyle name="20% - Accent6 7 2 4 2 3 2" xfId="22121"/>
    <cellStyle name="20% - Accent6 7 2 4 2 4" xfId="22122"/>
    <cellStyle name="20% - Accent6 7 2 4 3" xfId="22123"/>
    <cellStyle name="20% - Accent6 7 2 4 3 2" xfId="22124"/>
    <cellStyle name="20% - Accent6 7 2 4 3 2 2" xfId="22125"/>
    <cellStyle name="20% - Accent6 7 2 4 3 3" xfId="22126"/>
    <cellStyle name="20% - Accent6 7 2 4 4" xfId="22127"/>
    <cellStyle name="20% - Accent6 7 2 4 4 2" xfId="22128"/>
    <cellStyle name="20% - Accent6 7 2 4 5" xfId="22129"/>
    <cellStyle name="20% - Accent6 7 2 5" xfId="22130"/>
    <cellStyle name="20% - Accent6 7 2 5 2" xfId="22131"/>
    <cellStyle name="20% - Accent6 7 2 5 2 2" xfId="22132"/>
    <cellStyle name="20% - Accent6 7 2 5 2 2 2" xfId="22133"/>
    <cellStyle name="20% - Accent6 7 2 5 2 2 2 2" xfId="22134"/>
    <cellStyle name="20% - Accent6 7 2 5 2 2 3" xfId="22135"/>
    <cellStyle name="20% - Accent6 7 2 5 2 3" xfId="22136"/>
    <cellStyle name="20% - Accent6 7 2 5 2 3 2" xfId="22137"/>
    <cellStyle name="20% - Accent6 7 2 5 2 4" xfId="22138"/>
    <cellStyle name="20% - Accent6 7 2 5 3" xfId="22139"/>
    <cellStyle name="20% - Accent6 7 2 5 3 2" xfId="22140"/>
    <cellStyle name="20% - Accent6 7 2 5 3 2 2" xfId="22141"/>
    <cellStyle name="20% - Accent6 7 2 5 3 3" xfId="22142"/>
    <cellStyle name="20% - Accent6 7 2 5 4" xfId="22143"/>
    <cellStyle name="20% - Accent6 7 2 5 4 2" xfId="22144"/>
    <cellStyle name="20% - Accent6 7 2 5 5" xfId="22145"/>
    <cellStyle name="20% - Accent6 7 2 6" xfId="22146"/>
    <cellStyle name="20% - Accent6 7 2 6 2" xfId="22147"/>
    <cellStyle name="20% - Accent6 7 2 6 2 2" xfId="22148"/>
    <cellStyle name="20% - Accent6 7 2 6 2 2 2" xfId="22149"/>
    <cellStyle name="20% - Accent6 7 2 6 2 2 2 2" xfId="22150"/>
    <cellStyle name="20% - Accent6 7 2 6 2 2 3" xfId="22151"/>
    <cellStyle name="20% - Accent6 7 2 6 2 3" xfId="22152"/>
    <cellStyle name="20% - Accent6 7 2 6 2 3 2" xfId="22153"/>
    <cellStyle name="20% - Accent6 7 2 6 2 4" xfId="22154"/>
    <cellStyle name="20% - Accent6 7 2 6 3" xfId="22155"/>
    <cellStyle name="20% - Accent6 7 2 6 3 2" xfId="22156"/>
    <cellStyle name="20% - Accent6 7 2 6 3 2 2" xfId="22157"/>
    <cellStyle name="20% - Accent6 7 2 6 3 3" xfId="22158"/>
    <cellStyle name="20% - Accent6 7 2 6 4" xfId="22159"/>
    <cellStyle name="20% - Accent6 7 2 6 4 2" xfId="22160"/>
    <cellStyle name="20% - Accent6 7 2 6 5" xfId="22161"/>
    <cellStyle name="20% - Accent6 7 2 7" xfId="22162"/>
    <cellStyle name="20% - Accent6 7 2 7 2" xfId="22163"/>
    <cellStyle name="20% - Accent6 7 2 7 2 2" xfId="22164"/>
    <cellStyle name="20% - Accent6 7 2 7 2 2 2" xfId="22165"/>
    <cellStyle name="20% - Accent6 7 2 7 2 3" xfId="22166"/>
    <cellStyle name="20% - Accent6 7 2 7 3" xfId="22167"/>
    <cellStyle name="20% - Accent6 7 2 7 3 2" xfId="22168"/>
    <cellStyle name="20% - Accent6 7 2 7 4" xfId="22169"/>
    <cellStyle name="20% - Accent6 7 2 8" xfId="22170"/>
    <cellStyle name="20% - Accent6 7 2 8 2" xfId="22171"/>
    <cellStyle name="20% - Accent6 7 2 8 2 2" xfId="22172"/>
    <cellStyle name="20% - Accent6 7 2 8 3" xfId="22173"/>
    <cellStyle name="20% - Accent6 7 2 9" xfId="22174"/>
    <cellStyle name="20% - Accent6 7 2 9 2" xfId="22175"/>
    <cellStyle name="20% - Accent6 7 3" xfId="22176"/>
    <cellStyle name="20% - Accent6 7 3 2" xfId="22177"/>
    <cellStyle name="20% - Accent6 7 3 2 2" xfId="22178"/>
    <cellStyle name="20% - Accent6 7 3 2 2 2" xfId="22179"/>
    <cellStyle name="20% - Accent6 7 3 2 2 2 2" xfId="22180"/>
    <cellStyle name="20% - Accent6 7 3 2 2 3" xfId="22181"/>
    <cellStyle name="20% - Accent6 7 3 2 3" xfId="22182"/>
    <cellStyle name="20% - Accent6 7 3 2 3 2" xfId="22183"/>
    <cellStyle name="20% - Accent6 7 3 2 4" xfId="22184"/>
    <cellStyle name="20% - Accent6 7 3 3" xfId="22185"/>
    <cellStyle name="20% - Accent6 7 3 3 2" xfId="22186"/>
    <cellStyle name="20% - Accent6 7 3 3 2 2" xfId="22187"/>
    <cellStyle name="20% - Accent6 7 3 3 3" xfId="22188"/>
    <cellStyle name="20% - Accent6 7 3 4" xfId="22189"/>
    <cellStyle name="20% - Accent6 7 3 4 2" xfId="22190"/>
    <cellStyle name="20% - Accent6 7 3 5" xfId="22191"/>
    <cellStyle name="20% - Accent6 7 4" xfId="22192"/>
    <cellStyle name="20% - Accent6 7 4 2" xfId="22193"/>
    <cellStyle name="20% - Accent6 7 4 2 2" xfId="22194"/>
    <cellStyle name="20% - Accent6 7 4 2 2 2" xfId="22195"/>
    <cellStyle name="20% - Accent6 7 4 2 2 2 2" xfId="22196"/>
    <cellStyle name="20% - Accent6 7 4 2 2 3" xfId="22197"/>
    <cellStyle name="20% - Accent6 7 4 2 3" xfId="22198"/>
    <cellStyle name="20% - Accent6 7 4 2 3 2" xfId="22199"/>
    <cellStyle name="20% - Accent6 7 4 2 4" xfId="22200"/>
    <cellStyle name="20% - Accent6 7 4 3" xfId="22201"/>
    <cellStyle name="20% - Accent6 7 4 3 2" xfId="22202"/>
    <cellStyle name="20% - Accent6 7 4 3 2 2" xfId="22203"/>
    <cellStyle name="20% - Accent6 7 4 3 3" xfId="22204"/>
    <cellStyle name="20% - Accent6 7 4 4" xfId="22205"/>
    <cellStyle name="20% - Accent6 7 4 4 2" xfId="22206"/>
    <cellStyle name="20% - Accent6 7 4 5" xfId="22207"/>
    <cellStyle name="20% - Accent6 7 5" xfId="22208"/>
    <cellStyle name="20% - Accent6 7 5 2" xfId="22209"/>
    <cellStyle name="20% - Accent6 7 5 2 2" xfId="22210"/>
    <cellStyle name="20% - Accent6 7 5 2 2 2" xfId="22211"/>
    <cellStyle name="20% - Accent6 7 5 2 2 2 2" xfId="22212"/>
    <cellStyle name="20% - Accent6 7 5 2 2 3" xfId="22213"/>
    <cellStyle name="20% - Accent6 7 5 2 3" xfId="22214"/>
    <cellStyle name="20% - Accent6 7 5 2 3 2" xfId="22215"/>
    <cellStyle name="20% - Accent6 7 5 2 4" xfId="22216"/>
    <cellStyle name="20% - Accent6 7 5 3" xfId="22217"/>
    <cellStyle name="20% - Accent6 7 5 3 2" xfId="22218"/>
    <cellStyle name="20% - Accent6 7 5 3 2 2" xfId="22219"/>
    <cellStyle name="20% - Accent6 7 5 3 3" xfId="22220"/>
    <cellStyle name="20% - Accent6 7 5 4" xfId="22221"/>
    <cellStyle name="20% - Accent6 7 5 4 2" xfId="22222"/>
    <cellStyle name="20% - Accent6 7 5 5" xfId="22223"/>
    <cellStyle name="20% - Accent6 7 6" xfId="22224"/>
    <cellStyle name="20% - Accent6 7 6 2" xfId="22225"/>
    <cellStyle name="20% - Accent6 7 6 2 2" xfId="22226"/>
    <cellStyle name="20% - Accent6 7 6 2 2 2" xfId="22227"/>
    <cellStyle name="20% - Accent6 7 6 2 2 2 2" xfId="22228"/>
    <cellStyle name="20% - Accent6 7 6 2 2 3" xfId="22229"/>
    <cellStyle name="20% - Accent6 7 6 2 3" xfId="22230"/>
    <cellStyle name="20% - Accent6 7 6 2 3 2" xfId="22231"/>
    <cellStyle name="20% - Accent6 7 6 2 4" xfId="22232"/>
    <cellStyle name="20% - Accent6 7 6 3" xfId="22233"/>
    <cellStyle name="20% - Accent6 7 6 3 2" xfId="22234"/>
    <cellStyle name="20% - Accent6 7 6 3 2 2" xfId="22235"/>
    <cellStyle name="20% - Accent6 7 6 3 3" xfId="22236"/>
    <cellStyle name="20% - Accent6 7 6 4" xfId="22237"/>
    <cellStyle name="20% - Accent6 7 6 4 2" xfId="22238"/>
    <cellStyle name="20% - Accent6 7 6 5" xfId="22239"/>
    <cellStyle name="20% - Accent6 7 7" xfId="22240"/>
    <cellStyle name="20% - Accent6 7 7 2" xfId="22241"/>
    <cellStyle name="20% - Accent6 7 7 2 2" xfId="22242"/>
    <cellStyle name="20% - Accent6 7 7 2 2 2" xfId="22243"/>
    <cellStyle name="20% - Accent6 7 7 2 2 2 2" xfId="22244"/>
    <cellStyle name="20% - Accent6 7 7 2 2 3" xfId="22245"/>
    <cellStyle name="20% - Accent6 7 7 2 3" xfId="22246"/>
    <cellStyle name="20% - Accent6 7 7 2 3 2" xfId="22247"/>
    <cellStyle name="20% - Accent6 7 7 2 4" xfId="22248"/>
    <cellStyle name="20% - Accent6 7 7 3" xfId="22249"/>
    <cellStyle name="20% - Accent6 7 7 3 2" xfId="22250"/>
    <cellStyle name="20% - Accent6 7 7 3 2 2" xfId="22251"/>
    <cellStyle name="20% - Accent6 7 7 3 3" xfId="22252"/>
    <cellStyle name="20% - Accent6 7 7 4" xfId="22253"/>
    <cellStyle name="20% - Accent6 7 7 4 2" xfId="22254"/>
    <cellStyle name="20% - Accent6 7 7 5" xfId="22255"/>
    <cellStyle name="20% - Accent6 7 8" xfId="22256"/>
    <cellStyle name="20% - Accent6 7 8 2" xfId="22257"/>
    <cellStyle name="20% - Accent6 7 8 2 2" xfId="22258"/>
    <cellStyle name="20% - Accent6 7 8 2 2 2" xfId="22259"/>
    <cellStyle name="20% - Accent6 7 8 2 3" xfId="22260"/>
    <cellStyle name="20% - Accent6 7 8 3" xfId="22261"/>
    <cellStyle name="20% - Accent6 7 8 3 2" xfId="22262"/>
    <cellStyle name="20% - Accent6 7 8 4" xfId="22263"/>
    <cellStyle name="20% - Accent6 7 9" xfId="22264"/>
    <cellStyle name="20% - Accent6 7 9 2" xfId="22265"/>
    <cellStyle name="20% - Accent6 7 9 2 2" xfId="22266"/>
    <cellStyle name="20% - Accent6 7 9 3" xfId="22267"/>
    <cellStyle name="20% - Accent6 8" xfId="22268"/>
    <cellStyle name="20% - Accent6 8 10" xfId="22269"/>
    <cellStyle name="20% - Accent6 8 10 2" xfId="22270"/>
    <cellStyle name="20% - Accent6 8 11" xfId="22271"/>
    <cellStyle name="20% - Accent6 8 2" xfId="22272"/>
    <cellStyle name="20% - Accent6 8 2 10" xfId="22273"/>
    <cellStyle name="20% - Accent6 8 2 2" xfId="22274"/>
    <cellStyle name="20% - Accent6 8 2 2 2" xfId="22275"/>
    <cellStyle name="20% - Accent6 8 2 2 2 2" xfId="22276"/>
    <cellStyle name="20% - Accent6 8 2 2 2 2 2" xfId="22277"/>
    <cellStyle name="20% - Accent6 8 2 2 2 2 2 2" xfId="22278"/>
    <cellStyle name="20% - Accent6 8 2 2 2 2 3" xfId="22279"/>
    <cellStyle name="20% - Accent6 8 2 2 2 3" xfId="22280"/>
    <cellStyle name="20% - Accent6 8 2 2 2 3 2" xfId="22281"/>
    <cellStyle name="20% - Accent6 8 2 2 2 4" xfId="22282"/>
    <cellStyle name="20% - Accent6 8 2 2 3" xfId="22283"/>
    <cellStyle name="20% - Accent6 8 2 2 3 2" xfId="22284"/>
    <cellStyle name="20% - Accent6 8 2 2 3 2 2" xfId="22285"/>
    <cellStyle name="20% - Accent6 8 2 2 3 3" xfId="22286"/>
    <cellStyle name="20% - Accent6 8 2 2 4" xfId="22287"/>
    <cellStyle name="20% - Accent6 8 2 2 4 2" xfId="22288"/>
    <cellStyle name="20% - Accent6 8 2 2 5" xfId="22289"/>
    <cellStyle name="20% - Accent6 8 2 3" xfId="22290"/>
    <cellStyle name="20% - Accent6 8 2 3 2" xfId="22291"/>
    <cellStyle name="20% - Accent6 8 2 3 2 2" xfId="22292"/>
    <cellStyle name="20% - Accent6 8 2 3 2 2 2" xfId="22293"/>
    <cellStyle name="20% - Accent6 8 2 3 2 2 2 2" xfId="22294"/>
    <cellStyle name="20% - Accent6 8 2 3 2 2 3" xfId="22295"/>
    <cellStyle name="20% - Accent6 8 2 3 2 3" xfId="22296"/>
    <cellStyle name="20% - Accent6 8 2 3 2 3 2" xfId="22297"/>
    <cellStyle name="20% - Accent6 8 2 3 2 4" xfId="22298"/>
    <cellStyle name="20% - Accent6 8 2 3 3" xfId="22299"/>
    <cellStyle name="20% - Accent6 8 2 3 3 2" xfId="22300"/>
    <cellStyle name="20% - Accent6 8 2 3 3 2 2" xfId="22301"/>
    <cellStyle name="20% - Accent6 8 2 3 3 3" xfId="22302"/>
    <cellStyle name="20% - Accent6 8 2 3 4" xfId="22303"/>
    <cellStyle name="20% - Accent6 8 2 3 4 2" xfId="22304"/>
    <cellStyle name="20% - Accent6 8 2 3 5" xfId="22305"/>
    <cellStyle name="20% - Accent6 8 2 4" xfId="22306"/>
    <cellStyle name="20% - Accent6 8 2 4 2" xfId="22307"/>
    <cellStyle name="20% - Accent6 8 2 4 2 2" xfId="22308"/>
    <cellStyle name="20% - Accent6 8 2 4 2 2 2" xfId="22309"/>
    <cellStyle name="20% - Accent6 8 2 4 2 2 2 2" xfId="22310"/>
    <cellStyle name="20% - Accent6 8 2 4 2 2 3" xfId="22311"/>
    <cellStyle name="20% - Accent6 8 2 4 2 3" xfId="22312"/>
    <cellStyle name="20% - Accent6 8 2 4 2 3 2" xfId="22313"/>
    <cellStyle name="20% - Accent6 8 2 4 2 4" xfId="22314"/>
    <cellStyle name="20% - Accent6 8 2 4 3" xfId="22315"/>
    <cellStyle name="20% - Accent6 8 2 4 3 2" xfId="22316"/>
    <cellStyle name="20% - Accent6 8 2 4 3 2 2" xfId="22317"/>
    <cellStyle name="20% - Accent6 8 2 4 3 3" xfId="22318"/>
    <cellStyle name="20% - Accent6 8 2 4 4" xfId="22319"/>
    <cellStyle name="20% - Accent6 8 2 4 4 2" xfId="22320"/>
    <cellStyle name="20% - Accent6 8 2 4 5" xfId="22321"/>
    <cellStyle name="20% - Accent6 8 2 5" xfId="22322"/>
    <cellStyle name="20% - Accent6 8 2 5 2" xfId="22323"/>
    <cellStyle name="20% - Accent6 8 2 5 2 2" xfId="22324"/>
    <cellStyle name="20% - Accent6 8 2 5 2 2 2" xfId="22325"/>
    <cellStyle name="20% - Accent6 8 2 5 2 2 2 2" xfId="22326"/>
    <cellStyle name="20% - Accent6 8 2 5 2 2 3" xfId="22327"/>
    <cellStyle name="20% - Accent6 8 2 5 2 3" xfId="22328"/>
    <cellStyle name="20% - Accent6 8 2 5 2 3 2" xfId="22329"/>
    <cellStyle name="20% - Accent6 8 2 5 2 4" xfId="22330"/>
    <cellStyle name="20% - Accent6 8 2 5 3" xfId="22331"/>
    <cellStyle name="20% - Accent6 8 2 5 3 2" xfId="22332"/>
    <cellStyle name="20% - Accent6 8 2 5 3 2 2" xfId="22333"/>
    <cellStyle name="20% - Accent6 8 2 5 3 3" xfId="22334"/>
    <cellStyle name="20% - Accent6 8 2 5 4" xfId="22335"/>
    <cellStyle name="20% - Accent6 8 2 5 4 2" xfId="22336"/>
    <cellStyle name="20% - Accent6 8 2 5 5" xfId="22337"/>
    <cellStyle name="20% - Accent6 8 2 6" xfId="22338"/>
    <cellStyle name="20% - Accent6 8 2 6 2" xfId="22339"/>
    <cellStyle name="20% - Accent6 8 2 6 2 2" xfId="22340"/>
    <cellStyle name="20% - Accent6 8 2 6 2 2 2" xfId="22341"/>
    <cellStyle name="20% - Accent6 8 2 6 2 2 2 2" xfId="22342"/>
    <cellStyle name="20% - Accent6 8 2 6 2 2 3" xfId="22343"/>
    <cellStyle name="20% - Accent6 8 2 6 2 3" xfId="22344"/>
    <cellStyle name="20% - Accent6 8 2 6 2 3 2" xfId="22345"/>
    <cellStyle name="20% - Accent6 8 2 6 2 4" xfId="22346"/>
    <cellStyle name="20% - Accent6 8 2 6 3" xfId="22347"/>
    <cellStyle name="20% - Accent6 8 2 6 3 2" xfId="22348"/>
    <cellStyle name="20% - Accent6 8 2 6 3 2 2" xfId="22349"/>
    <cellStyle name="20% - Accent6 8 2 6 3 3" xfId="22350"/>
    <cellStyle name="20% - Accent6 8 2 6 4" xfId="22351"/>
    <cellStyle name="20% - Accent6 8 2 6 4 2" xfId="22352"/>
    <cellStyle name="20% - Accent6 8 2 6 5" xfId="22353"/>
    <cellStyle name="20% - Accent6 8 2 7" xfId="22354"/>
    <cellStyle name="20% - Accent6 8 2 7 2" xfId="22355"/>
    <cellStyle name="20% - Accent6 8 2 7 2 2" xfId="22356"/>
    <cellStyle name="20% - Accent6 8 2 7 2 2 2" xfId="22357"/>
    <cellStyle name="20% - Accent6 8 2 7 2 3" xfId="22358"/>
    <cellStyle name="20% - Accent6 8 2 7 3" xfId="22359"/>
    <cellStyle name="20% - Accent6 8 2 7 3 2" xfId="22360"/>
    <cellStyle name="20% - Accent6 8 2 7 4" xfId="22361"/>
    <cellStyle name="20% - Accent6 8 2 8" xfId="22362"/>
    <cellStyle name="20% - Accent6 8 2 8 2" xfId="22363"/>
    <cellStyle name="20% - Accent6 8 2 8 2 2" xfId="22364"/>
    <cellStyle name="20% - Accent6 8 2 8 3" xfId="22365"/>
    <cellStyle name="20% - Accent6 8 2 9" xfId="22366"/>
    <cellStyle name="20% - Accent6 8 2 9 2" xfId="22367"/>
    <cellStyle name="20% - Accent6 8 3" xfId="22368"/>
    <cellStyle name="20% - Accent6 8 3 2" xfId="22369"/>
    <cellStyle name="20% - Accent6 8 3 2 2" xfId="22370"/>
    <cellStyle name="20% - Accent6 8 3 2 2 2" xfId="22371"/>
    <cellStyle name="20% - Accent6 8 3 2 2 2 2" xfId="22372"/>
    <cellStyle name="20% - Accent6 8 3 2 2 3" xfId="22373"/>
    <cellStyle name="20% - Accent6 8 3 2 3" xfId="22374"/>
    <cellStyle name="20% - Accent6 8 3 2 3 2" xfId="22375"/>
    <cellStyle name="20% - Accent6 8 3 2 4" xfId="22376"/>
    <cellStyle name="20% - Accent6 8 3 3" xfId="22377"/>
    <cellStyle name="20% - Accent6 8 3 3 2" xfId="22378"/>
    <cellStyle name="20% - Accent6 8 3 3 2 2" xfId="22379"/>
    <cellStyle name="20% - Accent6 8 3 3 3" xfId="22380"/>
    <cellStyle name="20% - Accent6 8 3 4" xfId="22381"/>
    <cellStyle name="20% - Accent6 8 3 4 2" xfId="22382"/>
    <cellStyle name="20% - Accent6 8 3 5" xfId="22383"/>
    <cellStyle name="20% - Accent6 8 4" xfId="22384"/>
    <cellStyle name="20% - Accent6 8 4 2" xfId="22385"/>
    <cellStyle name="20% - Accent6 8 4 2 2" xfId="22386"/>
    <cellStyle name="20% - Accent6 8 4 2 2 2" xfId="22387"/>
    <cellStyle name="20% - Accent6 8 4 2 2 2 2" xfId="22388"/>
    <cellStyle name="20% - Accent6 8 4 2 2 3" xfId="22389"/>
    <cellStyle name="20% - Accent6 8 4 2 3" xfId="22390"/>
    <cellStyle name="20% - Accent6 8 4 2 3 2" xfId="22391"/>
    <cellStyle name="20% - Accent6 8 4 2 4" xfId="22392"/>
    <cellStyle name="20% - Accent6 8 4 3" xfId="22393"/>
    <cellStyle name="20% - Accent6 8 4 3 2" xfId="22394"/>
    <cellStyle name="20% - Accent6 8 4 3 2 2" xfId="22395"/>
    <cellStyle name="20% - Accent6 8 4 3 3" xfId="22396"/>
    <cellStyle name="20% - Accent6 8 4 4" xfId="22397"/>
    <cellStyle name="20% - Accent6 8 4 4 2" xfId="22398"/>
    <cellStyle name="20% - Accent6 8 4 5" xfId="22399"/>
    <cellStyle name="20% - Accent6 8 5" xfId="22400"/>
    <cellStyle name="20% - Accent6 8 5 2" xfId="22401"/>
    <cellStyle name="20% - Accent6 8 5 2 2" xfId="22402"/>
    <cellStyle name="20% - Accent6 8 5 2 2 2" xfId="22403"/>
    <cellStyle name="20% - Accent6 8 5 2 2 2 2" xfId="22404"/>
    <cellStyle name="20% - Accent6 8 5 2 2 3" xfId="22405"/>
    <cellStyle name="20% - Accent6 8 5 2 3" xfId="22406"/>
    <cellStyle name="20% - Accent6 8 5 2 3 2" xfId="22407"/>
    <cellStyle name="20% - Accent6 8 5 2 4" xfId="22408"/>
    <cellStyle name="20% - Accent6 8 5 3" xfId="22409"/>
    <cellStyle name="20% - Accent6 8 5 3 2" xfId="22410"/>
    <cellStyle name="20% - Accent6 8 5 3 2 2" xfId="22411"/>
    <cellStyle name="20% - Accent6 8 5 3 3" xfId="22412"/>
    <cellStyle name="20% - Accent6 8 5 4" xfId="22413"/>
    <cellStyle name="20% - Accent6 8 5 4 2" xfId="22414"/>
    <cellStyle name="20% - Accent6 8 5 5" xfId="22415"/>
    <cellStyle name="20% - Accent6 8 6" xfId="22416"/>
    <cellStyle name="20% - Accent6 8 6 2" xfId="22417"/>
    <cellStyle name="20% - Accent6 8 6 2 2" xfId="22418"/>
    <cellStyle name="20% - Accent6 8 6 2 2 2" xfId="22419"/>
    <cellStyle name="20% - Accent6 8 6 2 2 2 2" xfId="22420"/>
    <cellStyle name="20% - Accent6 8 6 2 2 3" xfId="22421"/>
    <cellStyle name="20% - Accent6 8 6 2 3" xfId="22422"/>
    <cellStyle name="20% - Accent6 8 6 2 3 2" xfId="22423"/>
    <cellStyle name="20% - Accent6 8 6 2 4" xfId="22424"/>
    <cellStyle name="20% - Accent6 8 6 3" xfId="22425"/>
    <cellStyle name="20% - Accent6 8 6 3 2" xfId="22426"/>
    <cellStyle name="20% - Accent6 8 6 3 2 2" xfId="22427"/>
    <cellStyle name="20% - Accent6 8 6 3 3" xfId="22428"/>
    <cellStyle name="20% - Accent6 8 6 4" xfId="22429"/>
    <cellStyle name="20% - Accent6 8 6 4 2" xfId="22430"/>
    <cellStyle name="20% - Accent6 8 6 5" xfId="22431"/>
    <cellStyle name="20% - Accent6 8 7" xfId="22432"/>
    <cellStyle name="20% - Accent6 8 7 2" xfId="22433"/>
    <cellStyle name="20% - Accent6 8 7 2 2" xfId="22434"/>
    <cellStyle name="20% - Accent6 8 7 2 2 2" xfId="22435"/>
    <cellStyle name="20% - Accent6 8 7 2 2 2 2" xfId="22436"/>
    <cellStyle name="20% - Accent6 8 7 2 2 3" xfId="22437"/>
    <cellStyle name="20% - Accent6 8 7 2 3" xfId="22438"/>
    <cellStyle name="20% - Accent6 8 7 2 3 2" xfId="22439"/>
    <cellStyle name="20% - Accent6 8 7 2 4" xfId="22440"/>
    <cellStyle name="20% - Accent6 8 7 3" xfId="22441"/>
    <cellStyle name="20% - Accent6 8 7 3 2" xfId="22442"/>
    <cellStyle name="20% - Accent6 8 7 3 2 2" xfId="22443"/>
    <cellStyle name="20% - Accent6 8 7 3 3" xfId="22444"/>
    <cellStyle name="20% - Accent6 8 7 4" xfId="22445"/>
    <cellStyle name="20% - Accent6 8 7 4 2" xfId="22446"/>
    <cellStyle name="20% - Accent6 8 7 5" xfId="22447"/>
    <cellStyle name="20% - Accent6 8 8" xfId="22448"/>
    <cellStyle name="20% - Accent6 8 8 2" xfId="22449"/>
    <cellStyle name="20% - Accent6 8 8 2 2" xfId="22450"/>
    <cellStyle name="20% - Accent6 8 8 2 2 2" xfId="22451"/>
    <cellStyle name="20% - Accent6 8 8 2 3" xfId="22452"/>
    <cellStyle name="20% - Accent6 8 8 3" xfId="22453"/>
    <cellStyle name="20% - Accent6 8 8 3 2" xfId="22454"/>
    <cellStyle name="20% - Accent6 8 8 4" xfId="22455"/>
    <cellStyle name="20% - Accent6 8 9" xfId="22456"/>
    <cellStyle name="20% - Accent6 8 9 2" xfId="22457"/>
    <cellStyle name="20% - Accent6 8 9 2 2" xfId="22458"/>
    <cellStyle name="20% - Accent6 8 9 3" xfId="22459"/>
    <cellStyle name="20% - Accent6 9" xfId="22460"/>
    <cellStyle name="20% - Accent6 9 10" xfId="22461"/>
    <cellStyle name="20% - Accent6 9 10 2" xfId="22462"/>
    <cellStyle name="20% - Accent6 9 11" xfId="22463"/>
    <cellStyle name="20% - Accent6 9 2" xfId="22464"/>
    <cellStyle name="20% - Accent6 9 2 10" xfId="22465"/>
    <cellStyle name="20% - Accent6 9 2 2" xfId="22466"/>
    <cellStyle name="20% - Accent6 9 2 2 2" xfId="22467"/>
    <cellStyle name="20% - Accent6 9 2 2 2 2" xfId="22468"/>
    <cellStyle name="20% - Accent6 9 2 2 2 2 2" xfId="22469"/>
    <cellStyle name="20% - Accent6 9 2 2 2 2 2 2" xfId="22470"/>
    <cellStyle name="20% - Accent6 9 2 2 2 2 3" xfId="22471"/>
    <cellStyle name="20% - Accent6 9 2 2 2 3" xfId="22472"/>
    <cellStyle name="20% - Accent6 9 2 2 2 3 2" xfId="22473"/>
    <cellStyle name="20% - Accent6 9 2 2 2 4" xfId="22474"/>
    <cellStyle name="20% - Accent6 9 2 2 3" xfId="22475"/>
    <cellStyle name="20% - Accent6 9 2 2 3 2" xfId="22476"/>
    <cellStyle name="20% - Accent6 9 2 2 3 2 2" xfId="22477"/>
    <cellStyle name="20% - Accent6 9 2 2 3 3" xfId="22478"/>
    <cellStyle name="20% - Accent6 9 2 2 4" xfId="22479"/>
    <cellStyle name="20% - Accent6 9 2 2 4 2" xfId="22480"/>
    <cellStyle name="20% - Accent6 9 2 2 5" xfId="22481"/>
    <cellStyle name="20% - Accent6 9 2 3" xfId="22482"/>
    <cellStyle name="20% - Accent6 9 2 3 2" xfId="22483"/>
    <cellStyle name="20% - Accent6 9 2 3 2 2" xfId="22484"/>
    <cellStyle name="20% - Accent6 9 2 3 2 2 2" xfId="22485"/>
    <cellStyle name="20% - Accent6 9 2 3 2 2 2 2" xfId="22486"/>
    <cellStyle name="20% - Accent6 9 2 3 2 2 3" xfId="22487"/>
    <cellStyle name="20% - Accent6 9 2 3 2 3" xfId="22488"/>
    <cellStyle name="20% - Accent6 9 2 3 2 3 2" xfId="22489"/>
    <cellStyle name="20% - Accent6 9 2 3 2 4" xfId="22490"/>
    <cellStyle name="20% - Accent6 9 2 3 3" xfId="22491"/>
    <cellStyle name="20% - Accent6 9 2 3 3 2" xfId="22492"/>
    <cellStyle name="20% - Accent6 9 2 3 3 2 2" xfId="22493"/>
    <cellStyle name="20% - Accent6 9 2 3 3 3" xfId="22494"/>
    <cellStyle name="20% - Accent6 9 2 3 4" xfId="22495"/>
    <cellStyle name="20% - Accent6 9 2 3 4 2" xfId="22496"/>
    <cellStyle name="20% - Accent6 9 2 3 5" xfId="22497"/>
    <cellStyle name="20% - Accent6 9 2 4" xfId="22498"/>
    <cellStyle name="20% - Accent6 9 2 4 2" xfId="22499"/>
    <cellStyle name="20% - Accent6 9 2 4 2 2" xfId="22500"/>
    <cellStyle name="20% - Accent6 9 2 4 2 2 2" xfId="22501"/>
    <cellStyle name="20% - Accent6 9 2 4 2 2 2 2" xfId="22502"/>
    <cellStyle name="20% - Accent6 9 2 4 2 2 3" xfId="22503"/>
    <cellStyle name="20% - Accent6 9 2 4 2 3" xfId="22504"/>
    <cellStyle name="20% - Accent6 9 2 4 2 3 2" xfId="22505"/>
    <cellStyle name="20% - Accent6 9 2 4 2 4" xfId="22506"/>
    <cellStyle name="20% - Accent6 9 2 4 3" xfId="22507"/>
    <cellStyle name="20% - Accent6 9 2 4 3 2" xfId="22508"/>
    <cellStyle name="20% - Accent6 9 2 4 3 2 2" xfId="22509"/>
    <cellStyle name="20% - Accent6 9 2 4 3 3" xfId="22510"/>
    <cellStyle name="20% - Accent6 9 2 4 4" xfId="22511"/>
    <cellStyle name="20% - Accent6 9 2 4 4 2" xfId="22512"/>
    <cellStyle name="20% - Accent6 9 2 4 5" xfId="22513"/>
    <cellStyle name="20% - Accent6 9 2 5" xfId="22514"/>
    <cellStyle name="20% - Accent6 9 2 5 2" xfId="22515"/>
    <cellStyle name="20% - Accent6 9 2 5 2 2" xfId="22516"/>
    <cellStyle name="20% - Accent6 9 2 5 2 2 2" xfId="22517"/>
    <cellStyle name="20% - Accent6 9 2 5 2 2 2 2" xfId="22518"/>
    <cellStyle name="20% - Accent6 9 2 5 2 2 3" xfId="22519"/>
    <cellStyle name="20% - Accent6 9 2 5 2 3" xfId="22520"/>
    <cellStyle name="20% - Accent6 9 2 5 2 3 2" xfId="22521"/>
    <cellStyle name="20% - Accent6 9 2 5 2 4" xfId="22522"/>
    <cellStyle name="20% - Accent6 9 2 5 3" xfId="22523"/>
    <cellStyle name="20% - Accent6 9 2 5 3 2" xfId="22524"/>
    <cellStyle name="20% - Accent6 9 2 5 3 2 2" xfId="22525"/>
    <cellStyle name="20% - Accent6 9 2 5 3 3" xfId="22526"/>
    <cellStyle name="20% - Accent6 9 2 5 4" xfId="22527"/>
    <cellStyle name="20% - Accent6 9 2 5 4 2" xfId="22528"/>
    <cellStyle name="20% - Accent6 9 2 5 5" xfId="22529"/>
    <cellStyle name="20% - Accent6 9 2 6" xfId="22530"/>
    <cellStyle name="20% - Accent6 9 2 6 2" xfId="22531"/>
    <cellStyle name="20% - Accent6 9 2 6 2 2" xfId="22532"/>
    <cellStyle name="20% - Accent6 9 2 6 2 2 2" xfId="22533"/>
    <cellStyle name="20% - Accent6 9 2 6 2 2 2 2" xfId="22534"/>
    <cellStyle name="20% - Accent6 9 2 6 2 2 3" xfId="22535"/>
    <cellStyle name="20% - Accent6 9 2 6 2 3" xfId="22536"/>
    <cellStyle name="20% - Accent6 9 2 6 2 3 2" xfId="22537"/>
    <cellStyle name="20% - Accent6 9 2 6 2 4" xfId="22538"/>
    <cellStyle name="20% - Accent6 9 2 6 3" xfId="22539"/>
    <cellStyle name="20% - Accent6 9 2 6 3 2" xfId="22540"/>
    <cellStyle name="20% - Accent6 9 2 6 3 2 2" xfId="22541"/>
    <cellStyle name="20% - Accent6 9 2 6 3 3" xfId="22542"/>
    <cellStyle name="20% - Accent6 9 2 6 4" xfId="22543"/>
    <cellStyle name="20% - Accent6 9 2 6 4 2" xfId="22544"/>
    <cellStyle name="20% - Accent6 9 2 6 5" xfId="22545"/>
    <cellStyle name="20% - Accent6 9 2 7" xfId="22546"/>
    <cellStyle name="20% - Accent6 9 2 7 2" xfId="22547"/>
    <cellStyle name="20% - Accent6 9 2 7 2 2" xfId="22548"/>
    <cellStyle name="20% - Accent6 9 2 7 2 2 2" xfId="22549"/>
    <cellStyle name="20% - Accent6 9 2 7 2 3" xfId="22550"/>
    <cellStyle name="20% - Accent6 9 2 7 3" xfId="22551"/>
    <cellStyle name="20% - Accent6 9 2 7 3 2" xfId="22552"/>
    <cellStyle name="20% - Accent6 9 2 7 4" xfId="22553"/>
    <cellStyle name="20% - Accent6 9 2 8" xfId="22554"/>
    <cellStyle name="20% - Accent6 9 2 8 2" xfId="22555"/>
    <cellStyle name="20% - Accent6 9 2 8 2 2" xfId="22556"/>
    <cellStyle name="20% - Accent6 9 2 8 3" xfId="22557"/>
    <cellStyle name="20% - Accent6 9 2 9" xfId="22558"/>
    <cellStyle name="20% - Accent6 9 2 9 2" xfId="22559"/>
    <cellStyle name="20% - Accent6 9 3" xfId="22560"/>
    <cellStyle name="20% - Accent6 9 3 2" xfId="22561"/>
    <cellStyle name="20% - Accent6 9 3 2 2" xfId="22562"/>
    <cellStyle name="20% - Accent6 9 3 2 2 2" xfId="22563"/>
    <cellStyle name="20% - Accent6 9 3 2 2 2 2" xfId="22564"/>
    <cellStyle name="20% - Accent6 9 3 2 2 3" xfId="22565"/>
    <cellStyle name="20% - Accent6 9 3 2 3" xfId="22566"/>
    <cellStyle name="20% - Accent6 9 3 2 3 2" xfId="22567"/>
    <cellStyle name="20% - Accent6 9 3 2 4" xfId="22568"/>
    <cellStyle name="20% - Accent6 9 3 3" xfId="22569"/>
    <cellStyle name="20% - Accent6 9 3 3 2" xfId="22570"/>
    <cellStyle name="20% - Accent6 9 3 3 2 2" xfId="22571"/>
    <cellStyle name="20% - Accent6 9 3 3 3" xfId="22572"/>
    <cellStyle name="20% - Accent6 9 3 4" xfId="22573"/>
    <cellStyle name="20% - Accent6 9 3 4 2" xfId="22574"/>
    <cellStyle name="20% - Accent6 9 3 5" xfId="22575"/>
    <cellStyle name="20% - Accent6 9 4" xfId="22576"/>
    <cellStyle name="20% - Accent6 9 4 2" xfId="22577"/>
    <cellStyle name="20% - Accent6 9 4 2 2" xfId="22578"/>
    <cellStyle name="20% - Accent6 9 4 2 2 2" xfId="22579"/>
    <cellStyle name="20% - Accent6 9 4 2 2 2 2" xfId="22580"/>
    <cellStyle name="20% - Accent6 9 4 2 2 3" xfId="22581"/>
    <cellStyle name="20% - Accent6 9 4 2 3" xfId="22582"/>
    <cellStyle name="20% - Accent6 9 4 2 3 2" xfId="22583"/>
    <cellStyle name="20% - Accent6 9 4 2 4" xfId="22584"/>
    <cellStyle name="20% - Accent6 9 4 3" xfId="22585"/>
    <cellStyle name="20% - Accent6 9 4 3 2" xfId="22586"/>
    <cellStyle name="20% - Accent6 9 4 3 2 2" xfId="22587"/>
    <cellStyle name="20% - Accent6 9 4 3 3" xfId="22588"/>
    <cellStyle name="20% - Accent6 9 4 4" xfId="22589"/>
    <cellStyle name="20% - Accent6 9 4 4 2" xfId="22590"/>
    <cellStyle name="20% - Accent6 9 4 5" xfId="22591"/>
    <cellStyle name="20% - Accent6 9 5" xfId="22592"/>
    <cellStyle name="20% - Accent6 9 5 2" xfId="22593"/>
    <cellStyle name="20% - Accent6 9 5 2 2" xfId="22594"/>
    <cellStyle name="20% - Accent6 9 5 2 2 2" xfId="22595"/>
    <cellStyle name="20% - Accent6 9 5 2 2 2 2" xfId="22596"/>
    <cellStyle name="20% - Accent6 9 5 2 2 3" xfId="22597"/>
    <cellStyle name="20% - Accent6 9 5 2 3" xfId="22598"/>
    <cellStyle name="20% - Accent6 9 5 2 3 2" xfId="22599"/>
    <cellStyle name="20% - Accent6 9 5 2 4" xfId="22600"/>
    <cellStyle name="20% - Accent6 9 5 3" xfId="22601"/>
    <cellStyle name="20% - Accent6 9 5 3 2" xfId="22602"/>
    <cellStyle name="20% - Accent6 9 5 3 2 2" xfId="22603"/>
    <cellStyle name="20% - Accent6 9 5 3 3" xfId="22604"/>
    <cellStyle name="20% - Accent6 9 5 4" xfId="22605"/>
    <cellStyle name="20% - Accent6 9 5 4 2" xfId="22606"/>
    <cellStyle name="20% - Accent6 9 5 5" xfId="22607"/>
    <cellStyle name="20% - Accent6 9 6" xfId="22608"/>
    <cellStyle name="20% - Accent6 9 6 2" xfId="22609"/>
    <cellStyle name="20% - Accent6 9 6 2 2" xfId="22610"/>
    <cellStyle name="20% - Accent6 9 6 2 2 2" xfId="22611"/>
    <cellStyle name="20% - Accent6 9 6 2 2 2 2" xfId="22612"/>
    <cellStyle name="20% - Accent6 9 6 2 2 3" xfId="22613"/>
    <cellStyle name="20% - Accent6 9 6 2 3" xfId="22614"/>
    <cellStyle name="20% - Accent6 9 6 2 3 2" xfId="22615"/>
    <cellStyle name="20% - Accent6 9 6 2 4" xfId="22616"/>
    <cellStyle name="20% - Accent6 9 6 3" xfId="22617"/>
    <cellStyle name="20% - Accent6 9 6 3 2" xfId="22618"/>
    <cellStyle name="20% - Accent6 9 6 3 2 2" xfId="22619"/>
    <cellStyle name="20% - Accent6 9 6 3 3" xfId="22620"/>
    <cellStyle name="20% - Accent6 9 6 4" xfId="22621"/>
    <cellStyle name="20% - Accent6 9 6 4 2" xfId="22622"/>
    <cellStyle name="20% - Accent6 9 6 5" xfId="22623"/>
    <cellStyle name="20% - Accent6 9 7" xfId="22624"/>
    <cellStyle name="20% - Accent6 9 7 2" xfId="22625"/>
    <cellStyle name="20% - Accent6 9 7 2 2" xfId="22626"/>
    <cellStyle name="20% - Accent6 9 7 2 2 2" xfId="22627"/>
    <cellStyle name="20% - Accent6 9 7 2 2 2 2" xfId="22628"/>
    <cellStyle name="20% - Accent6 9 7 2 2 3" xfId="22629"/>
    <cellStyle name="20% - Accent6 9 7 2 3" xfId="22630"/>
    <cellStyle name="20% - Accent6 9 7 2 3 2" xfId="22631"/>
    <cellStyle name="20% - Accent6 9 7 2 4" xfId="22632"/>
    <cellStyle name="20% - Accent6 9 7 3" xfId="22633"/>
    <cellStyle name="20% - Accent6 9 7 3 2" xfId="22634"/>
    <cellStyle name="20% - Accent6 9 7 3 2 2" xfId="22635"/>
    <cellStyle name="20% - Accent6 9 7 3 3" xfId="22636"/>
    <cellStyle name="20% - Accent6 9 7 4" xfId="22637"/>
    <cellStyle name="20% - Accent6 9 7 4 2" xfId="22638"/>
    <cellStyle name="20% - Accent6 9 7 5" xfId="22639"/>
    <cellStyle name="20% - Accent6 9 8" xfId="22640"/>
    <cellStyle name="20% - Accent6 9 8 2" xfId="22641"/>
    <cellStyle name="20% - Accent6 9 8 2 2" xfId="22642"/>
    <cellStyle name="20% - Accent6 9 8 2 2 2" xfId="22643"/>
    <cellStyle name="20% - Accent6 9 8 2 3" xfId="22644"/>
    <cellStyle name="20% - Accent6 9 8 3" xfId="22645"/>
    <cellStyle name="20% - Accent6 9 8 3 2" xfId="22646"/>
    <cellStyle name="20% - Accent6 9 8 4" xfId="22647"/>
    <cellStyle name="20% - Accent6 9 9" xfId="22648"/>
    <cellStyle name="20% - Accent6 9 9 2" xfId="22649"/>
    <cellStyle name="20% - Accent6 9 9 2 2" xfId="22650"/>
    <cellStyle name="20% - Accent6 9 9 3" xfId="22651"/>
    <cellStyle name="40% - Accent1 10" xfId="22652"/>
    <cellStyle name="40% - Accent1 10 10" xfId="22653"/>
    <cellStyle name="40% - Accent1 10 10 2" xfId="22654"/>
    <cellStyle name="40% - Accent1 10 11" xfId="22655"/>
    <cellStyle name="40% - Accent1 10 2" xfId="22656"/>
    <cellStyle name="40% - Accent1 10 2 10" xfId="22657"/>
    <cellStyle name="40% - Accent1 10 2 2" xfId="22658"/>
    <cellStyle name="40% - Accent1 10 2 2 2" xfId="22659"/>
    <cellStyle name="40% - Accent1 10 2 2 2 2" xfId="22660"/>
    <cellStyle name="40% - Accent1 10 2 2 2 2 2" xfId="22661"/>
    <cellStyle name="40% - Accent1 10 2 2 2 2 2 2" xfId="22662"/>
    <cellStyle name="40% - Accent1 10 2 2 2 2 3" xfId="22663"/>
    <cellStyle name="40% - Accent1 10 2 2 2 3" xfId="22664"/>
    <cellStyle name="40% - Accent1 10 2 2 2 3 2" xfId="22665"/>
    <cellStyle name="40% - Accent1 10 2 2 2 4" xfId="22666"/>
    <cellStyle name="40% - Accent1 10 2 2 3" xfId="22667"/>
    <cellStyle name="40% - Accent1 10 2 2 3 2" xfId="22668"/>
    <cellStyle name="40% - Accent1 10 2 2 3 2 2" xfId="22669"/>
    <cellStyle name="40% - Accent1 10 2 2 3 3" xfId="22670"/>
    <cellStyle name="40% - Accent1 10 2 2 4" xfId="22671"/>
    <cellStyle name="40% - Accent1 10 2 2 4 2" xfId="22672"/>
    <cellStyle name="40% - Accent1 10 2 2 5" xfId="22673"/>
    <cellStyle name="40% - Accent1 10 2 3" xfId="22674"/>
    <cellStyle name="40% - Accent1 10 2 3 2" xfId="22675"/>
    <cellStyle name="40% - Accent1 10 2 3 2 2" xfId="22676"/>
    <cellStyle name="40% - Accent1 10 2 3 2 2 2" xfId="22677"/>
    <cellStyle name="40% - Accent1 10 2 3 2 2 2 2" xfId="22678"/>
    <cellStyle name="40% - Accent1 10 2 3 2 2 3" xfId="22679"/>
    <cellStyle name="40% - Accent1 10 2 3 2 3" xfId="22680"/>
    <cellStyle name="40% - Accent1 10 2 3 2 3 2" xfId="22681"/>
    <cellStyle name="40% - Accent1 10 2 3 2 4" xfId="22682"/>
    <cellStyle name="40% - Accent1 10 2 3 3" xfId="22683"/>
    <cellStyle name="40% - Accent1 10 2 3 3 2" xfId="22684"/>
    <cellStyle name="40% - Accent1 10 2 3 3 2 2" xfId="22685"/>
    <cellStyle name="40% - Accent1 10 2 3 3 3" xfId="22686"/>
    <cellStyle name="40% - Accent1 10 2 3 4" xfId="22687"/>
    <cellStyle name="40% - Accent1 10 2 3 4 2" xfId="22688"/>
    <cellStyle name="40% - Accent1 10 2 3 5" xfId="22689"/>
    <cellStyle name="40% - Accent1 10 2 4" xfId="22690"/>
    <cellStyle name="40% - Accent1 10 2 4 2" xfId="22691"/>
    <cellStyle name="40% - Accent1 10 2 4 2 2" xfId="22692"/>
    <cellStyle name="40% - Accent1 10 2 4 2 2 2" xfId="22693"/>
    <cellStyle name="40% - Accent1 10 2 4 2 2 2 2" xfId="22694"/>
    <cellStyle name="40% - Accent1 10 2 4 2 2 3" xfId="22695"/>
    <cellStyle name="40% - Accent1 10 2 4 2 3" xfId="22696"/>
    <cellStyle name="40% - Accent1 10 2 4 2 3 2" xfId="22697"/>
    <cellStyle name="40% - Accent1 10 2 4 2 4" xfId="22698"/>
    <cellStyle name="40% - Accent1 10 2 4 3" xfId="22699"/>
    <cellStyle name="40% - Accent1 10 2 4 3 2" xfId="22700"/>
    <cellStyle name="40% - Accent1 10 2 4 3 2 2" xfId="22701"/>
    <cellStyle name="40% - Accent1 10 2 4 3 3" xfId="22702"/>
    <cellStyle name="40% - Accent1 10 2 4 4" xfId="22703"/>
    <cellStyle name="40% - Accent1 10 2 4 4 2" xfId="22704"/>
    <cellStyle name="40% - Accent1 10 2 4 5" xfId="22705"/>
    <cellStyle name="40% - Accent1 10 2 5" xfId="22706"/>
    <cellStyle name="40% - Accent1 10 2 5 2" xfId="22707"/>
    <cellStyle name="40% - Accent1 10 2 5 2 2" xfId="22708"/>
    <cellStyle name="40% - Accent1 10 2 5 2 2 2" xfId="22709"/>
    <cellStyle name="40% - Accent1 10 2 5 2 2 2 2" xfId="22710"/>
    <cellStyle name="40% - Accent1 10 2 5 2 2 3" xfId="22711"/>
    <cellStyle name="40% - Accent1 10 2 5 2 3" xfId="22712"/>
    <cellStyle name="40% - Accent1 10 2 5 2 3 2" xfId="22713"/>
    <cellStyle name="40% - Accent1 10 2 5 2 4" xfId="22714"/>
    <cellStyle name="40% - Accent1 10 2 5 3" xfId="22715"/>
    <cellStyle name="40% - Accent1 10 2 5 3 2" xfId="22716"/>
    <cellStyle name="40% - Accent1 10 2 5 3 2 2" xfId="22717"/>
    <cellStyle name="40% - Accent1 10 2 5 3 3" xfId="22718"/>
    <cellStyle name="40% - Accent1 10 2 5 4" xfId="22719"/>
    <cellStyle name="40% - Accent1 10 2 5 4 2" xfId="22720"/>
    <cellStyle name="40% - Accent1 10 2 5 5" xfId="22721"/>
    <cellStyle name="40% - Accent1 10 2 6" xfId="22722"/>
    <cellStyle name="40% - Accent1 10 2 6 2" xfId="22723"/>
    <cellStyle name="40% - Accent1 10 2 6 2 2" xfId="22724"/>
    <cellStyle name="40% - Accent1 10 2 6 2 2 2" xfId="22725"/>
    <cellStyle name="40% - Accent1 10 2 6 2 2 2 2" xfId="22726"/>
    <cellStyle name="40% - Accent1 10 2 6 2 2 3" xfId="22727"/>
    <cellStyle name="40% - Accent1 10 2 6 2 3" xfId="22728"/>
    <cellStyle name="40% - Accent1 10 2 6 2 3 2" xfId="22729"/>
    <cellStyle name="40% - Accent1 10 2 6 2 4" xfId="22730"/>
    <cellStyle name="40% - Accent1 10 2 6 3" xfId="22731"/>
    <cellStyle name="40% - Accent1 10 2 6 3 2" xfId="22732"/>
    <cellStyle name="40% - Accent1 10 2 6 3 2 2" xfId="22733"/>
    <cellStyle name="40% - Accent1 10 2 6 3 3" xfId="22734"/>
    <cellStyle name="40% - Accent1 10 2 6 4" xfId="22735"/>
    <cellStyle name="40% - Accent1 10 2 6 4 2" xfId="22736"/>
    <cellStyle name="40% - Accent1 10 2 6 5" xfId="22737"/>
    <cellStyle name="40% - Accent1 10 2 7" xfId="22738"/>
    <cellStyle name="40% - Accent1 10 2 7 2" xfId="22739"/>
    <cellStyle name="40% - Accent1 10 2 7 2 2" xfId="22740"/>
    <cellStyle name="40% - Accent1 10 2 7 2 2 2" xfId="22741"/>
    <cellStyle name="40% - Accent1 10 2 7 2 3" xfId="22742"/>
    <cellStyle name="40% - Accent1 10 2 7 3" xfId="22743"/>
    <cellStyle name="40% - Accent1 10 2 7 3 2" xfId="22744"/>
    <cellStyle name="40% - Accent1 10 2 7 4" xfId="22745"/>
    <cellStyle name="40% - Accent1 10 2 8" xfId="22746"/>
    <cellStyle name="40% - Accent1 10 2 8 2" xfId="22747"/>
    <cellStyle name="40% - Accent1 10 2 8 2 2" xfId="22748"/>
    <cellStyle name="40% - Accent1 10 2 8 3" xfId="22749"/>
    <cellStyle name="40% - Accent1 10 2 9" xfId="22750"/>
    <cellStyle name="40% - Accent1 10 2 9 2" xfId="22751"/>
    <cellStyle name="40% - Accent1 10 3" xfId="22752"/>
    <cellStyle name="40% - Accent1 10 3 2" xfId="22753"/>
    <cellStyle name="40% - Accent1 10 3 2 2" xfId="22754"/>
    <cellStyle name="40% - Accent1 10 3 2 2 2" xfId="22755"/>
    <cellStyle name="40% - Accent1 10 3 2 2 2 2" xfId="22756"/>
    <cellStyle name="40% - Accent1 10 3 2 2 3" xfId="22757"/>
    <cellStyle name="40% - Accent1 10 3 2 3" xfId="22758"/>
    <cellStyle name="40% - Accent1 10 3 2 3 2" xfId="22759"/>
    <cellStyle name="40% - Accent1 10 3 2 4" xfId="22760"/>
    <cellStyle name="40% - Accent1 10 3 3" xfId="22761"/>
    <cellStyle name="40% - Accent1 10 3 3 2" xfId="22762"/>
    <cellStyle name="40% - Accent1 10 3 3 2 2" xfId="22763"/>
    <cellStyle name="40% - Accent1 10 3 3 3" xfId="22764"/>
    <cellStyle name="40% - Accent1 10 3 4" xfId="22765"/>
    <cellStyle name="40% - Accent1 10 3 4 2" xfId="22766"/>
    <cellStyle name="40% - Accent1 10 3 5" xfId="22767"/>
    <cellStyle name="40% - Accent1 10 4" xfId="22768"/>
    <cellStyle name="40% - Accent1 10 4 2" xfId="22769"/>
    <cellStyle name="40% - Accent1 10 4 2 2" xfId="22770"/>
    <cellStyle name="40% - Accent1 10 4 2 2 2" xfId="22771"/>
    <cellStyle name="40% - Accent1 10 4 2 2 2 2" xfId="22772"/>
    <cellStyle name="40% - Accent1 10 4 2 2 3" xfId="22773"/>
    <cellStyle name="40% - Accent1 10 4 2 3" xfId="22774"/>
    <cellStyle name="40% - Accent1 10 4 2 3 2" xfId="22775"/>
    <cellStyle name="40% - Accent1 10 4 2 4" xfId="22776"/>
    <cellStyle name="40% - Accent1 10 4 3" xfId="22777"/>
    <cellStyle name="40% - Accent1 10 4 3 2" xfId="22778"/>
    <cellStyle name="40% - Accent1 10 4 3 2 2" xfId="22779"/>
    <cellStyle name="40% - Accent1 10 4 3 3" xfId="22780"/>
    <cellStyle name="40% - Accent1 10 4 4" xfId="22781"/>
    <cellStyle name="40% - Accent1 10 4 4 2" xfId="22782"/>
    <cellStyle name="40% - Accent1 10 4 5" xfId="22783"/>
    <cellStyle name="40% - Accent1 10 5" xfId="22784"/>
    <cellStyle name="40% - Accent1 10 5 2" xfId="22785"/>
    <cellStyle name="40% - Accent1 10 5 2 2" xfId="22786"/>
    <cellStyle name="40% - Accent1 10 5 2 2 2" xfId="22787"/>
    <cellStyle name="40% - Accent1 10 5 2 2 2 2" xfId="22788"/>
    <cellStyle name="40% - Accent1 10 5 2 2 3" xfId="22789"/>
    <cellStyle name="40% - Accent1 10 5 2 3" xfId="22790"/>
    <cellStyle name="40% - Accent1 10 5 2 3 2" xfId="22791"/>
    <cellStyle name="40% - Accent1 10 5 2 4" xfId="22792"/>
    <cellStyle name="40% - Accent1 10 5 3" xfId="22793"/>
    <cellStyle name="40% - Accent1 10 5 3 2" xfId="22794"/>
    <cellStyle name="40% - Accent1 10 5 3 2 2" xfId="22795"/>
    <cellStyle name="40% - Accent1 10 5 3 3" xfId="22796"/>
    <cellStyle name="40% - Accent1 10 5 4" xfId="22797"/>
    <cellStyle name="40% - Accent1 10 5 4 2" xfId="22798"/>
    <cellStyle name="40% - Accent1 10 5 5" xfId="22799"/>
    <cellStyle name="40% - Accent1 10 6" xfId="22800"/>
    <cellStyle name="40% - Accent1 10 6 2" xfId="22801"/>
    <cellStyle name="40% - Accent1 10 6 2 2" xfId="22802"/>
    <cellStyle name="40% - Accent1 10 6 2 2 2" xfId="22803"/>
    <cellStyle name="40% - Accent1 10 6 2 2 2 2" xfId="22804"/>
    <cellStyle name="40% - Accent1 10 6 2 2 3" xfId="22805"/>
    <cellStyle name="40% - Accent1 10 6 2 3" xfId="22806"/>
    <cellStyle name="40% - Accent1 10 6 2 3 2" xfId="22807"/>
    <cellStyle name="40% - Accent1 10 6 2 4" xfId="22808"/>
    <cellStyle name="40% - Accent1 10 6 3" xfId="22809"/>
    <cellStyle name="40% - Accent1 10 6 3 2" xfId="22810"/>
    <cellStyle name="40% - Accent1 10 6 3 2 2" xfId="22811"/>
    <cellStyle name="40% - Accent1 10 6 3 3" xfId="22812"/>
    <cellStyle name="40% - Accent1 10 6 4" xfId="22813"/>
    <cellStyle name="40% - Accent1 10 6 4 2" xfId="22814"/>
    <cellStyle name="40% - Accent1 10 6 5" xfId="22815"/>
    <cellStyle name="40% - Accent1 10 7" xfId="22816"/>
    <cellStyle name="40% - Accent1 10 7 2" xfId="22817"/>
    <cellStyle name="40% - Accent1 10 7 2 2" xfId="22818"/>
    <cellStyle name="40% - Accent1 10 7 2 2 2" xfId="22819"/>
    <cellStyle name="40% - Accent1 10 7 2 2 2 2" xfId="22820"/>
    <cellStyle name="40% - Accent1 10 7 2 2 3" xfId="22821"/>
    <cellStyle name="40% - Accent1 10 7 2 3" xfId="22822"/>
    <cellStyle name="40% - Accent1 10 7 2 3 2" xfId="22823"/>
    <cellStyle name="40% - Accent1 10 7 2 4" xfId="22824"/>
    <cellStyle name="40% - Accent1 10 7 3" xfId="22825"/>
    <cellStyle name="40% - Accent1 10 7 3 2" xfId="22826"/>
    <cellStyle name="40% - Accent1 10 7 3 2 2" xfId="22827"/>
    <cellStyle name="40% - Accent1 10 7 3 3" xfId="22828"/>
    <cellStyle name="40% - Accent1 10 7 4" xfId="22829"/>
    <cellStyle name="40% - Accent1 10 7 4 2" xfId="22830"/>
    <cellStyle name="40% - Accent1 10 7 5" xfId="22831"/>
    <cellStyle name="40% - Accent1 10 8" xfId="22832"/>
    <cellStyle name="40% - Accent1 10 8 2" xfId="22833"/>
    <cellStyle name="40% - Accent1 10 8 2 2" xfId="22834"/>
    <cellStyle name="40% - Accent1 10 8 2 2 2" xfId="22835"/>
    <cellStyle name="40% - Accent1 10 8 2 3" xfId="22836"/>
    <cellStyle name="40% - Accent1 10 8 3" xfId="22837"/>
    <cellStyle name="40% - Accent1 10 8 3 2" xfId="22838"/>
    <cellStyle name="40% - Accent1 10 8 4" xfId="22839"/>
    <cellStyle name="40% - Accent1 10 9" xfId="22840"/>
    <cellStyle name="40% - Accent1 10 9 2" xfId="22841"/>
    <cellStyle name="40% - Accent1 10 9 2 2" xfId="22842"/>
    <cellStyle name="40% - Accent1 10 9 3" xfId="22843"/>
    <cellStyle name="40% - Accent1 11" xfId="22844"/>
    <cellStyle name="40% - Accent1 11 10" xfId="22845"/>
    <cellStyle name="40% - Accent1 11 10 2" xfId="22846"/>
    <cellStyle name="40% - Accent1 11 11" xfId="22847"/>
    <cellStyle name="40% - Accent1 11 2" xfId="22848"/>
    <cellStyle name="40% - Accent1 11 2 10" xfId="22849"/>
    <cellStyle name="40% - Accent1 11 2 2" xfId="22850"/>
    <cellStyle name="40% - Accent1 11 2 2 2" xfId="22851"/>
    <cellStyle name="40% - Accent1 11 2 2 2 2" xfId="22852"/>
    <cellStyle name="40% - Accent1 11 2 2 2 2 2" xfId="22853"/>
    <cellStyle name="40% - Accent1 11 2 2 2 2 2 2" xfId="22854"/>
    <cellStyle name="40% - Accent1 11 2 2 2 2 3" xfId="22855"/>
    <cellStyle name="40% - Accent1 11 2 2 2 3" xfId="22856"/>
    <cellStyle name="40% - Accent1 11 2 2 2 3 2" xfId="22857"/>
    <cellStyle name="40% - Accent1 11 2 2 2 4" xfId="22858"/>
    <cellStyle name="40% - Accent1 11 2 2 3" xfId="22859"/>
    <cellStyle name="40% - Accent1 11 2 2 3 2" xfId="22860"/>
    <cellStyle name="40% - Accent1 11 2 2 3 2 2" xfId="22861"/>
    <cellStyle name="40% - Accent1 11 2 2 3 3" xfId="22862"/>
    <cellStyle name="40% - Accent1 11 2 2 4" xfId="22863"/>
    <cellStyle name="40% - Accent1 11 2 2 4 2" xfId="22864"/>
    <cellStyle name="40% - Accent1 11 2 2 5" xfId="22865"/>
    <cellStyle name="40% - Accent1 11 2 3" xfId="22866"/>
    <cellStyle name="40% - Accent1 11 2 3 2" xfId="22867"/>
    <cellStyle name="40% - Accent1 11 2 3 2 2" xfId="22868"/>
    <cellStyle name="40% - Accent1 11 2 3 2 2 2" xfId="22869"/>
    <cellStyle name="40% - Accent1 11 2 3 2 2 2 2" xfId="22870"/>
    <cellStyle name="40% - Accent1 11 2 3 2 2 3" xfId="22871"/>
    <cellStyle name="40% - Accent1 11 2 3 2 3" xfId="22872"/>
    <cellStyle name="40% - Accent1 11 2 3 2 3 2" xfId="22873"/>
    <cellStyle name="40% - Accent1 11 2 3 2 4" xfId="22874"/>
    <cellStyle name="40% - Accent1 11 2 3 3" xfId="22875"/>
    <cellStyle name="40% - Accent1 11 2 3 3 2" xfId="22876"/>
    <cellStyle name="40% - Accent1 11 2 3 3 2 2" xfId="22877"/>
    <cellStyle name="40% - Accent1 11 2 3 3 3" xfId="22878"/>
    <cellStyle name="40% - Accent1 11 2 3 4" xfId="22879"/>
    <cellStyle name="40% - Accent1 11 2 3 4 2" xfId="22880"/>
    <cellStyle name="40% - Accent1 11 2 3 5" xfId="22881"/>
    <cellStyle name="40% - Accent1 11 2 4" xfId="22882"/>
    <cellStyle name="40% - Accent1 11 2 4 2" xfId="22883"/>
    <cellStyle name="40% - Accent1 11 2 4 2 2" xfId="22884"/>
    <cellStyle name="40% - Accent1 11 2 4 2 2 2" xfId="22885"/>
    <cellStyle name="40% - Accent1 11 2 4 2 2 2 2" xfId="22886"/>
    <cellStyle name="40% - Accent1 11 2 4 2 2 3" xfId="22887"/>
    <cellStyle name="40% - Accent1 11 2 4 2 3" xfId="22888"/>
    <cellStyle name="40% - Accent1 11 2 4 2 3 2" xfId="22889"/>
    <cellStyle name="40% - Accent1 11 2 4 2 4" xfId="22890"/>
    <cellStyle name="40% - Accent1 11 2 4 3" xfId="22891"/>
    <cellStyle name="40% - Accent1 11 2 4 3 2" xfId="22892"/>
    <cellStyle name="40% - Accent1 11 2 4 3 2 2" xfId="22893"/>
    <cellStyle name="40% - Accent1 11 2 4 3 3" xfId="22894"/>
    <cellStyle name="40% - Accent1 11 2 4 4" xfId="22895"/>
    <cellStyle name="40% - Accent1 11 2 4 4 2" xfId="22896"/>
    <cellStyle name="40% - Accent1 11 2 4 5" xfId="22897"/>
    <cellStyle name="40% - Accent1 11 2 5" xfId="22898"/>
    <cellStyle name="40% - Accent1 11 2 5 2" xfId="22899"/>
    <cellStyle name="40% - Accent1 11 2 5 2 2" xfId="22900"/>
    <cellStyle name="40% - Accent1 11 2 5 2 2 2" xfId="22901"/>
    <cellStyle name="40% - Accent1 11 2 5 2 2 2 2" xfId="22902"/>
    <cellStyle name="40% - Accent1 11 2 5 2 2 3" xfId="22903"/>
    <cellStyle name="40% - Accent1 11 2 5 2 3" xfId="22904"/>
    <cellStyle name="40% - Accent1 11 2 5 2 3 2" xfId="22905"/>
    <cellStyle name="40% - Accent1 11 2 5 2 4" xfId="22906"/>
    <cellStyle name="40% - Accent1 11 2 5 3" xfId="22907"/>
    <cellStyle name="40% - Accent1 11 2 5 3 2" xfId="22908"/>
    <cellStyle name="40% - Accent1 11 2 5 3 2 2" xfId="22909"/>
    <cellStyle name="40% - Accent1 11 2 5 3 3" xfId="22910"/>
    <cellStyle name="40% - Accent1 11 2 5 4" xfId="22911"/>
    <cellStyle name="40% - Accent1 11 2 5 4 2" xfId="22912"/>
    <cellStyle name="40% - Accent1 11 2 5 5" xfId="22913"/>
    <cellStyle name="40% - Accent1 11 2 6" xfId="22914"/>
    <cellStyle name="40% - Accent1 11 2 6 2" xfId="22915"/>
    <cellStyle name="40% - Accent1 11 2 6 2 2" xfId="22916"/>
    <cellStyle name="40% - Accent1 11 2 6 2 2 2" xfId="22917"/>
    <cellStyle name="40% - Accent1 11 2 6 2 2 2 2" xfId="22918"/>
    <cellStyle name="40% - Accent1 11 2 6 2 2 3" xfId="22919"/>
    <cellStyle name="40% - Accent1 11 2 6 2 3" xfId="22920"/>
    <cellStyle name="40% - Accent1 11 2 6 2 3 2" xfId="22921"/>
    <cellStyle name="40% - Accent1 11 2 6 2 4" xfId="22922"/>
    <cellStyle name="40% - Accent1 11 2 6 3" xfId="22923"/>
    <cellStyle name="40% - Accent1 11 2 6 3 2" xfId="22924"/>
    <cellStyle name="40% - Accent1 11 2 6 3 2 2" xfId="22925"/>
    <cellStyle name="40% - Accent1 11 2 6 3 3" xfId="22926"/>
    <cellStyle name="40% - Accent1 11 2 6 4" xfId="22927"/>
    <cellStyle name="40% - Accent1 11 2 6 4 2" xfId="22928"/>
    <cellStyle name="40% - Accent1 11 2 6 5" xfId="22929"/>
    <cellStyle name="40% - Accent1 11 2 7" xfId="22930"/>
    <cellStyle name="40% - Accent1 11 2 7 2" xfId="22931"/>
    <cellStyle name="40% - Accent1 11 2 7 2 2" xfId="22932"/>
    <cellStyle name="40% - Accent1 11 2 7 2 2 2" xfId="22933"/>
    <cellStyle name="40% - Accent1 11 2 7 2 3" xfId="22934"/>
    <cellStyle name="40% - Accent1 11 2 7 3" xfId="22935"/>
    <cellStyle name="40% - Accent1 11 2 7 3 2" xfId="22936"/>
    <cellStyle name="40% - Accent1 11 2 7 4" xfId="22937"/>
    <cellStyle name="40% - Accent1 11 2 8" xfId="22938"/>
    <cellStyle name="40% - Accent1 11 2 8 2" xfId="22939"/>
    <cellStyle name="40% - Accent1 11 2 8 2 2" xfId="22940"/>
    <cellStyle name="40% - Accent1 11 2 8 3" xfId="22941"/>
    <cellStyle name="40% - Accent1 11 2 9" xfId="22942"/>
    <cellStyle name="40% - Accent1 11 2 9 2" xfId="22943"/>
    <cellStyle name="40% - Accent1 11 3" xfId="22944"/>
    <cellStyle name="40% - Accent1 11 3 2" xfId="22945"/>
    <cellStyle name="40% - Accent1 11 3 2 2" xfId="22946"/>
    <cellStyle name="40% - Accent1 11 3 2 2 2" xfId="22947"/>
    <cellStyle name="40% - Accent1 11 3 2 2 2 2" xfId="22948"/>
    <cellStyle name="40% - Accent1 11 3 2 2 3" xfId="22949"/>
    <cellStyle name="40% - Accent1 11 3 2 3" xfId="22950"/>
    <cellStyle name="40% - Accent1 11 3 2 3 2" xfId="22951"/>
    <cellStyle name="40% - Accent1 11 3 2 4" xfId="22952"/>
    <cellStyle name="40% - Accent1 11 3 3" xfId="22953"/>
    <cellStyle name="40% - Accent1 11 3 3 2" xfId="22954"/>
    <cellStyle name="40% - Accent1 11 3 3 2 2" xfId="22955"/>
    <cellStyle name="40% - Accent1 11 3 3 3" xfId="22956"/>
    <cellStyle name="40% - Accent1 11 3 4" xfId="22957"/>
    <cellStyle name="40% - Accent1 11 3 4 2" xfId="22958"/>
    <cellStyle name="40% - Accent1 11 3 5" xfId="22959"/>
    <cellStyle name="40% - Accent1 11 4" xfId="22960"/>
    <cellStyle name="40% - Accent1 11 4 2" xfId="22961"/>
    <cellStyle name="40% - Accent1 11 4 2 2" xfId="22962"/>
    <cellStyle name="40% - Accent1 11 4 2 2 2" xfId="22963"/>
    <cellStyle name="40% - Accent1 11 4 2 2 2 2" xfId="22964"/>
    <cellStyle name="40% - Accent1 11 4 2 2 3" xfId="22965"/>
    <cellStyle name="40% - Accent1 11 4 2 3" xfId="22966"/>
    <cellStyle name="40% - Accent1 11 4 2 3 2" xfId="22967"/>
    <cellStyle name="40% - Accent1 11 4 2 4" xfId="22968"/>
    <cellStyle name="40% - Accent1 11 4 3" xfId="22969"/>
    <cellStyle name="40% - Accent1 11 4 3 2" xfId="22970"/>
    <cellStyle name="40% - Accent1 11 4 3 2 2" xfId="22971"/>
    <cellStyle name="40% - Accent1 11 4 3 3" xfId="22972"/>
    <cellStyle name="40% - Accent1 11 4 4" xfId="22973"/>
    <cellStyle name="40% - Accent1 11 4 4 2" xfId="22974"/>
    <cellStyle name="40% - Accent1 11 4 5" xfId="22975"/>
    <cellStyle name="40% - Accent1 11 5" xfId="22976"/>
    <cellStyle name="40% - Accent1 11 5 2" xfId="22977"/>
    <cellStyle name="40% - Accent1 11 5 2 2" xfId="22978"/>
    <cellStyle name="40% - Accent1 11 5 2 2 2" xfId="22979"/>
    <cellStyle name="40% - Accent1 11 5 2 2 2 2" xfId="22980"/>
    <cellStyle name="40% - Accent1 11 5 2 2 3" xfId="22981"/>
    <cellStyle name="40% - Accent1 11 5 2 3" xfId="22982"/>
    <cellStyle name="40% - Accent1 11 5 2 3 2" xfId="22983"/>
    <cellStyle name="40% - Accent1 11 5 2 4" xfId="22984"/>
    <cellStyle name="40% - Accent1 11 5 3" xfId="22985"/>
    <cellStyle name="40% - Accent1 11 5 3 2" xfId="22986"/>
    <cellStyle name="40% - Accent1 11 5 3 2 2" xfId="22987"/>
    <cellStyle name="40% - Accent1 11 5 3 3" xfId="22988"/>
    <cellStyle name="40% - Accent1 11 5 4" xfId="22989"/>
    <cellStyle name="40% - Accent1 11 5 4 2" xfId="22990"/>
    <cellStyle name="40% - Accent1 11 5 5" xfId="22991"/>
    <cellStyle name="40% - Accent1 11 6" xfId="22992"/>
    <cellStyle name="40% - Accent1 11 6 2" xfId="22993"/>
    <cellStyle name="40% - Accent1 11 6 2 2" xfId="22994"/>
    <cellStyle name="40% - Accent1 11 6 2 2 2" xfId="22995"/>
    <cellStyle name="40% - Accent1 11 6 2 2 2 2" xfId="22996"/>
    <cellStyle name="40% - Accent1 11 6 2 2 3" xfId="22997"/>
    <cellStyle name="40% - Accent1 11 6 2 3" xfId="22998"/>
    <cellStyle name="40% - Accent1 11 6 2 3 2" xfId="22999"/>
    <cellStyle name="40% - Accent1 11 6 2 4" xfId="23000"/>
    <cellStyle name="40% - Accent1 11 6 3" xfId="23001"/>
    <cellStyle name="40% - Accent1 11 6 3 2" xfId="23002"/>
    <cellStyle name="40% - Accent1 11 6 3 2 2" xfId="23003"/>
    <cellStyle name="40% - Accent1 11 6 3 3" xfId="23004"/>
    <cellStyle name="40% - Accent1 11 6 4" xfId="23005"/>
    <cellStyle name="40% - Accent1 11 6 4 2" xfId="23006"/>
    <cellStyle name="40% - Accent1 11 6 5" xfId="23007"/>
    <cellStyle name="40% - Accent1 11 7" xfId="23008"/>
    <cellStyle name="40% - Accent1 11 7 2" xfId="23009"/>
    <cellStyle name="40% - Accent1 11 7 2 2" xfId="23010"/>
    <cellStyle name="40% - Accent1 11 7 2 2 2" xfId="23011"/>
    <cellStyle name="40% - Accent1 11 7 2 2 2 2" xfId="23012"/>
    <cellStyle name="40% - Accent1 11 7 2 2 3" xfId="23013"/>
    <cellStyle name="40% - Accent1 11 7 2 3" xfId="23014"/>
    <cellStyle name="40% - Accent1 11 7 2 3 2" xfId="23015"/>
    <cellStyle name="40% - Accent1 11 7 2 4" xfId="23016"/>
    <cellStyle name="40% - Accent1 11 7 3" xfId="23017"/>
    <cellStyle name="40% - Accent1 11 7 3 2" xfId="23018"/>
    <cellStyle name="40% - Accent1 11 7 3 2 2" xfId="23019"/>
    <cellStyle name="40% - Accent1 11 7 3 3" xfId="23020"/>
    <cellStyle name="40% - Accent1 11 7 4" xfId="23021"/>
    <cellStyle name="40% - Accent1 11 7 4 2" xfId="23022"/>
    <cellStyle name="40% - Accent1 11 7 5" xfId="23023"/>
    <cellStyle name="40% - Accent1 11 8" xfId="23024"/>
    <cellStyle name="40% - Accent1 11 8 2" xfId="23025"/>
    <cellStyle name="40% - Accent1 11 8 2 2" xfId="23026"/>
    <cellStyle name="40% - Accent1 11 8 2 2 2" xfId="23027"/>
    <cellStyle name="40% - Accent1 11 8 2 3" xfId="23028"/>
    <cellStyle name="40% - Accent1 11 8 3" xfId="23029"/>
    <cellStyle name="40% - Accent1 11 8 3 2" xfId="23030"/>
    <cellStyle name="40% - Accent1 11 8 4" xfId="23031"/>
    <cellStyle name="40% - Accent1 11 9" xfId="23032"/>
    <cellStyle name="40% - Accent1 11 9 2" xfId="23033"/>
    <cellStyle name="40% - Accent1 11 9 2 2" xfId="23034"/>
    <cellStyle name="40% - Accent1 11 9 3" xfId="23035"/>
    <cellStyle name="40% - Accent1 12" xfId="23036"/>
    <cellStyle name="40% - Accent1 12 10" xfId="23037"/>
    <cellStyle name="40% - Accent1 12 2" xfId="23038"/>
    <cellStyle name="40% - Accent1 12 2 2" xfId="23039"/>
    <cellStyle name="40% - Accent1 12 2 2 2" xfId="23040"/>
    <cellStyle name="40% - Accent1 12 2 2 2 2" xfId="23041"/>
    <cellStyle name="40% - Accent1 12 2 2 2 2 2" xfId="23042"/>
    <cellStyle name="40% - Accent1 12 2 2 2 3" xfId="23043"/>
    <cellStyle name="40% - Accent1 12 2 2 3" xfId="23044"/>
    <cellStyle name="40% - Accent1 12 2 2 3 2" xfId="23045"/>
    <cellStyle name="40% - Accent1 12 2 2 4" xfId="23046"/>
    <cellStyle name="40% - Accent1 12 2 3" xfId="23047"/>
    <cellStyle name="40% - Accent1 12 2 3 2" xfId="23048"/>
    <cellStyle name="40% - Accent1 12 2 3 2 2" xfId="23049"/>
    <cellStyle name="40% - Accent1 12 2 3 3" xfId="23050"/>
    <cellStyle name="40% - Accent1 12 2 4" xfId="23051"/>
    <cellStyle name="40% - Accent1 12 2 4 2" xfId="23052"/>
    <cellStyle name="40% - Accent1 12 2 5" xfId="23053"/>
    <cellStyle name="40% - Accent1 12 3" xfId="23054"/>
    <cellStyle name="40% - Accent1 12 3 2" xfId="23055"/>
    <cellStyle name="40% - Accent1 12 3 2 2" xfId="23056"/>
    <cellStyle name="40% - Accent1 12 3 2 2 2" xfId="23057"/>
    <cellStyle name="40% - Accent1 12 3 2 2 2 2" xfId="23058"/>
    <cellStyle name="40% - Accent1 12 3 2 2 3" xfId="23059"/>
    <cellStyle name="40% - Accent1 12 3 2 3" xfId="23060"/>
    <cellStyle name="40% - Accent1 12 3 2 3 2" xfId="23061"/>
    <cellStyle name="40% - Accent1 12 3 2 4" xfId="23062"/>
    <cellStyle name="40% - Accent1 12 3 3" xfId="23063"/>
    <cellStyle name="40% - Accent1 12 3 3 2" xfId="23064"/>
    <cellStyle name="40% - Accent1 12 3 3 2 2" xfId="23065"/>
    <cellStyle name="40% - Accent1 12 3 3 3" xfId="23066"/>
    <cellStyle name="40% - Accent1 12 3 4" xfId="23067"/>
    <cellStyle name="40% - Accent1 12 3 4 2" xfId="23068"/>
    <cellStyle name="40% - Accent1 12 3 5" xfId="23069"/>
    <cellStyle name="40% - Accent1 12 4" xfId="23070"/>
    <cellStyle name="40% - Accent1 12 4 2" xfId="23071"/>
    <cellStyle name="40% - Accent1 12 4 2 2" xfId="23072"/>
    <cellStyle name="40% - Accent1 12 4 2 2 2" xfId="23073"/>
    <cellStyle name="40% - Accent1 12 4 2 2 2 2" xfId="23074"/>
    <cellStyle name="40% - Accent1 12 4 2 2 3" xfId="23075"/>
    <cellStyle name="40% - Accent1 12 4 2 3" xfId="23076"/>
    <cellStyle name="40% - Accent1 12 4 2 3 2" xfId="23077"/>
    <cellStyle name="40% - Accent1 12 4 2 4" xfId="23078"/>
    <cellStyle name="40% - Accent1 12 4 3" xfId="23079"/>
    <cellStyle name="40% - Accent1 12 4 3 2" xfId="23080"/>
    <cellStyle name="40% - Accent1 12 4 3 2 2" xfId="23081"/>
    <cellStyle name="40% - Accent1 12 4 3 3" xfId="23082"/>
    <cellStyle name="40% - Accent1 12 4 4" xfId="23083"/>
    <cellStyle name="40% - Accent1 12 4 4 2" xfId="23084"/>
    <cellStyle name="40% - Accent1 12 4 5" xfId="23085"/>
    <cellStyle name="40% - Accent1 12 5" xfId="23086"/>
    <cellStyle name="40% - Accent1 12 5 2" xfId="23087"/>
    <cellStyle name="40% - Accent1 12 5 2 2" xfId="23088"/>
    <cellStyle name="40% - Accent1 12 5 2 2 2" xfId="23089"/>
    <cellStyle name="40% - Accent1 12 5 2 2 2 2" xfId="23090"/>
    <cellStyle name="40% - Accent1 12 5 2 2 3" xfId="23091"/>
    <cellStyle name="40% - Accent1 12 5 2 3" xfId="23092"/>
    <cellStyle name="40% - Accent1 12 5 2 3 2" xfId="23093"/>
    <cellStyle name="40% - Accent1 12 5 2 4" xfId="23094"/>
    <cellStyle name="40% - Accent1 12 5 3" xfId="23095"/>
    <cellStyle name="40% - Accent1 12 5 3 2" xfId="23096"/>
    <cellStyle name="40% - Accent1 12 5 3 2 2" xfId="23097"/>
    <cellStyle name="40% - Accent1 12 5 3 3" xfId="23098"/>
    <cellStyle name="40% - Accent1 12 5 4" xfId="23099"/>
    <cellStyle name="40% - Accent1 12 5 4 2" xfId="23100"/>
    <cellStyle name="40% - Accent1 12 5 5" xfId="23101"/>
    <cellStyle name="40% - Accent1 12 6" xfId="23102"/>
    <cellStyle name="40% - Accent1 12 6 2" xfId="23103"/>
    <cellStyle name="40% - Accent1 12 6 2 2" xfId="23104"/>
    <cellStyle name="40% - Accent1 12 6 2 2 2" xfId="23105"/>
    <cellStyle name="40% - Accent1 12 6 2 2 2 2" xfId="23106"/>
    <cellStyle name="40% - Accent1 12 6 2 2 3" xfId="23107"/>
    <cellStyle name="40% - Accent1 12 6 2 3" xfId="23108"/>
    <cellStyle name="40% - Accent1 12 6 2 3 2" xfId="23109"/>
    <cellStyle name="40% - Accent1 12 6 2 4" xfId="23110"/>
    <cellStyle name="40% - Accent1 12 6 3" xfId="23111"/>
    <cellStyle name="40% - Accent1 12 6 3 2" xfId="23112"/>
    <cellStyle name="40% - Accent1 12 6 3 2 2" xfId="23113"/>
    <cellStyle name="40% - Accent1 12 6 3 3" xfId="23114"/>
    <cellStyle name="40% - Accent1 12 6 4" xfId="23115"/>
    <cellStyle name="40% - Accent1 12 6 4 2" xfId="23116"/>
    <cellStyle name="40% - Accent1 12 6 5" xfId="23117"/>
    <cellStyle name="40% - Accent1 12 7" xfId="23118"/>
    <cellStyle name="40% - Accent1 12 7 2" xfId="23119"/>
    <cellStyle name="40% - Accent1 12 7 2 2" xfId="23120"/>
    <cellStyle name="40% - Accent1 12 7 2 2 2" xfId="23121"/>
    <cellStyle name="40% - Accent1 12 7 2 3" xfId="23122"/>
    <cellStyle name="40% - Accent1 12 7 3" xfId="23123"/>
    <cellStyle name="40% - Accent1 12 7 3 2" xfId="23124"/>
    <cellStyle name="40% - Accent1 12 7 4" xfId="23125"/>
    <cellStyle name="40% - Accent1 12 8" xfId="23126"/>
    <cellStyle name="40% - Accent1 12 8 2" xfId="23127"/>
    <cellStyle name="40% - Accent1 12 8 2 2" xfId="23128"/>
    <cellStyle name="40% - Accent1 12 8 3" xfId="23129"/>
    <cellStyle name="40% - Accent1 12 9" xfId="23130"/>
    <cellStyle name="40% - Accent1 12 9 2" xfId="23131"/>
    <cellStyle name="40% - Accent1 13" xfId="23132"/>
    <cellStyle name="40% - Accent1 13 10" xfId="23133"/>
    <cellStyle name="40% - Accent1 13 2" xfId="23134"/>
    <cellStyle name="40% - Accent1 13 2 2" xfId="23135"/>
    <cellStyle name="40% - Accent1 13 2 2 2" xfId="23136"/>
    <cellStyle name="40% - Accent1 13 2 2 2 2" xfId="23137"/>
    <cellStyle name="40% - Accent1 13 2 2 2 2 2" xfId="23138"/>
    <cellStyle name="40% - Accent1 13 2 2 2 3" xfId="23139"/>
    <cellStyle name="40% - Accent1 13 2 2 3" xfId="23140"/>
    <cellStyle name="40% - Accent1 13 2 2 3 2" xfId="23141"/>
    <cellStyle name="40% - Accent1 13 2 2 4" xfId="23142"/>
    <cellStyle name="40% - Accent1 13 2 3" xfId="23143"/>
    <cellStyle name="40% - Accent1 13 2 3 2" xfId="23144"/>
    <cellStyle name="40% - Accent1 13 2 3 2 2" xfId="23145"/>
    <cellStyle name="40% - Accent1 13 2 3 3" xfId="23146"/>
    <cellStyle name="40% - Accent1 13 2 4" xfId="23147"/>
    <cellStyle name="40% - Accent1 13 2 4 2" xfId="23148"/>
    <cellStyle name="40% - Accent1 13 2 5" xfId="23149"/>
    <cellStyle name="40% - Accent1 13 3" xfId="23150"/>
    <cellStyle name="40% - Accent1 13 3 2" xfId="23151"/>
    <cellStyle name="40% - Accent1 13 3 2 2" xfId="23152"/>
    <cellStyle name="40% - Accent1 13 3 2 2 2" xfId="23153"/>
    <cellStyle name="40% - Accent1 13 3 2 2 2 2" xfId="23154"/>
    <cellStyle name="40% - Accent1 13 3 2 2 3" xfId="23155"/>
    <cellStyle name="40% - Accent1 13 3 2 3" xfId="23156"/>
    <cellStyle name="40% - Accent1 13 3 2 3 2" xfId="23157"/>
    <cellStyle name="40% - Accent1 13 3 2 4" xfId="23158"/>
    <cellStyle name="40% - Accent1 13 3 3" xfId="23159"/>
    <cellStyle name="40% - Accent1 13 3 3 2" xfId="23160"/>
    <cellStyle name="40% - Accent1 13 3 3 2 2" xfId="23161"/>
    <cellStyle name="40% - Accent1 13 3 3 3" xfId="23162"/>
    <cellStyle name="40% - Accent1 13 3 4" xfId="23163"/>
    <cellStyle name="40% - Accent1 13 3 4 2" xfId="23164"/>
    <cellStyle name="40% - Accent1 13 3 5" xfId="23165"/>
    <cellStyle name="40% - Accent1 13 4" xfId="23166"/>
    <cellStyle name="40% - Accent1 13 4 2" xfId="23167"/>
    <cellStyle name="40% - Accent1 13 4 2 2" xfId="23168"/>
    <cellStyle name="40% - Accent1 13 4 2 2 2" xfId="23169"/>
    <cellStyle name="40% - Accent1 13 4 2 2 2 2" xfId="23170"/>
    <cellStyle name="40% - Accent1 13 4 2 2 3" xfId="23171"/>
    <cellStyle name="40% - Accent1 13 4 2 3" xfId="23172"/>
    <cellStyle name="40% - Accent1 13 4 2 3 2" xfId="23173"/>
    <cellStyle name="40% - Accent1 13 4 2 4" xfId="23174"/>
    <cellStyle name="40% - Accent1 13 4 3" xfId="23175"/>
    <cellStyle name="40% - Accent1 13 4 3 2" xfId="23176"/>
    <cellStyle name="40% - Accent1 13 4 3 2 2" xfId="23177"/>
    <cellStyle name="40% - Accent1 13 4 3 3" xfId="23178"/>
    <cellStyle name="40% - Accent1 13 4 4" xfId="23179"/>
    <cellStyle name="40% - Accent1 13 4 4 2" xfId="23180"/>
    <cellStyle name="40% - Accent1 13 4 5" xfId="23181"/>
    <cellStyle name="40% - Accent1 13 5" xfId="23182"/>
    <cellStyle name="40% - Accent1 13 5 2" xfId="23183"/>
    <cellStyle name="40% - Accent1 13 5 2 2" xfId="23184"/>
    <cellStyle name="40% - Accent1 13 5 2 2 2" xfId="23185"/>
    <cellStyle name="40% - Accent1 13 5 2 2 2 2" xfId="23186"/>
    <cellStyle name="40% - Accent1 13 5 2 2 3" xfId="23187"/>
    <cellStyle name="40% - Accent1 13 5 2 3" xfId="23188"/>
    <cellStyle name="40% - Accent1 13 5 2 3 2" xfId="23189"/>
    <cellStyle name="40% - Accent1 13 5 2 4" xfId="23190"/>
    <cellStyle name="40% - Accent1 13 5 3" xfId="23191"/>
    <cellStyle name="40% - Accent1 13 5 3 2" xfId="23192"/>
    <cellStyle name="40% - Accent1 13 5 3 2 2" xfId="23193"/>
    <cellStyle name="40% - Accent1 13 5 3 3" xfId="23194"/>
    <cellStyle name="40% - Accent1 13 5 4" xfId="23195"/>
    <cellStyle name="40% - Accent1 13 5 4 2" xfId="23196"/>
    <cellStyle name="40% - Accent1 13 5 5" xfId="23197"/>
    <cellStyle name="40% - Accent1 13 6" xfId="23198"/>
    <cellStyle name="40% - Accent1 13 6 2" xfId="23199"/>
    <cellStyle name="40% - Accent1 13 6 2 2" xfId="23200"/>
    <cellStyle name="40% - Accent1 13 6 2 2 2" xfId="23201"/>
    <cellStyle name="40% - Accent1 13 6 2 2 2 2" xfId="23202"/>
    <cellStyle name="40% - Accent1 13 6 2 2 3" xfId="23203"/>
    <cellStyle name="40% - Accent1 13 6 2 3" xfId="23204"/>
    <cellStyle name="40% - Accent1 13 6 2 3 2" xfId="23205"/>
    <cellStyle name="40% - Accent1 13 6 2 4" xfId="23206"/>
    <cellStyle name="40% - Accent1 13 6 3" xfId="23207"/>
    <cellStyle name="40% - Accent1 13 6 3 2" xfId="23208"/>
    <cellStyle name="40% - Accent1 13 6 3 2 2" xfId="23209"/>
    <cellStyle name="40% - Accent1 13 6 3 3" xfId="23210"/>
    <cellStyle name="40% - Accent1 13 6 4" xfId="23211"/>
    <cellStyle name="40% - Accent1 13 6 4 2" xfId="23212"/>
    <cellStyle name="40% - Accent1 13 6 5" xfId="23213"/>
    <cellStyle name="40% - Accent1 13 7" xfId="23214"/>
    <cellStyle name="40% - Accent1 13 7 2" xfId="23215"/>
    <cellStyle name="40% - Accent1 13 7 2 2" xfId="23216"/>
    <cellStyle name="40% - Accent1 13 7 2 2 2" xfId="23217"/>
    <cellStyle name="40% - Accent1 13 7 2 3" xfId="23218"/>
    <cellStyle name="40% - Accent1 13 7 3" xfId="23219"/>
    <cellStyle name="40% - Accent1 13 7 3 2" xfId="23220"/>
    <cellStyle name="40% - Accent1 13 7 4" xfId="23221"/>
    <cellStyle name="40% - Accent1 13 8" xfId="23222"/>
    <cellStyle name="40% - Accent1 13 8 2" xfId="23223"/>
    <cellStyle name="40% - Accent1 13 8 2 2" xfId="23224"/>
    <cellStyle name="40% - Accent1 13 8 3" xfId="23225"/>
    <cellStyle name="40% - Accent1 13 9" xfId="23226"/>
    <cellStyle name="40% - Accent1 13 9 2" xfId="23227"/>
    <cellStyle name="40% - Accent1 14" xfId="23228"/>
    <cellStyle name="40% - Accent1 14 2" xfId="23229"/>
    <cellStyle name="40% - Accent1 14 2 2" xfId="23230"/>
    <cellStyle name="40% - Accent1 14 2 2 2" xfId="23231"/>
    <cellStyle name="40% - Accent1 14 2 2 2 2" xfId="23232"/>
    <cellStyle name="40% - Accent1 14 2 2 3" xfId="23233"/>
    <cellStyle name="40% - Accent1 14 2 3" xfId="23234"/>
    <cellStyle name="40% - Accent1 14 2 3 2" xfId="23235"/>
    <cellStyle name="40% - Accent1 14 2 4" xfId="23236"/>
    <cellStyle name="40% - Accent1 14 3" xfId="23237"/>
    <cellStyle name="40% - Accent1 14 3 2" xfId="23238"/>
    <cellStyle name="40% - Accent1 14 3 2 2" xfId="23239"/>
    <cellStyle name="40% - Accent1 14 3 3" xfId="23240"/>
    <cellStyle name="40% - Accent1 14 4" xfId="23241"/>
    <cellStyle name="40% - Accent1 14 4 2" xfId="23242"/>
    <cellStyle name="40% - Accent1 14 5" xfId="23243"/>
    <cellStyle name="40% - Accent1 15" xfId="23244"/>
    <cellStyle name="40% - Accent1 15 2" xfId="23245"/>
    <cellStyle name="40% - Accent1 15 2 2" xfId="23246"/>
    <cellStyle name="40% - Accent1 15 2 2 2" xfId="23247"/>
    <cellStyle name="40% - Accent1 15 2 2 2 2" xfId="23248"/>
    <cellStyle name="40% - Accent1 15 2 2 3" xfId="23249"/>
    <cellStyle name="40% - Accent1 15 2 3" xfId="23250"/>
    <cellStyle name="40% - Accent1 15 2 3 2" xfId="23251"/>
    <cellStyle name="40% - Accent1 15 2 4" xfId="23252"/>
    <cellStyle name="40% - Accent1 15 3" xfId="23253"/>
    <cellStyle name="40% - Accent1 15 3 2" xfId="23254"/>
    <cellStyle name="40% - Accent1 15 3 2 2" xfId="23255"/>
    <cellStyle name="40% - Accent1 15 3 3" xfId="23256"/>
    <cellStyle name="40% - Accent1 15 4" xfId="23257"/>
    <cellStyle name="40% - Accent1 15 4 2" xfId="23258"/>
    <cellStyle name="40% - Accent1 15 5" xfId="23259"/>
    <cellStyle name="40% - Accent1 16" xfId="23260"/>
    <cellStyle name="40% - Accent1 16 2" xfId="23261"/>
    <cellStyle name="40% - Accent1 16 2 2" xfId="23262"/>
    <cellStyle name="40% - Accent1 16 2 2 2" xfId="23263"/>
    <cellStyle name="40% - Accent1 16 2 2 2 2" xfId="23264"/>
    <cellStyle name="40% - Accent1 16 2 2 3" xfId="23265"/>
    <cellStyle name="40% - Accent1 16 2 3" xfId="23266"/>
    <cellStyle name="40% - Accent1 16 2 3 2" xfId="23267"/>
    <cellStyle name="40% - Accent1 16 2 4" xfId="23268"/>
    <cellStyle name="40% - Accent1 16 3" xfId="23269"/>
    <cellStyle name="40% - Accent1 16 3 2" xfId="23270"/>
    <cellStyle name="40% - Accent1 16 3 2 2" xfId="23271"/>
    <cellStyle name="40% - Accent1 16 3 3" xfId="23272"/>
    <cellStyle name="40% - Accent1 16 4" xfId="23273"/>
    <cellStyle name="40% - Accent1 16 4 2" xfId="23274"/>
    <cellStyle name="40% - Accent1 16 5" xfId="23275"/>
    <cellStyle name="40% - Accent1 17" xfId="23276"/>
    <cellStyle name="40% - Accent1 17 2" xfId="23277"/>
    <cellStyle name="40% - Accent1 17 2 2" xfId="23278"/>
    <cellStyle name="40% - Accent1 17 2 2 2" xfId="23279"/>
    <cellStyle name="40% - Accent1 17 2 2 2 2" xfId="23280"/>
    <cellStyle name="40% - Accent1 17 2 2 3" xfId="23281"/>
    <cellStyle name="40% - Accent1 17 2 3" xfId="23282"/>
    <cellStyle name="40% - Accent1 17 2 3 2" xfId="23283"/>
    <cellStyle name="40% - Accent1 17 2 4" xfId="23284"/>
    <cellStyle name="40% - Accent1 17 3" xfId="23285"/>
    <cellStyle name="40% - Accent1 17 3 2" xfId="23286"/>
    <cellStyle name="40% - Accent1 17 3 2 2" xfId="23287"/>
    <cellStyle name="40% - Accent1 17 3 3" xfId="23288"/>
    <cellStyle name="40% - Accent1 17 4" xfId="23289"/>
    <cellStyle name="40% - Accent1 17 4 2" xfId="23290"/>
    <cellStyle name="40% - Accent1 17 5" xfId="23291"/>
    <cellStyle name="40% - Accent1 18" xfId="23292"/>
    <cellStyle name="40% - Accent1 18 2" xfId="23293"/>
    <cellStyle name="40% - Accent1 18 2 2" xfId="23294"/>
    <cellStyle name="40% - Accent1 18 2 2 2" xfId="23295"/>
    <cellStyle name="40% - Accent1 18 2 2 2 2" xfId="23296"/>
    <cellStyle name="40% - Accent1 18 2 2 3" xfId="23297"/>
    <cellStyle name="40% - Accent1 18 2 3" xfId="23298"/>
    <cellStyle name="40% - Accent1 18 2 3 2" xfId="23299"/>
    <cellStyle name="40% - Accent1 18 2 4" xfId="23300"/>
    <cellStyle name="40% - Accent1 18 3" xfId="23301"/>
    <cellStyle name="40% - Accent1 18 3 2" xfId="23302"/>
    <cellStyle name="40% - Accent1 18 3 2 2" xfId="23303"/>
    <cellStyle name="40% - Accent1 18 3 3" xfId="23304"/>
    <cellStyle name="40% - Accent1 18 4" xfId="23305"/>
    <cellStyle name="40% - Accent1 18 4 2" xfId="23306"/>
    <cellStyle name="40% - Accent1 18 5" xfId="23307"/>
    <cellStyle name="40% - Accent1 19" xfId="23308"/>
    <cellStyle name="40% - Accent1 19 2" xfId="23309"/>
    <cellStyle name="40% - Accent1 19 2 2" xfId="23310"/>
    <cellStyle name="40% - Accent1 19 2 2 2" xfId="23311"/>
    <cellStyle name="40% - Accent1 19 2 2 2 2" xfId="23312"/>
    <cellStyle name="40% - Accent1 19 2 2 3" xfId="23313"/>
    <cellStyle name="40% - Accent1 19 2 3" xfId="23314"/>
    <cellStyle name="40% - Accent1 19 2 3 2" xfId="23315"/>
    <cellStyle name="40% - Accent1 19 2 4" xfId="23316"/>
    <cellStyle name="40% - Accent1 19 3" xfId="23317"/>
    <cellStyle name="40% - Accent1 19 3 2" xfId="23318"/>
    <cellStyle name="40% - Accent1 19 3 2 2" xfId="23319"/>
    <cellStyle name="40% - Accent1 19 3 3" xfId="23320"/>
    <cellStyle name="40% - Accent1 19 4" xfId="23321"/>
    <cellStyle name="40% - Accent1 19 4 2" xfId="23322"/>
    <cellStyle name="40% - Accent1 19 5" xfId="23323"/>
    <cellStyle name="40% - Accent1 2" xfId="23324"/>
    <cellStyle name="40% - Accent1 2 10" xfId="23325"/>
    <cellStyle name="40% - Accent1 2 10 10" xfId="23326"/>
    <cellStyle name="40% - Accent1 2 10 2" xfId="23327"/>
    <cellStyle name="40% - Accent1 2 10 2 2" xfId="23328"/>
    <cellStyle name="40% - Accent1 2 10 2 2 2" xfId="23329"/>
    <cellStyle name="40% - Accent1 2 10 2 2 2 2" xfId="23330"/>
    <cellStyle name="40% - Accent1 2 10 2 2 2 2 2" xfId="23331"/>
    <cellStyle name="40% - Accent1 2 10 2 2 2 3" xfId="23332"/>
    <cellStyle name="40% - Accent1 2 10 2 2 3" xfId="23333"/>
    <cellStyle name="40% - Accent1 2 10 2 2 3 2" xfId="23334"/>
    <cellStyle name="40% - Accent1 2 10 2 2 4" xfId="23335"/>
    <cellStyle name="40% - Accent1 2 10 2 3" xfId="23336"/>
    <cellStyle name="40% - Accent1 2 10 2 3 2" xfId="23337"/>
    <cellStyle name="40% - Accent1 2 10 2 3 2 2" xfId="23338"/>
    <cellStyle name="40% - Accent1 2 10 2 3 3" xfId="23339"/>
    <cellStyle name="40% - Accent1 2 10 2 4" xfId="23340"/>
    <cellStyle name="40% - Accent1 2 10 2 4 2" xfId="23341"/>
    <cellStyle name="40% - Accent1 2 10 2 5" xfId="23342"/>
    <cellStyle name="40% - Accent1 2 10 3" xfId="23343"/>
    <cellStyle name="40% - Accent1 2 10 3 2" xfId="23344"/>
    <cellStyle name="40% - Accent1 2 10 3 2 2" xfId="23345"/>
    <cellStyle name="40% - Accent1 2 10 3 2 2 2" xfId="23346"/>
    <cellStyle name="40% - Accent1 2 10 3 2 2 2 2" xfId="23347"/>
    <cellStyle name="40% - Accent1 2 10 3 2 2 3" xfId="23348"/>
    <cellStyle name="40% - Accent1 2 10 3 2 3" xfId="23349"/>
    <cellStyle name="40% - Accent1 2 10 3 2 3 2" xfId="23350"/>
    <cellStyle name="40% - Accent1 2 10 3 2 4" xfId="23351"/>
    <cellStyle name="40% - Accent1 2 10 3 3" xfId="23352"/>
    <cellStyle name="40% - Accent1 2 10 3 3 2" xfId="23353"/>
    <cellStyle name="40% - Accent1 2 10 3 3 2 2" xfId="23354"/>
    <cellStyle name="40% - Accent1 2 10 3 3 3" xfId="23355"/>
    <cellStyle name="40% - Accent1 2 10 3 4" xfId="23356"/>
    <cellStyle name="40% - Accent1 2 10 3 4 2" xfId="23357"/>
    <cellStyle name="40% - Accent1 2 10 3 5" xfId="23358"/>
    <cellStyle name="40% - Accent1 2 10 4" xfId="23359"/>
    <cellStyle name="40% - Accent1 2 10 4 2" xfId="23360"/>
    <cellStyle name="40% - Accent1 2 10 4 2 2" xfId="23361"/>
    <cellStyle name="40% - Accent1 2 10 4 2 2 2" xfId="23362"/>
    <cellStyle name="40% - Accent1 2 10 4 2 2 2 2" xfId="23363"/>
    <cellStyle name="40% - Accent1 2 10 4 2 2 3" xfId="23364"/>
    <cellStyle name="40% - Accent1 2 10 4 2 3" xfId="23365"/>
    <cellStyle name="40% - Accent1 2 10 4 2 3 2" xfId="23366"/>
    <cellStyle name="40% - Accent1 2 10 4 2 4" xfId="23367"/>
    <cellStyle name="40% - Accent1 2 10 4 3" xfId="23368"/>
    <cellStyle name="40% - Accent1 2 10 4 3 2" xfId="23369"/>
    <cellStyle name="40% - Accent1 2 10 4 3 2 2" xfId="23370"/>
    <cellStyle name="40% - Accent1 2 10 4 3 3" xfId="23371"/>
    <cellStyle name="40% - Accent1 2 10 4 4" xfId="23372"/>
    <cellStyle name="40% - Accent1 2 10 4 4 2" xfId="23373"/>
    <cellStyle name="40% - Accent1 2 10 4 5" xfId="23374"/>
    <cellStyle name="40% - Accent1 2 10 5" xfId="23375"/>
    <cellStyle name="40% - Accent1 2 10 5 2" xfId="23376"/>
    <cellStyle name="40% - Accent1 2 10 5 2 2" xfId="23377"/>
    <cellStyle name="40% - Accent1 2 10 5 2 2 2" xfId="23378"/>
    <cellStyle name="40% - Accent1 2 10 5 2 2 2 2" xfId="23379"/>
    <cellStyle name="40% - Accent1 2 10 5 2 2 3" xfId="23380"/>
    <cellStyle name="40% - Accent1 2 10 5 2 3" xfId="23381"/>
    <cellStyle name="40% - Accent1 2 10 5 2 3 2" xfId="23382"/>
    <cellStyle name="40% - Accent1 2 10 5 2 4" xfId="23383"/>
    <cellStyle name="40% - Accent1 2 10 5 3" xfId="23384"/>
    <cellStyle name="40% - Accent1 2 10 5 3 2" xfId="23385"/>
    <cellStyle name="40% - Accent1 2 10 5 3 2 2" xfId="23386"/>
    <cellStyle name="40% - Accent1 2 10 5 3 3" xfId="23387"/>
    <cellStyle name="40% - Accent1 2 10 5 4" xfId="23388"/>
    <cellStyle name="40% - Accent1 2 10 5 4 2" xfId="23389"/>
    <cellStyle name="40% - Accent1 2 10 5 5" xfId="23390"/>
    <cellStyle name="40% - Accent1 2 10 6" xfId="23391"/>
    <cellStyle name="40% - Accent1 2 10 6 2" xfId="23392"/>
    <cellStyle name="40% - Accent1 2 10 6 2 2" xfId="23393"/>
    <cellStyle name="40% - Accent1 2 10 6 2 2 2" xfId="23394"/>
    <cellStyle name="40% - Accent1 2 10 6 2 2 2 2" xfId="23395"/>
    <cellStyle name="40% - Accent1 2 10 6 2 2 3" xfId="23396"/>
    <cellStyle name="40% - Accent1 2 10 6 2 3" xfId="23397"/>
    <cellStyle name="40% - Accent1 2 10 6 2 3 2" xfId="23398"/>
    <cellStyle name="40% - Accent1 2 10 6 2 4" xfId="23399"/>
    <cellStyle name="40% - Accent1 2 10 6 3" xfId="23400"/>
    <cellStyle name="40% - Accent1 2 10 6 3 2" xfId="23401"/>
    <cellStyle name="40% - Accent1 2 10 6 3 2 2" xfId="23402"/>
    <cellStyle name="40% - Accent1 2 10 6 3 3" xfId="23403"/>
    <cellStyle name="40% - Accent1 2 10 6 4" xfId="23404"/>
    <cellStyle name="40% - Accent1 2 10 6 4 2" xfId="23405"/>
    <cellStyle name="40% - Accent1 2 10 6 5" xfId="23406"/>
    <cellStyle name="40% - Accent1 2 10 7" xfId="23407"/>
    <cellStyle name="40% - Accent1 2 10 7 2" xfId="23408"/>
    <cellStyle name="40% - Accent1 2 10 7 2 2" xfId="23409"/>
    <cellStyle name="40% - Accent1 2 10 7 2 2 2" xfId="23410"/>
    <cellStyle name="40% - Accent1 2 10 7 2 3" xfId="23411"/>
    <cellStyle name="40% - Accent1 2 10 7 3" xfId="23412"/>
    <cellStyle name="40% - Accent1 2 10 7 3 2" xfId="23413"/>
    <cellStyle name="40% - Accent1 2 10 7 4" xfId="23414"/>
    <cellStyle name="40% - Accent1 2 10 8" xfId="23415"/>
    <cellStyle name="40% - Accent1 2 10 8 2" xfId="23416"/>
    <cellStyle name="40% - Accent1 2 10 8 2 2" xfId="23417"/>
    <cellStyle name="40% - Accent1 2 10 8 3" xfId="23418"/>
    <cellStyle name="40% - Accent1 2 10 9" xfId="23419"/>
    <cellStyle name="40% - Accent1 2 10 9 2" xfId="23420"/>
    <cellStyle name="40% - Accent1 2 11" xfId="23421"/>
    <cellStyle name="40% - Accent1 2 11 2" xfId="23422"/>
    <cellStyle name="40% - Accent1 2 11 2 2" xfId="23423"/>
    <cellStyle name="40% - Accent1 2 11 2 2 2" xfId="23424"/>
    <cellStyle name="40% - Accent1 2 11 2 2 2 2" xfId="23425"/>
    <cellStyle name="40% - Accent1 2 11 2 2 3" xfId="23426"/>
    <cellStyle name="40% - Accent1 2 11 2 3" xfId="23427"/>
    <cellStyle name="40% - Accent1 2 11 2 3 2" xfId="23428"/>
    <cellStyle name="40% - Accent1 2 11 2 4" xfId="23429"/>
    <cellStyle name="40% - Accent1 2 11 3" xfId="23430"/>
    <cellStyle name="40% - Accent1 2 11 3 2" xfId="23431"/>
    <cellStyle name="40% - Accent1 2 11 3 2 2" xfId="23432"/>
    <cellStyle name="40% - Accent1 2 11 3 3" xfId="23433"/>
    <cellStyle name="40% - Accent1 2 11 4" xfId="23434"/>
    <cellStyle name="40% - Accent1 2 11 4 2" xfId="23435"/>
    <cellStyle name="40% - Accent1 2 11 5" xfId="23436"/>
    <cellStyle name="40% - Accent1 2 12" xfId="23437"/>
    <cellStyle name="40% - Accent1 2 12 2" xfId="23438"/>
    <cellStyle name="40% - Accent1 2 12 2 2" xfId="23439"/>
    <cellStyle name="40% - Accent1 2 12 2 2 2" xfId="23440"/>
    <cellStyle name="40% - Accent1 2 12 2 2 2 2" xfId="23441"/>
    <cellStyle name="40% - Accent1 2 12 2 2 3" xfId="23442"/>
    <cellStyle name="40% - Accent1 2 12 2 3" xfId="23443"/>
    <cellStyle name="40% - Accent1 2 12 2 3 2" xfId="23444"/>
    <cellStyle name="40% - Accent1 2 12 2 4" xfId="23445"/>
    <cellStyle name="40% - Accent1 2 12 3" xfId="23446"/>
    <cellStyle name="40% - Accent1 2 12 3 2" xfId="23447"/>
    <cellStyle name="40% - Accent1 2 12 3 2 2" xfId="23448"/>
    <cellStyle name="40% - Accent1 2 12 3 3" xfId="23449"/>
    <cellStyle name="40% - Accent1 2 12 4" xfId="23450"/>
    <cellStyle name="40% - Accent1 2 12 4 2" xfId="23451"/>
    <cellStyle name="40% - Accent1 2 12 5" xfId="23452"/>
    <cellStyle name="40% - Accent1 2 13" xfId="23453"/>
    <cellStyle name="40% - Accent1 2 13 2" xfId="23454"/>
    <cellStyle name="40% - Accent1 2 13 2 2" xfId="23455"/>
    <cellStyle name="40% - Accent1 2 13 2 2 2" xfId="23456"/>
    <cellStyle name="40% - Accent1 2 13 2 2 2 2" xfId="23457"/>
    <cellStyle name="40% - Accent1 2 13 2 2 3" xfId="23458"/>
    <cellStyle name="40% - Accent1 2 13 2 3" xfId="23459"/>
    <cellStyle name="40% - Accent1 2 13 2 3 2" xfId="23460"/>
    <cellStyle name="40% - Accent1 2 13 2 4" xfId="23461"/>
    <cellStyle name="40% - Accent1 2 13 3" xfId="23462"/>
    <cellStyle name="40% - Accent1 2 13 3 2" xfId="23463"/>
    <cellStyle name="40% - Accent1 2 13 3 2 2" xfId="23464"/>
    <cellStyle name="40% - Accent1 2 13 3 3" xfId="23465"/>
    <cellStyle name="40% - Accent1 2 13 4" xfId="23466"/>
    <cellStyle name="40% - Accent1 2 13 4 2" xfId="23467"/>
    <cellStyle name="40% - Accent1 2 13 5" xfId="23468"/>
    <cellStyle name="40% - Accent1 2 14" xfId="23469"/>
    <cellStyle name="40% - Accent1 2 14 2" xfId="23470"/>
    <cellStyle name="40% - Accent1 2 14 2 2" xfId="23471"/>
    <cellStyle name="40% - Accent1 2 14 2 2 2" xfId="23472"/>
    <cellStyle name="40% - Accent1 2 14 2 2 2 2" xfId="23473"/>
    <cellStyle name="40% - Accent1 2 14 2 2 3" xfId="23474"/>
    <cellStyle name="40% - Accent1 2 14 2 3" xfId="23475"/>
    <cellStyle name="40% - Accent1 2 14 2 3 2" xfId="23476"/>
    <cellStyle name="40% - Accent1 2 14 2 4" xfId="23477"/>
    <cellStyle name="40% - Accent1 2 14 3" xfId="23478"/>
    <cellStyle name="40% - Accent1 2 14 3 2" xfId="23479"/>
    <cellStyle name="40% - Accent1 2 14 3 2 2" xfId="23480"/>
    <cellStyle name="40% - Accent1 2 14 3 3" xfId="23481"/>
    <cellStyle name="40% - Accent1 2 14 4" xfId="23482"/>
    <cellStyle name="40% - Accent1 2 14 4 2" xfId="23483"/>
    <cellStyle name="40% - Accent1 2 14 5" xfId="23484"/>
    <cellStyle name="40% - Accent1 2 15" xfId="23485"/>
    <cellStyle name="40% - Accent1 2 15 2" xfId="23486"/>
    <cellStyle name="40% - Accent1 2 15 2 2" xfId="23487"/>
    <cellStyle name="40% - Accent1 2 15 2 2 2" xfId="23488"/>
    <cellStyle name="40% - Accent1 2 15 2 2 2 2" xfId="23489"/>
    <cellStyle name="40% - Accent1 2 15 2 2 3" xfId="23490"/>
    <cellStyle name="40% - Accent1 2 15 2 3" xfId="23491"/>
    <cellStyle name="40% - Accent1 2 15 2 3 2" xfId="23492"/>
    <cellStyle name="40% - Accent1 2 15 2 4" xfId="23493"/>
    <cellStyle name="40% - Accent1 2 15 3" xfId="23494"/>
    <cellStyle name="40% - Accent1 2 15 3 2" xfId="23495"/>
    <cellStyle name="40% - Accent1 2 15 3 2 2" xfId="23496"/>
    <cellStyle name="40% - Accent1 2 15 3 3" xfId="23497"/>
    <cellStyle name="40% - Accent1 2 15 4" xfId="23498"/>
    <cellStyle name="40% - Accent1 2 15 4 2" xfId="23499"/>
    <cellStyle name="40% - Accent1 2 15 5" xfId="23500"/>
    <cellStyle name="40% - Accent1 2 16" xfId="23501"/>
    <cellStyle name="40% - Accent1 2 16 2" xfId="23502"/>
    <cellStyle name="40% - Accent1 2 16 2 2" xfId="23503"/>
    <cellStyle name="40% - Accent1 2 16 2 2 2" xfId="23504"/>
    <cellStyle name="40% - Accent1 2 16 2 3" xfId="23505"/>
    <cellStyle name="40% - Accent1 2 16 3" xfId="23506"/>
    <cellStyle name="40% - Accent1 2 16 3 2" xfId="23507"/>
    <cellStyle name="40% - Accent1 2 16 4" xfId="23508"/>
    <cellStyle name="40% - Accent1 2 17" xfId="23509"/>
    <cellStyle name="40% - Accent1 2 17 2" xfId="23510"/>
    <cellStyle name="40% - Accent1 2 17 2 2" xfId="23511"/>
    <cellStyle name="40% - Accent1 2 17 3" xfId="23512"/>
    <cellStyle name="40% - Accent1 2 18" xfId="23513"/>
    <cellStyle name="40% - Accent1 2 18 2" xfId="23514"/>
    <cellStyle name="40% - Accent1 2 19" xfId="23515"/>
    <cellStyle name="40% - Accent1 2 2" xfId="23516"/>
    <cellStyle name="40% - Accent1 2 2 10" xfId="23517"/>
    <cellStyle name="40% - Accent1 2 2 10 2" xfId="23518"/>
    <cellStyle name="40% - Accent1 2 2 11" xfId="23519"/>
    <cellStyle name="40% - Accent1 2 2 2" xfId="23520"/>
    <cellStyle name="40% - Accent1 2 2 2 10" xfId="23521"/>
    <cellStyle name="40% - Accent1 2 2 2 2" xfId="23522"/>
    <cellStyle name="40% - Accent1 2 2 2 2 2" xfId="23523"/>
    <cellStyle name="40% - Accent1 2 2 2 2 2 2" xfId="23524"/>
    <cellStyle name="40% - Accent1 2 2 2 2 2 2 2" xfId="23525"/>
    <cellStyle name="40% - Accent1 2 2 2 2 2 2 2 2" xfId="23526"/>
    <cellStyle name="40% - Accent1 2 2 2 2 2 2 3" xfId="23527"/>
    <cellStyle name="40% - Accent1 2 2 2 2 2 3" xfId="23528"/>
    <cellStyle name="40% - Accent1 2 2 2 2 2 3 2" xfId="23529"/>
    <cellStyle name="40% - Accent1 2 2 2 2 2 4" xfId="23530"/>
    <cellStyle name="40% - Accent1 2 2 2 2 3" xfId="23531"/>
    <cellStyle name="40% - Accent1 2 2 2 2 3 2" xfId="23532"/>
    <cellStyle name="40% - Accent1 2 2 2 2 3 2 2" xfId="23533"/>
    <cellStyle name="40% - Accent1 2 2 2 2 3 3" xfId="23534"/>
    <cellStyle name="40% - Accent1 2 2 2 2 4" xfId="23535"/>
    <cellStyle name="40% - Accent1 2 2 2 2 4 2" xfId="23536"/>
    <cellStyle name="40% - Accent1 2 2 2 2 5" xfId="23537"/>
    <cellStyle name="40% - Accent1 2 2 2 3" xfId="23538"/>
    <cellStyle name="40% - Accent1 2 2 2 3 2" xfId="23539"/>
    <cellStyle name="40% - Accent1 2 2 2 3 2 2" xfId="23540"/>
    <cellStyle name="40% - Accent1 2 2 2 3 2 2 2" xfId="23541"/>
    <cellStyle name="40% - Accent1 2 2 2 3 2 2 2 2" xfId="23542"/>
    <cellStyle name="40% - Accent1 2 2 2 3 2 2 3" xfId="23543"/>
    <cellStyle name="40% - Accent1 2 2 2 3 2 3" xfId="23544"/>
    <cellStyle name="40% - Accent1 2 2 2 3 2 3 2" xfId="23545"/>
    <cellStyle name="40% - Accent1 2 2 2 3 2 4" xfId="23546"/>
    <cellStyle name="40% - Accent1 2 2 2 3 3" xfId="23547"/>
    <cellStyle name="40% - Accent1 2 2 2 3 3 2" xfId="23548"/>
    <cellStyle name="40% - Accent1 2 2 2 3 3 2 2" xfId="23549"/>
    <cellStyle name="40% - Accent1 2 2 2 3 3 3" xfId="23550"/>
    <cellStyle name="40% - Accent1 2 2 2 3 4" xfId="23551"/>
    <cellStyle name="40% - Accent1 2 2 2 3 4 2" xfId="23552"/>
    <cellStyle name="40% - Accent1 2 2 2 3 5" xfId="23553"/>
    <cellStyle name="40% - Accent1 2 2 2 4" xfId="23554"/>
    <cellStyle name="40% - Accent1 2 2 2 4 2" xfId="23555"/>
    <cellStyle name="40% - Accent1 2 2 2 4 2 2" xfId="23556"/>
    <cellStyle name="40% - Accent1 2 2 2 4 2 2 2" xfId="23557"/>
    <cellStyle name="40% - Accent1 2 2 2 4 2 2 2 2" xfId="23558"/>
    <cellStyle name="40% - Accent1 2 2 2 4 2 2 3" xfId="23559"/>
    <cellStyle name="40% - Accent1 2 2 2 4 2 3" xfId="23560"/>
    <cellStyle name="40% - Accent1 2 2 2 4 2 3 2" xfId="23561"/>
    <cellStyle name="40% - Accent1 2 2 2 4 2 4" xfId="23562"/>
    <cellStyle name="40% - Accent1 2 2 2 4 3" xfId="23563"/>
    <cellStyle name="40% - Accent1 2 2 2 4 3 2" xfId="23564"/>
    <cellStyle name="40% - Accent1 2 2 2 4 3 2 2" xfId="23565"/>
    <cellStyle name="40% - Accent1 2 2 2 4 3 3" xfId="23566"/>
    <cellStyle name="40% - Accent1 2 2 2 4 4" xfId="23567"/>
    <cellStyle name="40% - Accent1 2 2 2 4 4 2" xfId="23568"/>
    <cellStyle name="40% - Accent1 2 2 2 4 5" xfId="23569"/>
    <cellStyle name="40% - Accent1 2 2 2 5" xfId="23570"/>
    <cellStyle name="40% - Accent1 2 2 2 5 2" xfId="23571"/>
    <cellStyle name="40% - Accent1 2 2 2 5 2 2" xfId="23572"/>
    <cellStyle name="40% - Accent1 2 2 2 5 2 2 2" xfId="23573"/>
    <cellStyle name="40% - Accent1 2 2 2 5 2 2 2 2" xfId="23574"/>
    <cellStyle name="40% - Accent1 2 2 2 5 2 2 3" xfId="23575"/>
    <cellStyle name="40% - Accent1 2 2 2 5 2 3" xfId="23576"/>
    <cellStyle name="40% - Accent1 2 2 2 5 2 3 2" xfId="23577"/>
    <cellStyle name="40% - Accent1 2 2 2 5 2 4" xfId="23578"/>
    <cellStyle name="40% - Accent1 2 2 2 5 3" xfId="23579"/>
    <cellStyle name="40% - Accent1 2 2 2 5 3 2" xfId="23580"/>
    <cellStyle name="40% - Accent1 2 2 2 5 3 2 2" xfId="23581"/>
    <cellStyle name="40% - Accent1 2 2 2 5 3 3" xfId="23582"/>
    <cellStyle name="40% - Accent1 2 2 2 5 4" xfId="23583"/>
    <cellStyle name="40% - Accent1 2 2 2 5 4 2" xfId="23584"/>
    <cellStyle name="40% - Accent1 2 2 2 5 5" xfId="23585"/>
    <cellStyle name="40% - Accent1 2 2 2 6" xfId="23586"/>
    <cellStyle name="40% - Accent1 2 2 2 6 2" xfId="23587"/>
    <cellStyle name="40% - Accent1 2 2 2 6 2 2" xfId="23588"/>
    <cellStyle name="40% - Accent1 2 2 2 6 2 2 2" xfId="23589"/>
    <cellStyle name="40% - Accent1 2 2 2 6 2 2 2 2" xfId="23590"/>
    <cellStyle name="40% - Accent1 2 2 2 6 2 2 3" xfId="23591"/>
    <cellStyle name="40% - Accent1 2 2 2 6 2 3" xfId="23592"/>
    <cellStyle name="40% - Accent1 2 2 2 6 2 3 2" xfId="23593"/>
    <cellStyle name="40% - Accent1 2 2 2 6 2 4" xfId="23594"/>
    <cellStyle name="40% - Accent1 2 2 2 6 3" xfId="23595"/>
    <cellStyle name="40% - Accent1 2 2 2 6 3 2" xfId="23596"/>
    <cellStyle name="40% - Accent1 2 2 2 6 3 2 2" xfId="23597"/>
    <cellStyle name="40% - Accent1 2 2 2 6 3 3" xfId="23598"/>
    <cellStyle name="40% - Accent1 2 2 2 6 4" xfId="23599"/>
    <cellStyle name="40% - Accent1 2 2 2 6 4 2" xfId="23600"/>
    <cellStyle name="40% - Accent1 2 2 2 6 5" xfId="23601"/>
    <cellStyle name="40% - Accent1 2 2 2 7" xfId="23602"/>
    <cellStyle name="40% - Accent1 2 2 2 7 2" xfId="23603"/>
    <cellStyle name="40% - Accent1 2 2 2 7 2 2" xfId="23604"/>
    <cellStyle name="40% - Accent1 2 2 2 7 2 2 2" xfId="23605"/>
    <cellStyle name="40% - Accent1 2 2 2 7 2 3" xfId="23606"/>
    <cellStyle name="40% - Accent1 2 2 2 7 3" xfId="23607"/>
    <cellStyle name="40% - Accent1 2 2 2 7 3 2" xfId="23608"/>
    <cellStyle name="40% - Accent1 2 2 2 7 4" xfId="23609"/>
    <cellStyle name="40% - Accent1 2 2 2 8" xfId="23610"/>
    <cellStyle name="40% - Accent1 2 2 2 8 2" xfId="23611"/>
    <cellStyle name="40% - Accent1 2 2 2 8 2 2" xfId="23612"/>
    <cellStyle name="40% - Accent1 2 2 2 8 3" xfId="23613"/>
    <cellStyle name="40% - Accent1 2 2 2 9" xfId="23614"/>
    <cellStyle name="40% - Accent1 2 2 2 9 2" xfId="23615"/>
    <cellStyle name="40% - Accent1 2 2 3" xfId="23616"/>
    <cellStyle name="40% - Accent1 2 2 3 2" xfId="23617"/>
    <cellStyle name="40% - Accent1 2 2 3 2 2" xfId="23618"/>
    <cellStyle name="40% - Accent1 2 2 3 2 2 2" xfId="23619"/>
    <cellStyle name="40% - Accent1 2 2 3 2 2 2 2" xfId="23620"/>
    <cellStyle name="40% - Accent1 2 2 3 2 2 3" xfId="23621"/>
    <cellStyle name="40% - Accent1 2 2 3 2 3" xfId="23622"/>
    <cellStyle name="40% - Accent1 2 2 3 2 3 2" xfId="23623"/>
    <cellStyle name="40% - Accent1 2 2 3 2 4" xfId="23624"/>
    <cellStyle name="40% - Accent1 2 2 3 3" xfId="23625"/>
    <cellStyle name="40% - Accent1 2 2 3 3 2" xfId="23626"/>
    <cellStyle name="40% - Accent1 2 2 3 3 2 2" xfId="23627"/>
    <cellStyle name="40% - Accent1 2 2 3 3 3" xfId="23628"/>
    <cellStyle name="40% - Accent1 2 2 3 4" xfId="23629"/>
    <cellStyle name="40% - Accent1 2 2 3 4 2" xfId="23630"/>
    <cellStyle name="40% - Accent1 2 2 3 5" xfId="23631"/>
    <cellStyle name="40% - Accent1 2 2 4" xfId="23632"/>
    <cellStyle name="40% - Accent1 2 2 4 2" xfId="23633"/>
    <cellStyle name="40% - Accent1 2 2 4 2 2" xfId="23634"/>
    <cellStyle name="40% - Accent1 2 2 4 2 2 2" xfId="23635"/>
    <cellStyle name="40% - Accent1 2 2 4 2 2 2 2" xfId="23636"/>
    <cellStyle name="40% - Accent1 2 2 4 2 2 3" xfId="23637"/>
    <cellStyle name="40% - Accent1 2 2 4 2 3" xfId="23638"/>
    <cellStyle name="40% - Accent1 2 2 4 2 3 2" xfId="23639"/>
    <cellStyle name="40% - Accent1 2 2 4 2 4" xfId="23640"/>
    <cellStyle name="40% - Accent1 2 2 4 3" xfId="23641"/>
    <cellStyle name="40% - Accent1 2 2 4 3 2" xfId="23642"/>
    <cellStyle name="40% - Accent1 2 2 4 3 2 2" xfId="23643"/>
    <cellStyle name="40% - Accent1 2 2 4 3 3" xfId="23644"/>
    <cellStyle name="40% - Accent1 2 2 4 4" xfId="23645"/>
    <cellStyle name="40% - Accent1 2 2 4 4 2" xfId="23646"/>
    <cellStyle name="40% - Accent1 2 2 4 5" xfId="23647"/>
    <cellStyle name="40% - Accent1 2 2 5" xfId="23648"/>
    <cellStyle name="40% - Accent1 2 2 5 2" xfId="23649"/>
    <cellStyle name="40% - Accent1 2 2 5 2 2" xfId="23650"/>
    <cellStyle name="40% - Accent1 2 2 5 2 2 2" xfId="23651"/>
    <cellStyle name="40% - Accent1 2 2 5 2 2 2 2" xfId="23652"/>
    <cellStyle name="40% - Accent1 2 2 5 2 2 3" xfId="23653"/>
    <cellStyle name="40% - Accent1 2 2 5 2 3" xfId="23654"/>
    <cellStyle name="40% - Accent1 2 2 5 2 3 2" xfId="23655"/>
    <cellStyle name="40% - Accent1 2 2 5 2 4" xfId="23656"/>
    <cellStyle name="40% - Accent1 2 2 5 3" xfId="23657"/>
    <cellStyle name="40% - Accent1 2 2 5 3 2" xfId="23658"/>
    <cellStyle name="40% - Accent1 2 2 5 3 2 2" xfId="23659"/>
    <cellStyle name="40% - Accent1 2 2 5 3 3" xfId="23660"/>
    <cellStyle name="40% - Accent1 2 2 5 4" xfId="23661"/>
    <cellStyle name="40% - Accent1 2 2 5 4 2" xfId="23662"/>
    <cellStyle name="40% - Accent1 2 2 5 5" xfId="23663"/>
    <cellStyle name="40% - Accent1 2 2 6" xfId="23664"/>
    <cellStyle name="40% - Accent1 2 2 6 2" xfId="23665"/>
    <cellStyle name="40% - Accent1 2 2 6 2 2" xfId="23666"/>
    <cellStyle name="40% - Accent1 2 2 6 2 2 2" xfId="23667"/>
    <cellStyle name="40% - Accent1 2 2 6 2 2 2 2" xfId="23668"/>
    <cellStyle name="40% - Accent1 2 2 6 2 2 3" xfId="23669"/>
    <cellStyle name="40% - Accent1 2 2 6 2 3" xfId="23670"/>
    <cellStyle name="40% - Accent1 2 2 6 2 3 2" xfId="23671"/>
    <cellStyle name="40% - Accent1 2 2 6 2 4" xfId="23672"/>
    <cellStyle name="40% - Accent1 2 2 6 3" xfId="23673"/>
    <cellStyle name="40% - Accent1 2 2 6 3 2" xfId="23674"/>
    <cellStyle name="40% - Accent1 2 2 6 3 2 2" xfId="23675"/>
    <cellStyle name="40% - Accent1 2 2 6 3 3" xfId="23676"/>
    <cellStyle name="40% - Accent1 2 2 6 4" xfId="23677"/>
    <cellStyle name="40% - Accent1 2 2 6 4 2" xfId="23678"/>
    <cellStyle name="40% - Accent1 2 2 6 5" xfId="23679"/>
    <cellStyle name="40% - Accent1 2 2 7" xfId="23680"/>
    <cellStyle name="40% - Accent1 2 2 7 2" xfId="23681"/>
    <cellStyle name="40% - Accent1 2 2 7 2 2" xfId="23682"/>
    <cellStyle name="40% - Accent1 2 2 7 2 2 2" xfId="23683"/>
    <cellStyle name="40% - Accent1 2 2 7 2 2 2 2" xfId="23684"/>
    <cellStyle name="40% - Accent1 2 2 7 2 2 3" xfId="23685"/>
    <cellStyle name="40% - Accent1 2 2 7 2 3" xfId="23686"/>
    <cellStyle name="40% - Accent1 2 2 7 2 3 2" xfId="23687"/>
    <cellStyle name="40% - Accent1 2 2 7 2 4" xfId="23688"/>
    <cellStyle name="40% - Accent1 2 2 7 3" xfId="23689"/>
    <cellStyle name="40% - Accent1 2 2 7 3 2" xfId="23690"/>
    <cellStyle name="40% - Accent1 2 2 7 3 2 2" xfId="23691"/>
    <cellStyle name="40% - Accent1 2 2 7 3 3" xfId="23692"/>
    <cellStyle name="40% - Accent1 2 2 7 4" xfId="23693"/>
    <cellStyle name="40% - Accent1 2 2 7 4 2" xfId="23694"/>
    <cellStyle name="40% - Accent1 2 2 7 5" xfId="23695"/>
    <cellStyle name="40% - Accent1 2 2 8" xfId="23696"/>
    <cellStyle name="40% - Accent1 2 2 8 2" xfId="23697"/>
    <cellStyle name="40% - Accent1 2 2 8 2 2" xfId="23698"/>
    <cellStyle name="40% - Accent1 2 2 8 2 2 2" xfId="23699"/>
    <cellStyle name="40% - Accent1 2 2 8 2 3" xfId="23700"/>
    <cellStyle name="40% - Accent1 2 2 8 3" xfId="23701"/>
    <cellStyle name="40% - Accent1 2 2 8 3 2" xfId="23702"/>
    <cellStyle name="40% - Accent1 2 2 8 4" xfId="23703"/>
    <cellStyle name="40% - Accent1 2 2 9" xfId="23704"/>
    <cellStyle name="40% - Accent1 2 2 9 2" xfId="23705"/>
    <cellStyle name="40% - Accent1 2 2 9 2 2" xfId="23706"/>
    <cellStyle name="40% - Accent1 2 2 9 3" xfId="23707"/>
    <cellStyle name="40% - Accent1 2 3" xfId="23708"/>
    <cellStyle name="40% - Accent1 2 3 10" xfId="23709"/>
    <cellStyle name="40% - Accent1 2 3 10 2" xfId="23710"/>
    <cellStyle name="40% - Accent1 2 3 11" xfId="23711"/>
    <cellStyle name="40% - Accent1 2 3 2" xfId="23712"/>
    <cellStyle name="40% - Accent1 2 3 2 10" xfId="23713"/>
    <cellStyle name="40% - Accent1 2 3 2 2" xfId="23714"/>
    <cellStyle name="40% - Accent1 2 3 2 2 2" xfId="23715"/>
    <cellStyle name="40% - Accent1 2 3 2 2 2 2" xfId="23716"/>
    <cellStyle name="40% - Accent1 2 3 2 2 2 2 2" xfId="23717"/>
    <cellStyle name="40% - Accent1 2 3 2 2 2 2 2 2" xfId="23718"/>
    <cellStyle name="40% - Accent1 2 3 2 2 2 2 3" xfId="23719"/>
    <cellStyle name="40% - Accent1 2 3 2 2 2 3" xfId="23720"/>
    <cellStyle name="40% - Accent1 2 3 2 2 2 3 2" xfId="23721"/>
    <cellStyle name="40% - Accent1 2 3 2 2 2 4" xfId="23722"/>
    <cellStyle name="40% - Accent1 2 3 2 2 3" xfId="23723"/>
    <cellStyle name="40% - Accent1 2 3 2 2 3 2" xfId="23724"/>
    <cellStyle name="40% - Accent1 2 3 2 2 3 2 2" xfId="23725"/>
    <cellStyle name="40% - Accent1 2 3 2 2 3 3" xfId="23726"/>
    <cellStyle name="40% - Accent1 2 3 2 2 4" xfId="23727"/>
    <cellStyle name="40% - Accent1 2 3 2 2 4 2" xfId="23728"/>
    <cellStyle name="40% - Accent1 2 3 2 2 5" xfId="23729"/>
    <cellStyle name="40% - Accent1 2 3 2 3" xfId="23730"/>
    <cellStyle name="40% - Accent1 2 3 2 3 2" xfId="23731"/>
    <cellStyle name="40% - Accent1 2 3 2 3 2 2" xfId="23732"/>
    <cellStyle name="40% - Accent1 2 3 2 3 2 2 2" xfId="23733"/>
    <cellStyle name="40% - Accent1 2 3 2 3 2 2 2 2" xfId="23734"/>
    <cellStyle name="40% - Accent1 2 3 2 3 2 2 3" xfId="23735"/>
    <cellStyle name="40% - Accent1 2 3 2 3 2 3" xfId="23736"/>
    <cellStyle name="40% - Accent1 2 3 2 3 2 3 2" xfId="23737"/>
    <cellStyle name="40% - Accent1 2 3 2 3 2 4" xfId="23738"/>
    <cellStyle name="40% - Accent1 2 3 2 3 3" xfId="23739"/>
    <cellStyle name="40% - Accent1 2 3 2 3 3 2" xfId="23740"/>
    <cellStyle name="40% - Accent1 2 3 2 3 3 2 2" xfId="23741"/>
    <cellStyle name="40% - Accent1 2 3 2 3 3 3" xfId="23742"/>
    <cellStyle name="40% - Accent1 2 3 2 3 4" xfId="23743"/>
    <cellStyle name="40% - Accent1 2 3 2 3 4 2" xfId="23744"/>
    <cellStyle name="40% - Accent1 2 3 2 3 5" xfId="23745"/>
    <cellStyle name="40% - Accent1 2 3 2 4" xfId="23746"/>
    <cellStyle name="40% - Accent1 2 3 2 4 2" xfId="23747"/>
    <cellStyle name="40% - Accent1 2 3 2 4 2 2" xfId="23748"/>
    <cellStyle name="40% - Accent1 2 3 2 4 2 2 2" xfId="23749"/>
    <cellStyle name="40% - Accent1 2 3 2 4 2 2 2 2" xfId="23750"/>
    <cellStyle name="40% - Accent1 2 3 2 4 2 2 3" xfId="23751"/>
    <cellStyle name="40% - Accent1 2 3 2 4 2 3" xfId="23752"/>
    <cellStyle name="40% - Accent1 2 3 2 4 2 3 2" xfId="23753"/>
    <cellStyle name="40% - Accent1 2 3 2 4 2 4" xfId="23754"/>
    <cellStyle name="40% - Accent1 2 3 2 4 3" xfId="23755"/>
    <cellStyle name="40% - Accent1 2 3 2 4 3 2" xfId="23756"/>
    <cellStyle name="40% - Accent1 2 3 2 4 3 2 2" xfId="23757"/>
    <cellStyle name="40% - Accent1 2 3 2 4 3 3" xfId="23758"/>
    <cellStyle name="40% - Accent1 2 3 2 4 4" xfId="23759"/>
    <cellStyle name="40% - Accent1 2 3 2 4 4 2" xfId="23760"/>
    <cellStyle name="40% - Accent1 2 3 2 4 5" xfId="23761"/>
    <cellStyle name="40% - Accent1 2 3 2 5" xfId="23762"/>
    <cellStyle name="40% - Accent1 2 3 2 5 2" xfId="23763"/>
    <cellStyle name="40% - Accent1 2 3 2 5 2 2" xfId="23764"/>
    <cellStyle name="40% - Accent1 2 3 2 5 2 2 2" xfId="23765"/>
    <cellStyle name="40% - Accent1 2 3 2 5 2 2 2 2" xfId="23766"/>
    <cellStyle name="40% - Accent1 2 3 2 5 2 2 3" xfId="23767"/>
    <cellStyle name="40% - Accent1 2 3 2 5 2 3" xfId="23768"/>
    <cellStyle name="40% - Accent1 2 3 2 5 2 3 2" xfId="23769"/>
    <cellStyle name="40% - Accent1 2 3 2 5 2 4" xfId="23770"/>
    <cellStyle name="40% - Accent1 2 3 2 5 3" xfId="23771"/>
    <cellStyle name="40% - Accent1 2 3 2 5 3 2" xfId="23772"/>
    <cellStyle name="40% - Accent1 2 3 2 5 3 2 2" xfId="23773"/>
    <cellStyle name="40% - Accent1 2 3 2 5 3 3" xfId="23774"/>
    <cellStyle name="40% - Accent1 2 3 2 5 4" xfId="23775"/>
    <cellStyle name="40% - Accent1 2 3 2 5 4 2" xfId="23776"/>
    <cellStyle name="40% - Accent1 2 3 2 5 5" xfId="23777"/>
    <cellStyle name="40% - Accent1 2 3 2 6" xfId="23778"/>
    <cellStyle name="40% - Accent1 2 3 2 6 2" xfId="23779"/>
    <cellStyle name="40% - Accent1 2 3 2 6 2 2" xfId="23780"/>
    <cellStyle name="40% - Accent1 2 3 2 6 2 2 2" xfId="23781"/>
    <cellStyle name="40% - Accent1 2 3 2 6 2 2 2 2" xfId="23782"/>
    <cellStyle name="40% - Accent1 2 3 2 6 2 2 3" xfId="23783"/>
    <cellStyle name="40% - Accent1 2 3 2 6 2 3" xfId="23784"/>
    <cellStyle name="40% - Accent1 2 3 2 6 2 3 2" xfId="23785"/>
    <cellStyle name="40% - Accent1 2 3 2 6 2 4" xfId="23786"/>
    <cellStyle name="40% - Accent1 2 3 2 6 3" xfId="23787"/>
    <cellStyle name="40% - Accent1 2 3 2 6 3 2" xfId="23788"/>
    <cellStyle name="40% - Accent1 2 3 2 6 3 2 2" xfId="23789"/>
    <cellStyle name="40% - Accent1 2 3 2 6 3 3" xfId="23790"/>
    <cellStyle name="40% - Accent1 2 3 2 6 4" xfId="23791"/>
    <cellStyle name="40% - Accent1 2 3 2 6 4 2" xfId="23792"/>
    <cellStyle name="40% - Accent1 2 3 2 6 5" xfId="23793"/>
    <cellStyle name="40% - Accent1 2 3 2 7" xfId="23794"/>
    <cellStyle name="40% - Accent1 2 3 2 7 2" xfId="23795"/>
    <cellStyle name="40% - Accent1 2 3 2 7 2 2" xfId="23796"/>
    <cellStyle name="40% - Accent1 2 3 2 7 2 2 2" xfId="23797"/>
    <cellStyle name="40% - Accent1 2 3 2 7 2 3" xfId="23798"/>
    <cellStyle name="40% - Accent1 2 3 2 7 3" xfId="23799"/>
    <cellStyle name="40% - Accent1 2 3 2 7 3 2" xfId="23800"/>
    <cellStyle name="40% - Accent1 2 3 2 7 4" xfId="23801"/>
    <cellStyle name="40% - Accent1 2 3 2 8" xfId="23802"/>
    <cellStyle name="40% - Accent1 2 3 2 8 2" xfId="23803"/>
    <cellStyle name="40% - Accent1 2 3 2 8 2 2" xfId="23804"/>
    <cellStyle name="40% - Accent1 2 3 2 8 3" xfId="23805"/>
    <cellStyle name="40% - Accent1 2 3 2 9" xfId="23806"/>
    <cellStyle name="40% - Accent1 2 3 2 9 2" xfId="23807"/>
    <cellStyle name="40% - Accent1 2 3 3" xfId="23808"/>
    <cellStyle name="40% - Accent1 2 3 3 2" xfId="23809"/>
    <cellStyle name="40% - Accent1 2 3 3 2 2" xfId="23810"/>
    <cellStyle name="40% - Accent1 2 3 3 2 2 2" xfId="23811"/>
    <cellStyle name="40% - Accent1 2 3 3 2 2 2 2" xfId="23812"/>
    <cellStyle name="40% - Accent1 2 3 3 2 2 3" xfId="23813"/>
    <cellStyle name="40% - Accent1 2 3 3 2 3" xfId="23814"/>
    <cellStyle name="40% - Accent1 2 3 3 2 3 2" xfId="23815"/>
    <cellStyle name="40% - Accent1 2 3 3 2 4" xfId="23816"/>
    <cellStyle name="40% - Accent1 2 3 3 3" xfId="23817"/>
    <cellStyle name="40% - Accent1 2 3 3 3 2" xfId="23818"/>
    <cellStyle name="40% - Accent1 2 3 3 3 2 2" xfId="23819"/>
    <cellStyle name="40% - Accent1 2 3 3 3 3" xfId="23820"/>
    <cellStyle name="40% - Accent1 2 3 3 4" xfId="23821"/>
    <cellStyle name="40% - Accent1 2 3 3 4 2" xfId="23822"/>
    <cellStyle name="40% - Accent1 2 3 3 5" xfId="23823"/>
    <cellStyle name="40% - Accent1 2 3 4" xfId="23824"/>
    <cellStyle name="40% - Accent1 2 3 4 2" xfId="23825"/>
    <cellStyle name="40% - Accent1 2 3 4 2 2" xfId="23826"/>
    <cellStyle name="40% - Accent1 2 3 4 2 2 2" xfId="23827"/>
    <cellStyle name="40% - Accent1 2 3 4 2 2 2 2" xfId="23828"/>
    <cellStyle name="40% - Accent1 2 3 4 2 2 3" xfId="23829"/>
    <cellStyle name="40% - Accent1 2 3 4 2 3" xfId="23830"/>
    <cellStyle name="40% - Accent1 2 3 4 2 3 2" xfId="23831"/>
    <cellStyle name="40% - Accent1 2 3 4 2 4" xfId="23832"/>
    <cellStyle name="40% - Accent1 2 3 4 3" xfId="23833"/>
    <cellStyle name="40% - Accent1 2 3 4 3 2" xfId="23834"/>
    <cellStyle name="40% - Accent1 2 3 4 3 2 2" xfId="23835"/>
    <cellStyle name="40% - Accent1 2 3 4 3 3" xfId="23836"/>
    <cellStyle name="40% - Accent1 2 3 4 4" xfId="23837"/>
    <cellStyle name="40% - Accent1 2 3 4 4 2" xfId="23838"/>
    <cellStyle name="40% - Accent1 2 3 4 5" xfId="23839"/>
    <cellStyle name="40% - Accent1 2 3 5" xfId="23840"/>
    <cellStyle name="40% - Accent1 2 3 5 2" xfId="23841"/>
    <cellStyle name="40% - Accent1 2 3 5 2 2" xfId="23842"/>
    <cellStyle name="40% - Accent1 2 3 5 2 2 2" xfId="23843"/>
    <cellStyle name="40% - Accent1 2 3 5 2 2 2 2" xfId="23844"/>
    <cellStyle name="40% - Accent1 2 3 5 2 2 3" xfId="23845"/>
    <cellStyle name="40% - Accent1 2 3 5 2 3" xfId="23846"/>
    <cellStyle name="40% - Accent1 2 3 5 2 3 2" xfId="23847"/>
    <cellStyle name="40% - Accent1 2 3 5 2 4" xfId="23848"/>
    <cellStyle name="40% - Accent1 2 3 5 3" xfId="23849"/>
    <cellStyle name="40% - Accent1 2 3 5 3 2" xfId="23850"/>
    <cellStyle name="40% - Accent1 2 3 5 3 2 2" xfId="23851"/>
    <cellStyle name="40% - Accent1 2 3 5 3 3" xfId="23852"/>
    <cellStyle name="40% - Accent1 2 3 5 4" xfId="23853"/>
    <cellStyle name="40% - Accent1 2 3 5 4 2" xfId="23854"/>
    <cellStyle name="40% - Accent1 2 3 5 5" xfId="23855"/>
    <cellStyle name="40% - Accent1 2 3 6" xfId="23856"/>
    <cellStyle name="40% - Accent1 2 3 6 2" xfId="23857"/>
    <cellStyle name="40% - Accent1 2 3 6 2 2" xfId="23858"/>
    <cellStyle name="40% - Accent1 2 3 6 2 2 2" xfId="23859"/>
    <cellStyle name="40% - Accent1 2 3 6 2 2 2 2" xfId="23860"/>
    <cellStyle name="40% - Accent1 2 3 6 2 2 3" xfId="23861"/>
    <cellStyle name="40% - Accent1 2 3 6 2 3" xfId="23862"/>
    <cellStyle name="40% - Accent1 2 3 6 2 3 2" xfId="23863"/>
    <cellStyle name="40% - Accent1 2 3 6 2 4" xfId="23864"/>
    <cellStyle name="40% - Accent1 2 3 6 3" xfId="23865"/>
    <cellStyle name="40% - Accent1 2 3 6 3 2" xfId="23866"/>
    <cellStyle name="40% - Accent1 2 3 6 3 2 2" xfId="23867"/>
    <cellStyle name="40% - Accent1 2 3 6 3 3" xfId="23868"/>
    <cellStyle name="40% - Accent1 2 3 6 4" xfId="23869"/>
    <cellStyle name="40% - Accent1 2 3 6 4 2" xfId="23870"/>
    <cellStyle name="40% - Accent1 2 3 6 5" xfId="23871"/>
    <cellStyle name="40% - Accent1 2 3 7" xfId="23872"/>
    <cellStyle name="40% - Accent1 2 3 7 2" xfId="23873"/>
    <cellStyle name="40% - Accent1 2 3 7 2 2" xfId="23874"/>
    <cellStyle name="40% - Accent1 2 3 7 2 2 2" xfId="23875"/>
    <cellStyle name="40% - Accent1 2 3 7 2 2 2 2" xfId="23876"/>
    <cellStyle name="40% - Accent1 2 3 7 2 2 3" xfId="23877"/>
    <cellStyle name="40% - Accent1 2 3 7 2 3" xfId="23878"/>
    <cellStyle name="40% - Accent1 2 3 7 2 3 2" xfId="23879"/>
    <cellStyle name="40% - Accent1 2 3 7 2 4" xfId="23880"/>
    <cellStyle name="40% - Accent1 2 3 7 3" xfId="23881"/>
    <cellStyle name="40% - Accent1 2 3 7 3 2" xfId="23882"/>
    <cellStyle name="40% - Accent1 2 3 7 3 2 2" xfId="23883"/>
    <cellStyle name="40% - Accent1 2 3 7 3 3" xfId="23884"/>
    <cellStyle name="40% - Accent1 2 3 7 4" xfId="23885"/>
    <cellStyle name="40% - Accent1 2 3 7 4 2" xfId="23886"/>
    <cellStyle name="40% - Accent1 2 3 7 5" xfId="23887"/>
    <cellStyle name="40% - Accent1 2 3 8" xfId="23888"/>
    <cellStyle name="40% - Accent1 2 3 8 2" xfId="23889"/>
    <cellStyle name="40% - Accent1 2 3 8 2 2" xfId="23890"/>
    <cellStyle name="40% - Accent1 2 3 8 2 2 2" xfId="23891"/>
    <cellStyle name="40% - Accent1 2 3 8 2 3" xfId="23892"/>
    <cellStyle name="40% - Accent1 2 3 8 3" xfId="23893"/>
    <cellStyle name="40% - Accent1 2 3 8 3 2" xfId="23894"/>
    <cellStyle name="40% - Accent1 2 3 8 4" xfId="23895"/>
    <cellStyle name="40% - Accent1 2 3 9" xfId="23896"/>
    <cellStyle name="40% - Accent1 2 3 9 2" xfId="23897"/>
    <cellStyle name="40% - Accent1 2 3 9 2 2" xfId="23898"/>
    <cellStyle name="40% - Accent1 2 3 9 3" xfId="23899"/>
    <cellStyle name="40% - Accent1 2 4" xfId="23900"/>
    <cellStyle name="40% - Accent1 2 4 10" xfId="23901"/>
    <cellStyle name="40% - Accent1 2 4 10 2" xfId="23902"/>
    <cellStyle name="40% - Accent1 2 4 11" xfId="23903"/>
    <cellStyle name="40% - Accent1 2 4 2" xfId="23904"/>
    <cellStyle name="40% - Accent1 2 4 2 10" xfId="23905"/>
    <cellStyle name="40% - Accent1 2 4 2 2" xfId="23906"/>
    <cellStyle name="40% - Accent1 2 4 2 2 2" xfId="23907"/>
    <cellStyle name="40% - Accent1 2 4 2 2 2 2" xfId="23908"/>
    <cellStyle name="40% - Accent1 2 4 2 2 2 2 2" xfId="23909"/>
    <cellStyle name="40% - Accent1 2 4 2 2 2 2 2 2" xfId="23910"/>
    <cellStyle name="40% - Accent1 2 4 2 2 2 2 3" xfId="23911"/>
    <cellStyle name="40% - Accent1 2 4 2 2 2 3" xfId="23912"/>
    <cellStyle name="40% - Accent1 2 4 2 2 2 3 2" xfId="23913"/>
    <cellStyle name="40% - Accent1 2 4 2 2 2 4" xfId="23914"/>
    <cellStyle name="40% - Accent1 2 4 2 2 3" xfId="23915"/>
    <cellStyle name="40% - Accent1 2 4 2 2 3 2" xfId="23916"/>
    <cellStyle name="40% - Accent1 2 4 2 2 3 2 2" xfId="23917"/>
    <cellStyle name="40% - Accent1 2 4 2 2 3 3" xfId="23918"/>
    <cellStyle name="40% - Accent1 2 4 2 2 4" xfId="23919"/>
    <cellStyle name="40% - Accent1 2 4 2 2 4 2" xfId="23920"/>
    <cellStyle name="40% - Accent1 2 4 2 2 5" xfId="23921"/>
    <cellStyle name="40% - Accent1 2 4 2 3" xfId="23922"/>
    <cellStyle name="40% - Accent1 2 4 2 3 2" xfId="23923"/>
    <cellStyle name="40% - Accent1 2 4 2 3 2 2" xfId="23924"/>
    <cellStyle name="40% - Accent1 2 4 2 3 2 2 2" xfId="23925"/>
    <cellStyle name="40% - Accent1 2 4 2 3 2 2 2 2" xfId="23926"/>
    <cellStyle name="40% - Accent1 2 4 2 3 2 2 3" xfId="23927"/>
    <cellStyle name="40% - Accent1 2 4 2 3 2 3" xfId="23928"/>
    <cellStyle name="40% - Accent1 2 4 2 3 2 3 2" xfId="23929"/>
    <cellStyle name="40% - Accent1 2 4 2 3 2 4" xfId="23930"/>
    <cellStyle name="40% - Accent1 2 4 2 3 3" xfId="23931"/>
    <cellStyle name="40% - Accent1 2 4 2 3 3 2" xfId="23932"/>
    <cellStyle name="40% - Accent1 2 4 2 3 3 2 2" xfId="23933"/>
    <cellStyle name="40% - Accent1 2 4 2 3 3 3" xfId="23934"/>
    <cellStyle name="40% - Accent1 2 4 2 3 4" xfId="23935"/>
    <cellStyle name="40% - Accent1 2 4 2 3 4 2" xfId="23936"/>
    <cellStyle name="40% - Accent1 2 4 2 3 5" xfId="23937"/>
    <cellStyle name="40% - Accent1 2 4 2 4" xfId="23938"/>
    <cellStyle name="40% - Accent1 2 4 2 4 2" xfId="23939"/>
    <cellStyle name="40% - Accent1 2 4 2 4 2 2" xfId="23940"/>
    <cellStyle name="40% - Accent1 2 4 2 4 2 2 2" xfId="23941"/>
    <cellStyle name="40% - Accent1 2 4 2 4 2 2 2 2" xfId="23942"/>
    <cellStyle name="40% - Accent1 2 4 2 4 2 2 3" xfId="23943"/>
    <cellStyle name="40% - Accent1 2 4 2 4 2 3" xfId="23944"/>
    <cellStyle name="40% - Accent1 2 4 2 4 2 3 2" xfId="23945"/>
    <cellStyle name="40% - Accent1 2 4 2 4 2 4" xfId="23946"/>
    <cellStyle name="40% - Accent1 2 4 2 4 3" xfId="23947"/>
    <cellStyle name="40% - Accent1 2 4 2 4 3 2" xfId="23948"/>
    <cellStyle name="40% - Accent1 2 4 2 4 3 2 2" xfId="23949"/>
    <cellStyle name="40% - Accent1 2 4 2 4 3 3" xfId="23950"/>
    <cellStyle name="40% - Accent1 2 4 2 4 4" xfId="23951"/>
    <cellStyle name="40% - Accent1 2 4 2 4 4 2" xfId="23952"/>
    <cellStyle name="40% - Accent1 2 4 2 4 5" xfId="23953"/>
    <cellStyle name="40% - Accent1 2 4 2 5" xfId="23954"/>
    <cellStyle name="40% - Accent1 2 4 2 5 2" xfId="23955"/>
    <cellStyle name="40% - Accent1 2 4 2 5 2 2" xfId="23956"/>
    <cellStyle name="40% - Accent1 2 4 2 5 2 2 2" xfId="23957"/>
    <cellStyle name="40% - Accent1 2 4 2 5 2 2 2 2" xfId="23958"/>
    <cellStyle name="40% - Accent1 2 4 2 5 2 2 3" xfId="23959"/>
    <cellStyle name="40% - Accent1 2 4 2 5 2 3" xfId="23960"/>
    <cellStyle name="40% - Accent1 2 4 2 5 2 3 2" xfId="23961"/>
    <cellStyle name="40% - Accent1 2 4 2 5 2 4" xfId="23962"/>
    <cellStyle name="40% - Accent1 2 4 2 5 3" xfId="23963"/>
    <cellStyle name="40% - Accent1 2 4 2 5 3 2" xfId="23964"/>
    <cellStyle name="40% - Accent1 2 4 2 5 3 2 2" xfId="23965"/>
    <cellStyle name="40% - Accent1 2 4 2 5 3 3" xfId="23966"/>
    <cellStyle name="40% - Accent1 2 4 2 5 4" xfId="23967"/>
    <cellStyle name="40% - Accent1 2 4 2 5 4 2" xfId="23968"/>
    <cellStyle name="40% - Accent1 2 4 2 5 5" xfId="23969"/>
    <cellStyle name="40% - Accent1 2 4 2 6" xfId="23970"/>
    <cellStyle name="40% - Accent1 2 4 2 6 2" xfId="23971"/>
    <cellStyle name="40% - Accent1 2 4 2 6 2 2" xfId="23972"/>
    <cellStyle name="40% - Accent1 2 4 2 6 2 2 2" xfId="23973"/>
    <cellStyle name="40% - Accent1 2 4 2 6 2 2 2 2" xfId="23974"/>
    <cellStyle name="40% - Accent1 2 4 2 6 2 2 3" xfId="23975"/>
    <cellStyle name="40% - Accent1 2 4 2 6 2 3" xfId="23976"/>
    <cellStyle name="40% - Accent1 2 4 2 6 2 3 2" xfId="23977"/>
    <cellStyle name="40% - Accent1 2 4 2 6 2 4" xfId="23978"/>
    <cellStyle name="40% - Accent1 2 4 2 6 3" xfId="23979"/>
    <cellStyle name="40% - Accent1 2 4 2 6 3 2" xfId="23980"/>
    <cellStyle name="40% - Accent1 2 4 2 6 3 2 2" xfId="23981"/>
    <cellStyle name="40% - Accent1 2 4 2 6 3 3" xfId="23982"/>
    <cellStyle name="40% - Accent1 2 4 2 6 4" xfId="23983"/>
    <cellStyle name="40% - Accent1 2 4 2 6 4 2" xfId="23984"/>
    <cellStyle name="40% - Accent1 2 4 2 6 5" xfId="23985"/>
    <cellStyle name="40% - Accent1 2 4 2 7" xfId="23986"/>
    <cellStyle name="40% - Accent1 2 4 2 7 2" xfId="23987"/>
    <cellStyle name="40% - Accent1 2 4 2 7 2 2" xfId="23988"/>
    <cellStyle name="40% - Accent1 2 4 2 7 2 2 2" xfId="23989"/>
    <cellStyle name="40% - Accent1 2 4 2 7 2 3" xfId="23990"/>
    <cellStyle name="40% - Accent1 2 4 2 7 3" xfId="23991"/>
    <cellStyle name="40% - Accent1 2 4 2 7 3 2" xfId="23992"/>
    <cellStyle name="40% - Accent1 2 4 2 7 4" xfId="23993"/>
    <cellStyle name="40% - Accent1 2 4 2 8" xfId="23994"/>
    <cellStyle name="40% - Accent1 2 4 2 8 2" xfId="23995"/>
    <cellStyle name="40% - Accent1 2 4 2 8 2 2" xfId="23996"/>
    <cellStyle name="40% - Accent1 2 4 2 8 3" xfId="23997"/>
    <cellStyle name="40% - Accent1 2 4 2 9" xfId="23998"/>
    <cellStyle name="40% - Accent1 2 4 2 9 2" xfId="23999"/>
    <cellStyle name="40% - Accent1 2 4 3" xfId="24000"/>
    <cellStyle name="40% - Accent1 2 4 3 2" xfId="24001"/>
    <cellStyle name="40% - Accent1 2 4 3 2 2" xfId="24002"/>
    <cellStyle name="40% - Accent1 2 4 3 2 2 2" xfId="24003"/>
    <cellStyle name="40% - Accent1 2 4 3 2 2 2 2" xfId="24004"/>
    <cellStyle name="40% - Accent1 2 4 3 2 2 3" xfId="24005"/>
    <cellStyle name="40% - Accent1 2 4 3 2 3" xfId="24006"/>
    <cellStyle name="40% - Accent1 2 4 3 2 3 2" xfId="24007"/>
    <cellStyle name="40% - Accent1 2 4 3 2 4" xfId="24008"/>
    <cellStyle name="40% - Accent1 2 4 3 3" xfId="24009"/>
    <cellStyle name="40% - Accent1 2 4 3 3 2" xfId="24010"/>
    <cellStyle name="40% - Accent1 2 4 3 3 2 2" xfId="24011"/>
    <cellStyle name="40% - Accent1 2 4 3 3 3" xfId="24012"/>
    <cellStyle name="40% - Accent1 2 4 3 4" xfId="24013"/>
    <cellStyle name="40% - Accent1 2 4 3 4 2" xfId="24014"/>
    <cellStyle name="40% - Accent1 2 4 3 5" xfId="24015"/>
    <cellStyle name="40% - Accent1 2 4 4" xfId="24016"/>
    <cellStyle name="40% - Accent1 2 4 4 2" xfId="24017"/>
    <cellStyle name="40% - Accent1 2 4 4 2 2" xfId="24018"/>
    <cellStyle name="40% - Accent1 2 4 4 2 2 2" xfId="24019"/>
    <cellStyle name="40% - Accent1 2 4 4 2 2 2 2" xfId="24020"/>
    <cellStyle name="40% - Accent1 2 4 4 2 2 3" xfId="24021"/>
    <cellStyle name="40% - Accent1 2 4 4 2 3" xfId="24022"/>
    <cellStyle name="40% - Accent1 2 4 4 2 3 2" xfId="24023"/>
    <cellStyle name="40% - Accent1 2 4 4 2 4" xfId="24024"/>
    <cellStyle name="40% - Accent1 2 4 4 3" xfId="24025"/>
    <cellStyle name="40% - Accent1 2 4 4 3 2" xfId="24026"/>
    <cellStyle name="40% - Accent1 2 4 4 3 2 2" xfId="24027"/>
    <cellStyle name="40% - Accent1 2 4 4 3 3" xfId="24028"/>
    <cellStyle name="40% - Accent1 2 4 4 4" xfId="24029"/>
    <cellStyle name="40% - Accent1 2 4 4 4 2" xfId="24030"/>
    <cellStyle name="40% - Accent1 2 4 4 5" xfId="24031"/>
    <cellStyle name="40% - Accent1 2 4 5" xfId="24032"/>
    <cellStyle name="40% - Accent1 2 4 5 2" xfId="24033"/>
    <cellStyle name="40% - Accent1 2 4 5 2 2" xfId="24034"/>
    <cellStyle name="40% - Accent1 2 4 5 2 2 2" xfId="24035"/>
    <cellStyle name="40% - Accent1 2 4 5 2 2 2 2" xfId="24036"/>
    <cellStyle name="40% - Accent1 2 4 5 2 2 3" xfId="24037"/>
    <cellStyle name="40% - Accent1 2 4 5 2 3" xfId="24038"/>
    <cellStyle name="40% - Accent1 2 4 5 2 3 2" xfId="24039"/>
    <cellStyle name="40% - Accent1 2 4 5 2 4" xfId="24040"/>
    <cellStyle name="40% - Accent1 2 4 5 3" xfId="24041"/>
    <cellStyle name="40% - Accent1 2 4 5 3 2" xfId="24042"/>
    <cellStyle name="40% - Accent1 2 4 5 3 2 2" xfId="24043"/>
    <cellStyle name="40% - Accent1 2 4 5 3 3" xfId="24044"/>
    <cellStyle name="40% - Accent1 2 4 5 4" xfId="24045"/>
    <cellStyle name="40% - Accent1 2 4 5 4 2" xfId="24046"/>
    <cellStyle name="40% - Accent1 2 4 5 5" xfId="24047"/>
    <cellStyle name="40% - Accent1 2 4 6" xfId="24048"/>
    <cellStyle name="40% - Accent1 2 4 6 2" xfId="24049"/>
    <cellStyle name="40% - Accent1 2 4 6 2 2" xfId="24050"/>
    <cellStyle name="40% - Accent1 2 4 6 2 2 2" xfId="24051"/>
    <cellStyle name="40% - Accent1 2 4 6 2 2 2 2" xfId="24052"/>
    <cellStyle name="40% - Accent1 2 4 6 2 2 3" xfId="24053"/>
    <cellStyle name="40% - Accent1 2 4 6 2 3" xfId="24054"/>
    <cellStyle name="40% - Accent1 2 4 6 2 3 2" xfId="24055"/>
    <cellStyle name="40% - Accent1 2 4 6 2 4" xfId="24056"/>
    <cellStyle name="40% - Accent1 2 4 6 3" xfId="24057"/>
    <cellStyle name="40% - Accent1 2 4 6 3 2" xfId="24058"/>
    <cellStyle name="40% - Accent1 2 4 6 3 2 2" xfId="24059"/>
    <cellStyle name="40% - Accent1 2 4 6 3 3" xfId="24060"/>
    <cellStyle name="40% - Accent1 2 4 6 4" xfId="24061"/>
    <cellStyle name="40% - Accent1 2 4 6 4 2" xfId="24062"/>
    <cellStyle name="40% - Accent1 2 4 6 5" xfId="24063"/>
    <cellStyle name="40% - Accent1 2 4 7" xfId="24064"/>
    <cellStyle name="40% - Accent1 2 4 7 2" xfId="24065"/>
    <cellStyle name="40% - Accent1 2 4 7 2 2" xfId="24066"/>
    <cellStyle name="40% - Accent1 2 4 7 2 2 2" xfId="24067"/>
    <cellStyle name="40% - Accent1 2 4 7 2 2 2 2" xfId="24068"/>
    <cellStyle name="40% - Accent1 2 4 7 2 2 3" xfId="24069"/>
    <cellStyle name="40% - Accent1 2 4 7 2 3" xfId="24070"/>
    <cellStyle name="40% - Accent1 2 4 7 2 3 2" xfId="24071"/>
    <cellStyle name="40% - Accent1 2 4 7 2 4" xfId="24072"/>
    <cellStyle name="40% - Accent1 2 4 7 3" xfId="24073"/>
    <cellStyle name="40% - Accent1 2 4 7 3 2" xfId="24074"/>
    <cellStyle name="40% - Accent1 2 4 7 3 2 2" xfId="24075"/>
    <cellStyle name="40% - Accent1 2 4 7 3 3" xfId="24076"/>
    <cellStyle name="40% - Accent1 2 4 7 4" xfId="24077"/>
    <cellStyle name="40% - Accent1 2 4 7 4 2" xfId="24078"/>
    <cellStyle name="40% - Accent1 2 4 7 5" xfId="24079"/>
    <cellStyle name="40% - Accent1 2 4 8" xfId="24080"/>
    <cellStyle name="40% - Accent1 2 4 8 2" xfId="24081"/>
    <cellStyle name="40% - Accent1 2 4 8 2 2" xfId="24082"/>
    <cellStyle name="40% - Accent1 2 4 8 2 2 2" xfId="24083"/>
    <cellStyle name="40% - Accent1 2 4 8 2 3" xfId="24084"/>
    <cellStyle name="40% - Accent1 2 4 8 3" xfId="24085"/>
    <cellStyle name="40% - Accent1 2 4 8 3 2" xfId="24086"/>
    <cellStyle name="40% - Accent1 2 4 8 4" xfId="24087"/>
    <cellStyle name="40% - Accent1 2 4 9" xfId="24088"/>
    <cellStyle name="40% - Accent1 2 4 9 2" xfId="24089"/>
    <cellStyle name="40% - Accent1 2 4 9 2 2" xfId="24090"/>
    <cellStyle name="40% - Accent1 2 4 9 3" xfId="24091"/>
    <cellStyle name="40% - Accent1 2 5" xfId="24092"/>
    <cellStyle name="40% - Accent1 2 5 10" xfId="24093"/>
    <cellStyle name="40% - Accent1 2 5 10 2" xfId="24094"/>
    <cellStyle name="40% - Accent1 2 5 11" xfId="24095"/>
    <cellStyle name="40% - Accent1 2 5 2" xfId="24096"/>
    <cellStyle name="40% - Accent1 2 5 2 10" xfId="24097"/>
    <cellStyle name="40% - Accent1 2 5 2 2" xfId="24098"/>
    <cellStyle name="40% - Accent1 2 5 2 2 2" xfId="24099"/>
    <cellStyle name="40% - Accent1 2 5 2 2 2 2" xfId="24100"/>
    <cellStyle name="40% - Accent1 2 5 2 2 2 2 2" xfId="24101"/>
    <cellStyle name="40% - Accent1 2 5 2 2 2 2 2 2" xfId="24102"/>
    <cellStyle name="40% - Accent1 2 5 2 2 2 2 3" xfId="24103"/>
    <cellStyle name="40% - Accent1 2 5 2 2 2 3" xfId="24104"/>
    <cellStyle name="40% - Accent1 2 5 2 2 2 3 2" xfId="24105"/>
    <cellStyle name="40% - Accent1 2 5 2 2 2 4" xfId="24106"/>
    <cellStyle name="40% - Accent1 2 5 2 2 3" xfId="24107"/>
    <cellStyle name="40% - Accent1 2 5 2 2 3 2" xfId="24108"/>
    <cellStyle name="40% - Accent1 2 5 2 2 3 2 2" xfId="24109"/>
    <cellStyle name="40% - Accent1 2 5 2 2 3 3" xfId="24110"/>
    <cellStyle name="40% - Accent1 2 5 2 2 4" xfId="24111"/>
    <cellStyle name="40% - Accent1 2 5 2 2 4 2" xfId="24112"/>
    <cellStyle name="40% - Accent1 2 5 2 2 5" xfId="24113"/>
    <cellStyle name="40% - Accent1 2 5 2 3" xfId="24114"/>
    <cellStyle name="40% - Accent1 2 5 2 3 2" xfId="24115"/>
    <cellStyle name="40% - Accent1 2 5 2 3 2 2" xfId="24116"/>
    <cellStyle name="40% - Accent1 2 5 2 3 2 2 2" xfId="24117"/>
    <cellStyle name="40% - Accent1 2 5 2 3 2 2 2 2" xfId="24118"/>
    <cellStyle name="40% - Accent1 2 5 2 3 2 2 3" xfId="24119"/>
    <cellStyle name="40% - Accent1 2 5 2 3 2 3" xfId="24120"/>
    <cellStyle name="40% - Accent1 2 5 2 3 2 3 2" xfId="24121"/>
    <cellStyle name="40% - Accent1 2 5 2 3 2 4" xfId="24122"/>
    <cellStyle name="40% - Accent1 2 5 2 3 3" xfId="24123"/>
    <cellStyle name="40% - Accent1 2 5 2 3 3 2" xfId="24124"/>
    <cellStyle name="40% - Accent1 2 5 2 3 3 2 2" xfId="24125"/>
    <cellStyle name="40% - Accent1 2 5 2 3 3 3" xfId="24126"/>
    <cellStyle name="40% - Accent1 2 5 2 3 4" xfId="24127"/>
    <cellStyle name="40% - Accent1 2 5 2 3 4 2" xfId="24128"/>
    <cellStyle name="40% - Accent1 2 5 2 3 5" xfId="24129"/>
    <cellStyle name="40% - Accent1 2 5 2 4" xfId="24130"/>
    <cellStyle name="40% - Accent1 2 5 2 4 2" xfId="24131"/>
    <cellStyle name="40% - Accent1 2 5 2 4 2 2" xfId="24132"/>
    <cellStyle name="40% - Accent1 2 5 2 4 2 2 2" xfId="24133"/>
    <cellStyle name="40% - Accent1 2 5 2 4 2 2 2 2" xfId="24134"/>
    <cellStyle name="40% - Accent1 2 5 2 4 2 2 3" xfId="24135"/>
    <cellStyle name="40% - Accent1 2 5 2 4 2 3" xfId="24136"/>
    <cellStyle name="40% - Accent1 2 5 2 4 2 3 2" xfId="24137"/>
    <cellStyle name="40% - Accent1 2 5 2 4 2 4" xfId="24138"/>
    <cellStyle name="40% - Accent1 2 5 2 4 3" xfId="24139"/>
    <cellStyle name="40% - Accent1 2 5 2 4 3 2" xfId="24140"/>
    <cellStyle name="40% - Accent1 2 5 2 4 3 2 2" xfId="24141"/>
    <cellStyle name="40% - Accent1 2 5 2 4 3 3" xfId="24142"/>
    <cellStyle name="40% - Accent1 2 5 2 4 4" xfId="24143"/>
    <cellStyle name="40% - Accent1 2 5 2 4 4 2" xfId="24144"/>
    <cellStyle name="40% - Accent1 2 5 2 4 5" xfId="24145"/>
    <cellStyle name="40% - Accent1 2 5 2 5" xfId="24146"/>
    <cellStyle name="40% - Accent1 2 5 2 5 2" xfId="24147"/>
    <cellStyle name="40% - Accent1 2 5 2 5 2 2" xfId="24148"/>
    <cellStyle name="40% - Accent1 2 5 2 5 2 2 2" xfId="24149"/>
    <cellStyle name="40% - Accent1 2 5 2 5 2 2 2 2" xfId="24150"/>
    <cellStyle name="40% - Accent1 2 5 2 5 2 2 3" xfId="24151"/>
    <cellStyle name="40% - Accent1 2 5 2 5 2 3" xfId="24152"/>
    <cellStyle name="40% - Accent1 2 5 2 5 2 3 2" xfId="24153"/>
    <cellStyle name="40% - Accent1 2 5 2 5 2 4" xfId="24154"/>
    <cellStyle name="40% - Accent1 2 5 2 5 3" xfId="24155"/>
    <cellStyle name="40% - Accent1 2 5 2 5 3 2" xfId="24156"/>
    <cellStyle name="40% - Accent1 2 5 2 5 3 2 2" xfId="24157"/>
    <cellStyle name="40% - Accent1 2 5 2 5 3 3" xfId="24158"/>
    <cellStyle name="40% - Accent1 2 5 2 5 4" xfId="24159"/>
    <cellStyle name="40% - Accent1 2 5 2 5 4 2" xfId="24160"/>
    <cellStyle name="40% - Accent1 2 5 2 5 5" xfId="24161"/>
    <cellStyle name="40% - Accent1 2 5 2 6" xfId="24162"/>
    <cellStyle name="40% - Accent1 2 5 2 6 2" xfId="24163"/>
    <cellStyle name="40% - Accent1 2 5 2 6 2 2" xfId="24164"/>
    <cellStyle name="40% - Accent1 2 5 2 6 2 2 2" xfId="24165"/>
    <cellStyle name="40% - Accent1 2 5 2 6 2 2 2 2" xfId="24166"/>
    <cellStyle name="40% - Accent1 2 5 2 6 2 2 3" xfId="24167"/>
    <cellStyle name="40% - Accent1 2 5 2 6 2 3" xfId="24168"/>
    <cellStyle name="40% - Accent1 2 5 2 6 2 3 2" xfId="24169"/>
    <cellStyle name="40% - Accent1 2 5 2 6 2 4" xfId="24170"/>
    <cellStyle name="40% - Accent1 2 5 2 6 3" xfId="24171"/>
    <cellStyle name="40% - Accent1 2 5 2 6 3 2" xfId="24172"/>
    <cellStyle name="40% - Accent1 2 5 2 6 3 2 2" xfId="24173"/>
    <cellStyle name="40% - Accent1 2 5 2 6 3 3" xfId="24174"/>
    <cellStyle name="40% - Accent1 2 5 2 6 4" xfId="24175"/>
    <cellStyle name="40% - Accent1 2 5 2 6 4 2" xfId="24176"/>
    <cellStyle name="40% - Accent1 2 5 2 6 5" xfId="24177"/>
    <cellStyle name="40% - Accent1 2 5 2 7" xfId="24178"/>
    <cellStyle name="40% - Accent1 2 5 2 7 2" xfId="24179"/>
    <cellStyle name="40% - Accent1 2 5 2 7 2 2" xfId="24180"/>
    <cellStyle name="40% - Accent1 2 5 2 7 2 2 2" xfId="24181"/>
    <cellStyle name="40% - Accent1 2 5 2 7 2 3" xfId="24182"/>
    <cellStyle name="40% - Accent1 2 5 2 7 3" xfId="24183"/>
    <cellStyle name="40% - Accent1 2 5 2 7 3 2" xfId="24184"/>
    <cellStyle name="40% - Accent1 2 5 2 7 4" xfId="24185"/>
    <cellStyle name="40% - Accent1 2 5 2 8" xfId="24186"/>
    <cellStyle name="40% - Accent1 2 5 2 8 2" xfId="24187"/>
    <cellStyle name="40% - Accent1 2 5 2 8 2 2" xfId="24188"/>
    <cellStyle name="40% - Accent1 2 5 2 8 3" xfId="24189"/>
    <cellStyle name="40% - Accent1 2 5 2 9" xfId="24190"/>
    <cellStyle name="40% - Accent1 2 5 2 9 2" xfId="24191"/>
    <cellStyle name="40% - Accent1 2 5 3" xfId="24192"/>
    <cellStyle name="40% - Accent1 2 5 3 2" xfId="24193"/>
    <cellStyle name="40% - Accent1 2 5 3 2 2" xfId="24194"/>
    <cellStyle name="40% - Accent1 2 5 3 2 2 2" xfId="24195"/>
    <cellStyle name="40% - Accent1 2 5 3 2 2 2 2" xfId="24196"/>
    <cellStyle name="40% - Accent1 2 5 3 2 2 3" xfId="24197"/>
    <cellStyle name="40% - Accent1 2 5 3 2 3" xfId="24198"/>
    <cellStyle name="40% - Accent1 2 5 3 2 3 2" xfId="24199"/>
    <cellStyle name="40% - Accent1 2 5 3 2 4" xfId="24200"/>
    <cellStyle name="40% - Accent1 2 5 3 3" xfId="24201"/>
    <cellStyle name="40% - Accent1 2 5 3 3 2" xfId="24202"/>
    <cellStyle name="40% - Accent1 2 5 3 3 2 2" xfId="24203"/>
    <cellStyle name="40% - Accent1 2 5 3 3 3" xfId="24204"/>
    <cellStyle name="40% - Accent1 2 5 3 4" xfId="24205"/>
    <cellStyle name="40% - Accent1 2 5 3 4 2" xfId="24206"/>
    <cellStyle name="40% - Accent1 2 5 3 5" xfId="24207"/>
    <cellStyle name="40% - Accent1 2 5 4" xfId="24208"/>
    <cellStyle name="40% - Accent1 2 5 4 2" xfId="24209"/>
    <cellStyle name="40% - Accent1 2 5 4 2 2" xfId="24210"/>
    <cellStyle name="40% - Accent1 2 5 4 2 2 2" xfId="24211"/>
    <cellStyle name="40% - Accent1 2 5 4 2 2 2 2" xfId="24212"/>
    <cellStyle name="40% - Accent1 2 5 4 2 2 3" xfId="24213"/>
    <cellStyle name="40% - Accent1 2 5 4 2 3" xfId="24214"/>
    <cellStyle name="40% - Accent1 2 5 4 2 3 2" xfId="24215"/>
    <cellStyle name="40% - Accent1 2 5 4 2 4" xfId="24216"/>
    <cellStyle name="40% - Accent1 2 5 4 3" xfId="24217"/>
    <cellStyle name="40% - Accent1 2 5 4 3 2" xfId="24218"/>
    <cellStyle name="40% - Accent1 2 5 4 3 2 2" xfId="24219"/>
    <cellStyle name="40% - Accent1 2 5 4 3 3" xfId="24220"/>
    <cellStyle name="40% - Accent1 2 5 4 4" xfId="24221"/>
    <cellStyle name="40% - Accent1 2 5 4 4 2" xfId="24222"/>
    <cellStyle name="40% - Accent1 2 5 4 5" xfId="24223"/>
    <cellStyle name="40% - Accent1 2 5 5" xfId="24224"/>
    <cellStyle name="40% - Accent1 2 5 5 2" xfId="24225"/>
    <cellStyle name="40% - Accent1 2 5 5 2 2" xfId="24226"/>
    <cellStyle name="40% - Accent1 2 5 5 2 2 2" xfId="24227"/>
    <cellStyle name="40% - Accent1 2 5 5 2 2 2 2" xfId="24228"/>
    <cellStyle name="40% - Accent1 2 5 5 2 2 3" xfId="24229"/>
    <cellStyle name="40% - Accent1 2 5 5 2 3" xfId="24230"/>
    <cellStyle name="40% - Accent1 2 5 5 2 3 2" xfId="24231"/>
    <cellStyle name="40% - Accent1 2 5 5 2 4" xfId="24232"/>
    <cellStyle name="40% - Accent1 2 5 5 3" xfId="24233"/>
    <cellStyle name="40% - Accent1 2 5 5 3 2" xfId="24234"/>
    <cellStyle name="40% - Accent1 2 5 5 3 2 2" xfId="24235"/>
    <cellStyle name="40% - Accent1 2 5 5 3 3" xfId="24236"/>
    <cellStyle name="40% - Accent1 2 5 5 4" xfId="24237"/>
    <cellStyle name="40% - Accent1 2 5 5 4 2" xfId="24238"/>
    <cellStyle name="40% - Accent1 2 5 5 5" xfId="24239"/>
    <cellStyle name="40% - Accent1 2 5 6" xfId="24240"/>
    <cellStyle name="40% - Accent1 2 5 6 2" xfId="24241"/>
    <cellStyle name="40% - Accent1 2 5 6 2 2" xfId="24242"/>
    <cellStyle name="40% - Accent1 2 5 6 2 2 2" xfId="24243"/>
    <cellStyle name="40% - Accent1 2 5 6 2 2 2 2" xfId="24244"/>
    <cellStyle name="40% - Accent1 2 5 6 2 2 3" xfId="24245"/>
    <cellStyle name="40% - Accent1 2 5 6 2 3" xfId="24246"/>
    <cellStyle name="40% - Accent1 2 5 6 2 3 2" xfId="24247"/>
    <cellStyle name="40% - Accent1 2 5 6 2 4" xfId="24248"/>
    <cellStyle name="40% - Accent1 2 5 6 3" xfId="24249"/>
    <cellStyle name="40% - Accent1 2 5 6 3 2" xfId="24250"/>
    <cellStyle name="40% - Accent1 2 5 6 3 2 2" xfId="24251"/>
    <cellStyle name="40% - Accent1 2 5 6 3 3" xfId="24252"/>
    <cellStyle name="40% - Accent1 2 5 6 4" xfId="24253"/>
    <cellStyle name="40% - Accent1 2 5 6 4 2" xfId="24254"/>
    <cellStyle name="40% - Accent1 2 5 6 5" xfId="24255"/>
    <cellStyle name="40% - Accent1 2 5 7" xfId="24256"/>
    <cellStyle name="40% - Accent1 2 5 7 2" xfId="24257"/>
    <cellStyle name="40% - Accent1 2 5 7 2 2" xfId="24258"/>
    <cellStyle name="40% - Accent1 2 5 7 2 2 2" xfId="24259"/>
    <cellStyle name="40% - Accent1 2 5 7 2 2 2 2" xfId="24260"/>
    <cellStyle name="40% - Accent1 2 5 7 2 2 3" xfId="24261"/>
    <cellStyle name="40% - Accent1 2 5 7 2 3" xfId="24262"/>
    <cellStyle name="40% - Accent1 2 5 7 2 3 2" xfId="24263"/>
    <cellStyle name="40% - Accent1 2 5 7 2 4" xfId="24264"/>
    <cellStyle name="40% - Accent1 2 5 7 3" xfId="24265"/>
    <cellStyle name="40% - Accent1 2 5 7 3 2" xfId="24266"/>
    <cellStyle name="40% - Accent1 2 5 7 3 2 2" xfId="24267"/>
    <cellStyle name="40% - Accent1 2 5 7 3 3" xfId="24268"/>
    <cellStyle name="40% - Accent1 2 5 7 4" xfId="24269"/>
    <cellStyle name="40% - Accent1 2 5 7 4 2" xfId="24270"/>
    <cellStyle name="40% - Accent1 2 5 7 5" xfId="24271"/>
    <cellStyle name="40% - Accent1 2 5 8" xfId="24272"/>
    <cellStyle name="40% - Accent1 2 5 8 2" xfId="24273"/>
    <cellStyle name="40% - Accent1 2 5 8 2 2" xfId="24274"/>
    <cellStyle name="40% - Accent1 2 5 8 2 2 2" xfId="24275"/>
    <cellStyle name="40% - Accent1 2 5 8 2 3" xfId="24276"/>
    <cellStyle name="40% - Accent1 2 5 8 3" xfId="24277"/>
    <cellStyle name="40% - Accent1 2 5 8 3 2" xfId="24278"/>
    <cellStyle name="40% - Accent1 2 5 8 4" xfId="24279"/>
    <cellStyle name="40% - Accent1 2 5 9" xfId="24280"/>
    <cellStyle name="40% - Accent1 2 5 9 2" xfId="24281"/>
    <cellStyle name="40% - Accent1 2 5 9 2 2" xfId="24282"/>
    <cellStyle name="40% - Accent1 2 5 9 3" xfId="24283"/>
    <cellStyle name="40% - Accent1 2 6" xfId="24284"/>
    <cellStyle name="40% - Accent1 2 6 10" xfId="24285"/>
    <cellStyle name="40% - Accent1 2 6 10 2" xfId="24286"/>
    <cellStyle name="40% - Accent1 2 6 11" xfId="24287"/>
    <cellStyle name="40% - Accent1 2 6 2" xfId="24288"/>
    <cellStyle name="40% - Accent1 2 6 2 10" xfId="24289"/>
    <cellStyle name="40% - Accent1 2 6 2 2" xfId="24290"/>
    <cellStyle name="40% - Accent1 2 6 2 2 2" xfId="24291"/>
    <cellStyle name="40% - Accent1 2 6 2 2 2 2" xfId="24292"/>
    <cellStyle name="40% - Accent1 2 6 2 2 2 2 2" xfId="24293"/>
    <cellStyle name="40% - Accent1 2 6 2 2 2 2 2 2" xfId="24294"/>
    <cellStyle name="40% - Accent1 2 6 2 2 2 2 3" xfId="24295"/>
    <cellStyle name="40% - Accent1 2 6 2 2 2 3" xfId="24296"/>
    <cellStyle name="40% - Accent1 2 6 2 2 2 3 2" xfId="24297"/>
    <cellStyle name="40% - Accent1 2 6 2 2 2 4" xfId="24298"/>
    <cellStyle name="40% - Accent1 2 6 2 2 3" xfId="24299"/>
    <cellStyle name="40% - Accent1 2 6 2 2 3 2" xfId="24300"/>
    <cellStyle name="40% - Accent1 2 6 2 2 3 2 2" xfId="24301"/>
    <cellStyle name="40% - Accent1 2 6 2 2 3 3" xfId="24302"/>
    <cellStyle name="40% - Accent1 2 6 2 2 4" xfId="24303"/>
    <cellStyle name="40% - Accent1 2 6 2 2 4 2" xfId="24304"/>
    <cellStyle name="40% - Accent1 2 6 2 2 5" xfId="24305"/>
    <cellStyle name="40% - Accent1 2 6 2 3" xfId="24306"/>
    <cellStyle name="40% - Accent1 2 6 2 3 2" xfId="24307"/>
    <cellStyle name="40% - Accent1 2 6 2 3 2 2" xfId="24308"/>
    <cellStyle name="40% - Accent1 2 6 2 3 2 2 2" xfId="24309"/>
    <cellStyle name="40% - Accent1 2 6 2 3 2 2 2 2" xfId="24310"/>
    <cellStyle name="40% - Accent1 2 6 2 3 2 2 3" xfId="24311"/>
    <cellStyle name="40% - Accent1 2 6 2 3 2 3" xfId="24312"/>
    <cellStyle name="40% - Accent1 2 6 2 3 2 3 2" xfId="24313"/>
    <cellStyle name="40% - Accent1 2 6 2 3 2 4" xfId="24314"/>
    <cellStyle name="40% - Accent1 2 6 2 3 3" xfId="24315"/>
    <cellStyle name="40% - Accent1 2 6 2 3 3 2" xfId="24316"/>
    <cellStyle name="40% - Accent1 2 6 2 3 3 2 2" xfId="24317"/>
    <cellStyle name="40% - Accent1 2 6 2 3 3 3" xfId="24318"/>
    <cellStyle name="40% - Accent1 2 6 2 3 4" xfId="24319"/>
    <cellStyle name="40% - Accent1 2 6 2 3 4 2" xfId="24320"/>
    <cellStyle name="40% - Accent1 2 6 2 3 5" xfId="24321"/>
    <cellStyle name="40% - Accent1 2 6 2 4" xfId="24322"/>
    <cellStyle name="40% - Accent1 2 6 2 4 2" xfId="24323"/>
    <cellStyle name="40% - Accent1 2 6 2 4 2 2" xfId="24324"/>
    <cellStyle name="40% - Accent1 2 6 2 4 2 2 2" xfId="24325"/>
    <cellStyle name="40% - Accent1 2 6 2 4 2 2 2 2" xfId="24326"/>
    <cellStyle name="40% - Accent1 2 6 2 4 2 2 3" xfId="24327"/>
    <cellStyle name="40% - Accent1 2 6 2 4 2 3" xfId="24328"/>
    <cellStyle name="40% - Accent1 2 6 2 4 2 3 2" xfId="24329"/>
    <cellStyle name="40% - Accent1 2 6 2 4 2 4" xfId="24330"/>
    <cellStyle name="40% - Accent1 2 6 2 4 3" xfId="24331"/>
    <cellStyle name="40% - Accent1 2 6 2 4 3 2" xfId="24332"/>
    <cellStyle name="40% - Accent1 2 6 2 4 3 2 2" xfId="24333"/>
    <cellStyle name="40% - Accent1 2 6 2 4 3 3" xfId="24334"/>
    <cellStyle name="40% - Accent1 2 6 2 4 4" xfId="24335"/>
    <cellStyle name="40% - Accent1 2 6 2 4 4 2" xfId="24336"/>
    <cellStyle name="40% - Accent1 2 6 2 4 5" xfId="24337"/>
    <cellStyle name="40% - Accent1 2 6 2 5" xfId="24338"/>
    <cellStyle name="40% - Accent1 2 6 2 5 2" xfId="24339"/>
    <cellStyle name="40% - Accent1 2 6 2 5 2 2" xfId="24340"/>
    <cellStyle name="40% - Accent1 2 6 2 5 2 2 2" xfId="24341"/>
    <cellStyle name="40% - Accent1 2 6 2 5 2 2 2 2" xfId="24342"/>
    <cellStyle name="40% - Accent1 2 6 2 5 2 2 3" xfId="24343"/>
    <cellStyle name="40% - Accent1 2 6 2 5 2 3" xfId="24344"/>
    <cellStyle name="40% - Accent1 2 6 2 5 2 3 2" xfId="24345"/>
    <cellStyle name="40% - Accent1 2 6 2 5 2 4" xfId="24346"/>
    <cellStyle name="40% - Accent1 2 6 2 5 3" xfId="24347"/>
    <cellStyle name="40% - Accent1 2 6 2 5 3 2" xfId="24348"/>
    <cellStyle name="40% - Accent1 2 6 2 5 3 2 2" xfId="24349"/>
    <cellStyle name="40% - Accent1 2 6 2 5 3 3" xfId="24350"/>
    <cellStyle name="40% - Accent1 2 6 2 5 4" xfId="24351"/>
    <cellStyle name="40% - Accent1 2 6 2 5 4 2" xfId="24352"/>
    <cellStyle name="40% - Accent1 2 6 2 5 5" xfId="24353"/>
    <cellStyle name="40% - Accent1 2 6 2 6" xfId="24354"/>
    <cellStyle name="40% - Accent1 2 6 2 6 2" xfId="24355"/>
    <cellStyle name="40% - Accent1 2 6 2 6 2 2" xfId="24356"/>
    <cellStyle name="40% - Accent1 2 6 2 6 2 2 2" xfId="24357"/>
    <cellStyle name="40% - Accent1 2 6 2 6 2 2 2 2" xfId="24358"/>
    <cellStyle name="40% - Accent1 2 6 2 6 2 2 3" xfId="24359"/>
    <cellStyle name="40% - Accent1 2 6 2 6 2 3" xfId="24360"/>
    <cellStyle name="40% - Accent1 2 6 2 6 2 3 2" xfId="24361"/>
    <cellStyle name="40% - Accent1 2 6 2 6 2 4" xfId="24362"/>
    <cellStyle name="40% - Accent1 2 6 2 6 3" xfId="24363"/>
    <cellStyle name="40% - Accent1 2 6 2 6 3 2" xfId="24364"/>
    <cellStyle name="40% - Accent1 2 6 2 6 3 2 2" xfId="24365"/>
    <cellStyle name="40% - Accent1 2 6 2 6 3 3" xfId="24366"/>
    <cellStyle name="40% - Accent1 2 6 2 6 4" xfId="24367"/>
    <cellStyle name="40% - Accent1 2 6 2 6 4 2" xfId="24368"/>
    <cellStyle name="40% - Accent1 2 6 2 6 5" xfId="24369"/>
    <cellStyle name="40% - Accent1 2 6 2 7" xfId="24370"/>
    <cellStyle name="40% - Accent1 2 6 2 7 2" xfId="24371"/>
    <cellStyle name="40% - Accent1 2 6 2 7 2 2" xfId="24372"/>
    <cellStyle name="40% - Accent1 2 6 2 7 2 2 2" xfId="24373"/>
    <cellStyle name="40% - Accent1 2 6 2 7 2 3" xfId="24374"/>
    <cellStyle name="40% - Accent1 2 6 2 7 3" xfId="24375"/>
    <cellStyle name="40% - Accent1 2 6 2 7 3 2" xfId="24376"/>
    <cellStyle name="40% - Accent1 2 6 2 7 4" xfId="24377"/>
    <cellStyle name="40% - Accent1 2 6 2 8" xfId="24378"/>
    <cellStyle name="40% - Accent1 2 6 2 8 2" xfId="24379"/>
    <cellStyle name="40% - Accent1 2 6 2 8 2 2" xfId="24380"/>
    <cellStyle name="40% - Accent1 2 6 2 8 3" xfId="24381"/>
    <cellStyle name="40% - Accent1 2 6 2 9" xfId="24382"/>
    <cellStyle name="40% - Accent1 2 6 2 9 2" xfId="24383"/>
    <cellStyle name="40% - Accent1 2 6 3" xfId="24384"/>
    <cellStyle name="40% - Accent1 2 6 3 2" xfId="24385"/>
    <cellStyle name="40% - Accent1 2 6 3 2 2" xfId="24386"/>
    <cellStyle name="40% - Accent1 2 6 3 2 2 2" xfId="24387"/>
    <cellStyle name="40% - Accent1 2 6 3 2 2 2 2" xfId="24388"/>
    <cellStyle name="40% - Accent1 2 6 3 2 2 3" xfId="24389"/>
    <cellStyle name="40% - Accent1 2 6 3 2 3" xfId="24390"/>
    <cellStyle name="40% - Accent1 2 6 3 2 3 2" xfId="24391"/>
    <cellStyle name="40% - Accent1 2 6 3 2 4" xfId="24392"/>
    <cellStyle name="40% - Accent1 2 6 3 3" xfId="24393"/>
    <cellStyle name="40% - Accent1 2 6 3 3 2" xfId="24394"/>
    <cellStyle name="40% - Accent1 2 6 3 3 2 2" xfId="24395"/>
    <cellStyle name="40% - Accent1 2 6 3 3 3" xfId="24396"/>
    <cellStyle name="40% - Accent1 2 6 3 4" xfId="24397"/>
    <cellStyle name="40% - Accent1 2 6 3 4 2" xfId="24398"/>
    <cellStyle name="40% - Accent1 2 6 3 5" xfId="24399"/>
    <cellStyle name="40% - Accent1 2 6 4" xfId="24400"/>
    <cellStyle name="40% - Accent1 2 6 4 2" xfId="24401"/>
    <cellStyle name="40% - Accent1 2 6 4 2 2" xfId="24402"/>
    <cellStyle name="40% - Accent1 2 6 4 2 2 2" xfId="24403"/>
    <cellStyle name="40% - Accent1 2 6 4 2 2 2 2" xfId="24404"/>
    <cellStyle name="40% - Accent1 2 6 4 2 2 3" xfId="24405"/>
    <cellStyle name="40% - Accent1 2 6 4 2 3" xfId="24406"/>
    <cellStyle name="40% - Accent1 2 6 4 2 3 2" xfId="24407"/>
    <cellStyle name="40% - Accent1 2 6 4 2 4" xfId="24408"/>
    <cellStyle name="40% - Accent1 2 6 4 3" xfId="24409"/>
    <cellStyle name="40% - Accent1 2 6 4 3 2" xfId="24410"/>
    <cellStyle name="40% - Accent1 2 6 4 3 2 2" xfId="24411"/>
    <cellStyle name="40% - Accent1 2 6 4 3 3" xfId="24412"/>
    <cellStyle name="40% - Accent1 2 6 4 4" xfId="24413"/>
    <cellStyle name="40% - Accent1 2 6 4 4 2" xfId="24414"/>
    <cellStyle name="40% - Accent1 2 6 4 5" xfId="24415"/>
    <cellStyle name="40% - Accent1 2 6 5" xfId="24416"/>
    <cellStyle name="40% - Accent1 2 6 5 2" xfId="24417"/>
    <cellStyle name="40% - Accent1 2 6 5 2 2" xfId="24418"/>
    <cellStyle name="40% - Accent1 2 6 5 2 2 2" xfId="24419"/>
    <cellStyle name="40% - Accent1 2 6 5 2 2 2 2" xfId="24420"/>
    <cellStyle name="40% - Accent1 2 6 5 2 2 3" xfId="24421"/>
    <cellStyle name="40% - Accent1 2 6 5 2 3" xfId="24422"/>
    <cellStyle name="40% - Accent1 2 6 5 2 3 2" xfId="24423"/>
    <cellStyle name="40% - Accent1 2 6 5 2 4" xfId="24424"/>
    <cellStyle name="40% - Accent1 2 6 5 3" xfId="24425"/>
    <cellStyle name="40% - Accent1 2 6 5 3 2" xfId="24426"/>
    <cellStyle name="40% - Accent1 2 6 5 3 2 2" xfId="24427"/>
    <cellStyle name="40% - Accent1 2 6 5 3 3" xfId="24428"/>
    <cellStyle name="40% - Accent1 2 6 5 4" xfId="24429"/>
    <cellStyle name="40% - Accent1 2 6 5 4 2" xfId="24430"/>
    <cellStyle name="40% - Accent1 2 6 5 5" xfId="24431"/>
    <cellStyle name="40% - Accent1 2 6 6" xfId="24432"/>
    <cellStyle name="40% - Accent1 2 6 6 2" xfId="24433"/>
    <cellStyle name="40% - Accent1 2 6 6 2 2" xfId="24434"/>
    <cellStyle name="40% - Accent1 2 6 6 2 2 2" xfId="24435"/>
    <cellStyle name="40% - Accent1 2 6 6 2 2 2 2" xfId="24436"/>
    <cellStyle name="40% - Accent1 2 6 6 2 2 3" xfId="24437"/>
    <cellStyle name="40% - Accent1 2 6 6 2 3" xfId="24438"/>
    <cellStyle name="40% - Accent1 2 6 6 2 3 2" xfId="24439"/>
    <cellStyle name="40% - Accent1 2 6 6 2 4" xfId="24440"/>
    <cellStyle name="40% - Accent1 2 6 6 3" xfId="24441"/>
    <cellStyle name="40% - Accent1 2 6 6 3 2" xfId="24442"/>
    <cellStyle name="40% - Accent1 2 6 6 3 2 2" xfId="24443"/>
    <cellStyle name="40% - Accent1 2 6 6 3 3" xfId="24444"/>
    <cellStyle name="40% - Accent1 2 6 6 4" xfId="24445"/>
    <cellStyle name="40% - Accent1 2 6 6 4 2" xfId="24446"/>
    <cellStyle name="40% - Accent1 2 6 6 5" xfId="24447"/>
    <cellStyle name="40% - Accent1 2 6 7" xfId="24448"/>
    <cellStyle name="40% - Accent1 2 6 7 2" xfId="24449"/>
    <cellStyle name="40% - Accent1 2 6 7 2 2" xfId="24450"/>
    <cellStyle name="40% - Accent1 2 6 7 2 2 2" xfId="24451"/>
    <cellStyle name="40% - Accent1 2 6 7 2 2 2 2" xfId="24452"/>
    <cellStyle name="40% - Accent1 2 6 7 2 2 3" xfId="24453"/>
    <cellStyle name="40% - Accent1 2 6 7 2 3" xfId="24454"/>
    <cellStyle name="40% - Accent1 2 6 7 2 3 2" xfId="24455"/>
    <cellStyle name="40% - Accent1 2 6 7 2 4" xfId="24456"/>
    <cellStyle name="40% - Accent1 2 6 7 3" xfId="24457"/>
    <cellStyle name="40% - Accent1 2 6 7 3 2" xfId="24458"/>
    <cellStyle name="40% - Accent1 2 6 7 3 2 2" xfId="24459"/>
    <cellStyle name="40% - Accent1 2 6 7 3 3" xfId="24460"/>
    <cellStyle name="40% - Accent1 2 6 7 4" xfId="24461"/>
    <cellStyle name="40% - Accent1 2 6 7 4 2" xfId="24462"/>
    <cellStyle name="40% - Accent1 2 6 7 5" xfId="24463"/>
    <cellStyle name="40% - Accent1 2 6 8" xfId="24464"/>
    <cellStyle name="40% - Accent1 2 6 8 2" xfId="24465"/>
    <cellStyle name="40% - Accent1 2 6 8 2 2" xfId="24466"/>
    <cellStyle name="40% - Accent1 2 6 8 2 2 2" xfId="24467"/>
    <cellStyle name="40% - Accent1 2 6 8 2 3" xfId="24468"/>
    <cellStyle name="40% - Accent1 2 6 8 3" xfId="24469"/>
    <cellStyle name="40% - Accent1 2 6 8 3 2" xfId="24470"/>
    <cellStyle name="40% - Accent1 2 6 8 4" xfId="24471"/>
    <cellStyle name="40% - Accent1 2 6 9" xfId="24472"/>
    <cellStyle name="40% - Accent1 2 6 9 2" xfId="24473"/>
    <cellStyle name="40% - Accent1 2 6 9 2 2" xfId="24474"/>
    <cellStyle name="40% - Accent1 2 6 9 3" xfId="24475"/>
    <cellStyle name="40% - Accent1 2 7" xfId="24476"/>
    <cellStyle name="40% - Accent1 2 7 10" xfId="24477"/>
    <cellStyle name="40% - Accent1 2 7 10 2" xfId="24478"/>
    <cellStyle name="40% - Accent1 2 7 11" xfId="24479"/>
    <cellStyle name="40% - Accent1 2 7 2" xfId="24480"/>
    <cellStyle name="40% - Accent1 2 7 2 10" xfId="24481"/>
    <cellStyle name="40% - Accent1 2 7 2 2" xfId="24482"/>
    <cellStyle name="40% - Accent1 2 7 2 2 2" xfId="24483"/>
    <cellStyle name="40% - Accent1 2 7 2 2 2 2" xfId="24484"/>
    <cellStyle name="40% - Accent1 2 7 2 2 2 2 2" xfId="24485"/>
    <cellStyle name="40% - Accent1 2 7 2 2 2 2 2 2" xfId="24486"/>
    <cellStyle name="40% - Accent1 2 7 2 2 2 2 3" xfId="24487"/>
    <cellStyle name="40% - Accent1 2 7 2 2 2 3" xfId="24488"/>
    <cellStyle name="40% - Accent1 2 7 2 2 2 3 2" xfId="24489"/>
    <cellStyle name="40% - Accent1 2 7 2 2 2 4" xfId="24490"/>
    <cellStyle name="40% - Accent1 2 7 2 2 3" xfId="24491"/>
    <cellStyle name="40% - Accent1 2 7 2 2 3 2" xfId="24492"/>
    <cellStyle name="40% - Accent1 2 7 2 2 3 2 2" xfId="24493"/>
    <cellStyle name="40% - Accent1 2 7 2 2 3 3" xfId="24494"/>
    <cellStyle name="40% - Accent1 2 7 2 2 4" xfId="24495"/>
    <cellStyle name="40% - Accent1 2 7 2 2 4 2" xfId="24496"/>
    <cellStyle name="40% - Accent1 2 7 2 2 5" xfId="24497"/>
    <cellStyle name="40% - Accent1 2 7 2 3" xfId="24498"/>
    <cellStyle name="40% - Accent1 2 7 2 3 2" xfId="24499"/>
    <cellStyle name="40% - Accent1 2 7 2 3 2 2" xfId="24500"/>
    <cellStyle name="40% - Accent1 2 7 2 3 2 2 2" xfId="24501"/>
    <cellStyle name="40% - Accent1 2 7 2 3 2 2 2 2" xfId="24502"/>
    <cellStyle name="40% - Accent1 2 7 2 3 2 2 3" xfId="24503"/>
    <cellStyle name="40% - Accent1 2 7 2 3 2 3" xfId="24504"/>
    <cellStyle name="40% - Accent1 2 7 2 3 2 3 2" xfId="24505"/>
    <cellStyle name="40% - Accent1 2 7 2 3 2 4" xfId="24506"/>
    <cellStyle name="40% - Accent1 2 7 2 3 3" xfId="24507"/>
    <cellStyle name="40% - Accent1 2 7 2 3 3 2" xfId="24508"/>
    <cellStyle name="40% - Accent1 2 7 2 3 3 2 2" xfId="24509"/>
    <cellStyle name="40% - Accent1 2 7 2 3 3 3" xfId="24510"/>
    <cellStyle name="40% - Accent1 2 7 2 3 4" xfId="24511"/>
    <cellStyle name="40% - Accent1 2 7 2 3 4 2" xfId="24512"/>
    <cellStyle name="40% - Accent1 2 7 2 3 5" xfId="24513"/>
    <cellStyle name="40% - Accent1 2 7 2 4" xfId="24514"/>
    <cellStyle name="40% - Accent1 2 7 2 4 2" xfId="24515"/>
    <cellStyle name="40% - Accent1 2 7 2 4 2 2" xfId="24516"/>
    <cellStyle name="40% - Accent1 2 7 2 4 2 2 2" xfId="24517"/>
    <cellStyle name="40% - Accent1 2 7 2 4 2 2 2 2" xfId="24518"/>
    <cellStyle name="40% - Accent1 2 7 2 4 2 2 3" xfId="24519"/>
    <cellStyle name="40% - Accent1 2 7 2 4 2 3" xfId="24520"/>
    <cellStyle name="40% - Accent1 2 7 2 4 2 3 2" xfId="24521"/>
    <cellStyle name="40% - Accent1 2 7 2 4 2 4" xfId="24522"/>
    <cellStyle name="40% - Accent1 2 7 2 4 3" xfId="24523"/>
    <cellStyle name="40% - Accent1 2 7 2 4 3 2" xfId="24524"/>
    <cellStyle name="40% - Accent1 2 7 2 4 3 2 2" xfId="24525"/>
    <cellStyle name="40% - Accent1 2 7 2 4 3 3" xfId="24526"/>
    <cellStyle name="40% - Accent1 2 7 2 4 4" xfId="24527"/>
    <cellStyle name="40% - Accent1 2 7 2 4 4 2" xfId="24528"/>
    <cellStyle name="40% - Accent1 2 7 2 4 5" xfId="24529"/>
    <cellStyle name="40% - Accent1 2 7 2 5" xfId="24530"/>
    <cellStyle name="40% - Accent1 2 7 2 5 2" xfId="24531"/>
    <cellStyle name="40% - Accent1 2 7 2 5 2 2" xfId="24532"/>
    <cellStyle name="40% - Accent1 2 7 2 5 2 2 2" xfId="24533"/>
    <cellStyle name="40% - Accent1 2 7 2 5 2 2 2 2" xfId="24534"/>
    <cellStyle name="40% - Accent1 2 7 2 5 2 2 3" xfId="24535"/>
    <cellStyle name="40% - Accent1 2 7 2 5 2 3" xfId="24536"/>
    <cellStyle name="40% - Accent1 2 7 2 5 2 3 2" xfId="24537"/>
    <cellStyle name="40% - Accent1 2 7 2 5 2 4" xfId="24538"/>
    <cellStyle name="40% - Accent1 2 7 2 5 3" xfId="24539"/>
    <cellStyle name="40% - Accent1 2 7 2 5 3 2" xfId="24540"/>
    <cellStyle name="40% - Accent1 2 7 2 5 3 2 2" xfId="24541"/>
    <cellStyle name="40% - Accent1 2 7 2 5 3 3" xfId="24542"/>
    <cellStyle name="40% - Accent1 2 7 2 5 4" xfId="24543"/>
    <cellStyle name="40% - Accent1 2 7 2 5 4 2" xfId="24544"/>
    <cellStyle name="40% - Accent1 2 7 2 5 5" xfId="24545"/>
    <cellStyle name="40% - Accent1 2 7 2 6" xfId="24546"/>
    <cellStyle name="40% - Accent1 2 7 2 6 2" xfId="24547"/>
    <cellStyle name="40% - Accent1 2 7 2 6 2 2" xfId="24548"/>
    <cellStyle name="40% - Accent1 2 7 2 6 2 2 2" xfId="24549"/>
    <cellStyle name="40% - Accent1 2 7 2 6 2 2 2 2" xfId="24550"/>
    <cellStyle name="40% - Accent1 2 7 2 6 2 2 3" xfId="24551"/>
    <cellStyle name="40% - Accent1 2 7 2 6 2 3" xfId="24552"/>
    <cellStyle name="40% - Accent1 2 7 2 6 2 3 2" xfId="24553"/>
    <cellStyle name="40% - Accent1 2 7 2 6 2 4" xfId="24554"/>
    <cellStyle name="40% - Accent1 2 7 2 6 3" xfId="24555"/>
    <cellStyle name="40% - Accent1 2 7 2 6 3 2" xfId="24556"/>
    <cellStyle name="40% - Accent1 2 7 2 6 3 2 2" xfId="24557"/>
    <cellStyle name="40% - Accent1 2 7 2 6 3 3" xfId="24558"/>
    <cellStyle name="40% - Accent1 2 7 2 6 4" xfId="24559"/>
    <cellStyle name="40% - Accent1 2 7 2 6 4 2" xfId="24560"/>
    <cellStyle name="40% - Accent1 2 7 2 6 5" xfId="24561"/>
    <cellStyle name="40% - Accent1 2 7 2 7" xfId="24562"/>
    <cellStyle name="40% - Accent1 2 7 2 7 2" xfId="24563"/>
    <cellStyle name="40% - Accent1 2 7 2 7 2 2" xfId="24564"/>
    <cellStyle name="40% - Accent1 2 7 2 7 2 2 2" xfId="24565"/>
    <cellStyle name="40% - Accent1 2 7 2 7 2 3" xfId="24566"/>
    <cellStyle name="40% - Accent1 2 7 2 7 3" xfId="24567"/>
    <cellStyle name="40% - Accent1 2 7 2 7 3 2" xfId="24568"/>
    <cellStyle name="40% - Accent1 2 7 2 7 4" xfId="24569"/>
    <cellStyle name="40% - Accent1 2 7 2 8" xfId="24570"/>
    <cellStyle name="40% - Accent1 2 7 2 8 2" xfId="24571"/>
    <cellStyle name="40% - Accent1 2 7 2 8 2 2" xfId="24572"/>
    <cellStyle name="40% - Accent1 2 7 2 8 3" xfId="24573"/>
    <cellStyle name="40% - Accent1 2 7 2 9" xfId="24574"/>
    <cellStyle name="40% - Accent1 2 7 2 9 2" xfId="24575"/>
    <cellStyle name="40% - Accent1 2 7 3" xfId="24576"/>
    <cellStyle name="40% - Accent1 2 7 3 2" xfId="24577"/>
    <cellStyle name="40% - Accent1 2 7 3 2 2" xfId="24578"/>
    <cellStyle name="40% - Accent1 2 7 3 2 2 2" xfId="24579"/>
    <cellStyle name="40% - Accent1 2 7 3 2 2 2 2" xfId="24580"/>
    <cellStyle name="40% - Accent1 2 7 3 2 2 3" xfId="24581"/>
    <cellStyle name="40% - Accent1 2 7 3 2 3" xfId="24582"/>
    <cellStyle name="40% - Accent1 2 7 3 2 3 2" xfId="24583"/>
    <cellStyle name="40% - Accent1 2 7 3 2 4" xfId="24584"/>
    <cellStyle name="40% - Accent1 2 7 3 3" xfId="24585"/>
    <cellStyle name="40% - Accent1 2 7 3 3 2" xfId="24586"/>
    <cellStyle name="40% - Accent1 2 7 3 3 2 2" xfId="24587"/>
    <cellStyle name="40% - Accent1 2 7 3 3 3" xfId="24588"/>
    <cellStyle name="40% - Accent1 2 7 3 4" xfId="24589"/>
    <cellStyle name="40% - Accent1 2 7 3 4 2" xfId="24590"/>
    <cellStyle name="40% - Accent1 2 7 3 5" xfId="24591"/>
    <cellStyle name="40% - Accent1 2 7 4" xfId="24592"/>
    <cellStyle name="40% - Accent1 2 7 4 2" xfId="24593"/>
    <cellStyle name="40% - Accent1 2 7 4 2 2" xfId="24594"/>
    <cellStyle name="40% - Accent1 2 7 4 2 2 2" xfId="24595"/>
    <cellStyle name="40% - Accent1 2 7 4 2 2 2 2" xfId="24596"/>
    <cellStyle name="40% - Accent1 2 7 4 2 2 3" xfId="24597"/>
    <cellStyle name="40% - Accent1 2 7 4 2 3" xfId="24598"/>
    <cellStyle name="40% - Accent1 2 7 4 2 3 2" xfId="24599"/>
    <cellStyle name="40% - Accent1 2 7 4 2 4" xfId="24600"/>
    <cellStyle name="40% - Accent1 2 7 4 3" xfId="24601"/>
    <cellStyle name="40% - Accent1 2 7 4 3 2" xfId="24602"/>
    <cellStyle name="40% - Accent1 2 7 4 3 2 2" xfId="24603"/>
    <cellStyle name="40% - Accent1 2 7 4 3 3" xfId="24604"/>
    <cellStyle name="40% - Accent1 2 7 4 4" xfId="24605"/>
    <cellStyle name="40% - Accent1 2 7 4 4 2" xfId="24606"/>
    <cellStyle name="40% - Accent1 2 7 4 5" xfId="24607"/>
    <cellStyle name="40% - Accent1 2 7 5" xfId="24608"/>
    <cellStyle name="40% - Accent1 2 7 5 2" xfId="24609"/>
    <cellStyle name="40% - Accent1 2 7 5 2 2" xfId="24610"/>
    <cellStyle name="40% - Accent1 2 7 5 2 2 2" xfId="24611"/>
    <cellStyle name="40% - Accent1 2 7 5 2 2 2 2" xfId="24612"/>
    <cellStyle name="40% - Accent1 2 7 5 2 2 3" xfId="24613"/>
    <cellStyle name="40% - Accent1 2 7 5 2 3" xfId="24614"/>
    <cellStyle name="40% - Accent1 2 7 5 2 3 2" xfId="24615"/>
    <cellStyle name="40% - Accent1 2 7 5 2 4" xfId="24616"/>
    <cellStyle name="40% - Accent1 2 7 5 3" xfId="24617"/>
    <cellStyle name="40% - Accent1 2 7 5 3 2" xfId="24618"/>
    <cellStyle name="40% - Accent1 2 7 5 3 2 2" xfId="24619"/>
    <cellStyle name="40% - Accent1 2 7 5 3 3" xfId="24620"/>
    <cellStyle name="40% - Accent1 2 7 5 4" xfId="24621"/>
    <cellStyle name="40% - Accent1 2 7 5 4 2" xfId="24622"/>
    <cellStyle name="40% - Accent1 2 7 5 5" xfId="24623"/>
    <cellStyle name="40% - Accent1 2 7 6" xfId="24624"/>
    <cellStyle name="40% - Accent1 2 7 6 2" xfId="24625"/>
    <cellStyle name="40% - Accent1 2 7 6 2 2" xfId="24626"/>
    <cellStyle name="40% - Accent1 2 7 6 2 2 2" xfId="24627"/>
    <cellStyle name="40% - Accent1 2 7 6 2 2 2 2" xfId="24628"/>
    <cellStyle name="40% - Accent1 2 7 6 2 2 3" xfId="24629"/>
    <cellStyle name="40% - Accent1 2 7 6 2 3" xfId="24630"/>
    <cellStyle name="40% - Accent1 2 7 6 2 3 2" xfId="24631"/>
    <cellStyle name="40% - Accent1 2 7 6 2 4" xfId="24632"/>
    <cellStyle name="40% - Accent1 2 7 6 3" xfId="24633"/>
    <cellStyle name="40% - Accent1 2 7 6 3 2" xfId="24634"/>
    <cellStyle name="40% - Accent1 2 7 6 3 2 2" xfId="24635"/>
    <cellStyle name="40% - Accent1 2 7 6 3 3" xfId="24636"/>
    <cellStyle name="40% - Accent1 2 7 6 4" xfId="24637"/>
    <cellStyle name="40% - Accent1 2 7 6 4 2" xfId="24638"/>
    <cellStyle name="40% - Accent1 2 7 6 5" xfId="24639"/>
    <cellStyle name="40% - Accent1 2 7 7" xfId="24640"/>
    <cellStyle name="40% - Accent1 2 7 7 2" xfId="24641"/>
    <cellStyle name="40% - Accent1 2 7 7 2 2" xfId="24642"/>
    <cellStyle name="40% - Accent1 2 7 7 2 2 2" xfId="24643"/>
    <cellStyle name="40% - Accent1 2 7 7 2 2 2 2" xfId="24644"/>
    <cellStyle name="40% - Accent1 2 7 7 2 2 3" xfId="24645"/>
    <cellStyle name="40% - Accent1 2 7 7 2 3" xfId="24646"/>
    <cellStyle name="40% - Accent1 2 7 7 2 3 2" xfId="24647"/>
    <cellStyle name="40% - Accent1 2 7 7 2 4" xfId="24648"/>
    <cellStyle name="40% - Accent1 2 7 7 3" xfId="24649"/>
    <cellStyle name="40% - Accent1 2 7 7 3 2" xfId="24650"/>
    <cellStyle name="40% - Accent1 2 7 7 3 2 2" xfId="24651"/>
    <cellStyle name="40% - Accent1 2 7 7 3 3" xfId="24652"/>
    <cellStyle name="40% - Accent1 2 7 7 4" xfId="24653"/>
    <cellStyle name="40% - Accent1 2 7 7 4 2" xfId="24654"/>
    <cellStyle name="40% - Accent1 2 7 7 5" xfId="24655"/>
    <cellStyle name="40% - Accent1 2 7 8" xfId="24656"/>
    <cellStyle name="40% - Accent1 2 7 8 2" xfId="24657"/>
    <cellStyle name="40% - Accent1 2 7 8 2 2" xfId="24658"/>
    <cellStyle name="40% - Accent1 2 7 8 2 2 2" xfId="24659"/>
    <cellStyle name="40% - Accent1 2 7 8 2 3" xfId="24660"/>
    <cellStyle name="40% - Accent1 2 7 8 3" xfId="24661"/>
    <cellStyle name="40% - Accent1 2 7 8 3 2" xfId="24662"/>
    <cellStyle name="40% - Accent1 2 7 8 4" xfId="24663"/>
    <cellStyle name="40% - Accent1 2 7 9" xfId="24664"/>
    <cellStyle name="40% - Accent1 2 7 9 2" xfId="24665"/>
    <cellStyle name="40% - Accent1 2 7 9 2 2" xfId="24666"/>
    <cellStyle name="40% - Accent1 2 7 9 3" xfId="24667"/>
    <cellStyle name="40% - Accent1 2 8" xfId="24668"/>
    <cellStyle name="40% - Accent1 2 8 10" xfId="24669"/>
    <cellStyle name="40% - Accent1 2 8 10 2" xfId="24670"/>
    <cellStyle name="40% - Accent1 2 8 11" xfId="24671"/>
    <cellStyle name="40% - Accent1 2 8 2" xfId="24672"/>
    <cellStyle name="40% - Accent1 2 8 2 10" xfId="24673"/>
    <cellStyle name="40% - Accent1 2 8 2 2" xfId="24674"/>
    <cellStyle name="40% - Accent1 2 8 2 2 2" xfId="24675"/>
    <cellStyle name="40% - Accent1 2 8 2 2 2 2" xfId="24676"/>
    <cellStyle name="40% - Accent1 2 8 2 2 2 2 2" xfId="24677"/>
    <cellStyle name="40% - Accent1 2 8 2 2 2 2 2 2" xfId="24678"/>
    <cellStyle name="40% - Accent1 2 8 2 2 2 2 3" xfId="24679"/>
    <cellStyle name="40% - Accent1 2 8 2 2 2 3" xfId="24680"/>
    <cellStyle name="40% - Accent1 2 8 2 2 2 3 2" xfId="24681"/>
    <cellStyle name="40% - Accent1 2 8 2 2 2 4" xfId="24682"/>
    <cellStyle name="40% - Accent1 2 8 2 2 3" xfId="24683"/>
    <cellStyle name="40% - Accent1 2 8 2 2 3 2" xfId="24684"/>
    <cellStyle name="40% - Accent1 2 8 2 2 3 2 2" xfId="24685"/>
    <cellStyle name="40% - Accent1 2 8 2 2 3 3" xfId="24686"/>
    <cellStyle name="40% - Accent1 2 8 2 2 4" xfId="24687"/>
    <cellStyle name="40% - Accent1 2 8 2 2 4 2" xfId="24688"/>
    <cellStyle name="40% - Accent1 2 8 2 2 5" xfId="24689"/>
    <cellStyle name="40% - Accent1 2 8 2 3" xfId="24690"/>
    <cellStyle name="40% - Accent1 2 8 2 3 2" xfId="24691"/>
    <cellStyle name="40% - Accent1 2 8 2 3 2 2" xfId="24692"/>
    <cellStyle name="40% - Accent1 2 8 2 3 2 2 2" xfId="24693"/>
    <cellStyle name="40% - Accent1 2 8 2 3 2 2 2 2" xfId="24694"/>
    <cellStyle name="40% - Accent1 2 8 2 3 2 2 3" xfId="24695"/>
    <cellStyle name="40% - Accent1 2 8 2 3 2 3" xfId="24696"/>
    <cellStyle name="40% - Accent1 2 8 2 3 2 3 2" xfId="24697"/>
    <cellStyle name="40% - Accent1 2 8 2 3 2 4" xfId="24698"/>
    <cellStyle name="40% - Accent1 2 8 2 3 3" xfId="24699"/>
    <cellStyle name="40% - Accent1 2 8 2 3 3 2" xfId="24700"/>
    <cellStyle name="40% - Accent1 2 8 2 3 3 2 2" xfId="24701"/>
    <cellStyle name="40% - Accent1 2 8 2 3 3 3" xfId="24702"/>
    <cellStyle name="40% - Accent1 2 8 2 3 4" xfId="24703"/>
    <cellStyle name="40% - Accent1 2 8 2 3 4 2" xfId="24704"/>
    <cellStyle name="40% - Accent1 2 8 2 3 5" xfId="24705"/>
    <cellStyle name="40% - Accent1 2 8 2 4" xfId="24706"/>
    <cellStyle name="40% - Accent1 2 8 2 4 2" xfId="24707"/>
    <cellStyle name="40% - Accent1 2 8 2 4 2 2" xfId="24708"/>
    <cellStyle name="40% - Accent1 2 8 2 4 2 2 2" xfId="24709"/>
    <cellStyle name="40% - Accent1 2 8 2 4 2 2 2 2" xfId="24710"/>
    <cellStyle name="40% - Accent1 2 8 2 4 2 2 3" xfId="24711"/>
    <cellStyle name="40% - Accent1 2 8 2 4 2 3" xfId="24712"/>
    <cellStyle name="40% - Accent1 2 8 2 4 2 3 2" xfId="24713"/>
    <cellStyle name="40% - Accent1 2 8 2 4 2 4" xfId="24714"/>
    <cellStyle name="40% - Accent1 2 8 2 4 3" xfId="24715"/>
    <cellStyle name="40% - Accent1 2 8 2 4 3 2" xfId="24716"/>
    <cellStyle name="40% - Accent1 2 8 2 4 3 2 2" xfId="24717"/>
    <cellStyle name="40% - Accent1 2 8 2 4 3 3" xfId="24718"/>
    <cellStyle name="40% - Accent1 2 8 2 4 4" xfId="24719"/>
    <cellStyle name="40% - Accent1 2 8 2 4 4 2" xfId="24720"/>
    <cellStyle name="40% - Accent1 2 8 2 4 5" xfId="24721"/>
    <cellStyle name="40% - Accent1 2 8 2 5" xfId="24722"/>
    <cellStyle name="40% - Accent1 2 8 2 5 2" xfId="24723"/>
    <cellStyle name="40% - Accent1 2 8 2 5 2 2" xfId="24724"/>
    <cellStyle name="40% - Accent1 2 8 2 5 2 2 2" xfId="24725"/>
    <cellStyle name="40% - Accent1 2 8 2 5 2 2 2 2" xfId="24726"/>
    <cellStyle name="40% - Accent1 2 8 2 5 2 2 3" xfId="24727"/>
    <cellStyle name="40% - Accent1 2 8 2 5 2 3" xfId="24728"/>
    <cellStyle name="40% - Accent1 2 8 2 5 2 3 2" xfId="24729"/>
    <cellStyle name="40% - Accent1 2 8 2 5 2 4" xfId="24730"/>
    <cellStyle name="40% - Accent1 2 8 2 5 3" xfId="24731"/>
    <cellStyle name="40% - Accent1 2 8 2 5 3 2" xfId="24732"/>
    <cellStyle name="40% - Accent1 2 8 2 5 3 2 2" xfId="24733"/>
    <cellStyle name="40% - Accent1 2 8 2 5 3 3" xfId="24734"/>
    <cellStyle name="40% - Accent1 2 8 2 5 4" xfId="24735"/>
    <cellStyle name="40% - Accent1 2 8 2 5 4 2" xfId="24736"/>
    <cellStyle name="40% - Accent1 2 8 2 5 5" xfId="24737"/>
    <cellStyle name="40% - Accent1 2 8 2 6" xfId="24738"/>
    <cellStyle name="40% - Accent1 2 8 2 6 2" xfId="24739"/>
    <cellStyle name="40% - Accent1 2 8 2 6 2 2" xfId="24740"/>
    <cellStyle name="40% - Accent1 2 8 2 6 2 2 2" xfId="24741"/>
    <cellStyle name="40% - Accent1 2 8 2 6 2 2 2 2" xfId="24742"/>
    <cellStyle name="40% - Accent1 2 8 2 6 2 2 3" xfId="24743"/>
    <cellStyle name="40% - Accent1 2 8 2 6 2 3" xfId="24744"/>
    <cellStyle name="40% - Accent1 2 8 2 6 2 3 2" xfId="24745"/>
    <cellStyle name="40% - Accent1 2 8 2 6 2 4" xfId="24746"/>
    <cellStyle name="40% - Accent1 2 8 2 6 3" xfId="24747"/>
    <cellStyle name="40% - Accent1 2 8 2 6 3 2" xfId="24748"/>
    <cellStyle name="40% - Accent1 2 8 2 6 3 2 2" xfId="24749"/>
    <cellStyle name="40% - Accent1 2 8 2 6 3 3" xfId="24750"/>
    <cellStyle name="40% - Accent1 2 8 2 6 4" xfId="24751"/>
    <cellStyle name="40% - Accent1 2 8 2 6 4 2" xfId="24752"/>
    <cellStyle name="40% - Accent1 2 8 2 6 5" xfId="24753"/>
    <cellStyle name="40% - Accent1 2 8 2 7" xfId="24754"/>
    <cellStyle name="40% - Accent1 2 8 2 7 2" xfId="24755"/>
    <cellStyle name="40% - Accent1 2 8 2 7 2 2" xfId="24756"/>
    <cellStyle name="40% - Accent1 2 8 2 7 2 2 2" xfId="24757"/>
    <cellStyle name="40% - Accent1 2 8 2 7 2 3" xfId="24758"/>
    <cellStyle name="40% - Accent1 2 8 2 7 3" xfId="24759"/>
    <cellStyle name="40% - Accent1 2 8 2 7 3 2" xfId="24760"/>
    <cellStyle name="40% - Accent1 2 8 2 7 4" xfId="24761"/>
    <cellStyle name="40% - Accent1 2 8 2 8" xfId="24762"/>
    <cellStyle name="40% - Accent1 2 8 2 8 2" xfId="24763"/>
    <cellStyle name="40% - Accent1 2 8 2 8 2 2" xfId="24764"/>
    <cellStyle name="40% - Accent1 2 8 2 8 3" xfId="24765"/>
    <cellStyle name="40% - Accent1 2 8 2 9" xfId="24766"/>
    <cellStyle name="40% - Accent1 2 8 2 9 2" xfId="24767"/>
    <cellStyle name="40% - Accent1 2 8 3" xfId="24768"/>
    <cellStyle name="40% - Accent1 2 8 3 2" xfId="24769"/>
    <cellStyle name="40% - Accent1 2 8 3 2 2" xfId="24770"/>
    <cellStyle name="40% - Accent1 2 8 3 2 2 2" xfId="24771"/>
    <cellStyle name="40% - Accent1 2 8 3 2 2 2 2" xfId="24772"/>
    <cellStyle name="40% - Accent1 2 8 3 2 2 3" xfId="24773"/>
    <cellStyle name="40% - Accent1 2 8 3 2 3" xfId="24774"/>
    <cellStyle name="40% - Accent1 2 8 3 2 3 2" xfId="24775"/>
    <cellStyle name="40% - Accent1 2 8 3 2 4" xfId="24776"/>
    <cellStyle name="40% - Accent1 2 8 3 3" xfId="24777"/>
    <cellStyle name="40% - Accent1 2 8 3 3 2" xfId="24778"/>
    <cellStyle name="40% - Accent1 2 8 3 3 2 2" xfId="24779"/>
    <cellStyle name="40% - Accent1 2 8 3 3 3" xfId="24780"/>
    <cellStyle name="40% - Accent1 2 8 3 4" xfId="24781"/>
    <cellStyle name="40% - Accent1 2 8 3 4 2" xfId="24782"/>
    <cellStyle name="40% - Accent1 2 8 3 5" xfId="24783"/>
    <cellStyle name="40% - Accent1 2 8 4" xfId="24784"/>
    <cellStyle name="40% - Accent1 2 8 4 2" xfId="24785"/>
    <cellStyle name="40% - Accent1 2 8 4 2 2" xfId="24786"/>
    <cellStyle name="40% - Accent1 2 8 4 2 2 2" xfId="24787"/>
    <cellStyle name="40% - Accent1 2 8 4 2 2 2 2" xfId="24788"/>
    <cellStyle name="40% - Accent1 2 8 4 2 2 3" xfId="24789"/>
    <cellStyle name="40% - Accent1 2 8 4 2 3" xfId="24790"/>
    <cellStyle name="40% - Accent1 2 8 4 2 3 2" xfId="24791"/>
    <cellStyle name="40% - Accent1 2 8 4 2 4" xfId="24792"/>
    <cellStyle name="40% - Accent1 2 8 4 3" xfId="24793"/>
    <cellStyle name="40% - Accent1 2 8 4 3 2" xfId="24794"/>
    <cellStyle name="40% - Accent1 2 8 4 3 2 2" xfId="24795"/>
    <cellStyle name="40% - Accent1 2 8 4 3 3" xfId="24796"/>
    <cellStyle name="40% - Accent1 2 8 4 4" xfId="24797"/>
    <cellStyle name="40% - Accent1 2 8 4 4 2" xfId="24798"/>
    <cellStyle name="40% - Accent1 2 8 4 5" xfId="24799"/>
    <cellStyle name="40% - Accent1 2 8 5" xfId="24800"/>
    <cellStyle name="40% - Accent1 2 8 5 2" xfId="24801"/>
    <cellStyle name="40% - Accent1 2 8 5 2 2" xfId="24802"/>
    <cellStyle name="40% - Accent1 2 8 5 2 2 2" xfId="24803"/>
    <cellStyle name="40% - Accent1 2 8 5 2 2 2 2" xfId="24804"/>
    <cellStyle name="40% - Accent1 2 8 5 2 2 3" xfId="24805"/>
    <cellStyle name="40% - Accent1 2 8 5 2 3" xfId="24806"/>
    <cellStyle name="40% - Accent1 2 8 5 2 3 2" xfId="24807"/>
    <cellStyle name="40% - Accent1 2 8 5 2 4" xfId="24808"/>
    <cellStyle name="40% - Accent1 2 8 5 3" xfId="24809"/>
    <cellStyle name="40% - Accent1 2 8 5 3 2" xfId="24810"/>
    <cellStyle name="40% - Accent1 2 8 5 3 2 2" xfId="24811"/>
    <cellStyle name="40% - Accent1 2 8 5 3 3" xfId="24812"/>
    <cellStyle name="40% - Accent1 2 8 5 4" xfId="24813"/>
    <cellStyle name="40% - Accent1 2 8 5 4 2" xfId="24814"/>
    <cellStyle name="40% - Accent1 2 8 5 5" xfId="24815"/>
    <cellStyle name="40% - Accent1 2 8 6" xfId="24816"/>
    <cellStyle name="40% - Accent1 2 8 6 2" xfId="24817"/>
    <cellStyle name="40% - Accent1 2 8 6 2 2" xfId="24818"/>
    <cellStyle name="40% - Accent1 2 8 6 2 2 2" xfId="24819"/>
    <cellStyle name="40% - Accent1 2 8 6 2 2 2 2" xfId="24820"/>
    <cellStyle name="40% - Accent1 2 8 6 2 2 3" xfId="24821"/>
    <cellStyle name="40% - Accent1 2 8 6 2 3" xfId="24822"/>
    <cellStyle name="40% - Accent1 2 8 6 2 3 2" xfId="24823"/>
    <cellStyle name="40% - Accent1 2 8 6 2 4" xfId="24824"/>
    <cellStyle name="40% - Accent1 2 8 6 3" xfId="24825"/>
    <cellStyle name="40% - Accent1 2 8 6 3 2" xfId="24826"/>
    <cellStyle name="40% - Accent1 2 8 6 3 2 2" xfId="24827"/>
    <cellStyle name="40% - Accent1 2 8 6 3 3" xfId="24828"/>
    <cellStyle name="40% - Accent1 2 8 6 4" xfId="24829"/>
    <cellStyle name="40% - Accent1 2 8 6 4 2" xfId="24830"/>
    <cellStyle name="40% - Accent1 2 8 6 5" xfId="24831"/>
    <cellStyle name="40% - Accent1 2 8 7" xfId="24832"/>
    <cellStyle name="40% - Accent1 2 8 7 2" xfId="24833"/>
    <cellStyle name="40% - Accent1 2 8 7 2 2" xfId="24834"/>
    <cellStyle name="40% - Accent1 2 8 7 2 2 2" xfId="24835"/>
    <cellStyle name="40% - Accent1 2 8 7 2 2 2 2" xfId="24836"/>
    <cellStyle name="40% - Accent1 2 8 7 2 2 3" xfId="24837"/>
    <cellStyle name="40% - Accent1 2 8 7 2 3" xfId="24838"/>
    <cellStyle name="40% - Accent1 2 8 7 2 3 2" xfId="24839"/>
    <cellStyle name="40% - Accent1 2 8 7 2 4" xfId="24840"/>
    <cellStyle name="40% - Accent1 2 8 7 3" xfId="24841"/>
    <cellStyle name="40% - Accent1 2 8 7 3 2" xfId="24842"/>
    <cellStyle name="40% - Accent1 2 8 7 3 2 2" xfId="24843"/>
    <cellStyle name="40% - Accent1 2 8 7 3 3" xfId="24844"/>
    <cellStyle name="40% - Accent1 2 8 7 4" xfId="24845"/>
    <cellStyle name="40% - Accent1 2 8 7 4 2" xfId="24846"/>
    <cellStyle name="40% - Accent1 2 8 7 5" xfId="24847"/>
    <cellStyle name="40% - Accent1 2 8 8" xfId="24848"/>
    <cellStyle name="40% - Accent1 2 8 8 2" xfId="24849"/>
    <cellStyle name="40% - Accent1 2 8 8 2 2" xfId="24850"/>
    <cellStyle name="40% - Accent1 2 8 8 2 2 2" xfId="24851"/>
    <cellStyle name="40% - Accent1 2 8 8 2 3" xfId="24852"/>
    <cellStyle name="40% - Accent1 2 8 8 3" xfId="24853"/>
    <cellStyle name="40% - Accent1 2 8 8 3 2" xfId="24854"/>
    <cellStyle name="40% - Accent1 2 8 8 4" xfId="24855"/>
    <cellStyle name="40% - Accent1 2 8 9" xfId="24856"/>
    <cellStyle name="40% - Accent1 2 8 9 2" xfId="24857"/>
    <cellStyle name="40% - Accent1 2 8 9 2 2" xfId="24858"/>
    <cellStyle name="40% - Accent1 2 8 9 3" xfId="24859"/>
    <cellStyle name="40% - Accent1 2 9" xfId="24860"/>
    <cellStyle name="40% - Accent1 2 9 10" xfId="24861"/>
    <cellStyle name="40% - Accent1 2 9 10 2" xfId="24862"/>
    <cellStyle name="40% - Accent1 2 9 11" xfId="24863"/>
    <cellStyle name="40% - Accent1 2 9 2" xfId="24864"/>
    <cellStyle name="40% - Accent1 2 9 2 10" xfId="24865"/>
    <cellStyle name="40% - Accent1 2 9 2 2" xfId="24866"/>
    <cellStyle name="40% - Accent1 2 9 2 2 2" xfId="24867"/>
    <cellStyle name="40% - Accent1 2 9 2 2 2 2" xfId="24868"/>
    <cellStyle name="40% - Accent1 2 9 2 2 2 2 2" xfId="24869"/>
    <cellStyle name="40% - Accent1 2 9 2 2 2 2 2 2" xfId="24870"/>
    <cellStyle name="40% - Accent1 2 9 2 2 2 2 3" xfId="24871"/>
    <cellStyle name="40% - Accent1 2 9 2 2 2 3" xfId="24872"/>
    <cellStyle name="40% - Accent1 2 9 2 2 2 3 2" xfId="24873"/>
    <cellStyle name="40% - Accent1 2 9 2 2 2 4" xfId="24874"/>
    <cellStyle name="40% - Accent1 2 9 2 2 3" xfId="24875"/>
    <cellStyle name="40% - Accent1 2 9 2 2 3 2" xfId="24876"/>
    <cellStyle name="40% - Accent1 2 9 2 2 3 2 2" xfId="24877"/>
    <cellStyle name="40% - Accent1 2 9 2 2 3 3" xfId="24878"/>
    <cellStyle name="40% - Accent1 2 9 2 2 4" xfId="24879"/>
    <cellStyle name="40% - Accent1 2 9 2 2 4 2" xfId="24880"/>
    <cellStyle name="40% - Accent1 2 9 2 2 5" xfId="24881"/>
    <cellStyle name="40% - Accent1 2 9 2 3" xfId="24882"/>
    <cellStyle name="40% - Accent1 2 9 2 3 2" xfId="24883"/>
    <cellStyle name="40% - Accent1 2 9 2 3 2 2" xfId="24884"/>
    <cellStyle name="40% - Accent1 2 9 2 3 2 2 2" xfId="24885"/>
    <cellStyle name="40% - Accent1 2 9 2 3 2 2 2 2" xfId="24886"/>
    <cellStyle name="40% - Accent1 2 9 2 3 2 2 3" xfId="24887"/>
    <cellStyle name="40% - Accent1 2 9 2 3 2 3" xfId="24888"/>
    <cellStyle name="40% - Accent1 2 9 2 3 2 3 2" xfId="24889"/>
    <cellStyle name="40% - Accent1 2 9 2 3 2 4" xfId="24890"/>
    <cellStyle name="40% - Accent1 2 9 2 3 3" xfId="24891"/>
    <cellStyle name="40% - Accent1 2 9 2 3 3 2" xfId="24892"/>
    <cellStyle name="40% - Accent1 2 9 2 3 3 2 2" xfId="24893"/>
    <cellStyle name="40% - Accent1 2 9 2 3 3 3" xfId="24894"/>
    <cellStyle name="40% - Accent1 2 9 2 3 4" xfId="24895"/>
    <cellStyle name="40% - Accent1 2 9 2 3 4 2" xfId="24896"/>
    <cellStyle name="40% - Accent1 2 9 2 3 5" xfId="24897"/>
    <cellStyle name="40% - Accent1 2 9 2 4" xfId="24898"/>
    <cellStyle name="40% - Accent1 2 9 2 4 2" xfId="24899"/>
    <cellStyle name="40% - Accent1 2 9 2 4 2 2" xfId="24900"/>
    <cellStyle name="40% - Accent1 2 9 2 4 2 2 2" xfId="24901"/>
    <cellStyle name="40% - Accent1 2 9 2 4 2 2 2 2" xfId="24902"/>
    <cellStyle name="40% - Accent1 2 9 2 4 2 2 3" xfId="24903"/>
    <cellStyle name="40% - Accent1 2 9 2 4 2 3" xfId="24904"/>
    <cellStyle name="40% - Accent1 2 9 2 4 2 3 2" xfId="24905"/>
    <cellStyle name="40% - Accent1 2 9 2 4 2 4" xfId="24906"/>
    <cellStyle name="40% - Accent1 2 9 2 4 3" xfId="24907"/>
    <cellStyle name="40% - Accent1 2 9 2 4 3 2" xfId="24908"/>
    <cellStyle name="40% - Accent1 2 9 2 4 3 2 2" xfId="24909"/>
    <cellStyle name="40% - Accent1 2 9 2 4 3 3" xfId="24910"/>
    <cellStyle name="40% - Accent1 2 9 2 4 4" xfId="24911"/>
    <cellStyle name="40% - Accent1 2 9 2 4 4 2" xfId="24912"/>
    <cellStyle name="40% - Accent1 2 9 2 4 5" xfId="24913"/>
    <cellStyle name="40% - Accent1 2 9 2 5" xfId="24914"/>
    <cellStyle name="40% - Accent1 2 9 2 5 2" xfId="24915"/>
    <cellStyle name="40% - Accent1 2 9 2 5 2 2" xfId="24916"/>
    <cellStyle name="40% - Accent1 2 9 2 5 2 2 2" xfId="24917"/>
    <cellStyle name="40% - Accent1 2 9 2 5 2 2 2 2" xfId="24918"/>
    <cellStyle name="40% - Accent1 2 9 2 5 2 2 3" xfId="24919"/>
    <cellStyle name="40% - Accent1 2 9 2 5 2 3" xfId="24920"/>
    <cellStyle name="40% - Accent1 2 9 2 5 2 3 2" xfId="24921"/>
    <cellStyle name="40% - Accent1 2 9 2 5 2 4" xfId="24922"/>
    <cellStyle name="40% - Accent1 2 9 2 5 3" xfId="24923"/>
    <cellStyle name="40% - Accent1 2 9 2 5 3 2" xfId="24924"/>
    <cellStyle name="40% - Accent1 2 9 2 5 3 2 2" xfId="24925"/>
    <cellStyle name="40% - Accent1 2 9 2 5 3 3" xfId="24926"/>
    <cellStyle name="40% - Accent1 2 9 2 5 4" xfId="24927"/>
    <cellStyle name="40% - Accent1 2 9 2 5 4 2" xfId="24928"/>
    <cellStyle name="40% - Accent1 2 9 2 5 5" xfId="24929"/>
    <cellStyle name="40% - Accent1 2 9 2 6" xfId="24930"/>
    <cellStyle name="40% - Accent1 2 9 2 6 2" xfId="24931"/>
    <cellStyle name="40% - Accent1 2 9 2 6 2 2" xfId="24932"/>
    <cellStyle name="40% - Accent1 2 9 2 6 2 2 2" xfId="24933"/>
    <cellStyle name="40% - Accent1 2 9 2 6 2 2 2 2" xfId="24934"/>
    <cellStyle name="40% - Accent1 2 9 2 6 2 2 3" xfId="24935"/>
    <cellStyle name="40% - Accent1 2 9 2 6 2 3" xfId="24936"/>
    <cellStyle name="40% - Accent1 2 9 2 6 2 3 2" xfId="24937"/>
    <cellStyle name="40% - Accent1 2 9 2 6 2 4" xfId="24938"/>
    <cellStyle name="40% - Accent1 2 9 2 6 3" xfId="24939"/>
    <cellStyle name="40% - Accent1 2 9 2 6 3 2" xfId="24940"/>
    <cellStyle name="40% - Accent1 2 9 2 6 3 2 2" xfId="24941"/>
    <cellStyle name="40% - Accent1 2 9 2 6 3 3" xfId="24942"/>
    <cellStyle name="40% - Accent1 2 9 2 6 4" xfId="24943"/>
    <cellStyle name="40% - Accent1 2 9 2 6 4 2" xfId="24944"/>
    <cellStyle name="40% - Accent1 2 9 2 6 5" xfId="24945"/>
    <cellStyle name="40% - Accent1 2 9 2 7" xfId="24946"/>
    <cellStyle name="40% - Accent1 2 9 2 7 2" xfId="24947"/>
    <cellStyle name="40% - Accent1 2 9 2 7 2 2" xfId="24948"/>
    <cellStyle name="40% - Accent1 2 9 2 7 2 2 2" xfId="24949"/>
    <cellStyle name="40% - Accent1 2 9 2 7 2 3" xfId="24950"/>
    <cellStyle name="40% - Accent1 2 9 2 7 3" xfId="24951"/>
    <cellStyle name="40% - Accent1 2 9 2 7 3 2" xfId="24952"/>
    <cellStyle name="40% - Accent1 2 9 2 7 4" xfId="24953"/>
    <cellStyle name="40% - Accent1 2 9 2 8" xfId="24954"/>
    <cellStyle name="40% - Accent1 2 9 2 8 2" xfId="24955"/>
    <cellStyle name="40% - Accent1 2 9 2 8 2 2" xfId="24956"/>
    <cellStyle name="40% - Accent1 2 9 2 8 3" xfId="24957"/>
    <cellStyle name="40% - Accent1 2 9 2 9" xfId="24958"/>
    <cellStyle name="40% - Accent1 2 9 2 9 2" xfId="24959"/>
    <cellStyle name="40% - Accent1 2 9 3" xfId="24960"/>
    <cellStyle name="40% - Accent1 2 9 3 2" xfId="24961"/>
    <cellStyle name="40% - Accent1 2 9 3 2 2" xfId="24962"/>
    <cellStyle name="40% - Accent1 2 9 3 2 2 2" xfId="24963"/>
    <cellStyle name="40% - Accent1 2 9 3 2 2 2 2" xfId="24964"/>
    <cellStyle name="40% - Accent1 2 9 3 2 2 3" xfId="24965"/>
    <cellStyle name="40% - Accent1 2 9 3 2 3" xfId="24966"/>
    <cellStyle name="40% - Accent1 2 9 3 2 3 2" xfId="24967"/>
    <cellStyle name="40% - Accent1 2 9 3 2 4" xfId="24968"/>
    <cellStyle name="40% - Accent1 2 9 3 3" xfId="24969"/>
    <cellStyle name="40% - Accent1 2 9 3 3 2" xfId="24970"/>
    <cellStyle name="40% - Accent1 2 9 3 3 2 2" xfId="24971"/>
    <cellStyle name="40% - Accent1 2 9 3 3 3" xfId="24972"/>
    <cellStyle name="40% - Accent1 2 9 3 4" xfId="24973"/>
    <cellStyle name="40% - Accent1 2 9 3 4 2" xfId="24974"/>
    <cellStyle name="40% - Accent1 2 9 3 5" xfId="24975"/>
    <cellStyle name="40% - Accent1 2 9 4" xfId="24976"/>
    <cellStyle name="40% - Accent1 2 9 4 2" xfId="24977"/>
    <cellStyle name="40% - Accent1 2 9 4 2 2" xfId="24978"/>
    <cellStyle name="40% - Accent1 2 9 4 2 2 2" xfId="24979"/>
    <cellStyle name="40% - Accent1 2 9 4 2 2 2 2" xfId="24980"/>
    <cellStyle name="40% - Accent1 2 9 4 2 2 3" xfId="24981"/>
    <cellStyle name="40% - Accent1 2 9 4 2 3" xfId="24982"/>
    <cellStyle name="40% - Accent1 2 9 4 2 3 2" xfId="24983"/>
    <cellStyle name="40% - Accent1 2 9 4 2 4" xfId="24984"/>
    <cellStyle name="40% - Accent1 2 9 4 3" xfId="24985"/>
    <cellStyle name="40% - Accent1 2 9 4 3 2" xfId="24986"/>
    <cellStyle name="40% - Accent1 2 9 4 3 2 2" xfId="24987"/>
    <cellStyle name="40% - Accent1 2 9 4 3 3" xfId="24988"/>
    <cellStyle name="40% - Accent1 2 9 4 4" xfId="24989"/>
    <cellStyle name="40% - Accent1 2 9 4 4 2" xfId="24990"/>
    <cellStyle name="40% - Accent1 2 9 4 5" xfId="24991"/>
    <cellStyle name="40% - Accent1 2 9 5" xfId="24992"/>
    <cellStyle name="40% - Accent1 2 9 5 2" xfId="24993"/>
    <cellStyle name="40% - Accent1 2 9 5 2 2" xfId="24994"/>
    <cellStyle name="40% - Accent1 2 9 5 2 2 2" xfId="24995"/>
    <cellStyle name="40% - Accent1 2 9 5 2 2 2 2" xfId="24996"/>
    <cellStyle name="40% - Accent1 2 9 5 2 2 3" xfId="24997"/>
    <cellStyle name="40% - Accent1 2 9 5 2 3" xfId="24998"/>
    <cellStyle name="40% - Accent1 2 9 5 2 3 2" xfId="24999"/>
    <cellStyle name="40% - Accent1 2 9 5 2 4" xfId="25000"/>
    <cellStyle name="40% - Accent1 2 9 5 3" xfId="25001"/>
    <cellStyle name="40% - Accent1 2 9 5 3 2" xfId="25002"/>
    <cellStyle name="40% - Accent1 2 9 5 3 2 2" xfId="25003"/>
    <cellStyle name="40% - Accent1 2 9 5 3 3" xfId="25004"/>
    <cellStyle name="40% - Accent1 2 9 5 4" xfId="25005"/>
    <cellStyle name="40% - Accent1 2 9 5 4 2" xfId="25006"/>
    <cellStyle name="40% - Accent1 2 9 5 5" xfId="25007"/>
    <cellStyle name="40% - Accent1 2 9 6" xfId="25008"/>
    <cellStyle name="40% - Accent1 2 9 6 2" xfId="25009"/>
    <cellStyle name="40% - Accent1 2 9 6 2 2" xfId="25010"/>
    <cellStyle name="40% - Accent1 2 9 6 2 2 2" xfId="25011"/>
    <cellStyle name="40% - Accent1 2 9 6 2 2 2 2" xfId="25012"/>
    <cellStyle name="40% - Accent1 2 9 6 2 2 3" xfId="25013"/>
    <cellStyle name="40% - Accent1 2 9 6 2 3" xfId="25014"/>
    <cellStyle name="40% - Accent1 2 9 6 2 3 2" xfId="25015"/>
    <cellStyle name="40% - Accent1 2 9 6 2 4" xfId="25016"/>
    <cellStyle name="40% - Accent1 2 9 6 3" xfId="25017"/>
    <cellStyle name="40% - Accent1 2 9 6 3 2" xfId="25018"/>
    <cellStyle name="40% - Accent1 2 9 6 3 2 2" xfId="25019"/>
    <cellStyle name="40% - Accent1 2 9 6 3 3" xfId="25020"/>
    <cellStyle name="40% - Accent1 2 9 6 4" xfId="25021"/>
    <cellStyle name="40% - Accent1 2 9 6 4 2" xfId="25022"/>
    <cellStyle name="40% - Accent1 2 9 6 5" xfId="25023"/>
    <cellStyle name="40% - Accent1 2 9 7" xfId="25024"/>
    <cellStyle name="40% - Accent1 2 9 7 2" xfId="25025"/>
    <cellStyle name="40% - Accent1 2 9 7 2 2" xfId="25026"/>
    <cellStyle name="40% - Accent1 2 9 7 2 2 2" xfId="25027"/>
    <cellStyle name="40% - Accent1 2 9 7 2 2 2 2" xfId="25028"/>
    <cellStyle name="40% - Accent1 2 9 7 2 2 3" xfId="25029"/>
    <cellStyle name="40% - Accent1 2 9 7 2 3" xfId="25030"/>
    <cellStyle name="40% - Accent1 2 9 7 2 3 2" xfId="25031"/>
    <cellStyle name="40% - Accent1 2 9 7 2 4" xfId="25032"/>
    <cellStyle name="40% - Accent1 2 9 7 3" xfId="25033"/>
    <cellStyle name="40% - Accent1 2 9 7 3 2" xfId="25034"/>
    <cellStyle name="40% - Accent1 2 9 7 3 2 2" xfId="25035"/>
    <cellStyle name="40% - Accent1 2 9 7 3 3" xfId="25036"/>
    <cellStyle name="40% - Accent1 2 9 7 4" xfId="25037"/>
    <cellStyle name="40% - Accent1 2 9 7 4 2" xfId="25038"/>
    <cellStyle name="40% - Accent1 2 9 7 5" xfId="25039"/>
    <cellStyle name="40% - Accent1 2 9 8" xfId="25040"/>
    <cellStyle name="40% - Accent1 2 9 8 2" xfId="25041"/>
    <cellStyle name="40% - Accent1 2 9 8 2 2" xfId="25042"/>
    <cellStyle name="40% - Accent1 2 9 8 2 2 2" xfId="25043"/>
    <cellStyle name="40% - Accent1 2 9 8 2 3" xfId="25044"/>
    <cellStyle name="40% - Accent1 2 9 8 3" xfId="25045"/>
    <cellStyle name="40% - Accent1 2 9 8 3 2" xfId="25046"/>
    <cellStyle name="40% - Accent1 2 9 8 4" xfId="25047"/>
    <cellStyle name="40% - Accent1 2 9 9" xfId="25048"/>
    <cellStyle name="40% - Accent1 2 9 9 2" xfId="25049"/>
    <cellStyle name="40% - Accent1 2 9 9 2 2" xfId="25050"/>
    <cellStyle name="40% - Accent1 2 9 9 3" xfId="25051"/>
    <cellStyle name="40% - Accent1 20" xfId="25052"/>
    <cellStyle name="40% - Accent1 20 2" xfId="25053"/>
    <cellStyle name="40% - Accent1 20 2 2" xfId="25054"/>
    <cellStyle name="40% - Accent1 20 2 2 2" xfId="25055"/>
    <cellStyle name="40% - Accent1 20 2 2 2 2" xfId="25056"/>
    <cellStyle name="40% - Accent1 20 2 2 3" xfId="25057"/>
    <cellStyle name="40% - Accent1 20 2 3" xfId="25058"/>
    <cellStyle name="40% - Accent1 20 2 3 2" xfId="25059"/>
    <cellStyle name="40% - Accent1 20 2 4" xfId="25060"/>
    <cellStyle name="40% - Accent1 20 3" xfId="25061"/>
    <cellStyle name="40% - Accent1 20 3 2" xfId="25062"/>
    <cellStyle name="40% - Accent1 20 3 2 2" xfId="25063"/>
    <cellStyle name="40% - Accent1 20 3 3" xfId="25064"/>
    <cellStyle name="40% - Accent1 20 4" xfId="25065"/>
    <cellStyle name="40% - Accent1 20 4 2" xfId="25066"/>
    <cellStyle name="40% - Accent1 20 5" xfId="25067"/>
    <cellStyle name="40% - Accent1 21" xfId="25068"/>
    <cellStyle name="40% - Accent1 21 2" xfId="25069"/>
    <cellStyle name="40% - Accent1 21 2 2" xfId="25070"/>
    <cellStyle name="40% - Accent1 21 2 2 2" xfId="25071"/>
    <cellStyle name="40% - Accent1 21 2 3" xfId="25072"/>
    <cellStyle name="40% - Accent1 21 3" xfId="25073"/>
    <cellStyle name="40% - Accent1 21 3 2" xfId="25074"/>
    <cellStyle name="40% - Accent1 21 4" xfId="25075"/>
    <cellStyle name="40% - Accent1 22" xfId="25076"/>
    <cellStyle name="40% - Accent1 22 2" xfId="25077"/>
    <cellStyle name="40% - Accent1 22 2 2" xfId="25078"/>
    <cellStyle name="40% - Accent1 22 3" xfId="25079"/>
    <cellStyle name="40% - Accent1 23" xfId="25080"/>
    <cellStyle name="40% - Accent1 23 2" xfId="25081"/>
    <cellStyle name="40% - Accent1 24" xfId="25082"/>
    <cellStyle name="40% - Accent1 3" xfId="25083"/>
    <cellStyle name="40% - Accent1 3 10" xfId="25084"/>
    <cellStyle name="40% - Accent1 3 10 2" xfId="25085"/>
    <cellStyle name="40% - Accent1 3 11" xfId="25086"/>
    <cellStyle name="40% - Accent1 3 2" xfId="25087"/>
    <cellStyle name="40% - Accent1 3 2 10" xfId="25088"/>
    <cellStyle name="40% - Accent1 3 2 2" xfId="25089"/>
    <cellStyle name="40% - Accent1 3 2 2 2" xfId="25090"/>
    <cellStyle name="40% - Accent1 3 2 2 2 2" xfId="25091"/>
    <cellStyle name="40% - Accent1 3 2 2 2 2 2" xfId="25092"/>
    <cellStyle name="40% - Accent1 3 2 2 2 2 2 2" xfId="25093"/>
    <cellStyle name="40% - Accent1 3 2 2 2 2 3" xfId="25094"/>
    <cellStyle name="40% - Accent1 3 2 2 2 3" xfId="25095"/>
    <cellStyle name="40% - Accent1 3 2 2 2 3 2" xfId="25096"/>
    <cellStyle name="40% - Accent1 3 2 2 2 4" xfId="25097"/>
    <cellStyle name="40% - Accent1 3 2 2 3" xfId="25098"/>
    <cellStyle name="40% - Accent1 3 2 2 3 2" xfId="25099"/>
    <cellStyle name="40% - Accent1 3 2 2 3 2 2" xfId="25100"/>
    <cellStyle name="40% - Accent1 3 2 2 3 3" xfId="25101"/>
    <cellStyle name="40% - Accent1 3 2 2 4" xfId="25102"/>
    <cellStyle name="40% - Accent1 3 2 2 4 2" xfId="25103"/>
    <cellStyle name="40% - Accent1 3 2 2 5" xfId="25104"/>
    <cellStyle name="40% - Accent1 3 2 3" xfId="25105"/>
    <cellStyle name="40% - Accent1 3 2 3 2" xfId="25106"/>
    <cellStyle name="40% - Accent1 3 2 3 2 2" xfId="25107"/>
    <cellStyle name="40% - Accent1 3 2 3 2 2 2" xfId="25108"/>
    <cellStyle name="40% - Accent1 3 2 3 2 2 2 2" xfId="25109"/>
    <cellStyle name="40% - Accent1 3 2 3 2 2 3" xfId="25110"/>
    <cellStyle name="40% - Accent1 3 2 3 2 3" xfId="25111"/>
    <cellStyle name="40% - Accent1 3 2 3 2 3 2" xfId="25112"/>
    <cellStyle name="40% - Accent1 3 2 3 2 4" xfId="25113"/>
    <cellStyle name="40% - Accent1 3 2 3 3" xfId="25114"/>
    <cellStyle name="40% - Accent1 3 2 3 3 2" xfId="25115"/>
    <cellStyle name="40% - Accent1 3 2 3 3 2 2" xfId="25116"/>
    <cellStyle name="40% - Accent1 3 2 3 3 3" xfId="25117"/>
    <cellStyle name="40% - Accent1 3 2 3 4" xfId="25118"/>
    <cellStyle name="40% - Accent1 3 2 3 4 2" xfId="25119"/>
    <cellStyle name="40% - Accent1 3 2 3 5" xfId="25120"/>
    <cellStyle name="40% - Accent1 3 2 4" xfId="25121"/>
    <cellStyle name="40% - Accent1 3 2 4 2" xfId="25122"/>
    <cellStyle name="40% - Accent1 3 2 4 2 2" xfId="25123"/>
    <cellStyle name="40% - Accent1 3 2 4 2 2 2" xfId="25124"/>
    <cellStyle name="40% - Accent1 3 2 4 2 2 2 2" xfId="25125"/>
    <cellStyle name="40% - Accent1 3 2 4 2 2 3" xfId="25126"/>
    <cellStyle name="40% - Accent1 3 2 4 2 3" xfId="25127"/>
    <cellStyle name="40% - Accent1 3 2 4 2 3 2" xfId="25128"/>
    <cellStyle name="40% - Accent1 3 2 4 2 4" xfId="25129"/>
    <cellStyle name="40% - Accent1 3 2 4 3" xfId="25130"/>
    <cellStyle name="40% - Accent1 3 2 4 3 2" xfId="25131"/>
    <cellStyle name="40% - Accent1 3 2 4 3 2 2" xfId="25132"/>
    <cellStyle name="40% - Accent1 3 2 4 3 3" xfId="25133"/>
    <cellStyle name="40% - Accent1 3 2 4 4" xfId="25134"/>
    <cellStyle name="40% - Accent1 3 2 4 4 2" xfId="25135"/>
    <cellStyle name="40% - Accent1 3 2 4 5" xfId="25136"/>
    <cellStyle name="40% - Accent1 3 2 5" xfId="25137"/>
    <cellStyle name="40% - Accent1 3 2 5 2" xfId="25138"/>
    <cellStyle name="40% - Accent1 3 2 5 2 2" xfId="25139"/>
    <cellStyle name="40% - Accent1 3 2 5 2 2 2" xfId="25140"/>
    <cellStyle name="40% - Accent1 3 2 5 2 2 2 2" xfId="25141"/>
    <cellStyle name="40% - Accent1 3 2 5 2 2 3" xfId="25142"/>
    <cellStyle name="40% - Accent1 3 2 5 2 3" xfId="25143"/>
    <cellStyle name="40% - Accent1 3 2 5 2 3 2" xfId="25144"/>
    <cellStyle name="40% - Accent1 3 2 5 2 4" xfId="25145"/>
    <cellStyle name="40% - Accent1 3 2 5 3" xfId="25146"/>
    <cellStyle name="40% - Accent1 3 2 5 3 2" xfId="25147"/>
    <cellStyle name="40% - Accent1 3 2 5 3 2 2" xfId="25148"/>
    <cellStyle name="40% - Accent1 3 2 5 3 3" xfId="25149"/>
    <cellStyle name="40% - Accent1 3 2 5 4" xfId="25150"/>
    <cellStyle name="40% - Accent1 3 2 5 4 2" xfId="25151"/>
    <cellStyle name="40% - Accent1 3 2 5 5" xfId="25152"/>
    <cellStyle name="40% - Accent1 3 2 6" xfId="25153"/>
    <cellStyle name="40% - Accent1 3 2 6 2" xfId="25154"/>
    <cellStyle name="40% - Accent1 3 2 6 2 2" xfId="25155"/>
    <cellStyle name="40% - Accent1 3 2 6 2 2 2" xfId="25156"/>
    <cellStyle name="40% - Accent1 3 2 6 2 2 2 2" xfId="25157"/>
    <cellStyle name="40% - Accent1 3 2 6 2 2 3" xfId="25158"/>
    <cellStyle name="40% - Accent1 3 2 6 2 3" xfId="25159"/>
    <cellStyle name="40% - Accent1 3 2 6 2 3 2" xfId="25160"/>
    <cellStyle name="40% - Accent1 3 2 6 2 4" xfId="25161"/>
    <cellStyle name="40% - Accent1 3 2 6 3" xfId="25162"/>
    <cellStyle name="40% - Accent1 3 2 6 3 2" xfId="25163"/>
    <cellStyle name="40% - Accent1 3 2 6 3 2 2" xfId="25164"/>
    <cellStyle name="40% - Accent1 3 2 6 3 3" xfId="25165"/>
    <cellStyle name="40% - Accent1 3 2 6 4" xfId="25166"/>
    <cellStyle name="40% - Accent1 3 2 6 4 2" xfId="25167"/>
    <cellStyle name="40% - Accent1 3 2 6 5" xfId="25168"/>
    <cellStyle name="40% - Accent1 3 2 7" xfId="25169"/>
    <cellStyle name="40% - Accent1 3 2 7 2" xfId="25170"/>
    <cellStyle name="40% - Accent1 3 2 7 2 2" xfId="25171"/>
    <cellStyle name="40% - Accent1 3 2 7 2 2 2" xfId="25172"/>
    <cellStyle name="40% - Accent1 3 2 7 2 3" xfId="25173"/>
    <cellStyle name="40% - Accent1 3 2 7 3" xfId="25174"/>
    <cellStyle name="40% - Accent1 3 2 7 3 2" xfId="25175"/>
    <cellStyle name="40% - Accent1 3 2 7 4" xfId="25176"/>
    <cellStyle name="40% - Accent1 3 2 8" xfId="25177"/>
    <cellStyle name="40% - Accent1 3 2 8 2" xfId="25178"/>
    <cellStyle name="40% - Accent1 3 2 8 2 2" xfId="25179"/>
    <cellStyle name="40% - Accent1 3 2 8 3" xfId="25180"/>
    <cellStyle name="40% - Accent1 3 2 9" xfId="25181"/>
    <cellStyle name="40% - Accent1 3 2 9 2" xfId="25182"/>
    <cellStyle name="40% - Accent1 3 3" xfId="25183"/>
    <cellStyle name="40% - Accent1 3 3 2" xfId="25184"/>
    <cellStyle name="40% - Accent1 3 3 2 2" xfId="25185"/>
    <cellStyle name="40% - Accent1 3 3 2 2 2" xfId="25186"/>
    <cellStyle name="40% - Accent1 3 3 2 2 2 2" xfId="25187"/>
    <cellStyle name="40% - Accent1 3 3 2 2 3" xfId="25188"/>
    <cellStyle name="40% - Accent1 3 3 2 3" xfId="25189"/>
    <cellStyle name="40% - Accent1 3 3 2 3 2" xfId="25190"/>
    <cellStyle name="40% - Accent1 3 3 2 4" xfId="25191"/>
    <cellStyle name="40% - Accent1 3 3 3" xfId="25192"/>
    <cellStyle name="40% - Accent1 3 3 3 2" xfId="25193"/>
    <cellStyle name="40% - Accent1 3 3 3 2 2" xfId="25194"/>
    <cellStyle name="40% - Accent1 3 3 3 3" xfId="25195"/>
    <cellStyle name="40% - Accent1 3 3 4" xfId="25196"/>
    <cellStyle name="40% - Accent1 3 3 4 2" xfId="25197"/>
    <cellStyle name="40% - Accent1 3 3 5" xfId="25198"/>
    <cellStyle name="40% - Accent1 3 4" xfId="25199"/>
    <cellStyle name="40% - Accent1 3 4 2" xfId="25200"/>
    <cellStyle name="40% - Accent1 3 4 2 2" xfId="25201"/>
    <cellStyle name="40% - Accent1 3 4 2 2 2" xfId="25202"/>
    <cellStyle name="40% - Accent1 3 4 2 2 2 2" xfId="25203"/>
    <cellStyle name="40% - Accent1 3 4 2 2 3" xfId="25204"/>
    <cellStyle name="40% - Accent1 3 4 2 3" xfId="25205"/>
    <cellStyle name="40% - Accent1 3 4 2 3 2" xfId="25206"/>
    <cellStyle name="40% - Accent1 3 4 2 4" xfId="25207"/>
    <cellStyle name="40% - Accent1 3 4 3" xfId="25208"/>
    <cellStyle name="40% - Accent1 3 4 3 2" xfId="25209"/>
    <cellStyle name="40% - Accent1 3 4 3 2 2" xfId="25210"/>
    <cellStyle name="40% - Accent1 3 4 3 3" xfId="25211"/>
    <cellStyle name="40% - Accent1 3 4 4" xfId="25212"/>
    <cellStyle name="40% - Accent1 3 4 4 2" xfId="25213"/>
    <cellStyle name="40% - Accent1 3 4 5" xfId="25214"/>
    <cellStyle name="40% - Accent1 3 5" xfId="25215"/>
    <cellStyle name="40% - Accent1 3 5 2" xfId="25216"/>
    <cellStyle name="40% - Accent1 3 5 2 2" xfId="25217"/>
    <cellStyle name="40% - Accent1 3 5 2 2 2" xfId="25218"/>
    <cellStyle name="40% - Accent1 3 5 2 2 2 2" xfId="25219"/>
    <cellStyle name="40% - Accent1 3 5 2 2 3" xfId="25220"/>
    <cellStyle name="40% - Accent1 3 5 2 3" xfId="25221"/>
    <cellStyle name="40% - Accent1 3 5 2 3 2" xfId="25222"/>
    <cellStyle name="40% - Accent1 3 5 2 4" xfId="25223"/>
    <cellStyle name="40% - Accent1 3 5 3" xfId="25224"/>
    <cellStyle name="40% - Accent1 3 5 3 2" xfId="25225"/>
    <cellStyle name="40% - Accent1 3 5 3 2 2" xfId="25226"/>
    <cellStyle name="40% - Accent1 3 5 3 3" xfId="25227"/>
    <cellStyle name="40% - Accent1 3 5 4" xfId="25228"/>
    <cellStyle name="40% - Accent1 3 5 4 2" xfId="25229"/>
    <cellStyle name="40% - Accent1 3 5 5" xfId="25230"/>
    <cellStyle name="40% - Accent1 3 6" xfId="25231"/>
    <cellStyle name="40% - Accent1 3 6 2" xfId="25232"/>
    <cellStyle name="40% - Accent1 3 6 2 2" xfId="25233"/>
    <cellStyle name="40% - Accent1 3 6 2 2 2" xfId="25234"/>
    <cellStyle name="40% - Accent1 3 6 2 2 2 2" xfId="25235"/>
    <cellStyle name="40% - Accent1 3 6 2 2 3" xfId="25236"/>
    <cellStyle name="40% - Accent1 3 6 2 3" xfId="25237"/>
    <cellStyle name="40% - Accent1 3 6 2 3 2" xfId="25238"/>
    <cellStyle name="40% - Accent1 3 6 2 4" xfId="25239"/>
    <cellStyle name="40% - Accent1 3 6 3" xfId="25240"/>
    <cellStyle name="40% - Accent1 3 6 3 2" xfId="25241"/>
    <cellStyle name="40% - Accent1 3 6 3 2 2" xfId="25242"/>
    <cellStyle name="40% - Accent1 3 6 3 3" xfId="25243"/>
    <cellStyle name="40% - Accent1 3 6 4" xfId="25244"/>
    <cellStyle name="40% - Accent1 3 6 4 2" xfId="25245"/>
    <cellStyle name="40% - Accent1 3 6 5" xfId="25246"/>
    <cellStyle name="40% - Accent1 3 7" xfId="25247"/>
    <cellStyle name="40% - Accent1 3 7 2" xfId="25248"/>
    <cellStyle name="40% - Accent1 3 7 2 2" xfId="25249"/>
    <cellStyle name="40% - Accent1 3 7 2 2 2" xfId="25250"/>
    <cellStyle name="40% - Accent1 3 7 2 2 2 2" xfId="25251"/>
    <cellStyle name="40% - Accent1 3 7 2 2 3" xfId="25252"/>
    <cellStyle name="40% - Accent1 3 7 2 3" xfId="25253"/>
    <cellStyle name="40% - Accent1 3 7 2 3 2" xfId="25254"/>
    <cellStyle name="40% - Accent1 3 7 2 4" xfId="25255"/>
    <cellStyle name="40% - Accent1 3 7 3" xfId="25256"/>
    <cellStyle name="40% - Accent1 3 7 3 2" xfId="25257"/>
    <cellStyle name="40% - Accent1 3 7 3 2 2" xfId="25258"/>
    <cellStyle name="40% - Accent1 3 7 3 3" xfId="25259"/>
    <cellStyle name="40% - Accent1 3 7 4" xfId="25260"/>
    <cellStyle name="40% - Accent1 3 7 4 2" xfId="25261"/>
    <cellStyle name="40% - Accent1 3 7 5" xfId="25262"/>
    <cellStyle name="40% - Accent1 3 8" xfId="25263"/>
    <cellStyle name="40% - Accent1 3 8 2" xfId="25264"/>
    <cellStyle name="40% - Accent1 3 8 2 2" xfId="25265"/>
    <cellStyle name="40% - Accent1 3 8 2 2 2" xfId="25266"/>
    <cellStyle name="40% - Accent1 3 8 2 3" xfId="25267"/>
    <cellStyle name="40% - Accent1 3 8 3" xfId="25268"/>
    <cellStyle name="40% - Accent1 3 8 3 2" xfId="25269"/>
    <cellStyle name="40% - Accent1 3 8 4" xfId="25270"/>
    <cellStyle name="40% - Accent1 3 9" xfId="25271"/>
    <cellStyle name="40% - Accent1 3 9 2" xfId="25272"/>
    <cellStyle name="40% - Accent1 3 9 2 2" xfId="25273"/>
    <cellStyle name="40% - Accent1 3 9 3" xfId="25274"/>
    <cellStyle name="40% - Accent1 4" xfId="25275"/>
    <cellStyle name="40% - Accent1 4 10" xfId="25276"/>
    <cellStyle name="40% - Accent1 4 10 2" xfId="25277"/>
    <cellStyle name="40% - Accent1 4 11" xfId="25278"/>
    <cellStyle name="40% - Accent1 4 2" xfId="25279"/>
    <cellStyle name="40% - Accent1 4 2 10" xfId="25280"/>
    <cellStyle name="40% - Accent1 4 2 2" xfId="25281"/>
    <cellStyle name="40% - Accent1 4 2 2 2" xfId="25282"/>
    <cellStyle name="40% - Accent1 4 2 2 2 2" xfId="25283"/>
    <cellStyle name="40% - Accent1 4 2 2 2 2 2" xfId="25284"/>
    <cellStyle name="40% - Accent1 4 2 2 2 2 2 2" xfId="25285"/>
    <cellStyle name="40% - Accent1 4 2 2 2 2 3" xfId="25286"/>
    <cellStyle name="40% - Accent1 4 2 2 2 3" xfId="25287"/>
    <cellStyle name="40% - Accent1 4 2 2 2 3 2" xfId="25288"/>
    <cellStyle name="40% - Accent1 4 2 2 2 4" xfId="25289"/>
    <cellStyle name="40% - Accent1 4 2 2 3" xfId="25290"/>
    <cellStyle name="40% - Accent1 4 2 2 3 2" xfId="25291"/>
    <cellStyle name="40% - Accent1 4 2 2 3 2 2" xfId="25292"/>
    <cellStyle name="40% - Accent1 4 2 2 3 3" xfId="25293"/>
    <cellStyle name="40% - Accent1 4 2 2 4" xfId="25294"/>
    <cellStyle name="40% - Accent1 4 2 2 4 2" xfId="25295"/>
    <cellStyle name="40% - Accent1 4 2 2 5" xfId="25296"/>
    <cellStyle name="40% - Accent1 4 2 3" xfId="25297"/>
    <cellStyle name="40% - Accent1 4 2 3 2" xfId="25298"/>
    <cellStyle name="40% - Accent1 4 2 3 2 2" xfId="25299"/>
    <cellStyle name="40% - Accent1 4 2 3 2 2 2" xfId="25300"/>
    <cellStyle name="40% - Accent1 4 2 3 2 2 2 2" xfId="25301"/>
    <cellStyle name="40% - Accent1 4 2 3 2 2 3" xfId="25302"/>
    <cellStyle name="40% - Accent1 4 2 3 2 3" xfId="25303"/>
    <cellStyle name="40% - Accent1 4 2 3 2 3 2" xfId="25304"/>
    <cellStyle name="40% - Accent1 4 2 3 2 4" xfId="25305"/>
    <cellStyle name="40% - Accent1 4 2 3 3" xfId="25306"/>
    <cellStyle name="40% - Accent1 4 2 3 3 2" xfId="25307"/>
    <cellStyle name="40% - Accent1 4 2 3 3 2 2" xfId="25308"/>
    <cellStyle name="40% - Accent1 4 2 3 3 3" xfId="25309"/>
    <cellStyle name="40% - Accent1 4 2 3 4" xfId="25310"/>
    <cellStyle name="40% - Accent1 4 2 3 4 2" xfId="25311"/>
    <cellStyle name="40% - Accent1 4 2 3 5" xfId="25312"/>
    <cellStyle name="40% - Accent1 4 2 4" xfId="25313"/>
    <cellStyle name="40% - Accent1 4 2 4 2" xfId="25314"/>
    <cellStyle name="40% - Accent1 4 2 4 2 2" xfId="25315"/>
    <cellStyle name="40% - Accent1 4 2 4 2 2 2" xfId="25316"/>
    <cellStyle name="40% - Accent1 4 2 4 2 2 2 2" xfId="25317"/>
    <cellStyle name="40% - Accent1 4 2 4 2 2 3" xfId="25318"/>
    <cellStyle name="40% - Accent1 4 2 4 2 3" xfId="25319"/>
    <cellStyle name="40% - Accent1 4 2 4 2 3 2" xfId="25320"/>
    <cellStyle name="40% - Accent1 4 2 4 2 4" xfId="25321"/>
    <cellStyle name="40% - Accent1 4 2 4 3" xfId="25322"/>
    <cellStyle name="40% - Accent1 4 2 4 3 2" xfId="25323"/>
    <cellStyle name="40% - Accent1 4 2 4 3 2 2" xfId="25324"/>
    <cellStyle name="40% - Accent1 4 2 4 3 3" xfId="25325"/>
    <cellStyle name="40% - Accent1 4 2 4 4" xfId="25326"/>
    <cellStyle name="40% - Accent1 4 2 4 4 2" xfId="25327"/>
    <cellStyle name="40% - Accent1 4 2 4 5" xfId="25328"/>
    <cellStyle name="40% - Accent1 4 2 5" xfId="25329"/>
    <cellStyle name="40% - Accent1 4 2 5 2" xfId="25330"/>
    <cellStyle name="40% - Accent1 4 2 5 2 2" xfId="25331"/>
    <cellStyle name="40% - Accent1 4 2 5 2 2 2" xfId="25332"/>
    <cellStyle name="40% - Accent1 4 2 5 2 2 2 2" xfId="25333"/>
    <cellStyle name="40% - Accent1 4 2 5 2 2 3" xfId="25334"/>
    <cellStyle name="40% - Accent1 4 2 5 2 3" xfId="25335"/>
    <cellStyle name="40% - Accent1 4 2 5 2 3 2" xfId="25336"/>
    <cellStyle name="40% - Accent1 4 2 5 2 4" xfId="25337"/>
    <cellStyle name="40% - Accent1 4 2 5 3" xfId="25338"/>
    <cellStyle name="40% - Accent1 4 2 5 3 2" xfId="25339"/>
    <cellStyle name="40% - Accent1 4 2 5 3 2 2" xfId="25340"/>
    <cellStyle name="40% - Accent1 4 2 5 3 3" xfId="25341"/>
    <cellStyle name="40% - Accent1 4 2 5 4" xfId="25342"/>
    <cellStyle name="40% - Accent1 4 2 5 4 2" xfId="25343"/>
    <cellStyle name="40% - Accent1 4 2 5 5" xfId="25344"/>
    <cellStyle name="40% - Accent1 4 2 6" xfId="25345"/>
    <cellStyle name="40% - Accent1 4 2 6 2" xfId="25346"/>
    <cellStyle name="40% - Accent1 4 2 6 2 2" xfId="25347"/>
    <cellStyle name="40% - Accent1 4 2 6 2 2 2" xfId="25348"/>
    <cellStyle name="40% - Accent1 4 2 6 2 2 2 2" xfId="25349"/>
    <cellStyle name="40% - Accent1 4 2 6 2 2 3" xfId="25350"/>
    <cellStyle name="40% - Accent1 4 2 6 2 3" xfId="25351"/>
    <cellStyle name="40% - Accent1 4 2 6 2 3 2" xfId="25352"/>
    <cellStyle name="40% - Accent1 4 2 6 2 4" xfId="25353"/>
    <cellStyle name="40% - Accent1 4 2 6 3" xfId="25354"/>
    <cellStyle name="40% - Accent1 4 2 6 3 2" xfId="25355"/>
    <cellStyle name="40% - Accent1 4 2 6 3 2 2" xfId="25356"/>
    <cellStyle name="40% - Accent1 4 2 6 3 3" xfId="25357"/>
    <cellStyle name="40% - Accent1 4 2 6 4" xfId="25358"/>
    <cellStyle name="40% - Accent1 4 2 6 4 2" xfId="25359"/>
    <cellStyle name="40% - Accent1 4 2 6 5" xfId="25360"/>
    <cellStyle name="40% - Accent1 4 2 7" xfId="25361"/>
    <cellStyle name="40% - Accent1 4 2 7 2" xfId="25362"/>
    <cellStyle name="40% - Accent1 4 2 7 2 2" xfId="25363"/>
    <cellStyle name="40% - Accent1 4 2 7 2 2 2" xfId="25364"/>
    <cellStyle name="40% - Accent1 4 2 7 2 3" xfId="25365"/>
    <cellStyle name="40% - Accent1 4 2 7 3" xfId="25366"/>
    <cellStyle name="40% - Accent1 4 2 7 3 2" xfId="25367"/>
    <cellStyle name="40% - Accent1 4 2 7 4" xfId="25368"/>
    <cellStyle name="40% - Accent1 4 2 8" xfId="25369"/>
    <cellStyle name="40% - Accent1 4 2 8 2" xfId="25370"/>
    <cellStyle name="40% - Accent1 4 2 8 2 2" xfId="25371"/>
    <cellStyle name="40% - Accent1 4 2 8 3" xfId="25372"/>
    <cellStyle name="40% - Accent1 4 2 9" xfId="25373"/>
    <cellStyle name="40% - Accent1 4 2 9 2" xfId="25374"/>
    <cellStyle name="40% - Accent1 4 3" xfId="25375"/>
    <cellStyle name="40% - Accent1 4 3 2" xfId="25376"/>
    <cellStyle name="40% - Accent1 4 3 2 2" xfId="25377"/>
    <cellStyle name="40% - Accent1 4 3 2 2 2" xfId="25378"/>
    <cellStyle name="40% - Accent1 4 3 2 2 2 2" xfId="25379"/>
    <cellStyle name="40% - Accent1 4 3 2 2 3" xfId="25380"/>
    <cellStyle name="40% - Accent1 4 3 2 3" xfId="25381"/>
    <cellStyle name="40% - Accent1 4 3 2 3 2" xfId="25382"/>
    <cellStyle name="40% - Accent1 4 3 2 4" xfId="25383"/>
    <cellStyle name="40% - Accent1 4 3 3" xfId="25384"/>
    <cellStyle name="40% - Accent1 4 3 3 2" xfId="25385"/>
    <cellStyle name="40% - Accent1 4 3 3 2 2" xfId="25386"/>
    <cellStyle name="40% - Accent1 4 3 3 3" xfId="25387"/>
    <cellStyle name="40% - Accent1 4 3 4" xfId="25388"/>
    <cellStyle name="40% - Accent1 4 3 4 2" xfId="25389"/>
    <cellStyle name="40% - Accent1 4 3 5" xfId="25390"/>
    <cellStyle name="40% - Accent1 4 4" xfId="25391"/>
    <cellStyle name="40% - Accent1 4 4 2" xfId="25392"/>
    <cellStyle name="40% - Accent1 4 4 2 2" xfId="25393"/>
    <cellStyle name="40% - Accent1 4 4 2 2 2" xfId="25394"/>
    <cellStyle name="40% - Accent1 4 4 2 2 2 2" xfId="25395"/>
    <cellStyle name="40% - Accent1 4 4 2 2 3" xfId="25396"/>
    <cellStyle name="40% - Accent1 4 4 2 3" xfId="25397"/>
    <cellStyle name="40% - Accent1 4 4 2 3 2" xfId="25398"/>
    <cellStyle name="40% - Accent1 4 4 2 4" xfId="25399"/>
    <cellStyle name="40% - Accent1 4 4 3" xfId="25400"/>
    <cellStyle name="40% - Accent1 4 4 3 2" xfId="25401"/>
    <cellStyle name="40% - Accent1 4 4 3 2 2" xfId="25402"/>
    <cellStyle name="40% - Accent1 4 4 3 3" xfId="25403"/>
    <cellStyle name="40% - Accent1 4 4 4" xfId="25404"/>
    <cellStyle name="40% - Accent1 4 4 4 2" xfId="25405"/>
    <cellStyle name="40% - Accent1 4 4 5" xfId="25406"/>
    <cellStyle name="40% - Accent1 4 5" xfId="25407"/>
    <cellStyle name="40% - Accent1 4 5 2" xfId="25408"/>
    <cellStyle name="40% - Accent1 4 5 2 2" xfId="25409"/>
    <cellStyle name="40% - Accent1 4 5 2 2 2" xfId="25410"/>
    <cellStyle name="40% - Accent1 4 5 2 2 2 2" xfId="25411"/>
    <cellStyle name="40% - Accent1 4 5 2 2 3" xfId="25412"/>
    <cellStyle name="40% - Accent1 4 5 2 3" xfId="25413"/>
    <cellStyle name="40% - Accent1 4 5 2 3 2" xfId="25414"/>
    <cellStyle name="40% - Accent1 4 5 2 4" xfId="25415"/>
    <cellStyle name="40% - Accent1 4 5 3" xfId="25416"/>
    <cellStyle name="40% - Accent1 4 5 3 2" xfId="25417"/>
    <cellStyle name="40% - Accent1 4 5 3 2 2" xfId="25418"/>
    <cellStyle name="40% - Accent1 4 5 3 3" xfId="25419"/>
    <cellStyle name="40% - Accent1 4 5 4" xfId="25420"/>
    <cellStyle name="40% - Accent1 4 5 4 2" xfId="25421"/>
    <cellStyle name="40% - Accent1 4 5 5" xfId="25422"/>
    <cellStyle name="40% - Accent1 4 6" xfId="25423"/>
    <cellStyle name="40% - Accent1 4 6 2" xfId="25424"/>
    <cellStyle name="40% - Accent1 4 6 2 2" xfId="25425"/>
    <cellStyle name="40% - Accent1 4 6 2 2 2" xfId="25426"/>
    <cellStyle name="40% - Accent1 4 6 2 2 2 2" xfId="25427"/>
    <cellStyle name="40% - Accent1 4 6 2 2 3" xfId="25428"/>
    <cellStyle name="40% - Accent1 4 6 2 3" xfId="25429"/>
    <cellStyle name="40% - Accent1 4 6 2 3 2" xfId="25430"/>
    <cellStyle name="40% - Accent1 4 6 2 4" xfId="25431"/>
    <cellStyle name="40% - Accent1 4 6 3" xfId="25432"/>
    <cellStyle name="40% - Accent1 4 6 3 2" xfId="25433"/>
    <cellStyle name="40% - Accent1 4 6 3 2 2" xfId="25434"/>
    <cellStyle name="40% - Accent1 4 6 3 3" xfId="25435"/>
    <cellStyle name="40% - Accent1 4 6 4" xfId="25436"/>
    <cellStyle name="40% - Accent1 4 6 4 2" xfId="25437"/>
    <cellStyle name="40% - Accent1 4 6 5" xfId="25438"/>
    <cellStyle name="40% - Accent1 4 7" xfId="25439"/>
    <cellStyle name="40% - Accent1 4 7 2" xfId="25440"/>
    <cellStyle name="40% - Accent1 4 7 2 2" xfId="25441"/>
    <cellStyle name="40% - Accent1 4 7 2 2 2" xfId="25442"/>
    <cellStyle name="40% - Accent1 4 7 2 2 2 2" xfId="25443"/>
    <cellStyle name="40% - Accent1 4 7 2 2 3" xfId="25444"/>
    <cellStyle name="40% - Accent1 4 7 2 3" xfId="25445"/>
    <cellStyle name="40% - Accent1 4 7 2 3 2" xfId="25446"/>
    <cellStyle name="40% - Accent1 4 7 2 4" xfId="25447"/>
    <cellStyle name="40% - Accent1 4 7 3" xfId="25448"/>
    <cellStyle name="40% - Accent1 4 7 3 2" xfId="25449"/>
    <cellStyle name="40% - Accent1 4 7 3 2 2" xfId="25450"/>
    <cellStyle name="40% - Accent1 4 7 3 3" xfId="25451"/>
    <cellStyle name="40% - Accent1 4 7 4" xfId="25452"/>
    <cellStyle name="40% - Accent1 4 7 4 2" xfId="25453"/>
    <cellStyle name="40% - Accent1 4 7 5" xfId="25454"/>
    <cellStyle name="40% - Accent1 4 8" xfId="25455"/>
    <cellStyle name="40% - Accent1 4 8 2" xfId="25456"/>
    <cellStyle name="40% - Accent1 4 8 2 2" xfId="25457"/>
    <cellStyle name="40% - Accent1 4 8 2 2 2" xfId="25458"/>
    <cellStyle name="40% - Accent1 4 8 2 3" xfId="25459"/>
    <cellStyle name="40% - Accent1 4 8 3" xfId="25460"/>
    <cellStyle name="40% - Accent1 4 8 3 2" xfId="25461"/>
    <cellStyle name="40% - Accent1 4 8 4" xfId="25462"/>
    <cellStyle name="40% - Accent1 4 9" xfId="25463"/>
    <cellStyle name="40% - Accent1 4 9 2" xfId="25464"/>
    <cellStyle name="40% - Accent1 4 9 2 2" xfId="25465"/>
    <cellStyle name="40% - Accent1 4 9 3" xfId="25466"/>
    <cellStyle name="40% - Accent1 5" xfId="25467"/>
    <cellStyle name="40% - Accent1 5 10" xfId="25468"/>
    <cellStyle name="40% - Accent1 5 10 2" xfId="25469"/>
    <cellStyle name="40% - Accent1 5 11" xfId="25470"/>
    <cellStyle name="40% - Accent1 5 2" xfId="25471"/>
    <cellStyle name="40% - Accent1 5 2 10" xfId="25472"/>
    <cellStyle name="40% - Accent1 5 2 2" xfId="25473"/>
    <cellStyle name="40% - Accent1 5 2 2 2" xfId="25474"/>
    <cellStyle name="40% - Accent1 5 2 2 2 2" xfId="25475"/>
    <cellStyle name="40% - Accent1 5 2 2 2 2 2" xfId="25476"/>
    <cellStyle name="40% - Accent1 5 2 2 2 2 2 2" xfId="25477"/>
    <cellStyle name="40% - Accent1 5 2 2 2 2 3" xfId="25478"/>
    <cellStyle name="40% - Accent1 5 2 2 2 3" xfId="25479"/>
    <cellStyle name="40% - Accent1 5 2 2 2 3 2" xfId="25480"/>
    <cellStyle name="40% - Accent1 5 2 2 2 4" xfId="25481"/>
    <cellStyle name="40% - Accent1 5 2 2 3" xfId="25482"/>
    <cellStyle name="40% - Accent1 5 2 2 3 2" xfId="25483"/>
    <cellStyle name="40% - Accent1 5 2 2 3 2 2" xfId="25484"/>
    <cellStyle name="40% - Accent1 5 2 2 3 3" xfId="25485"/>
    <cellStyle name="40% - Accent1 5 2 2 4" xfId="25486"/>
    <cellStyle name="40% - Accent1 5 2 2 4 2" xfId="25487"/>
    <cellStyle name="40% - Accent1 5 2 2 5" xfId="25488"/>
    <cellStyle name="40% - Accent1 5 2 3" xfId="25489"/>
    <cellStyle name="40% - Accent1 5 2 3 2" xfId="25490"/>
    <cellStyle name="40% - Accent1 5 2 3 2 2" xfId="25491"/>
    <cellStyle name="40% - Accent1 5 2 3 2 2 2" xfId="25492"/>
    <cellStyle name="40% - Accent1 5 2 3 2 2 2 2" xfId="25493"/>
    <cellStyle name="40% - Accent1 5 2 3 2 2 3" xfId="25494"/>
    <cellStyle name="40% - Accent1 5 2 3 2 3" xfId="25495"/>
    <cellStyle name="40% - Accent1 5 2 3 2 3 2" xfId="25496"/>
    <cellStyle name="40% - Accent1 5 2 3 2 4" xfId="25497"/>
    <cellStyle name="40% - Accent1 5 2 3 3" xfId="25498"/>
    <cellStyle name="40% - Accent1 5 2 3 3 2" xfId="25499"/>
    <cellStyle name="40% - Accent1 5 2 3 3 2 2" xfId="25500"/>
    <cellStyle name="40% - Accent1 5 2 3 3 3" xfId="25501"/>
    <cellStyle name="40% - Accent1 5 2 3 4" xfId="25502"/>
    <cellStyle name="40% - Accent1 5 2 3 4 2" xfId="25503"/>
    <cellStyle name="40% - Accent1 5 2 3 5" xfId="25504"/>
    <cellStyle name="40% - Accent1 5 2 4" xfId="25505"/>
    <cellStyle name="40% - Accent1 5 2 4 2" xfId="25506"/>
    <cellStyle name="40% - Accent1 5 2 4 2 2" xfId="25507"/>
    <cellStyle name="40% - Accent1 5 2 4 2 2 2" xfId="25508"/>
    <cellStyle name="40% - Accent1 5 2 4 2 2 2 2" xfId="25509"/>
    <cellStyle name="40% - Accent1 5 2 4 2 2 3" xfId="25510"/>
    <cellStyle name="40% - Accent1 5 2 4 2 3" xfId="25511"/>
    <cellStyle name="40% - Accent1 5 2 4 2 3 2" xfId="25512"/>
    <cellStyle name="40% - Accent1 5 2 4 2 4" xfId="25513"/>
    <cellStyle name="40% - Accent1 5 2 4 3" xfId="25514"/>
    <cellStyle name="40% - Accent1 5 2 4 3 2" xfId="25515"/>
    <cellStyle name="40% - Accent1 5 2 4 3 2 2" xfId="25516"/>
    <cellStyle name="40% - Accent1 5 2 4 3 3" xfId="25517"/>
    <cellStyle name="40% - Accent1 5 2 4 4" xfId="25518"/>
    <cellStyle name="40% - Accent1 5 2 4 4 2" xfId="25519"/>
    <cellStyle name="40% - Accent1 5 2 4 5" xfId="25520"/>
    <cellStyle name="40% - Accent1 5 2 5" xfId="25521"/>
    <cellStyle name="40% - Accent1 5 2 5 2" xfId="25522"/>
    <cellStyle name="40% - Accent1 5 2 5 2 2" xfId="25523"/>
    <cellStyle name="40% - Accent1 5 2 5 2 2 2" xfId="25524"/>
    <cellStyle name="40% - Accent1 5 2 5 2 2 2 2" xfId="25525"/>
    <cellStyle name="40% - Accent1 5 2 5 2 2 3" xfId="25526"/>
    <cellStyle name="40% - Accent1 5 2 5 2 3" xfId="25527"/>
    <cellStyle name="40% - Accent1 5 2 5 2 3 2" xfId="25528"/>
    <cellStyle name="40% - Accent1 5 2 5 2 4" xfId="25529"/>
    <cellStyle name="40% - Accent1 5 2 5 3" xfId="25530"/>
    <cellStyle name="40% - Accent1 5 2 5 3 2" xfId="25531"/>
    <cellStyle name="40% - Accent1 5 2 5 3 2 2" xfId="25532"/>
    <cellStyle name="40% - Accent1 5 2 5 3 3" xfId="25533"/>
    <cellStyle name="40% - Accent1 5 2 5 4" xfId="25534"/>
    <cellStyle name="40% - Accent1 5 2 5 4 2" xfId="25535"/>
    <cellStyle name="40% - Accent1 5 2 5 5" xfId="25536"/>
    <cellStyle name="40% - Accent1 5 2 6" xfId="25537"/>
    <cellStyle name="40% - Accent1 5 2 6 2" xfId="25538"/>
    <cellStyle name="40% - Accent1 5 2 6 2 2" xfId="25539"/>
    <cellStyle name="40% - Accent1 5 2 6 2 2 2" xfId="25540"/>
    <cellStyle name="40% - Accent1 5 2 6 2 2 2 2" xfId="25541"/>
    <cellStyle name="40% - Accent1 5 2 6 2 2 3" xfId="25542"/>
    <cellStyle name="40% - Accent1 5 2 6 2 3" xfId="25543"/>
    <cellStyle name="40% - Accent1 5 2 6 2 3 2" xfId="25544"/>
    <cellStyle name="40% - Accent1 5 2 6 2 4" xfId="25545"/>
    <cellStyle name="40% - Accent1 5 2 6 3" xfId="25546"/>
    <cellStyle name="40% - Accent1 5 2 6 3 2" xfId="25547"/>
    <cellStyle name="40% - Accent1 5 2 6 3 2 2" xfId="25548"/>
    <cellStyle name="40% - Accent1 5 2 6 3 3" xfId="25549"/>
    <cellStyle name="40% - Accent1 5 2 6 4" xfId="25550"/>
    <cellStyle name="40% - Accent1 5 2 6 4 2" xfId="25551"/>
    <cellStyle name="40% - Accent1 5 2 6 5" xfId="25552"/>
    <cellStyle name="40% - Accent1 5 2 7" xfId="25553"/>
    <cellStyle name="40% - Accent1 5 2 7 2" xfId="25554"/>
    <cellStyle name="40% - Accent1 5 2 7 2 2" xfId="25555"/>
    <cellStyle name="40% - Accent1 5 2 7 2 2 2" xfId="25556"/>
    <cellStyle name="40% - Accent1 5 2 7 2 3" xfId="25557"/>
    <cellStyle name="40% - Accent1 5 2 7 3" xfId="25558"/>
    <cellStyle name="40% - Accent1 5 2 7 3 2" xfId="25559"/>
    <cellStyle name="40% - Accent1 5 2 7 4" xfId="25560"/>
    <cellStyle name="40% - Accent1 5 2 8" xfId="25561"/>
    <cellStyle name="40% - Accent1 5 2 8 2" xfId="25562"/>
    <cellStyle name="40% - Accent1 5 2 8 2 2" xfId="25563"/>
    <cellStyle name="40% - Accent1 5 2 8 3" xfId="25564"/>
    <cellStyle name="40% - Accent1 5 2 9" xfId="25565"/>
    <cellStyle name="40% - Accent1 5 2 9 2" xfId="25566"/>
    <cellStyle name="40% - Accent1 5 3" xfId="25567"/>
    <cellStyle name="40% - Accent1 5 3 2" xfId="25568"/>
    <cellStyle name="40% - Accent1 5 3 2 2" xfId="25569"/>
    <cellStyle name="40% - Accent1 5 3 2 2 2" xfId="25570"/>
    <cellStyle name="40% - Accent1 5 3 2 2 2 2" xfId="25571"/>
    <cellStyle name="40% - Accent1 5 3 2 2 3" xfId="25572"/>
    <cellStyle name="40% - Accent1 5 3 2 3" xfId="25573"/>
    <cellStyle name="40% - Accent1 5 3 2 3 2" xfId="25574"/>
    <cellStyle name="40% - Accent1 5 3 2 4" xfId="25575"/>
    <cellStyle name="40% - Accent1 5 3 3" xfId="25576"/>
    <cellStyle name="40% - Accent1 5 3 3 2" xfId="25577"/>
    <cellStyle name="40% - Accent1 5 3 3 2 2" xfId="25578"/>
    <cellStyle name="40% - Accent1 5 3 3 3" xfId="25579"/>
    <cellStyle name="40% - Accent1 5 3 4" xfId="25580"/>
    <cellStyle name="40% - Accent1 5 3 4 2" xfId="25581"/>
    <cellStyle name="40% - Accent1 5 3 5" xfId="25582"/>
    <cellStyle name="40% - Accent1 5 4" xfId="25583"/>
    <cellStyle name="40% - Accent1 5 4 2" xfId="25584"/>
    <cellStyle name="40% - Accent1 5 4 2 2" xfId="25585"/>
    <cellStyle name="40% - Accent1 5 4 2 2 2" xfId="25586"/>
    <cellStyle name="40% - Accent1 5 4 2 2 2 2" xfId="25587"/>
    <cellStyle name="40% - Accent1 5 4 2 2 3" xfId="25588"/>
    <cellStyle name="40% - Accent1 5 4 2 3" xfId="25589"/>
    <cellStyle name="40% - Accent1 5 4 2 3 2" xfId="25590"/>
    <cellStyle name="40% - Accent1 5 4 2 4" xfId="25591"/>
    <cellStyle name="40% - Accent1 5 4 3" xfId="25592"/>
    <cellStyle name="40% - Accent1 5 4 3 2" xfId="25593"/>
    <cellStyle name="40% - Accent1 5 4 3 2 2" xfId="25594"/>
    <cellStyle name="40% - Accent1 5 4 3 3" xfId="25595"/>
    <cellStyle name="40% - Accent1 5 4 4" xfId="25596"/>
    <cellStyle name="40% - Accent1 5 4 4 2" xfId="25597"/>
    <cellStyle name="40% - Accent1 5 4 5" xfId="25598"/>
    <cellStyle name="40% - Accent1 5 5" xfId="25599"/>
    <cellStyle name="40% - Accent1 5 5 2" xfId="25600"/>
    <cellStyle name="40% - Accent1 5 5 2 2" xfId="25601"/>
    <cellStyle name="40% - Accent1 5 5 2 2 2" xfId="25602"/>
    <cellStyle name="40% - Accent1 5 5 2 2 2 2" xfId="25603"/>
    <cellStyle name="40% - Accent1 5 5 2 2 3" xfId="25604"/>
    <cellStyle name="40% - Accent1 5 5 2 3" xfId="25605"/>
    <cellStyle name="40% - Accent1 5 5 2 3 2" xfId="25606"/>
    <cellStyle name="40% - Accent1 5 5 2 4" xfId="25607"/>
    <cellStyle name="40% - Accent1 5 5 3" xfId="25608"/>
    <cellStyle name="40% - Accent1 5 5 3 2" xfId="25609"/>
    <cellStyle name="40% - Accent1 5 5 3 2 2" xfId="25610"/>
    <cellStyle name="40% - Accent1 5 5 3 3" xfId="25611"/>
    <cellStyle name="40% - Accent1 5 5 4" xfId="25612"/>
    <cellStyle name="40% - Accent1 5 5 4 2" xfId="25613"/>
    <cellStyle name="40% - Accent1 5 5 5" xfId="25614"/>
    <cellStyle name="40% - Accent1 5 6" xfId="25615"/>
    <cellStyle name="40% - Accent1 5 6 2" xfId="25616"/>
    <cellStyle name="40% - Accent1 5 6 2 2" xfId="25617"/>
    <cellStyle name="40% - Accent1 5 6 2 2 2" xfId="25618"/>
    <cellStyle name="40% - Accent1 5 6 2 2 2 2" xfId="25619"/>
    <cellStyle name="40% - Accent1 5 6 2 2 3" xfId="25620"/>
    <cellStyle name="40% - Accent1 5 6 2 3" xfId="25621"/>
    <cellStyle name="40% - Accent1 5 6 2 3 2" xfId="25622"/>
    <cellStyle name="40% - Accent1 5 6 2 4" xfId="25623"/>
    <cellStyle name="40% - Accent1 5 6 3" xfId="25624"/>
    <cellStyle name="40% - Accent1 5 6 3 2" xfId="25625"/>
    <cellStyle name="40% - Accent1 5 6 3 2 2" xfId="25626"/>
    <cellStyle name="40% - Accent1 5 6 3 3" xfId="25627"/>
    <cellStyle name="40% - Accent1 5 6 4" xfId="25628"/>
    <cellStyle name="40% - Accent1 5 6 4 2" xfId="25629"/>
    <cellStyle name="40% - Accent1 5 6 5" xfId="25630"/>
    <cellStyle name="40% - Accent1 5 7" xfId="25631"/>
    <cellStyle name="40% - Accent1 5 7 2" xfId="25632"/>
    <cellStyle name="40% - Accent1 5 7 2 2" xfId="25633"/>
    <cellStyle name="40% - Accent1 5 7 2 2 2" xfId="25634"/>
    <cellStyle name="40% - Accent1 5 7 2 2 2 2" xfId="25635"/>
    <cellStyle name="40% - Accent1 5 7 2 2 3" xfId="25636"/>
    <cellStyle name="40% - Accent1 5 7 2 3" xfId="25637"/>
    <cellStyle name="40% - Accent1 5 7 2 3 2" xfId="25638"/>
    <cellStyle name="40% - Accent1 5 7 2 4" xfId="25639"/>
    <cellStyle name="40% - Accent1 5 7 3" xfId="25640"/>
    <cellStyle name="40% - Accent1 5 7 3 2" xfId="25641"/>
    <cellStyle name="40% - Accent1 5 7 3 2 2" xfId="25642"/>
    <cellStyle name="40% - Accent1 5 7 3 3" xfId="25643"/>
    <cellStyle name="40% - Accent1 5 7 4" xfId="25644"/>
    <cellStyle name="40% - Accent1 5 7 4 2" xfId="25645"/>
    <cellStyle name="40% - Accent1 5 7 5" xfId="25646"/>
    <cellStyle name="40% - Accent1 5 8" xfId="25647"/>
    <cellStyle name="40% - Accent1 5 8 2" xfId="25648"/>
    <cellStyle name="40% - Accent1 5 8 2 2" xfId="25649"/>
    <cellStyle name="40% - Accent1 5 8 2 2 2" xfId="25650"/>
    <cellStyle name="40% - Accent1 5 8 2 3" xfId="25651"/>
    <cellStyle name="40% - Accent1 5 8 3" xfId="25652"/>
    <cellStyle name="40% - Accent1 5 8 3 2" xfId="25653"/>
    <cellStyle name="40% - Accent1 5 8 4" xfId="25654"/>
    <cellStyle name="40% - Accent1 5 9" xfId="25655"/>
    <cellStyle name="40% - Accent1 5 9 2" xfId="25656"/>
    <cellStyle name="40% - Accent1 5 9 2 2" xfId="25657"/>
    <cellStyle name="40% - Accent1 5 9 3" xfId="25658"/>
    <cellStyle name="40% - Accent1 6" xfId="25659"/>
    <cellStyle name="40% - Accent1 6 10" xfId="25660"/>
    <cellStyle name="40% - Accent1 6 10 2" xfId="25661"/>
    <cellStyle name="40% - Accent1 6 11" xfId="25662"/>
    <cellStyle name="40% - Accent1 6 2" xfId="25663"/>
    <cellStyle name="40% - Accent1 6 2 10" xfId="25664"/>
    <cellStyle name="40% - Accent1 6 2 2" xfId="25665"/>
    <cellStyle name="40% - Accent1 6 2 2 2" xfId="25666"/>
    <cellStyle name="40% - Accent1 6 2 2 2 2" xfId="25667"/>
    <cellStyle name="40% - Accent1 6 2 2 2 2 2" xfId="25668"/>
    <cellStyle name="40% - Accent1 6 2 2 2 2 2 2" xfId="25669"/>
    <cellStyle name="40% - Accent1 6 2 2 2 2 3" xfId="25670"/>
    <cellStyle name="40% - Accent1 6 2 2 2 3" xfId="25671"/>
    <cellStyle name="40% - Accent1 6 2 2 2 3 2" xfId="25672"/>
    <cellStyle name="40% - Accent1 6 2 2 2 4" xfId="25673"/>
    <cellStyle name="40% - Accent1 6 2 2 3" xfId="25674"/>
    <cellStyle name="40% - Accent1 6 2 2 3 2" xfId="25675"/>
    <cellStyle name="40% - Accent1 6 2 2 3 2 2" xfId="25676"/>
    <cellStyle name="40% - Accent1 6 2 2 3 3" xfId="25677"/>
    <cellStyle name="40% - Accent1 6 2 2 4" xfId="25678"/>
    <cellStyle name="40% - Accent1 6 2 2 4 2" xfId="25679"/>
    <cellStyle name="40% - Accent1 6 2 2 5" xfId="25680"/>
    <cellStyle name="40% - Accent1 6 2 3" xfId="25681"/>
    <cellStyle name="40% - Accent1 6 2 3 2" xfId="25682"/>
    <cellStyle name="40% - Accent1 6 2 3 2 2" xfId="25683"/>
    <cellStyle name="40% - Accent1 6 2 3 2 2 2" xfId="25684"/>
    <cellStyle name="40% - Accent1 6 2 3 2 2 2 2" xfId="25685"/>
    <cellStyle name="40% - Accent1 6 2 3 2 2 3" xfId="25686"/>
    <cellStyle name="40% - Accent1 6 2 3 2 3" xfId="25687"/>
    <cellStyle name="40% - Accent1 6 2 3 2 3 2" xfId="25688"/>
    <cellStyle name="40% - Accent1 6 2 3 2 4" xfId="25689"/>
    <cellStyle name="40% - Accent1 6 2 3 3" xfId="25690"/>
    <cellStyle name="40% - Accent1 6 2 3 3 2" xfId="25691"/>
    <cellStyle name="40% - Accent1 6 2 3 3 2 2" xfId="25692"/>
    <cellStyle name="40% - Accent1 6 2 3 3 3" xfId="25693"/>
    <cellStyle name="40% - Accent1 6 2 3 4" xfId="25694"/>
    <cellStyle name="40% - Accent1 6 2 3 4 2" xfId="25695"/>
    <cellStyle name="40% - Accent1 6 2 3 5" xfId="25696"/>
    <cellStyle name="40% - Accent1 6 2 4" xfId="25697"/>
    <cellStyle name="40% - Accent1 6 2 4 2" xfId="25698"/>
    <cellStyle name="40% - Accent1 6 2 4 2 2" xfId="25699"/>
    <cellStyle name="40% - Accent1 6 2 4 2 2 2" xfId="25700"/>
    <cellStyle name="40% - Accent1 6 2 4 2 2 2 2" xfId="25701"/>
    <cellStyle name="40% - Accent1 6 2 4 2 2 3" xfId="25702"/>
    <cellStyle name="40% - Accent1 6 2 4 2 3" xfId="25703"/>
    <cellStyle name="40% - Accent1 6 2 4 2 3 2" xfId="25704"/>
    <cellStyle name="40% - Accent1 6 2 4 2 4" xfId="25705"/>
    <cellStyle name="40% - Accent1 6 2 4 3" xfId="25706"/>
    <cellStyle name="40% - Accent1 6 2 4 3 2" xfId="25707"/>
    <cellStyle name="40% - Accent1 6 2 4 3 2 2" xfId="25708"/>
    <cellStyle name="40% - Accent1 6 2 4 3 3" xfId="25709"/>
    <cellStyle name="40% - Accent1 6 2 4 4" xfId="25710"/>
    <cellStyle name="40% - Accent1 6 2 4 4 2" xfId="25711"/>
    <cellStyle name="40% - Accent1 6 2 4 5" xfId="25712"/>
    <cellStyle name="40% - Accent1 6 2 5" xfId="25713"/>
    <cellStyle name="40% - Accent1 6 2 5 2" xfId="25714"/>
    <cellStyle name="40% - Accent1 6 2 5 2 2" xfId="25715"/>
    <cellStyle name="40% - Accent1 6 2 5 2 2 2" xfId="25716"/>
    <cellStyle name="40% - Accent1 6 2 5 2 2 2 2" xfId="25717"/>
    <cellStyle name="40% - Accent1 6 2 5 2 2 3" xfId="25718"/>
    <cellStyle name="40% - Accent1 6 2 5 2 3" xfId="25719"/>
    <cellStyle name="40% - Accent1 6 2 5 2 3 2" xfId="25720"/>
    <cellStyle name="40% - Accent1 6 2 5 2 4" xfId="25721"/>
    <cellStyle name="40% - Accent1 6 2 5 3" xfId="25722"/>
    <cellStyle name="40% - Accent1 6 2 5 3 2" xfId="25723"/>
    <cellStyle name="40% - Accent1 6 2 5 3 2 2" xfId="25724"/>
    <cellStyle name="40% - Accent1 6 2 5 3 3" xfId="25725"/>
    <cellStyle name="40% - Accent1 6 2 5 4" xfId="25726"/>
    <cellStyle name="40% - Accent1 6 2 5 4 2" xfId="25727"/>
    <cellStyle name="40% - Accent1 6 2 5 5" xfId="25728"/>
    <cellStyle name="40% - Accent1 6 2 6" xfId="25729"/>
    <cellStyle name="40% - Accent1 6 2 6 2" xfId="25730"/>
    <cellStyle name="40% - Accent1 6 2 6 2 2" xfId="25731"/>
    <cellStyle name="40% - Accent1 6 2 6 2 2 2" xfId="25732"/>
    <cellStyle name="40% - Accent1 6 2 6 2 2 2 2" xfId="25733"/>
    <cellStyle name="40% - Accent1 6 2 6 2 2 3" xfId="25734"/>
    <cellStyle name="40% - Accent1 6 2 6 2 3" xfId="25735"/>
    <cellStyle name="40% - Accent1 6 2 6 2 3 2" xfId="25736"/>
    <cellStyle name="40% - Accent1 6 2 6 2 4" xfId="25737"/>
    <cellStyle name="40% - Accent1 6 2 6 3" xfId="25738"/>
    <cellStyle name="40% - Accent1 6 2 6 3 2" xfId="25739"/>
    <cellStyle name="40% - Accent1 6 2 6 3 2 2" xfId="25740"/>
    <cellStyle name="40% - Accent1 6 2 6 3 3" xfId="25741"/>
    <cellStyle name="40% - Accent1 6 2 6 4" xfId="25742"/>
    <cellStyle name="40% - Accent1 6 2 6 4 2" xfId="25743"/>
    <cellStyle name="40% - Accent1 6 2 6 5" xfId="25744"/>
    <cellStyle name="40% - Accent1 6 2 7" xfId="25745"/>
    <cellStyle name="40% - Accent1 6 2 7 2" xfId="25746"/>
    <cellStyle name="40% - Accent1 6 2 7 2 2" xfId="25747"/>
    <cellStyle name="40% - Accent1 6 2 7 2 2 2" xfId="25748"/>
    <cellStyle name="40% - Accent1 6 2 7 2 3" xfId="25749"/>
    <cellStyle name="40% - Accent1 6 2 7 3" xfId="25750"/>
    <cellStyle name="40% - Accent1 6 2 7 3 2" xfId="25751"/>
    <cellStyle name="40% - Accent1 6 2 7 4" xfId="25752"/>
    <cellStyle name="40% - Accent1 6 2 8" xfId="25753"/>
    <cellStyle name="40% - Accent1 6 2 8 2" xfId="25754"/>
    <cellStyle name="40% - Accent1 6 2 8 2 2" xfId="25755"/>
    <cellStyle name="40% - Accent1 6 2 8 3" xfId="25756"/>
    <cellStyle name="40% - Accent1 6 2 9" xfId="25757"/>
    <cellStyle name="40% - Accent1 6 2 9 2" xfId="25758"/>
    <cellStyle name="40% - Accent1 6 3" xfId="25759"/>
    <cellStyle name="40% - Accent1 6 3 2" xfId="25760"/>
    <cellStyle name="40% - Accent1 6 3 2 2" xfId="25761"/>
    <cellStyle name="40% - Accent1 6 3 2 2 2" xfId="25762"/>
    <cellStyle name="40% - Accent1 6 3 2 2 2 2" xfId="25763"/>
    <cellStyle name="40% - Accent1 6 3 2 2 3" xfId="25764"/>
    <cellStyle name="40% - Accent1 6 3 2 3" xfId="25765"/>
    <cellStyle name="40% - Accent1 6 3 2 3 2" xfId="25766"/>
    <cellStyle name="40% - Accent1 6 3 2 4" xfId="25767"/>
    <cellStyle name="40% - Accent1 6 3 3" xfId="25768"/>
    <cellStyle name="40% - Accent1 6 3 3 2" xfId="25769"/>
    <cellStyle name="40% - Accent1 6 3 3 2 2" xfId="25770"/>
    <cellStyle name="40% - Accent1 6 3 3 3" xfId="25771"/>
    <cellStyle name="40% - Accent1 6 3 4" xfId="25772"/>
    <cellStyle name="40% - Accent1 6 3 4 2" xfId="25773"/>
    <cellStyle name="40% - Accent1 6 3 5" xfId="25774"/>
    <cellStyle name="40% - Accent1 6 4" xfId="25775"/>
    <cellStyle name="40% - Accent1 6 4 2" xfId="25776"/>
    <cellStyle name="40% - Accent1 6 4 2 2" xfId="25777"/>
    <cellStyle name="40% - Accent1 6 4 2 2 2" xfId="25778"/>
    <cellStyle name="40% - Accent1 6 4 2 2 2 2" xfId="25779"/>
    <cellStyle name="40% - Accent1 6 4 2 2 3" xfId="25780"/>
    <cellStyle name="40% - Accent1 6 4 2 3" xfId="25781"/>
    <cellStyle name="40% - Accent1 6 4 2 3 2" xfId="25782"/>
    <cellStyle name="40% - Accent1 6 4 2 4" xfId="25783"/>
    <cellStyle name="40% - Accent1 6 4 3" xfId="25784"/>
    <cellStyle name="40% - Accent1 6 4 3 2" xfId="25785"/>
    <cellStyle name="40% - Accent1 6 4 3 2 2" xfId="25786"/>
    <cellStyle name="40% - Accent1 6 4 3 3" xfId="25787"/>
    <cellStyle name="40% - Accent1 6 4 4" xfId="25788"/>
    <cellStyle name="40% - Accent1 6 4 4 2" xfId="25789"/>
    <cellStyle name="40% - Accent1 6 4 5" xfId="25790"/>
    <cellStyle name="40% - Accent1 6 5" xfId="25791"/>
    <cellStyle name="40% - Accent1 6 5 2" xfId="25792"/>
    <cellStyle name="40% - Accent1 6 5 2 2" xfId="25793"/>
    <cellStyle name="40% - Accent1 6 5 2 2 2" xfId="25794"/>
    <cellStyle name="40% - Accent1 6 5 2 2 2 2" xfId="25795"/>
    <cellStyle name="40% - Accent1 6 5 2 2 3" xfId="25796"/>
    <cellStyle name="40% - Accent1 6 5 2 3" xfId="25797"/>
    <cellStyle name="40% - Accent1 6 5 2 3 2" xfId="25798"/>
    <cellStyle name="40% - Accent1 6 5 2 4" xfId="25799"/>
    <cellStyle name="40% - Accent1 6 5 3" xfId="25800"/>
    <cellStyle name="40% - Accent1 6 5 3 2" xfId="25801"/>
    <cellStyle name="40% - Accent1 6 5 3 2 2" xfId="25802"/>
    <cellStyle name="40% - Accent1 6 5 3 3" xfId="25803"/>
    <cellStyle name="40% - Accent1 6 5 4" xfId="25804"/>
    <cellStyle name="40% - Accent1 6 5 4 2" xfId="25805"/>
    <cellStyle name="40% - Accent1 6 5 5" xfId="25806"/>
    <cellStyle name="40% - Accent1 6 6" xfId="25807"/>
    <cellStyle name="40% - Accent1 6 6 2" xfId="25808"/>
    <cellStyle name="40% - Accent1 6 6 2 2" xfId="25809"/>
    <cellStyle name="40% - Accent1 6 6 2 2 2" xfId="25810"/>
    <cellStyle name="40% - Accent1 6 6 2 2 2 2" xfId="25811"/>
    <cellStyle name="40% - Accent1 6 6 2 2 3" xfId="25812"/>
    <cellStyle name="40% - Accent1 6 6 2 3" xfId="25813"/>
    <cellStyle name="40% - Accent1 6 6 2 3 2" xfId="25814"/>
    <cellStyle name="40% - Accent1 6 6 2 4" xfId="25815"/>
    <cellStyle name="40% - Accent1 6 6 3" xfId="25816"/>
    <cellStyle name="40% - Accent1 6 6 3 2" xfId="25817"/>
    <cellStyle name="40% - Accent1 6 6 3 2 2" xfId="25818"/>
    <cellStyle name="40% - Accent1 6 6 3 3" xfId="25819"/>
    <cellStyle name="40% - Accent1 6 6 4" xfId="25820"/>
    <cellStyle name="40% - Accent1 6 6 4 2" xfId="25821"/>
    <cellStyle name="40% - Accent1 6 6 5" xfId="25822"/>
    <cellStyle name="40% - Accent1 6 7" xfId="25823"/>
    <cellStyle name="40% - Accent1 6 7 2" xfId="25824"/>
    <cellStyle name="40% - Accent1 6 7 2 2" xfId="25825"/>
    <cellStyle name="40% - Accent1 6 7 2 2 2" xfId="25826"/>
    <cellStyle name="40% - Accent1 6 7 2 2 2 2" xfId="25827"/>
    <cellStyle name="40% - Accent1 6 7 2 2 3" xfId="25828"/>
    <cellStyle name="40% - Accent1 6 7 2 3" xfId="25829"/>
    <cellStyle name="40% - Accent1 6 7 2 3 2" xfId="25830"/>
    <cellStyle name="40% - Accent1 6 7 2 4" xfId="25831"/>
    <cellStyle name="40% - Accent1 6 7 3" xfId="25832"/>
    <cellStyle name="40% - Accent1 6 7 3 2" xfId="25833"/>
    <cellStyle name="40% - Accent1 6 7 3 2 2" xfId="25834"/>
    <cellStyle name="40% - Accent1 6 7 3 3" xfId="25835"/>
    <cellStyle name="40% - Accent1 6 7 4" xfId="25836"/>
    <cellStyle name="40% - Accent1 6 7 4 2" xfId="25837"/>
    <cellStyle name="40% - Accent1 6 7 5" xfId="25838"/>
    <cellStyle name="40% - Accent1 6 8" xfId="25839"/>
    <cellStyle name="40% - Accent1 6 8 2" xfId="25840"/>
    <cellStyle name="40% - Accent1 6 8 2 2" xfId="25841"/>
    <cellStyle name="40% - Accent1 6 8 2 2 2" xfId="25842"/>
    <cellStyle name="40% - Accent1 6 8 2 3" xfId="25843"/>
    <cellStyle name="40% - Accent1 6 8 3" xfId="25844"/>
    <cellStyle name="40% - Accent1 6 8 3 2" xfId="25845"/>
    <cellStyle name="40% - Accent1 6 8 4" xfId="25846"/>
    <cellStyle name="40% - Accent1 6 9" xfId="25847"/>
    <cellStyle name="40% - Accent1 6 9 2" xfId="25848"/>
    <cellStyle name="40% - Accent1 6 9 2 2" xfId="25849"/>
    <cellStyle name="40% - Accent1 6 9 3" xfId="25850"/>
    <cellStyle name="40% - Accent1 7" xfId="25851"/>
    <cellStyle name="40% - Accent1 7 10" xfId="25852"/>
    <cellStyle name="40% - Accent1 7 10 2" xfId="25853"/>
    <cellStyle name="40% - Accent1 7 11" xfId="25854"/>
    <cellStyle name="40% - Accent1 7 2" xfId="25855"/>
    <cellStyle name="40% - Accent1 7 2 10" xfId="25856"/>
    <cellStyle name="40% - Accent1 7 2 2" xfId="25857"/>
    <cellStyle name="40% - Accent1 7 2 2 2" xfId="25858"/>
    <cellStyle name="40% - Accent1 7 2 2 2 2" xfId="25859"/>
    <cellStyle name="40% - Accent1 7 2 2 2 2 2" xfId="25860"/>
    <cellStyle name="40% - Accent1 7 2 2 2 2 2 2" xfId="25861"/>
    <cellStyle name="40% - Accent1 7 2 2 2 2 3" xfId="25862"/>
    <cellStyle name="40% - Accent1 7 2 2 2 3" xfId="25863"/>
    <cellStyle name="40% - Accent1 7 2 2 2 3 2" xfId="25864"/>
    <cellStyle name="40% - Accent1 7 2 2 2 4" xfId="25865"/>
    <cellStyle name="40% - Accent1 7 2 2 3" xfId="25866"/>
    <cellStyle name="40% - Accent1 7 2 2 3 2" xfId="25867"/>
    <cellStyle name="40% - Accent1 7 2 2 3 2 2" xfId="25868"/>
    <cellStyle name="40% - Accent1 7 2 2 3 3" xfId="25869"/>
    <cellStyle name="40% - Accent1 7 2 2 4" xfId="25870"/>
    <cellStyle name="40% - Accent1 7 2 2 4 2" xfId="25871"/>
    <cellStyle name="40% - Accent1 7 2 2 5" xfId="25872"/>
    <cellStyle name="40% - Accent1 7 2 3" xfId="25873"/>
    <cellStyle name="40% - Accent1 7 2 3 2" xfId="25874"/>
    <cellStyle name="40% - Accent1 7 2 3 2 2" xfId="25875"/>
    <cellStyle name="40% - Accent1 7 2 3 2 2 2" xfId="25876"/>
    <cellStyle name="40% - Accent1 7 2 3 2 2 2 2" xfId="25877"/>
    <cellStyle name="40% - Accent1 7 2 3 2 2 3" xfId="25878"/>
    <cellStyle name="40% - Accent1 7 2 3 2 3" xfId="25879"/>
    <cellStyle name="40% - Accent1 7 2 3 2 3 2" xfId="25880"/>
    <cellStyle name="40% - Accent1 7 2 3 2 4" xfId="25881"/>
    <cellStyle name="40% - Accent1 7 2 3 3" xfId="25882"/>
    <cellStyle name="40% - Accent1 7 2 3 3 2" xfId="25883"/>
    <cellStyle name="40% - Accent1 7 2 3 3 2 2" xfId="25884"/>
    <cellStyle name="40% - Accent1 7 2 3 3 3" xfId="25885"/>
    <cellStyle name="40% - Accent1 7 2 3 4" xfId="25886"/>
    <cellStyle name="40% - Accent1 7 2 3 4 2" xfId="25887"/>
    <cellStyle name="40% - Accent1 7 2 3 5" xfId="25888"/>
    <cellStyle name="40% - Accent1 7 2 4" xfId="25889"/>
    <cellStyle name="40% - Accent1 7 2 4 2" xfId="25890"/>
    <cellStyle name="40% - Accent1 7 2 4 2 2" xfId="25891"/>
    <cellStyle name="40% - Accent1 7 2 4 2 2 2" xfId="25892"/>
    <cellStyle name="40% - Accent1 7 2 4 2 2 2 2" xfId="25893"/>
    <cellStyle name="40% - Accent1 7 2 4 2 2 3" xfId="25894"/>
    <cellStyle name="40% - Accent1 7 2 4 2 3" xfId="25895"/>
    <cellStyle name="40% - Accent1 7 2 4 2 3 2" xfId="25896"/>
    <cellStyle name="40% - Accent1 7 2 4 2 4" xfId="25897"/>
    <cellStyle name="40% - Accent1 7 2 4 3" xfId="25898"/>
    <cellStyle name="40% - Accent1 7 2 4 3 2" xfId="25899"/>
    <cellStyle name="40% - Accent1 7 2 4 3 2 2" xfId="25900"/>
    <cellStyle name="40% - Accent1 7 2 4 3 3" xfId="25901"/>
    <cellStyle name="40% - Accent1 7 2 4 4" xfId="25902"/>
    <cellStyle name="40% - Accent1 7 2 4 4 2" xfId="25903"/>
    <cellStyle name="40% - Accent1 7 2 4 5" xfId="25904"/>
    <cellStyle name="40% - Accent1 7 2 5" xfId="25905"/>
    <cellStyle name="40% - Accent1 7 2 5 2" xfId="25906"/>
    <cellStyle name="40% - Accent1 7 2 5 2 2" xfId="25907"/>
    <cellStyle name="40% - Accent1 7 2 5 2 2 2" xfId="25908"/>
    <cellStyle name="40% - Accent1 7 2 5 2 2 2 2" xfId="25909"/>
    <cellStyle name="40% - Accent1 7 2 5 2 2 3" xfId="25910"/>
    <cellStyle name="40% - Accent1 7 2 5 2 3" xfId="25911"/>
    <cellStyle name="40% - Accent1 7 2 5 2 3 2" xfId="25912"/>
    <cellStyle name="40% - Accent1 7 2 5 2 4" xfId="25913"/>
    <cellStyle name="40% - Accent1 7 2 5 3" xfId="25914"/>
    <cellStyle name="40% - Accent1 7 2 5 3 2" xfId="25915"/>
    <cellStyle name="40% - Accent1 7 2 5 3 2 2" xfId="25916"/>
    <cellStyle name="40% - Accent1 7 2 5 3 3" xfId="25917"/>
    <cellStyle name="40% - Accent1 7 2 5 4" xfId="25918"/>
    <cellStyle name="40% - Accent1 7 2 5 4 2" xfId="25919"/>
    <cellStyle name="40% - Accent1 7 2 5 5" xfId="25920"/>
    <cellStyle name="40% - Accent1 7 2 6" xfId="25921"/>
    <cellStyle name="40% - Accent1 7 2 6 2" xfId="25922"/>
    <cellStyle name="40% - Accent1 7 2 6 2 2" xfId="25923"/>
    <cellStyle name="40% - Accent1 7 2 6 2 2 2" xfId="25924"/>
    <cellStyle name="40% - Accent1 7 2 6 2 2 2 2" xfId="25925"/>
    <cellStyle name="40% - Accent1 7 2 6 2 2 3" xfId="25926"/>
    <cellStyle name="40% - Accent1 7 2 6 2 3" xfId="25927"/>
    <cellStyle name="40% - Accent1 7 2 6 2 3 2" xfId="25928"/>
    <cellStyle name="40% - Accent1 7 2 6 2 4" xfId="25929"/>
    <cellStyle name="40% - Accent1 7 2 6 3" xfId="25930"/>
    <cellStyle name="40% - Accent1 7 2 6 3 2" xfId="25931"/>
    <cellStyle name="40% - Accent1 7 2 6 3 2 2" xfId="25932"/>
    <cellStyle name="40% - Accent1 7 2 6 3 3" xfId="25933"/>
    <cellStyle name="40% - Accent1 7 2 6 4" xfId="25934"/>
    <cellStyle name="40% - Accent1 7 2 6 4 2" xfId="25935"/>
    <cellStyle name="40% - Accent1 7 2 6 5" xfId="25936"/>
    <cellStyle name="40% - Accent1 7 2 7" xfId="25937"/>
    <cellStyle name="40% - Accent1 7 2 7 2" xfId="25938"/>
    <cellStyle name="40% - Accent1 7 2 7 2 2" xfId="25939"/>
    <cellStyle name="40% - Accent1 7 2 7 2 2 2" xfId="25940"/>
    <cellStyle name="40% - Accent1 7 2 7 2 3" xfId="25941"/>
    <cellStyle name="40% - Accent1 7 2 7 3" xfId="25942"/>
    <cellStyle name="40% - Accent1 7 2 7 3 2" xfId="25943"/>
    <cellStyle name="40% - Accent1 7 2 7 4" xfId="25944"/>
    <cellStyle name="40% - Accent1 7 2 8" xfId="25945"/>
    <cellStyle name="40% - Accent1 7 2 8 2" xfId="25946"/>
    <cellStyle name="40% - Accent1 7 2 8 2 2" xfId="25947"/>
    <cellStyle name="40% - Accent1 7 2 8 3" xfId="25948"/>
    <cellStyle name="40% - Accent1 7 2 9" xfId="25949"/>
    <cellStyle name="40% - Accent1 7 2 9 2" xfId="25950"/>
    <cellStyle name="40% - Accent1 7 3" xfId="25951"/>
    <cellStyle name="40% - Accent1 7 3 2" xfId="25952"/>
    <cellStyle name="40% - Accent1 7 3 2 2" xfId="25953"/>
    <cellStyle name="40% - Accent1 7 3 2 2 2" xfId="25954"/>
    <cellStyle name="40% - Accent1 7 3 2 2 2 2" xfId="25955"/>
    <cellStyle name="40% - Accent1 7 3 2 2 3" xfId="25956"/>
    <cellStyle name="40% - Accent1 7 3 2 3" xfId="25957"/>
    <cellStyle name="40% - Accent1 7 3 2 3 2" xfId="25958"/>
    <cellStyle name="40% - Accent1 7 3 2 4" xfId="25959"/>
    <cellStyle name="40% - Accent1 7 3 3" xfId="25960"/>
    <cellStyle name="40% - Accent1 7 3 3 2" xfId="25961"/>
    <cellStyle name="40% - Accent1 7 3 3 2 2" xfId="25962"/>
    <cellStyle name="40% - Accent1 7 3 3 3" xfId="25963"/>
    <cellStyle name="40% - Accent1 7 3 4" xfId="25964"/>
    <cellStyle name="40% - Accent1 7 3 4 2" xfId="25965"/>
    <cellStyle name="40% - Accent1 7 3 5" xfId="25966"/>
    <cellStyle name="40% - Accent1 7 4" xfId="25967"/>
    <cellStyle name="40% - Accent1 7 4 2" xfId="25968"/>
    <cellStyle name="40% - Accent1 7 4 2 2" xfId="25969"/>
    <cellStyle name="40% - Accent1 7 4 2 2 2" xfId="25970"/>
    <cellStyle name="40% - Accent1 7 4 2 2 2 2" xfId="25971"/>
    <cellStyle name="40% - Accent1 7 4 2 2 3" xfId="25972"/>
    <cellStyle name="40% - Accent1 7 4 2 3" xfId="25973"/>
    <cellStyle name="40% - Accent1 7 4 2 3 2" xfId="25974"/>
    <cellStyle name="40% - Accent1 7 4 2 4" xfId="25975"/>
    <cellStyle name="40% - Accent1 7 4 3" xfId="25976"/>
    <cellStyle name="40% - Accent1 7 4 3 2" xfId="25977"/>
    <cellStyle name="40% - Accent1 7 4 3 2 2" xfId="25978"/>
    <cellStyle name="40% - Accent1 7 4 3 3" xfId="25979"/>
    <cellStyle name="40% - Accent1 7 4 4" xfId="25980"/>
    <cellStyle name="40% - Accent1 7 4 4 2" xfId="25981"/>
    <cellStyle name="40% - Accent1 7 4 5" xfId="25982"/>
    <cellStyle name="40% - Accent1 7 5" xfId="25983"/>
    <cellStyle name="40% - Accent1 7 5 2" xfId="25984"/>
    <cellStyle name="40% - Accent1 7 5 2 2" xfId="25985"/>
    <cellStyle name="40% - Accent1 7 5 2 2 2" xfId="25986"/>
    <cellStyle name="40% - Accent1 7 5 2 2 2 2" xfId="25987"/>
    <cellStyle name="40% - Accent1 7 5 2 2 3" xfId="25988"/>
    <cellStyle name="40% - Accent1 7 5 2 3" xfId="25989"/>
    <cellStyle name="40% - Accent1 7 5 2 3 2" xfId="25990"/>
    <cellStyle name="40% - Accent1 7 5 2 4" xfId="25991"/>
    <cellStyle name="40% - Accent1 7 5 3" xfId="25992"/>
    <cellStyle name="40% - Accent1 7 5 3 2" xfId="25993"/>
    <cellStyle name="40% - Accent1 7 5 3 2 2" xfId="25994"/>
    <cellStyle name="40% - Accent1 7 5 3 3" xfId="25995"/>
    <cellStyle name="40% - Accent1 7 5 4" xfId="25996"/>
    <cellStyle name="40% - Accent1 7 5 4 2" xfId="25997"/>
    <cellStyle name="40% - Accent1 7 5 5" xfId="25998"/>
    <cellStyle name="40% - Accent1 7 6" xfId="25999"/>
    <cellStyle name="40% - Accent1 7 6 2" xfId="26000"/>
    <cellStyle name="40% - Accent1 7 6 2 2" xfId="26001"/>
    <cellStyle name="40% - Accent1 7 6 2 2 2" xfId="26002"/>
    <cellStyle name="40% - Accent1 7 6 2 2 2 2" xfId="26003"/>
    <cellStyle name="40% - Accent1 7 6 2 2 3" xfId="26004"/>
    <cellStyle name="40% - Accent1 7 6 2 3" xfId="26005"/>
    <cellStyle name="40% - Accent1 7 6 2 3 2" xfId="26006"/>
    <cellStyle name="40% - Accent1 7 6 2 4" xfId="26007"/>
    <cellStyle name="40% - Accent1 7 6 3" xfId="26008"/>
    <cellStyle name="40% - Accent1 7 6 3 2" xfId="26009"/>
    <cellStyle name="40% - Accent1 7 6 3 2 2" xfId="26010"/>
    <cellStyle name="40% - Accent1 7 6 3 3" xfId="26011"/>
    <cellStyle name="40% - Accent1 7 6 4" xfId="26012"/>
    <cellStyle name="40% - Accent1 7 6 4 2" xfId="26013"/>
    <cellStyle name="40% - Accent1 7 6 5" xfId="26014"/>
    <cellStyle name="40% - Accent1 7 7" xfId="26015"/>
    <cellStyle name="40% - Accent1 7 7 2" xfId="26016"/>
    <cellStyle name="40% - Accent1 7 7 2 2" xfId="26017"/>
    <cellStyle name="40% - Accent1 7 7 2 2 2" xfId="26018"/>
    <cellStyle name="40% - Accent1 7 7 2 2 2 2" xfId="26019"/>
    <cellStyle name="40% - Accent1 7 7 2 2 3" xfId="26020"/>
    <cellStyle name="40% - Accent1 7 7 2 3" xfId="26021"/>
    <cellStyle name="40% - Accent1 7 7 2 3 2" xfId="26022"/>
    <cellStyle name="40% - Accent1 7 7 2 4" xfId="26023"/>
    <cellStyle name="40% - Accent1 7 7 3" xfId="26024"/>
    <cellStyle name="40% - Accent1 7 7 3 2" xfId="26025"/>
    <cellStyle name="40% - Accent1 7 7 3 2 2" xfId="26026"/>
    <cellStyle name="40% - Accent1 7 7 3 3" xfId="26027"/>
    <cellStyle name="40% - Accent1 7 7 4" xfId="26028"/>
    <cellStyle name="40% - Accent1 7 7 4 2" xfId="26029"/>
    <cellStyle name="40% - Accent1 7 7 5" xfId="26030"/>
    <cellStyle name="40% - Accent1 7 8" xfId="26031"/>
    <cellStyle name="40% - Accent1 7 8 2" xfId="26032"/>
    <cellStyle name="40% - Accent1 7 8 2 2" xfId="26033"/>
    <cellStyle name="40% - Accent1 7 8 2 2 2" xfId="26034"/>
    <cellStyle name="40% - Accent1 7 8 2 3" xfId="26035"/>
    <cellStyle name="40% - Accent1 7 8 3" xfId="26036"/>
    <cellStyle name="40% - Accent1 7 8 3 2" xfId="26037"/>
    <cellStyle name="40% - Accent1 7 8 4" xfId="26038"/>
    <cellStyle name="40% - Accent1 7 9" xfId="26039"/>
    <cellStyle name="40% - Accent1 7 9 2" xfId="26040"/>
    <cellStyle name="40% - Accent1 7 9 2 2" xfId="26041"/>
    <cellStyle name="40% - Accent1 7 9 3" xfId="26042"/>
    <cellStyle name="40% - Accent1 8" xfId="26043"/>
    <cellStyle name="40% - Accent1 8 10" xfId="26044"/>
    <cellStyle name="40% - Accent1 8 10 2" xfId="26045"/>
    <cellStyle name="40% - Accent1 8 11" xfId="26046"/>
    <cellStyle name="40% - Accent1 8 2" xfId="26047"/>
    <cellStyle name="40% - Accent1 8 2 10" xfId="26048"/>
    <cellStyle name="40% - Accent1 8 2 2" xfId="26049"/>
    <cellStyle name="40% - Accent1 8 2 2 2" xfId="26050"/>
    <cellStyle name="40% - Accent1 8 2 2 2 2" xfId="26051"/>
    <cellStyle name="40% - Accent1 8 2 2 2 2 2" xfId="26052"/>
    <cellStyle name="40% - Accent1 8 2 2 2 2 2 2" xfId="26053"/>
    <cellStyle name="40% - Accent1 8 2 2 2 2 3" xfId="26054"/>
    <cellStyle name="40% - Accent1 8 2 2 2 3" xfId="26055"/>
    <cellStyle name="40% - Accent1 8 2 2 2 3 2" xfId="26056"/>
    <cellStyle name="40% - Accent1 8 2 2 2 4" xfId="26057"/>
    <cellStyle name="40% - Accent1 8 2 2 3" xfId="26058"/>
    <cellStyle name="40% - Accent1 8 2 2 3 2" xfId="26059"/>
    <cellStyle name="40% - Accent1 8 2 2 3 2 2" xfId="26060"/>
    <cellStyle name="40% - Accent1 8 2 2 3 3" xfId="26061"/>
    <cellStyle name="40% - Accent1 8 2 2 4" xfId="26062"/>
    <cellStyle name="40% - Accent1 8 2 2 4 2" xfId="26063"/>
    <cellStyle name="40% - Accent1 8 2 2 5" xfId="26064"/>
    <cellStyle name="40% - Accent1 8 2 3" xfId="26065"/>
    <cellStyle name="40% - Accent1 8 2 3 2" xfId="26066"/>
    <cellStyle name="40% - Accent1 8 2 3 2 2" xfId="26067"/>
    <cellStyle name="40% - Accent1 8 2 3 2 2 2" xfId="26068"/>
    <cellStyle name="40% - Accent1 8 2 3 2 2 2 2" xfId="26069"/>
    <cellStyle name="40% - Accent1 8 2 3 2 2 3" xfId="26070"/>
    <cellStyle name="40% - Accent1 8 2 3 2 3" xfId="26071"/>
    <cellStyle name="40% - Accent1 8 2 3 2 3 2" xfId="26072"/>
    <cellStyle name="40% - Accent1 8 2 3 2 4" xfId="26073"/>
    <cellStyle name="40% - Accent1 8 2 3 3" xfId="26074"/>
    <cellStyle name="40% - Accent1 8 2 3 3 2" xfId="26075"/>
    <cellStyle name="40% - Accent1 8 2 3 3 2 2" xfId="26076"/>
    <cellStyle name="40% - Accent1 8 2 3 3 3" xfId="26077"/>
    <cellStyle name="40% - Accent1 8 2 3 4" xfId="26078"/>
    <cellStyle name="40% - Accent1 8 2 3 4 2" xfId="26079"/>
    <cellStyle name="40% - Accent1 8 2 3 5" xfId="26080"/>
    <cellStyle name="40% - Accent1 8 2 4" xfId="26081"/>
    <cellStyle name="40% - Accent1 8 2 4 2" xfId="26082"/>
    <cellStyle name="40% - Accent1 8 2 4 2 2" xfId="26083"/>
    <cellStyle name="40% - Accent1 8 2 4 2 2 2" xfId="26084"/>
    <cellStyle name="40% - Accent1 8 2 4 2 2 2 2" xfId="26085"/>
    <cellStyle name="40% - Accent1 8 2 4 2 2 3" xfId="26086"/>
    <cellStyle name="40% - Accent1 8 2 4 2 3" xfId="26087"/>
    <cellStyle name="40% - Accent1 8 2 4 2 3 2" xfId="26088"/>
    <cellStyle name="40% - Accent1 8 2 4 2 4" xfId="26089"/>
    <cellStyle name="40% - Accent1 8 2 4 3" xfId="26090"/>
    <cellStyle name="40% - Accent1 8 2 4 3 2" xfId="26091"/>
    <cellStyle name="40% - Accent1 8 2 4 3 2 2" xfId="26092"/>
    <cellStyle name="40% - Accent1 8 2 4 3 3" xfId="26093"/>
    <cellStyle name="40% - Accent1 8 2 4 4" xfId="26094"/>
    <cellStyle name="40% - Accent1 8 2 4 4 2" xfId="26095"/>
    <cellStyle name="40% - Accent1 8 2 4 5" xfId="26096"/>
    <cellStyle name="40% - Accent1 8 2 5" xfId="26097"/>
    <cellStyle name="40% - Accent1 8 2 5 2" xfId="26098"/>
    <cellStyle name="40% - Accent1 8 2 5 2 2" xfId="26099"/>
    <cellStyle name="40% - Accent1 8 2 5 2 2 2" xfId="26100"/>
    <cellStyle name="40% - Accent1 8 2 5 2 2 2 2" xfId="26101"/>
    <cellStyle name="40% - Accent1 8 2 5 2 2 3" xfId="26102"/>
    <cellStyle name="40% - Accent1 8 2 5 2 3" xfId="26103"/>
    <cellStyle name="40% - Accent1 8 2 5 2 3 2" xfId="26104"/>
    <cellStyle name="40% - Accent1 8 2 5 2 4" xfId="26105"/>
    <cellStyle name="40% - Accent1 8 2 5 3" xfId="26106"/>
    <cellStyle name="40% - Accent1 8 2 5 3 2" xfId="26107"/>
    <cellStyle name="40% - Accent1 8 2 5 3 2 2" xfId="26108"/>
    <cellStyle name="40% - Accent1 8 2 5 3 3" xfId="26109"/>
    <cellStyle name="40% - Accent1 8 2 5 4" xfId="26110"/>
    <cellStyle name="40% - Accent1 8 2 5 4 2" xfId="26111"/>
    <cellStyle name="40% - Accent1 8 2 5 5" xfId="26112"/>
    <cellStyle name="40% - Accent1 8 2 6" xfId="26113"/>
    <cellStyle name="40% - Accent1 8 2 6 2" xfId="26114"/>
    <cellStyle name="40% - Accent1 8 2 6 2 2" xfId="26115"/>
    <cellStyle name="40% - Accent1 8 2 6 2 2 2" xfId="26116"/>
    <cellStyle name="40% - Accent1 8 2 6 2 2 2 2" xfId="26117"/>
    <cellStyle name="40% - Accent1 8 2 6 2 2 3" xfId="26118"/>
    <cellStyle name="40% - Accent1 8 2 6 2 3" xfId="26119"/>
    <cellStyle name="40% - Accent1 8 2 6 2 3 2" xfId="26120"/>
    <cellStyle name="40% - Accent1 8 2 6 2 4" xfId="26121"/>
    <cellStyle name="40% - Accent1 8 2 6 3" xfId="26122"/>
    <cellStyle name="40% - Accent1 8 2 6 3 2" xfId="26123"/>
    <cellStyle name="40% - Accent1 8 2 6 3 2 2" xfId="26124"/>
    <cellStyle name="40% - Accent1 8 2 6 3 3" xfId="26125"/>
    <cellStyle name="40% - Accent1 8 2 6 4" xfId="26126"/>
    <cellStyle name="40% - Accent1 8 2 6 4 2" xfId="26127"/>
    <cellStyle name="40% - Accent1 8 2 6 5" xfId="26128"/>
    <cellStyle name="40% - Accent1 8 2 7" xfId="26129"/>
    <cellStyle name="40% - Accent1 8 2 7 2" xfId="26130"/>
    <cellStyle name="40% - Accent1 8 2 7 2 2" xfId="26131"/>
    <cellStyle name="40% - Accent1 8 2 7 2 2 2" xfId="26132"/>
    <cellStyle name="40% - Accent1 8 2 7 2 3" xfId="26133"/>
    <cellStyle name="40% - Accent1 8 2 7 3" xfId="26134"/>
    <cellStyle name="40% - Accent1 8 2 7 3 2" xfId="26135"/>
    <cellStyle name="40% - Accent1 8 2 7 4" xfId="26136"/>
    <cellStyle name="40% - Accent1 8 2 8" xfId="26137"/>
    <cellStyle name="40% - Accent1 8 2 8 2" xfId="26138"/>
    <cellStyle name="40% - Accent1 8 2 8 2 2" xfId="26139"/>
    <cellStyle name="40% - Accent1 8 2 8 3" xfId="26140"/>
    <cellStyle name="40% - Accent1 8 2 9" xfId="26141"/>
    <cellStyle name="40% - Accent1 8 2 9 2" xfId="26142"/>
    <cellStyle name="40% - Accent1 8 3" xfId="26143"/>
    <cellStyle name="40% - Accent1 8 3 2" xfId="26144"/>
    <cellStyle name="40% - Accent1 8 3 2 2" xfId="26145"/>
    <cellStyle name="40% - Accent1 8 3 2 2 2" xfId="26146"/>
    <cellStyle name="40% - Accent1 8 3 2 2 2 2" xfId="26147"/>
    <cellStyle name="40% - Accent1 8 3 2 2 3" xfId="26148"/>
    <cellStyle name="40% - Accent1 8 3 2 3" xfId="26149"/>
    <cellStyle name="40% - Accent1 8 3 2 3 2" xfId="26150"/>
    <cellStyle name="40% - Accent1 8 3 2 4" xfId="26151"/>
    <cellStyle name="40% - Accent1 8 3 3" xfId="26152"/>
    <cellStyle name="40% - Accent1 8 3 3 2" xfId="26153"/>
    <cellStyle name="40% - Accent1 8 3 3 2 2" xfId="26154"/>
    <cellStyle name="40% - Accent1 8 3 3 3" xfId="26155"/>
    <cellStyle name="40% - Accent1 8 3 4" xfId="26156"/>
    <cellStyle name="40% - Accent1 8 3 4 2" xfId="26157"/>
    <cellStyle name="40% - Accent1 8 3 5" xfId="26158"/>
    <cellStyle name="40% - Accent1 8 4" xfId="26159"/>
    <cellStyle name="40% - Accent1 8 4 2" xfId="26160"/>
    <cellStyle name="40% - Accent1 8 4 2 2" xfId="26161"/>
    <cellStyle name="40% - Accent1 8 4 2 2 2" xfId="26162"/>
    <cellStyle name="40% - Accent1 8 4 2 2 2 2" xfId="26163"/>
    <cellStyle name="40% - Accent1 8 4 2 2 3" xfId="26164"/>
    <cellStyle name="40% - Accent1 8 4 2 3" xfId="26165"/>
    <cellStyle name="40% - Accent1 8 4 2 3 2" xfId="26166"/>
    <cellStyle name="40% - Accent1 8 4 2 4" xfId="26167"/>
    <cellStyle name="40% - Accent1 8 4 3" xfId="26168"/>
    <cellStyle name="40% - Accent1 8 4 3 2" xfId="26169"/>
    <cellStyle name="40% - Accent1 8 4 3 2 2" xfId="26170"/>
    <cellStyle name="40% - Accent1 8 4 3 3" xfId="26171"/>
    <cellStyle name="40% - Accent1 8 4 4" xfId="26172"/>
    <cellStyle name="40% - Accent1 8 4 4 2" xfId="26173"/>
    <cellStyle name="40% - Accent1 8 4 5" xfId="26174"/>
    <cellStyle name="40% - Accent1 8 5" xfId="26175"/>
    <cellStyle name="40% - Accent1 8 5 2" xfId="26176"/>
    <cellStyle name="40% - Accent1 8 5 2 2" xfId="26177"/>
    <cellStyle name="40% - Accent1 8 5 2 2 2" xfId="26178"/>
    <cellStyle name="40% - Accent1 8 5 2 2 2 2" xfId="26179"/>
    <cellStyle name="40% - Accent1 8 5 2 2 3" xfId="26180"/>
    <cellStyle name="40% - Accent1 8 5 2 3" xfId="26181"/>
    <cellStyle name="40% - Accent1 8 5 2 3 2" xfId="26182"/>
    <cellStyle name="40% - Accent1 8 5 2 4" xfId="26183"/>
    <cellStyle name="40% - Accent1 8 5 3" xfId="26184"/>
    <cellStyle name="40% - Accent1 8 5 3 2" xfId="26185"/>
    <cellStyle name="40% - Accent1 8 5 3 2 2" xfId="26186"/>
    <cellStyle name="40% - Accent1 8 5 3 3" xfId="26187"/>
    <cellStyle name="40% - Accent1 8 5 4" xfId="26188"/>
    <cellStyle name="40% - Accent1 8 5 4 2" xfId="26189"/>
    <cellStyle name="40% - Accent1 8 5 5" xfId="26190"/>
    <cellStyle name="40% - Accent1 8 6" xfId="26191"/>
    <cellStyle name="40% - Accent1 8 6 2" xfId="26192"/>
    <cellStyle name="40% - Accent1 8 6 2 2" xfId="26193"/>
    <cellStyle name="40% - Accent1 8 6 2 2 2" xfId="26194"/>
    <cellStyle name="40% - Accent1 8 6 2 2 2 2" xfId="26195"/>
    <cellStyle name="40% - Accent1 8 6 2 2 3" xfId="26196"/>
    <cellStyle name="40% - Accent1 8 6 2 3" xfId="26197"/>
    <cellStyle name="40% - Accent1 8 6 2 3 2" xfId="26198"/>
    <cellStyle name="40% - Accent1 8 6 2 4" xfId="26199"/>
    <cellStyle name="40% - Accent1 8 6 3" xfId="26200"/>
    <cellStyle name="40% - Accent1 8 6 3 2" xfId="26201"/>
    <cellStyle name="40% - Accent1 8 6 3 2 2" xfId="26202"/>
    <cellStyle name="40% - Accent1 8 6 3 3" xfId="26203"/>
    <cellStyle name="40% - Accent1 8 6 4" xfId="26204"/>
    <cellStyle name="40% - Accent1 8 6 4 2" xfId="26205"/>
    <cellStyle name="40% - Accent1 8 6 5" xfId="26206"/>
    <cellStyle name="40% - Accent1 8 7" xfId="26207"/>
    <cellStyle name="40% - Accent1 8 7 2" xfId="26208"/>
    <cellStyle name="40% - Accent1 8 7 2 2" xfId="26209"/>
    <cellStyle name="40% - Accent1 8 7 2 2 2" xfId="26210"/>
    <cellStyle name="40% - Accent1 8 7 2 2 2 2" xfId="26211"/>
    <cellStyle name="40% - Accent1 8 7 2 2 3" xfId="26212"/>
    <cellStyle name="40% - Accent1 8 7 2 3" xfId="26213"/>
    <cellStyle name="40% - Accent1 8 7 2 3 2" xfId="26214"/>
    <cellStyle name="40% - Accent1 8 7 2 4" xfId="26215"/>
    <cellStyle name="40% - Accent1 8 7 3" xfId="26216"/>
    <cellStyle name="40% - Accent1 8 7 3 2" xfId="26217"/>
    <cellStyle name="40% - Accent1 8 7 3 2 2" xfId="26218"/>
    <cellStyle name="40% - Accent1 8 7 3 3" xfId="26219"/>
    <cellStyle name="40% - Accent1 8 7 4" xfId="26220"/>
    <cellStyle name="40% - Accent1 8 7 4 2" xfId="26221"/>
    <cellStyle name="40% - Accent1 8 7 5" xfId="26222"/>
    <cellStyle name="40% - Accent1 8 8" xfId="26223"/>
    <cellStyle name="40% - Accent1 8 8 2" xfId="26224"/>
    <cellStyle name="40% - Accent1 8 8 2 2" xfId="26225"/>
    <cellStyle name="40% - Accent1 8 8 2 2 2" xfId="26226"/>
    <cellStyle name="40% - Accent1 8 8 2 3" xfId="26227"/>
    <cellStyle name="40% - Accent1 8 8 3" xfId="26228"/>
    <cellStyle name="40% - Accent1 8 8 3 2" xfId="26229"/>
    <cellStyle name="40% - Accent1 8 8 4" xfId="26230"/>
    <cellStyle name="40% - Accent1 8 9" xfId="26231"/>
    <cellStyle name="40% - Accent1 8 9 2" xfId="26232"/>
    <cellStyle name="40% - Accent1 8 9 2 2" xfId="26233"/>
    <cellStyle name="40% - Accent1 8 9 3" xfId="26234"/>
    <cellStyle name="40% - Accent1 9" xfId="26235"/>
    <cellStyle name="40% - Accent1 9 10" xfId="26236"/>
    <cellStyle name="40% - Accent1 9 10 2" xfId="26237"/>
    <cellStyle name="40% - Accent1 9 11" xfId="26238"/>
    <cellStyle name="40% - Accent1 9 2" xfId="26239"/>
    <cellStyle name="40% - Accent1 9 2 10" xfId="26240"/>
    <cellStyle name="40% - Accent1 9 2 2" xfId="26241"/>
    <cellStyle name="40% - Accent1 9 2 2 2" xfId="26242"/>
    <cellStyle name="40% - Accent1 9 2 2 2 2" xfId="26243"/>
    <cellStyle name="40% - Accent1 9 2 2 2 2 2" xfId="26244"/>
    <cellStyle name="40% - Accent1 9 2 2 2 2 2 2" xfId="26245"/>
    <cellStyle name="40% - Accent1 9 2 2 2 2 3" xfId="26246"/>
    <cellStyle name="40% - Accent1 9 2 2 2 3" xfId="26247"/>
    <cellStyle name="40% - Accent1 9 2 2 2 3 2" xfId="26248"/>
    <cellStyle name="40% - Accent1 9 2 2 2 4" xfId="26249"/>
    <cellStyle name="40% - Accent1 9 2 2 3" xfId="26250"/>
    <cellStyle name="40% - Accent1 9 2 2 3 2" xfId="26251"/>
    <cellStyle name="40% - Accent1 9 2 2 3 2 2" xfId="26252"/>
    <cellStyle name="40% - Accent1 9 2 2 3 3" xfId="26253"/>
    <cellStyle name="40% - Accent1 9 2 2 4" xfId="26254"/>
    <cellStyle name="40% - Accent1 9 2 2 4 2" xfId="26255"/>
    <cellStyle name="40% - Accent1 9 2 2 5" xfId="26256"/>
    <cellStyle name="40% - Accent1 9 2 3" xfId="26257"/>
    <cellStyle name="40% - Accent1 9 2 3 2" xfId="26258"/>
    <cellStyle name="40% - Accent1 9 2 3 2 2" xfId="26259"/>
    <cellStyle name="40% - Accent1 9 2 3 2 2 2" xfId="26260"/>
    <cellStyle name="40% - Accent1 9 2 3 2 2 2 2" xfId="26261"/>
    <cellStyle name="40% - Accent1 9 2 3 2 2 3" xfId="26262"/>
    <cellStyle name="40% - Accent1 9 2 3 2 3" xfId="26263"/>
    <cellStyle name="40% - Accent1 9 2 3 2 3 2" xfId="26264"/>
    <cellStyle name="40% - Accent1 9 2 3 2 4" xfId="26265"/>
    <cellStyle name="40% - Accent1 9 2 3 3" xfId="26266"/>
    <cellStyle name="40% - Accent1 9 2 3 3 2" xfId="26267"/>
    <cellStyle name="40% - Accent1 9 2 3 3 2 2" xfId="26268"/>
    <cellStyle name="40% - Accent1 9 2 3 3 3" xfId="26269"/>
    <cellStyle name="40% - Accent1 9 2 3 4" xfId="26270"/>
    <cellStyle name="40% - Accent1 9 2 3 4 2" xfId="26271"/>
    <cellStyle name="40% - Accent1 9 2 3 5" xfId="26272"/>
    <cellStyle name="40% - Accent1 9 2 4" xfId="26273"/>
    <cellStyle name="40% - Accent1 9 2 4 2" xfId="26274"/>
    <cellStyle name="40% - Accent1 9 2 4 2 2" xfId="26275"/>
    <cellStyle name="40% - Accent1 9 2 4 2 2 2" xfId="26276"/>
    <cellStyle name="40% - Accent1 9 2 4 2 2 2 2" xfId="26277"/>
    <cellStyle name="40% - Accent1 9 2 4 2 2 3" xfId="26278"/>
    <cellStyle name="40% - Accent1 9 2 4 2 3" xfId="26279"/>
    <cellStyle name="40% - Accent1 9 2 4 2 3 2" xfId="26280"/>
    <cellStyle name="40% - Accent1 9 2 4 2 4" xfId="26281"/>
    <cellStyle name="40% - Accent1 9 2 4 3" xfId="26282"/>
    <cellStyle name="40% - Accent1 9 2 4 3 2" xfId="26283"/>
    <cellStyle name="40% - Accent1 9 2 4 3 2 2" xfId="26284"/>
    <cellStyle name="40% - Accent1 9 2 4 3 3" xfId="26285"/>
    <cellStyle name="40% - Accent1 9 2 4 4" xfId="26286"/>
    <cellStyle name="40% - Accent1 9 2 4 4 2" xfId="26287"/>
    <cellStyle name="40% - Accent1 9 2 4 5" xfId="26288"/>
    <cellStyle name="40% - Accent1 9 2 5" xfId="26289"/>
    <cellStyle name="40% - Accent1 9 2 5 2" xfId="26290"/>
    <cellStyle name="40% - Accent1 9 2 5 2 2" xfId="26291"/>
    <cellStyle name="40% - Accent1 9 2 5 2 2 2" xfId="26292"/>
    <cellStyle name="40% - Accent1 9 2 5 2 2 2 2" xfId="26293"/>
    <cellStyle name="40% - Accent1 9 2 5 2 2 3" xfId="26294"/>
    <cellStyle name="40% - Accent1 9 2 5 2 3" xfId="26295"/>
    <cellStyle name="40% - Accent1 9 2 5 2 3 2" xfId="26296"/>
    <cellStyle name="40% - Accent1 9 2 5 2 4" xfId="26297"/>
    <cellStyle name="40% - Accent1 9 2 5 3" xfId="26298"/>
    <cellStyle name="40% - Accent1 9 2 5 3 2" xfId="26299"/>
    <cellStyle name="40% - Accent1 9 2 5 3 2 2" xfId="26300"/>
    <cellStyle name="40% - Accent1 9 2 5 3 3" xfId="26301"/>
    <cellStyle name="40% - Accent1 9 2 5 4" xfId="26302"/>
    <cellStyle name="40% - Accent1 9 2 5 4 2" xfId="26303"/>
    <cellStyle name="40% - Accent1 9 2 5 5" xfId="26304"/>
    <cellStyle name="40% - Accent1 9 2 6" xfId="26305"/>
    <cellStyle name="40% - Accent1 9 2 6 2" xfId="26306"/>
    <cellStyle name="40% - Accent1 9 2 6 2 2" xfId="26307"/>
    <cellStyle name="40% - Accent1 9 2 6 2 2 2" xfId="26308"/>
    <cellStyle name="40% - Accent1 9 2 6 2 2 2 2" xfId="26309"/>
    <cellStyle name="40% - Accent1 9 2 6 2 2 3" xfId="26310"/>
    <cellStyle name="40% - Accent1 9 2 6 2 3" xfId="26311"/>
    <cellStyle name="40% - Accent1 9 2 6 2 3 2" xfId="26312"/>
    <cellStyle name="40% - Accent1 9 2 6 2 4" xfId="26313"/>
    <cellStyle name="40% - Accent1 9 2 6 3" xfId="26314"/>
    <cellStyle name="40% - Accent1 9 2 6 3 2" xfId="26315"/>
    <cellStyle name="40% - Accent1 9 2 6 3 2 2" xfId="26316"/>
    <cellStyle name="40% - Accent1 9 2 6 3 3" xfId="26317"/>
    <cellStyle name="40% - Accent1 9 2 6 4" xfId="26318"/>
    <cellStyle name="40% - Accent1 9 2 6 4 2" xfId="26319"/>
    <cellStyle name="40% - Accent1 9 2 6 5" xfId="26320"/>
    <cellStyle name="40% - Accent1 9 2 7" xfId="26321"/>
    <cellStyle name="40% - Accent1 9 2 7 2" xfId="26322"/>
    <cellStyle name="40% - Accent1 9 2 7 2 2" xfId="26323"/>
    <cellStyle name="40% - Accent1 9 2 7 2 2 2" xfId="26324"/>
    <cellStyle name="40% - Accent1 9 2 7 2 3" xfId="26325"/>
    <cellStyle name="40% - Accent1 9 2 7 3" xfId="26326"/>
    <cellStyle name="40% - Accent1 9 2 7 3 2" xfId="26327"/>
    <cellStyle name="40% - Accent1 9 2 7 4" xfId="26328"/>
    <cellStyle name="40% - Accent1 9 2 8" xfId="26329"/>
    <cellStyle name="40% - Accent1 9 2 8 2" xfId="26330"/>
    <cellStyle name="40% - Accent1 9 2 8 2 2" xfId="26331"/>
    <cellStyle name="40% - Accent1 9 2 8 3" xfId="26332"/>
    <cellStyle name="40% - Accent1 9 2 9" xfId="26333"/>
    <cellStyle name="40% - Accent1 9 2 9 2" xfId="26334"/>
    <cellStyle name="40% - Accent1 9 3" xfId="26335"/>
    <cellStyle name="40% - Accent1 9 3 2" xfId="26336"/>
    <cellStyle name="40% - Accent1 9 3 2 2" xfId="26337"/>
    <cellStyle name="40% - Accent1 9 3 2 2 2" xfId="26338"/>
    <cellStyle name="40% - Accent1 9 3 2 2 2 2" xfId="26339"/>
    <cellStyle name="40% - Accent1 9 3 2 2 3" xfId="26340"/>
    <cellStyle name="40% - Accent1 9 3 2 3" xfId="26341"/>
    <cellStyle name="40% - Accent1 9 3 2 3 2" xfId="26342"/>
    <cellStyle name="40% - Accent1 9 3 2 4" xfId="26343"/>
    <cellStyle name="40% - Accent1 9 3 3" xfId="26344"/>
    <cellStyle name="40% - Accent1 9 3 3 2" xfId="26345"/>
    <cellStyle name="40% - Accent1 9 3 3 2 2" xfId="26346"/>
    <cellStyle name="40% - Accent1 9 3 3 3" xfId="26347"/>
    <cellStyle name="40% - Accent1 9 3 4" xfId="26348"/>
    <cellStyle name="40% - Accent1 9 3 4 2" xfId="26349"/>
    <cellStyle name="40% - Accent1 9 3 5" xfId="26350"/>
    <cellStyle name="40% - Accent1 9 4" xfId="26351"/>
    <cellStyle name="40% - Accent1 9 4 2" xfId="26352"/>
    <cellStyle name="40% - Accent1 9 4 2 2" xfId="26353"/>
    <cellStyle name="40% - Accent1 9 4 2 2 2" xfId="26354"/>
    <cellStyle name="40% - Accent1 9 4 2 2 2 2" xfId="26355"/>
    <cellStyle name="40% - Accent1 9 4 2 2 3" xfId="26356"/>
    <cellStyle name="40% - Accent1 9 4 2 3" xfId="26357"/>
    <cellStyle name="40% - Accent1 9 4 2 3 2" xfId="26358"/>
    <cellStyle name="40% - Accent1 9 4 2 4" xfId="26359"/>
    <cellStyle name="40% - Accent1 9 4 3" xfId="26360"/>
    <cellStyle name="40% - Accent1 9 4 3 2" xfId="26361"/>
    <cellStyle name="40% - Accent1 9 4 3 2 2" xfId="26362"/>
    <cellStyle name="40% - Accent1 9 4 3 3" xfId="26363"/>
    <cellStyle name="40% - Accent1 9 4 4" xfId="26364"/>
    <cellStyle name="40% - Accent1 9 4 4 2" xfId="26365"/>
    <cellStyle name="40% - Accent1 9 4 5" xfId="26366"/>
    <cellStyle name="40% - Accent1 9 5" xfId="26367"/>
    <cellStyle name="40% - Accent1 9 5 2" xfId="26368"/>
    <cellStyle name="40% - Accent1 9 5 2 2" xfId="26369"/>
    <cellStyle name="40% - Accent1 9 5 2 2 2" xfId="26370"/>
    <cellStyle name="40% - Accent1 9 5 2 2 2 2" xfId="26371"/>
    <cellStyle name="40% - Accent1 9 5 2 2 3" xfId="26372"/>
    <cellStyle name="40% - Accent1 9 5 2 3" xfId="26373"/>
    <cellStyle name="40% - Accent1 9 5 2 3 2" xfId="26374"/>
    <cellStyle name="40% - Accent1 9 5 2 4" xfId="26375"/>
    <cellStyle name="40% - Accent1 9 5 3" xfId="26376"/>
    <cellStyle name="40% - Accent1 9 5 3 2" xfId="26377"/>
    <cellStyle name="40% - Accent1 9 5 3 2 2" xfId="26378"/>
    <cellStyle name="40% - Accent1 9 5 3 3" xfId="26379"/>
    <cellStyle name="40% - Accent1 9 5 4" xfId="26380"/>
    <cellStyle name="40% - Accent1 9 5 4 2" xfId="26381"/>
    <cellStyle name="40% - Accent1 9 5 5" xfId="26382"/>
    <cellStyle name="40% - Accent1 9 6" xfId="26383"/>
    <cellStyle name="40% - Accent1 9 6 2" xfId="26384"/>
    <cellStyle name="40% - Accent1 9 6 2 2" xfId="26385"/>
    <cellStyle name="40% - Accent1 9 6 2 2 2" xfId="26386"/>
    <cellStyle name="40% - Accent1 9 6 2 2 2 2" xfId="26387"/>
    <cellStyle name="40% - Accent1 9 6 2 2 3" xfId="26388"/>
    <cellStyle name="40% - Accent1 9 6 2 3" xfId="26389"/>
    <cellStyle name="40% - Accent1 9 6 2 3 2" xfId="26390"/>
    <cellStyle name="40% - Accent1 9 6 2 4" xfId="26391"/>
    <cellStyle name="40% - Accent1 9 6 3" xfId="26392"/>
    <cellStyle name="40% - Accent1 9 6 3 2" xfId="26393"/>
    <cellStyle name="40% - Accent1 9 6 3 2 2" xfId="26394"/>
    <cellStyle name="40% - Accent1 9 6 3 3" xfId="26395"/>
    <cellStyle name="40% - Accent1 9 6 4" xfId="26396"/>
    <cellStyle name="40% - Accent1 9 6 4 2" xfId="26397"/>
    <cellStyle name="40% - Accent1 9 6 5" xfId="26398"/>
    <cellStyle name="40% - Accent1 9 7" xfId="26399"/>
    <cellStyle name="40% - Accent1 9 7 2" xfId="26400"/>
    <cellStyle name="40% - Accent1 9 7 2 2" xfId="26401"/>
    <cellStyle name="40% - Accent1 9 7 2 2 2" xfId="26402"/>
    <cellStyle name="40% - Accent1 9 7 2 2 2 2" xfId="26403"/>
    <cellStyle name="40% - Accent1 9 7 2 2 3" xfId="26404"/>
    <cellStyle name="40% - Accent1 9 7 2 3" xfId="26405"/>
    <cellStyle name="40% - Accent1 9 7 2 3 2" xfId="26406"/>
    <cellStyle name="40% - Accent1 9 7 2 4" xfId="26407"/>
    <cellStyle name="40% - Accent1 9 7 3" xfId="26408"/>
    <cellStyle name="40% - Accent1 9 7 3 2" xfId="26409"/>
    <cellStyle name="40% - Accent1 9 7 3 2 2" xfId="26410"/>
    <cellStyle name="40% - Accent1 9 7 3 3" xfId="26411"/>
    <cellStyle name="40% - Accent1 9 7 4" xfId="26412"/>
    <cellStyle name="40% - Accent1 9 7 4 2" xfId="26413"/>
    <cellStyle name="40% - Accent1 9 7 5" xfId="26414"/>
    <cellStyle name="40% - Accent1 9 8" xfId="26415"/>
    <cellStyle name="40% - Accent1 9 8 2" xfId="26416"/>
    <cellStyle name="40% - Accent1 9 8 2 2" xfId="26417"/>
    <cellStyle name="40% - Accent1 9 8 2 2 2" xfId="26418"/>
    <cellStyle name="40% - Accent1 9 8 2 3" xfId="26419"/>
    <cellStyle name="40% - Accent1 9 8 3" xfId="26420"/>
    <cellStyle name="40% - Accent1 9 8 3 2" xfId="26421"/>
    <cellStyle name="40% - Accent1 9 8 4" xfId="26422"/>
    <cellStyle name="40% - Accent1 9 9" xfId="26423"/>
    <cellStyle name="40% - Accent1 9 9 2" xfId="26424"/>
    <cellStyle name="40% - Accent1 9 9 2 2" xfId="26425"/>
    <cellStyle name="40% - Accent1 9 9 3" xfId="26426"/>
    <cellStyle name="40% - Accent2 10" xfId="26427"/>
    <cellStyle name="40% - Accent2 10 10" xfId="26428"/>
    <cellStyle name="40% - Accent2 10 10 2" xfId="26429"/>
    <cellStyle name="40% - Accent2 10 11" xfId="26430"/>
    <cellStyle name="40% - Accent2 10 2" xfId="26431"/>
    <cellStyle name="40% - Accent2 10 2 10" xfId="26432"/>
    <cellStyle name="40% - Accent2 10 2 2" xfId="26433"/>
    <cellStyle name="40% - Accent2 10 2 2 2" xfId="26434"/>
    <cellStyle name="40% - Accent2 10 2 2 2 2" xfId="26435"/>
    <cellStyle name="40% - Accent2 10 2 2 2 2 2" xfId="26436"/>
    <cellStyle name="40% - Accent2 10 2 2 2 2 2 2" xfId="26437"/>
    <cellStyle name="40% - Accent2 10 2 2 2 2 3" xfId="26438"/>
    <cellStyle name="40% - Accent2 10 2 2 2 3" xfId="26439"/>
    <cellStyle name="40% - Accent2 10 2 2 2 3 2" xfId="26440"/>
    <cellStyle name="40% - Accent2 10 2 2 2 4" xfId="26441"/>
    <cellStyle name="40% - Accent2 10 2 2 3" xfId="26442"/>
    <cellStyle name="40% - Accent2 10 2 2 3 2" xfId="26443"/>
    <cellStyle name="40% - Accent2 10 2 2 3 2 2" xfId="26444"/>
    <cellStyle name="40% - Accent2 10 2 2 3 3" xfId="26445"/>
    <cellStyle name="40% - Accent2 10 2 2 4" xfId="26446"/>
    <cellStyle name="40% - Accent2 10 2 2 4 2" xfId="26447"/>
    <cellStyle name="40% - Accent2 10 2 2 5" xfId="26448"/>
    <cellStyle name="40% - Accent2 10 2 3" xfId="26449"/>
    <cellStyle name="40% - Accent2 10 2 3 2" xfId="26450"/>
    <cellStyle name="40% - Accent2 10 2 3 2 2" xfId="26451"/>
    <cellStyle name="40% - Accent2 10 2 3 2 2 2" xfId="26452"/>
    <cellStyle name="40% - Accent2 10 2 3 2 2 2 2" xfId="26453"/>
    <cellStyle name="40% - Accent2 10 2 3 2 2 3" xfId="26454"/>
    <cellStyle name="40% - Accent2 10 2 3 2 3" xfId="26455"/>
    <cellStyle name="40% - Accent2 10 2 3 2 3 2" xfId="26456"/>
    <cellStyle name="40% - Accent2 10 2 3 2 4" xfId="26457"/>
    <cellStyle name="40% - Accent2 10 2 3 3" xfId="26458"/>
    <cellStyle name="40% - Accent2 10 2 3 3 2" xfId="26459"/>
    <cellStyle name="40% - Accent2 10 2 3 3 2 2" xfId="26460"/>
    <cellStyle name="40% - Accent2 10 2 3 3 3" xfId="26461"/>
    <cellStyle name="40% - Accent2 10 2 3 4" xfId="26462"/>
    <cellStyle name="40% - Accent2 10 2 3 4 2" xfId="26463"/>
    <cellStyle name="40% - Accent2 10 2 3 5" xfId="26464"/>
    <cellStyle name="40% - Accent2 10 2 4" xfId="26465"/>
    <cellStyle name="40% - Accent2 10 2 4 2" xfId="26466"/>
    <cellStyle name="40% - Accent2 10 2 4 2 2" xfId="26467"/>
    <cellStyle name="40% - Accent2 10 2 4 2 2 2" xfId="26468"/>
    <cellStyle name="40% - Accent2 10 2 4 2 2 2 2" xfId="26469"/>
    <cellStyle name="40% - Accent2 10 2 4 2 2 3" xfId="26470"/>
    <cellStyle name="40% - Accent2 10 2 4 2 3" xfId="26471"/>
    <cellStyle name="40% - Accent2 10 2 4 2 3 2" xfId="26472"/>
    <cellStyle name="40% - Accent2 10 2 4 2 4" xfId="26473"/>
    <cellStyle name="40% - Accent2 10 2 4 3" xfId="26474"/>
    <cellStyle name="40% - Accent2 10 2 4 3 2" xfId="26475"/>
    <cellStyle name="40% - Accent2 10 2 4 3 2 2" xfId="26476"/>
    <cellStyle name="40% - Accent2 10 2 4 3 3" xfId="26477"/>
    <cellStyle name="40% - Accent2 10 2 4 4" xfId="26478"/>
    <cellStyle name="40% - Accent2 10 2 4 4 2" xfId="26479"/>
    <cellStyle name="40% - Accent2 10 2 4 5" xfId="26480"/>
    <cellStyle name="40% - Accent2 10 2 5" xfId="26481"/>
    <cellStyle name="40% - Accent2 10 2 5 2" xfId="26482"/>
    <cellStyle name="40% - Accent2 10 2 5 2 2" xfId="26483"/>
    <cellStyle name="40% - Accent2 10 2 5 2 2 2" xfId="26484"/>
    <cellStyle name="40% - Accent2 10 2 5 2 2 2 2" xfId="26485"/>
    <cellStyle name="40% - Accent2 10 2 5 2 2 3" xfId="26486"/>
    <cellStyle name="40% - Accent2 10 2 5 2 3" xfId="26487"/>
    <cellStyle name="40% - Accent2 10 2 5 2 3 2" xfId="26488"/>
    <cellStyle name="40% - Accent2 10 2 5 2 4" xfId="26489"/>
    <cellStyle name="40% - Accent2 10 2 5 3" xfId="26490"/>
    <cellStyle name="40% - Accent2 10 2 5 3 2" xfId="26491"/>
    <cellStyle name="40% - Accent2 10 2 5 3 2 2" xfId="26492"/>
    <cellStyle name="40% - Accent2 10 2 5 3 3" xfId="26493"/>
    <cellStyle name="40% - Accent2 10 2 5 4" xfId="26494"/>
    <cellStyle name="40% - Accent2 10 2 5 4 2" xfId="26495"/>
    <cellStyle name="40% - Accent2 10 2 5 5" xfId="26496"/>
    <cellStyle name="40% - Accent2 10 2 6" xfId="26497"/>
    <cellStyle name="40% - Accent2 10 2 6 2" xfId="26498"/>
    <cellStyle name="40% - Accent2 10 2 6 2 2" xfId="26499"/>
    <cellStyle name="40% - Accent2 10 2 6 2 2 2" xfId="26500"/>
    <cellStyle name="40% - Accent2 10 2 6 2 2 2 2" xfId="26501"/>
    <cellStyle name="40% - Accent2 10 2 6 2 2 3" xfId="26502"/>
    <cellStyle name="40% - Accent2 10 2 6 2 3" xfId="26503"/>
    <cellStyle name="40% - Accent2 10 2 6 2 3 2" xfId="26504"/>
    <cellStyle name="40% - Accent2 10 2 6 2 4" xfId="26505"/>
    <cellStyle name="40% - Accent2 10 2 6 3" xfId="26506"/>
    <cellStyle name="40% - Accent2 10 2 6 3 2" xfId="26507"/>
    <cellStyle name="40% - Accent2 10 2 6 3 2 2" xfId="26508"/>
    <cellStyle name="40% - Accent2 10 2 6 3 3" xfId="26509"/>
    <cellStyle name="40% - Accent2 10 2 6 4" xfId="26510"/>
    <cellStyle name="40% - Accent2 10 2 6 4 2" xfId="26511"/>
    <cellStyle name="40% - Accent2 10 2 6 5" xfId="26512"/>
    <cellStyle name="40% - Accent2 10 2 7" xfId="26513"/>
    <cellStyle name="40% - Accent2 10 2 7 2" xfId="26514"/>
    <cellStyle name="40% - Accent2 10 2 7 2 2" xfId="26515"/>
    <cellStyle name="40% - Accent2 10 2 7 2 2 2" xfId="26516"/>
    <cellStyle name="40% - Accent2 10 2 7 2 3" xfId="26517"/>
    <cellStyle name="40% - Accent2 10 2 7 3" xfId="26518"/>
    <cellStyle name="40% - Accent2 10 2 7 3 2" xfId="26519"/>
    <cellStyle name="40% - Accent2 10 2 7 4" xfId="26520"/>
    <cellStyle name="40% - Accent2 10 2 8" xfId="26521"/>
    <cellStyle name="40% - Accent2 10 2 8 2" xfId="26522"/>
    <cellStyle name="40% - Accent2 10 2 8 2 2" xfId="26523"/>
    <cellStyle name="40% - Accent2 10 2 8 3" xfId="26524"/>
    <cellStyle name="40% - Accent2 10 2 9" xfId="26525"/>
    <cellStyle name="40% - Accent2 10 2 9 2" xfId="26526"/>
    <cellStyle name="40% - Accent2 10 3" xfId="26527"/>
    <cellStyle name="40% - Accent2 10 3 2" xfId="26528"/>
    <cellStyle name="40% - Accent2 10 3 2 2" xfId="26529"/>
    <cellStyle name="40% - Accent2 10 3 2 2 2" xfId="26530"/>
    <cellStyle name="40% - Accent2 10 3 2 2 2 2" xfId="26531"/>
    <cellStyle name="40% - Accent2 10 3 2 2 3" xfId="26532"/>
    <cellStyle name="40% - Accent2 10 3 2 3" xfId="26533"/>
    <cellStyle name="40% - Accent2 10 3 2 3 2" xfId="26534"/>
    <cellStyle name="40% - Accent2 10 3 2 4" xfId="26535"/>
    <cellStyle name="40% - Accent2 10 3 3" xfId="26536"/>
    <cellStyle name="40% - Accent2 10 3 3 2" xfId="26537"/>
    <cellStyle name="40% - Accent2 10 3 3 2 2" xfId="26538"/>
    <cellStyle name="40% - Accent2 10 3 3 3" xfId="26539"/>
    <cellStyle name="40% - Accent2 10 3 4" xfId="26540"/>
    <cellStyle name="40% - Accent2 10 3 4 2" xfId="26541"/>
    <cellStyle name="40% - Accent2 10 3 5" xfId="26542"/>
    <cellStyle name="40% - Accent2 10 4" xfId="26543"/>
    <cellStyle name="40% - Accent2 10 4 2" xfId="26544"/>
    <cellStyle name="40% - Accent2 10 4 2 2" xfId="26545"/>
    <cellStyle name="40% - Accent2 10 4 2 2 2" xfId="26546"/>
    <cellStyle name="40% - Accent2 10 4 2 2 2 2" xfId="26547"/>
    <cellStyle name="40% - Accent2 10 4 2 2 3" xfId="26548"/>
    <cellStyle name="40% - Accent2 10 4 2 3" xfId="26549"/>
    <cellStyle name="40% - Accent2 10 4 2 3 2" xfId="26550"/>
    <cellStyle name="40% - Accent2 10 4 2 4" xfId="26551"/>
    <cellStyle name="40% - Accent2 10 4 3" xfId="26552"/>
    <cellStyle name="40% - Accent2 10 4 3 2" xfId="26553"/>
    <cellStyle name="40% - Accent2 10 4 3 2 2" xfId="26554"/>
    <cellStyle name="40% - Accent2 10 4 3 3" xfId="26555"/>
    <cellStyle name="40% - Accent2 10 4 4" xfId="26556"/>
    <cellStyle name="40% - Accent2 10 4 4 2" xfId="26557"/>
    <cellStyle name="40% - Accent2 10 4 5" xfId="26558"/>
    <cellStyle name="40% - Accent2 10 5" xfId="26559"/>
    <cellStyle name="40% - Accent2 10 5 2" xfId="26560"/>
    <cellStyle name="40% - Accent2 10 5 2 2" xfId="26561"/>
    <cellStyle name="40% - Accent2 10 5 2 2 2" xfId="26562"/>
    <cellStyle name="40% - Accent2 10 5 2 2 2 2" xfId="26563"/>
    <cellStyle name="40% - Accent2 10 5 2 2 3" xfId="26564"/>
    <cellStyle name="40% - Accent2 10 5 2 3" xfId="26565"/>
    <cellStyle name="40% - Accent2 10 5 2 3 2" xfId="26566"/>
    <cellStyle name="40% - Accent2 10 5 2 4" xfId="26567"/>
    <cellStyle name="40% - Accent2 10 5 3" xfId="26568"/>
    <cellStyle name="40% - Accent2 10 5 3 2" xfId="26569"/>
    <cellStyle name="40% - Accent2 10 5 3 2 2" xfId="26570"/>
    <cellStyle name="40% - Accent2 10 5 3 3" xfId="26571"/>
    <cellStyle name="40% - Accent2 10 5 4" xfId="26572"/>
    <cellStyle name="40% - Accent2 10 5 4 2" xfId="26573"/>
    <cellStyle name="40% - Accent2 10 5 5" xfId="26574"/>
    <cellStyle name="40% - Accent2 10 6" xfId="26575"/>
    <cellStyle name="40% - Accent2 10 6 2" xfId="26576"/>
    <cellStyle name="40% - Accent2 10 6 2 2" xfId="26577"/>
    <cellStyle name="40% - Accent2 10 6 2 2 2" xfId="26578"/>
    <cellStyle name="40% - Accent2 10 6 2 2 2 2" xfId="26579"/>
    <cellStyle name="40% - Accent2 10 6 2 2 3" xfId="26580"/>
    <cellStyle name="40% - Accent2 10 6 2 3" xfId="26581"/>
    <cellStyle name="40% - Accent2 10 6 2 3 2" xfId="26582"/>
    <cellStyle name="40% - Accent2 10 6 2 4" xfId="26583"/>
    <cellStyle name="40% - Accent2 10 6 3" xfId="26584"/>
    <cellStyle name="40% - Accent2 10 6 3 2" xfId="26585"/>
    <cellStyle name="40% - Accent2 10 6 3 2 2" xfId="26586"/>
    <cellStyle name="40% - Accent2 10 6 3 3" xfId="26587"/>
    <cellStyle name="40% - Accent2 10 6 4" xfId="26588"/>
    <cellStyle name="40% - Accent2 10 6 4 2" xfId="26589"/>
    <cellStyle name="40% - Accent2 10 6 5" xfId="26590"/>
    <cellStyle name="40% - Accent2 10 7" xfId="26591"/>
    <cellStyle name="40% - Accent2 10 7 2" xfId="26592"/>
    <cellStyle name="40% - Accent2 10 7 2 2" xfId="26593"/>
    <cellStyle name="40% - Accent2 10 7 2 2 2" xfId="26594"/>
    <cellStyle name="40% - Accent2 10 7 2 2 2 2" xfId="26595"/>
    <cellStyle name="40% - Accent2 10 7 2 2 3" xfId="26596"/>
    <cellStyle name="40% - Accent2 10 7 2 3" xfId="26597"/>
    <cellStyle name="40% - Accent2 10 7 2 3 2" xfId="26598"/>
    <cellStyle name="40% - Accent2 10 7 2 4" xfId="26599"/>
    <cellStyle name="40% - Accent2 10 7 3" xfId="26600"/>
    <cellStyle name="40% - Accent2 10 7 3 2" xfId="26601"/>
    <cellStyle name="40% - Accent2 10 7 3 2 2" xfId="26602"/>
    <cellStyle name="40% - Accent2 10 7 3 3" xfId="26603"/>
    <cellStyle name="40% - Accent2 10 7 4" xfId="26604"/>
    <cellStyle name="40% - Accent2 10 7 4 2" xfId="26605"/>
    <cellStyle name="40% - Accent2 10 7 5" xfId="26606"/>
    <cellStyle name="40% - Accent2 10 8" xfId="26607"/>
    <cellStyle name="40% - Accent2 10 8 2" xfId="26608"/>
    <cellStyle name="40% - Accent2 10 8 2 2" xfId="26609"/>
    <cellStyle name="40% - Accent2 10 8 2 2 2" xfId="26610"/>
    <cellStyle name="40% - Accent2 10 8 2 3" xfId="26611"/>
    <cellStyle name="40% - Accent2 10 8 3" xfId="26612"/>
    <cellStyle name="40% - Accent2 10 8 3 2" xfId="26613"/>
    <cellStyle name="40% - Accent2 10 8 4" xfId="26614"/>
    <cellStyle name="40% - Accent2 10 9" xfId="26615"/>
    <cellStyle name="40% - Accent2 10 9 2" xfId="26616"/>
    <cellStyle name="40% - Accent2 10 9 2 2" xfId="26617"/>
    <cellStyle name="40% - Accent2 10 9 3" xfId="26618"/>
    <cellStyle name="40% - Accent2 11" xfId="26619"/>
    <cellStyle name="40% - Accent2 11 10" xfId="26620"/>
    <cellStyle name="40% - Accent2 11 10 2" xfId="26621"/>
    <cellStyle name="40% - Accent2 11 11" xfId="26622"/>
    <cellStyle name="40% - Accent2 11 2" xfId="26623"/>
    <cellStyle name="40% - Accent2 11 2 10" xfId="26624"/>
    <cellStyle name="40% - Accent2 11 2 2" xfId="26625"/>
    <cellStyle name="40% - Accent2 11 2 2 2" xfId="26626"/>
    <cellStyle name="40% - Accent2 11 2 2 2 2" xfId="26627"/>
    <cellStyle name="40% - Accent2 11 2 2 2 2 2" xfId="26628"/>
    <cellStyle name="40% - Accent2 11 2 2 2 2 2 2" xfId="26629"/>
    <cellStyle name="40% - Accent2 11 2 2 2 2 3" xfId="26630"/>
    <cellStyle name="40% - Accent2 11 2 2 2 3" xfId="26631"/>
    <cellStyle name="40% - Accent2 11 2 2 2 3 2" xfId="26632"/>
    <cellStyle name="40% - Accent2 11 2 2 2 4" xfId="26633"/>
    <cellStyle name="40% - Accent2 11 2 2 3" xfId="26634"/>
    <cellStyle name="40% - Accent2 11 2 2 3 2" xfId="26635"/>
    <cellStyle name="40% - Accent2 11 2 2 3 2 2" xfId="26636"/>
    <cellStyle name="40% - Accent2 11 2 2 3 3" xfId="26637"/>
    <cellStyle name="40% - Accent2 11 2 2 4" xfId="26638"/>
    <cellStyle name="40% - Accent2 11 2 2 4 2" xfId="26639"/>
    <cellStyle name="40% - Accent2 11 2 2 5" xfId="26640"/>
    <cellStyle name="40% - Accent2 11 2 3" xfId="26641"/>
    <cellStyle name="40% - Accent2 11 2 3 2" xfId="26642"/>
    <cellStyle name="40% - Accent2 11 2 3 2 2" xfId="26643"/>
    <cellStyle name="40% - Accent2 11 2 3 2 2 2" xfId="26644"/>
    <cellStyle name="40% - Accent2 11 2 3 2 2 2 2" xfId="26645"/>
    <cellStyle name="40% - Accent2 11 2 3 2 2 3" xfId="26646"/>
    <cellStyle name="40% - Accent2 11 2 3 2 3" xfId="26647"/>
    <cellStyle name="40% - Accent2 11 2 3 2 3 2" xfId="26648"/>
    <cellStyle name="40% - Accent2 11 2 3 2 4" xfId="26649"/>
    <cellStyle name="40% - Accent2 11 2 3 3" xfId="26650"/>
    <cellStyle name="40% - Accent2 11 2 3 3 2" xfId="26651"/>
    <cellStyle name="40% - Accent2 11 2 3 3 2 2" xfId="26652"/>
    <cellStyle name="40% - Accent2 11 2 3 3 3" xfId="26653"/>
    <cellStyle name="40% - Accent2 11 2 3 4" xfId="26654"/>
    <cellStyle name="40% - Accent2 11 2 3 4 2" xfId="26655"/>
    <cellStyle name="40% - Accent2 11 2 3 5" xfId="26656"/>
    <cellStyle name="40% - Accent2 11 2 4" xfId="26657"/>
    <cellStyle name="40% - Accent2 11 2 4 2" xfId="26658"/>
    <cellStyle name="40% - Accent2 11 2 4 2 2" xfId="26659"/>
    <cellStyle name="40% - Accent2 11 2 4 2 2 2" xfId="26660"/>
    <cellStyle name="40% - Accent2 11 2 4 2 2 2 2" xfId="26661"/>
    <cellStyle name="40% - Accent2 11 2 4 2 2 3" xfId="26662"/>
    <cellStyle name="40% - Accent2 11 2 4 2 3" xfId="26663"/>
    <cellStyle name="40% - Accent2 11 2 4 2 3 2" xfId="26664"/>
    <cellStyle name="40% - Accent2 11 2 4 2 4" xfId="26665"/>
    <cellStyle name="40% - Accent2 11 2 4 3" xfId="26666"/>
    <cellStyle name="40% - Accent2 11 2 4 3 2" xfId="26667"/>
    <cellStyle name="40% - Accent2 11 2 4 3 2 2" xfId="26668"/>
    <cellStyle name="40% - Accent2 11 2 4 3 3" xfId="26669"/>
    <cellStyle name="40% - Accent2 11 2 4 4" xfId="26670"/>
    <cellStyle name="40% - Accent2 11 2 4 4 2" xfId="26671"/>
    <cellStyle name="40% - Accent2 11 2 4 5" xfId="26672"/>
    <cellStyle name="40% - Accent2 11 2 5" xfId="26673"/>
    <cellStyle name="40% - Accent2 11 2 5 2" xfId="26674"/>
    <cellStyle name="40% - Accent2 11 2 5 2 2" xfId="26675"/>
    <cellStyle name="40% - Accent2 11 2 5 2 2 2" xfId="26676"/>
    <cellStyle name="40% - Accent2 11 2 5 2 2 2 2" xfId="26677"/>
    <cellStyle name="40% - Accent2 11 2 5 2 2 3" xfId="26678"/>
    <cellStyle name="40% - Accent2 11 2 5 2 3" xfId="26679"/>
    <cellStyle name="40% - Accent2 11 2 5 2 3 2" xfId="26680"/>
    <cellStyle name="40% - Accent2 11 2 5 2 4" xfId="26681"/>
    <cellStyle name="40% - Accent2 11 2 5 3" xfId="26682"/>
    <cellStyle name="40% - Accent2 11 2 5 3 2" xfId="26683"/>
    <cellStyle name="40% - Accent2 11 2 5 3 2 2" xfId="26684"/>
    <cellStyle name="40% - Accent2 11 2 5 3 3" xfId="26685"/>
    <cellStyle name="40% - Accent2 11 2 5 4" xfId="26686"/>
    <cellStyle name="40% - Accent2 11 2 5 4 2" xfId="26687"/>
    <cellStyle name="40% - Accent2 11 2 5 5" xfId="26688"/>
    <cellStyle name="40% - Accent2 11 2 6" xfId="26689"/>
    <cellStyle name="40% - Accent2 11 2 6 2" xfId="26690"/>
    <cellStyle name="40% - Accent2 11 2 6 2 2" xfId="26691"/>
    <cellStyle name="40% - Accent2 11 2 6 2 2 2" xfId="26692"/>
    <cellStyle name="40% - Accent2 11 2 6 2 2 2 2" xfId="26693"/>
    <cellStyle name="40% - Accent2 11 2 6 2 2 3" xfId="26694"/>
    <cellStyle name="40% - Accent2 11 2 6 2 3" xfId="26695"/>
    <cellStyle name="40% - Accent2 11 2 6 2 3 2" xfId="26696"/>
    <cellStyle name="40% - Accent2 11 2 6 2 4" xfId="26697"/>
    <cellStyle name="40% - Accent2 11 2 6 3" xfId="26698"/>
    <cellStyle name="40% - Accent2 11 2 6 3 2" xfId="26699"/>
    <cellStyle name="40% - Accent2 11 2 6 3 2 2" xfId="26700"/>
    <cellStyle name="40% - Accent2 11 2 6 3 3" xfId="26701"/>
    <cellStyle name="40% - Accent2 11 2 6 4" xfId="26702"/>
    <cellStyle name="40% - Accent2 11 2 6 4 2" xfId="26703"/>
    <cellStyle name="40% - Accent2 11 2 6 5" xfId="26704"/>
    <cellStyle name="40% - Accent2 11 2 7" xfId="26705"/>
    <cellStyle name="40% - Accent2 11 2 7 2" xfId="26706"/>
    <cellStyle name="40% - Accent2 11 2 7 2 2" xfId="26707"/>
    <cellStyle name="40% - Accent2 11 2 7 2 2 2" xfId="26708"/>
    <cellStyle name="40% - Accent2 11 2 7 2 3" xfId="26709"/>
    <cellStyle name="40% - Accent2 11 2 7 3" xfId="26710"/>
    <cellStyle name="40% - Accent2 11 2 7 3 2" xfId="26711"/>
    <cellStyle name="40% - Accent2 11 2 7 4" xfId="26712"/>
    <cellStyle name="40% - Accent2 11 2 8" xfId="26713"/>
    <cellStyle name="40% - Accent2 11 2 8 2" xfId="26714"/>
    <cellStyle name="40% - Accent2 11 2 8 2 2" xfId="26715"/>
    <cellStyle name="40% - Accent2 11 2 8 3" xfId="26716"/>
    <cellStyle name="40% - Accent2 11 2 9" xfId="26717"/>
    <cellStyle name="40% - Accent2 11 2 9 2" xfId="26718"/>
    <cellStyle name="40% - Accent2 11 3" xfId="26719"/>
    <cellStyle name="40% - Accent2 11 3 2" xfId="26720"/>
    <cellStyle name="40% - Accent2 11 3 2 2" xfId="26721"/>
    <cellStyle name="40% - Accent2 11 3 2 2 2" xfId="26722"/>
    <cellStyle name="40% - Accent2 11 3 2 2 2 2" xfId="26723"/>
    <cellStyle name="40% - Accent2 11 3 2 2 3" xfId="26724"/>
    <cellStyle name="40% - Accent2 11 3 2 3" xfId="26725"/>
    <cellStyle name="40% - Accent2 11 3 2 3 2" xfId="26726"/>
    <cellStyle name="40% - Accent2 11 3 2 4" xfId="26727"/>
    <cellStyle name="40% - Accent2 11 3 3" xfId="26728"/>
    <cellStyle name="40% - Accent2 11 3 3 2" xfId="26729"/>
    <cellStyle name="40% - Accent2 11 3 3 2 2" xfId="26730"/>
    <cellStyle name="40% - Accent2 11 3 3 3" xfId="26731"/>
    <cellStyle name="40% - Accent2 11 3 4" xfId="26732"/>
    <cellStyle name="40% - Accent2 11 3 4 2" xfId="26733"/>
    <cellStyle name="40% - Accent2 11 3 5" xfId="26734"/>
    <cellStyle name="40% - Accent2 11 4" xfId="26735"/>
    <cellStyle name="40% - Accent2 11 4 2" xfId="26736"/>
    <cellStyle name="40% - Accent2 11 4 2 2" xfId="26737"/>
    <cellStyle name="40% - Accent2 11 4 2 2 2" xfId="26738"/>
    <cellStyle name="40% - Accent2 11 4 2 2 2 2" xfId="26739"/>
    <cellStyle name="40% - Accent2 11 4 2 2 3" xfId="26740"/>
    <cellStyle name="40% - Accent2 11 4 2 3" xfId="26741"/>
    <cellStyle name="40% - Accent2 11 4 2 3 2" xfId="26742"/>
    <cellStyle name="40% - Accent2 11 4 2 4" xfId="26743"/>
    <cellStyle name="40% - Accent2 11 4 3" xfId="26744"/>
    <cellStyle name="40% - Accent2 11 4 3 2" xfId="26745"/>
    <cellStyle name="40% - Accent2 11 4 3 2 2" xfId="26746"/>
    <cellStyle name="40% - Accent2 11 4 3 3" xfId="26747"/>
    <cellStyle name="40% - Accent2 11 4 4" xfId="26748"/>
    <cellStyle name="40% - Accent2 11 4 4 2" xfId="26749"/>
    <cellStyle name="40% - Accent2 11 4 5" xfId="26750"/>
    <cellStyle name="40% - Accent2 11 5" xfId="26751"/>
    <cellStyle name="40% - Accent2 11 5 2" xfId="26752"/>
    <cellStyle name="40% - Accent2 11 5 2 2" xfId="26753"/>
    <cellStyle name="40% - Accent2 11 5 2 2 2" xfId="26754"/>
    <cellStyle name="40% - Accent2 11 5 2 2 2 2" xfId="26755"/>
    <cellStyle name="40% - Accent2 11 5 2 2 3" xfId="26756"/>
    <cellStyle name="40% - Accent2 11 5 2 3" xfId="26757"/>
    <cellStyle name="40% - Accent2 11 5 2 3 2" xfId="26758"/>
    <cellStyle name="40% - Accent2 11 5 2 4" xfId="26759"/>
    <cellStyle name="40% - Accent2 11 5 3" xfId="26760"/>
    <cellStyle name="40% - Accent2 11 5 3 2" xfId="26761"/>
    <cellStyle name="40% - Accent2 11 5 3 2 2" xfId="26762"/>
    <cellStyle name="40% - Accent2 11 5 3 3" xfId="26763"/>
    <cellStyle name="40% - Accent2 11 5 4" xfId="26764"/>
    <cellStyle name="40% - Accent2 11 5 4 2" xfId="26765"/>
    <cellStyle name="40% - Accent2 11 5 5" xfId="26766"/>
    <cellStyle name="40% - Accent2 11 6" xfId="26767"/>
    <cellStyle name="40% - Accent2 11 6 2" xfId="26768"/>
    <cellStyle name="40% - Accent2 11 6 2 2" xfId="26769"/>
    <cellStyle name="40% - Accent2 11 6 2 2 2" xfId="26770"/>
    <cellStyle name="40% - Accent2 11 6 2 2 2 2" xfId="26771"/>
    <cellStyle name="40% - Accent2 11 6 2 2 3" xfId="26772"/>
    <cellStyle name="40% - Accent2 11 6 2 3" xfId="26773"/>
    <cellStyle name="40% - Accent2 11 6 2 3 2" xfId="26774"/>
    <cellStyle name="40% - Accent2 11 6 2 4" xfId="26775"/>
    <cellStyle name="40% - Accent2 11 6 3" xfId="26776"/>
    <cellStyle name="40% - Accent2 11 6 3 2" xfId="26777"/>
    <cellStyle name="40% - Accent2 11 6 3 2 2" xfId="26778"/>
    <cellStyle name="40% - Accent2 11 6 3 3" xfId="26779"/>
    <cellStyle name="40% - Accent2 11 6 4" xfId="26780"/>
    <cellStyle name="40% - Accent2 11 6 4 2" xfId="26781"/>
    <cellStyle name="40% - Accent2 11 6 5" xfId="26782"/>
    <cellStyle name="40% - Accent2 11 7" xfId="26783"/>
    <cellStyle name="40% - Accent2 11 7 2" xfId="26784"/>
    <cellStyle name="40% - Accent2 11 7 2 2" xfId="26785"/>
    <cellStyle name="40% - Accent2 11 7 2 2 2" xfId="26786"/>
    <cellStyle name="40% - Accent2 11 7 2 2 2 2" xfId="26787"/>
    <cellStyle name="40% - Accent2 11 7 2 2 3" xfId="26788"/>
    <cellStyle name="40% - Accent2 11 7 2 3" xfId="26789"/>
    <cellStyle name="40% - Accent2 11 7 2 3 2" xfId="26790"/>
    <cellStyle name="40% - Accent2 11 7 2 4" xfId="26791"/>
    <cellStyle name="40% - Accent2 11 7 3" xfId="26792"/>
    <cellStyle name="40% - Accent2 11 7 3 2" xfId="26793"/>
    <cellStyle name="40% - Accent2 11 7 3 2 2" xfId="26794"/>
    <cellStyle name="40% - Accent2 11 7 3 3" xfId="26795"/>
    <cellStyle name="40% - Accent2 11 7 4" xfId="26796"/>
    <cellStyle name="40% - Accent2 11 7 4 2" xfId="26797"/>
    <cellStyle name="40% - Accent2 11 7 5" xfId="26798"/>
    <cellStyle name="40% - Accent2 11 8" xfId="26799"/>
    <cellStyle name="40% - Accent2 11 8 2" xfId="26800"/>
    <cellStyle name="40% - Accent2 11 8 2 2" xfId="26801"/>
    <cellStyle name="40% - Accent2 11 8 2 2 2" xfId="26802"/>
    <cellStyle name="40% - Accent2 11 8 2 3" xfId="26803"/>
    <cellStyle name="40% - Accent2 11 8 3" xfId="26804"/>
    <cellStyle name="40% - Accent2 11 8 3 2" xfId="26805"/>
    <cellStyle name="40% - Accent2 11 8 4" xfId="26806"/>
    <cellStyle name="40% - Accent2 11 9" xfId="26807"/>
    <cellStyle name="40% - Accent2 11 9 2" xfId="26808"/>
    <cellStyle name="40% - Accent2 11 9 2 2" xfId="26809"/>
    <cellStyle name="40% - Accent2 11 9 3" xfId="26810"/>
    <cellStyle name="40% - Accent2 12" xfId="26811"/>
    <cellStyle name="40% - Accent2 12 10" xfId="26812"/>
    <cellStyle name="40% - Accent2 12 2" xfId="26813"/>
    <cellStyle name="40% - Accent2 12 2 2" xfId="26814"/>
    <cellStyle name="40% - Accent2 12 2 2 2" xfId="26815"/>
    <cellStyle name="40% - Accent2 12 2 2 2 2" xfId="26816"/>
    <cellStyle name="40% - Accent2 12 2 2 2 2 2" xfId="26817"/>
    <cellStyle name="40% - Accent2 12 2 2 2 3" xfId="26818"/>
    <cellStyle name="40% - Accent2 12 2 2 3" xfId="26819"/>
    <cellStyle name="40% - Accent2 12 2 2 3 2" xfId="26820"/>
    <cellStyle name="40% - Accent2 12 2 2 4" xfId="26821"/>
    <cellStyle name="40% - Accent2 12 2 3" xfId="26822"/>
    <cellStyle name="40% - Accent2 12 2 3 2" xfId="26823"/>
    <cellStyle name="40% - Accent2 12 2 3 2 2" xfId="26824"/>
    <cellStyle name="40% - Accent2 12 2 3 3" xfId="26825"/>
    <cellStyle name="40% - Accent2 12 2 4" xfId="26826"/>
    <cellStyle name="40% - Accent2 12 2 4 2" xfId="26827"/>
    <cellStyle name="40% - Accent2 12 2 5" xfId="26828"/>
    <cellStyle name="40% - Accent2 12 3" xfId="26829"/>
    <cellStyle name="40% - Accent2 12 3 2" xfId="26830"/>
    <cellStyle name="40% - Accent2 12 3 2 2" xfId="26831"/>
    <cellStyle name="40% - Accent2 12 3 2 2 2" xfId="26832"/>
    <cellStyle name="40% - Accent2 12 3 2 2 2 2" xfId="26833"/>
    <cellStyle name="40% - Accent2 12 3 2 2 3" xfId="26834"/>
    <cellStyle name="40% - Accent2 12 3 2 3" xfId="26835"/>
    <cellStyle name="40% - Accent2 12 3 2 3 2" xfId="26836"/>
    <cellStyle name="40% - Accent2 12 3 2 4" xfId="26837"/>
    <cellStyle name="40% - Accent2 12 3 3" xfId="26838"/>
    <cellStyle name="40% - Accent2 12 3 3 2" xfId="26839"/>
    <cellStyle name="40% - Accent2 12 3 3 2 2" xfId="26840"/>
    <cellStyle name="40% - Accent2 12 3 3 3" xfId="26841"/>
    <cellStyle name="40% - Accent2 12 3 4" xfId="26842"/>
    <cellStyle name="40% - Accent2 12 3 4 2" xfId="26843"/>
    <cellStyle name="40% - Accent2 12 3 5" xfId="26844"/>
    <cellStyle name="40% - Accent2 12 4" xfId="26845"/>
    <cellStyle name="40% - Accent2 12 4 2" xfId="26846"/>
    <cellStyle name="40% - Accent2 12 4 2 2" xfId="26847"/>
    <cellStyle name="40% - Accent2 12 4 2 2 2" xfId="26848"/>
    <cellStyle name="40% - Accent2 12 4 2 2 2 2" xfId="26849"/>
    <cellStyle name="40% - Accent2 12 4 2 2 3" xfId="26850"/>
    <cellStyle name="40% - Accent2 12 4 2 3" xfId="26851"/>
    <cellStyle name="40% - Accent2 12 4 2 3 2" xfId="26852"/>
    <cellStyle name="40% - Accent2 12 4 2 4" xfId="26853"/>
    <cellStyle name="40% - Accent2 12 4 3" xfId="26854"/>
    <cellStyle name="40% - Accent2 12 4 3 2" xfId="26855"/>
    <cellStyle name="40% - Accent2 12 4 3 2 2" xfId="26856"/>
    <cellStyle name="40% - Accent2 12 4 3 3" xfId="26857"/>
    <cellStyle name="40% - Accent2 12 4 4" xfId="26858"/>
    <cellStyle name="40% - Accent2 12 4 4 2" xfId="26859"/>
    <cellStyle name="40% - Accent2 12 4 5" xfId="26860"/>
    <cellStyle name="40% - Accent2 12 5" xfId="26861"/>
    <cellStyle name="40% - Accent2 12 5 2" xfId="26862"/>
    <cellStyle name="40% - Accent2 12 5 2 2" xfId="26863"/>
    <cellStyle name="40% - Accent2 12 5 2 2 2" xfId="26864"/>
    <cellStyle name="40% - Accent2 12 5 2 2 2 2" xfId="26865"/>
    <cellStyle name="40% - Accent2 12 5 2 2 3" xfId="26866"/>
    <cellStyle name="40% - Accent2 12 5 2 3" xfId="26867"/>
    <cellStyle name="40% - Accent2 12 5 2 3 2" xfId="26868"/>
    <cellStyle name="40% - Accent2 12 5 2 4" xfId="26869"/>
    <cellStyle name="40% - Accent2 12 5 3" xfId="26870"/>
    <cellStyle name="40% - Accent2 12 5 3 2" xfId="26871"/>
    <cellStyle name="40% - Accent2 12 5 3 2 2" xfId="26872"/>
    <cellStyle name="40% - Accent2 12 5 3 3" xfId="26873"/>
    <cellStyle name="40% - Accent2 12 5 4" xfId="26874"/>
    <cellStyle name="40% - Accent2 12 5 4 2" xfId="26875"/>
    <cellStyle name="40% - Accent2 12 5 5" xfId="26876"/>
    <cellStyle name="40% - Accent2 12 6" xfId="26877"/>
    <cellStyle name="40% - Accent2 12 6 2" xfId="26878"/>
    <cellStyle name="40% - Accent2 12 6 2 2" xfId="26879"/>
    <cellStyle name="40% - Accent2 12 6 2 2 2" xfId="26880"/>
    <cellStyle name="40% - Accent2 12 6 2 2 2 2" xfId="26881"/>
    <cellStyle name="40% - Accent2 12 6 2 2 3" xfId="26882"/>
    <cellStyle name="40% - Accent2 12 6 2 3" xfId="26883"/>
    <cellStyle name="40% - Accent2 12 6 2 3 2" xfId="26884"/>
    <cellStyle name="40% - Accent2 12 6 2 4" xfId="26885"/>
    <cellStyle name="40% - Accent2 12 6 3" xfId="26886"/>
    <cellStyle name="40% - Accent2 12 6 3 2" xfId="26887"/>
    <cellStyle name="40% - Accent2 12 6 3 2 2" xfId="26888"/>
    <cellStyle name="40% - Accent2 12 6 3 3" xfId="26889"/>
    <cellStyle name="40% - Accent2 12 6 4" xfId="26890"/>
    <cellStyle name="40% - Accent2 12 6 4 2" xfId="26891"/>
    <cellStyle name="40% - Accent2 12 6 5" xfId="26892"/>
    <cellStyle name="40% - Accent2 12 7" xfId="26893"/>
    <cellStyle name="40% - Accent2 12 7 2" xfId="26894"/>
    <cellStyle name="40% - Accent2 12 7 2 2" xfId="26895"/>
    <cellStyle name="40% - Accent2 12 7 2 2 2" xfId="26896"/>
    <cellStyle name="40% - Accent2 12 7 2 3" xfId="26897"/>
    <cellStyle name="40% - Accent2 12 7 3" xfId="26898"/>
    <cellStyle name="40% - Accent2 12 7 3 2" xfId="26899"/>
    <cellStyle name="40% - Accent2 12 7 4" xfId="26900"/>
    <cellStyle name="40% - Accent2 12 8" xfId="26901"/>
    <cellStyle name="40% - Accent2 12 8 2" xfId="26902"/>
    <cellStyle name="40% - Accent2 12 8 2 2" xfId="26903"/>
    <cellStyle name="40% - Accent2 12 8 3" xfId="26904"/>
    <cellStyle name="40% - Accent2 12 9" xfId="26905"/>
    <cellStyle name="40% - Accent2 12 9 2" xfId="26906"/>
    <cellStyle name="40% - Accent2 13" xfId="26907"/>
    <cellStyle name="40% - Accent2 13 10" xfId="26908"/>
    <cellStyle name="40% - Accent2 13 2" xfId="26909"/>
    <cellStyle name="40% - Accent2 13 2 2" xfId="26910"/>
    <cellStyle name="40% - Accent2 13 2 2 2" xfId="26911"/>
    <cellStyle name="40% - Accent2 13 2 2 2 2" xfId="26912"/>
    <cellStyle name="40% - Accent2 13 2 2 2 2 2" xfId="26913"/>
    <cellStyle name="40% - Accent2 13 2 2 2 3" xfId="26914"/>
    <cellStyle name="40% - Accent2 13 2 2 3" xfId="26915"/>
    <cellStyle name="40% - Accent2 13 2 2 3 2" xfId="26916"/>
    <cellStyle name="40% - Accent2 13 2 2 4" xfId="26917"/>
    <cellStyle name="40% - Accent2 13 2 3" xfId="26918"/>
    <cellStyle name="40% - Accent2 13 2 3 2" xfId="26919"/>
    <cellStyle name="40% - Accent2 13 2 3 2 2" xfId="26920"/>
    <cellStyle name="40% - Accent2 13 2 3 3" xfId="26921"/>
    <cellStyle name="40% - Accent2 13 2 4" xfId="26922"/>
    <cellStyle name="40% - Accent2 13 2 4 2" xfId="26923"/>
    <cellStyle name="40% - Accent2 13 2 5" xfId="26924"/>
    <cellStyle name="40% - Accent2 13 3" xfId="26925"/>
    <cellStyle name="40% - Accent2 13 3 2" xfId="26926"/>
    <cellStyle name="40% - Accent2 13 3 2 2" xfId="26927"/>
    <cellStyle name="40% - Accent2 13 3 2 2 2" xfId="26928"/>
    <cellStyle name="40% - Accent2 13 3 2 2 2 2" xfId="26929"/>
    <cellStyle name="40% - Accent2 13 3 2 2 3" xfId="26930"/>
    <cellStyle name="40% - Accent2 13 3 2 3" xfId="26931"/>
    <cellStyle name="40% - Accent2 13 3 2 3 2" xfId="26932"/>
    <cellStyle name="40% - Accent2 13 3 2 4" xfId="26933"/>
    <cellStyle name="40% - Accent2 13 3 3" xfId="26934"/>
    <cellStyle name="40% - Accent2 13 3 3 2" xfId="26935"/>
    <cellStyle name="40% - Accent2 13 3 3 2 2" xfId="26936"/>
    <cellStyle name="40% - Accent2 13 3 3 3" xfId="26937"/>
    <cellStyle name="40% - Accent2 13 3 4" xfId="26938"/>
    <cellStyle name="40% - Accent2 13 3 4 2" xfId="26939"/>
    <cellStyle name="40% - Accent2 13 3 5" xfId="26940"/>
    <cellStyle name="40% - Accent2 13 4" xfId="26941"/>
    <cellStyle name="40% - Accent2 13 4 2" xfId="26942"/>
    <cellStyle name="40% - Accent2 13 4 2 2" xfId="26943"/>
    <cellStyle name="40% - Accent2 13 4 2 2 2" xfId="26944"/>
    <cellStyle name="40% - Accent2 13 4 2 2 2 2" xfId="26945"/>
    <cellStyle name="40% - Accent2 13 4 2 2 3" xfId="26946"/>
    <cellStyle name="40% - Accent2 13 4 2 3" xfId="26947"/>
    <cellStyle name="40% - Accent2 13 4 2 3 2" xfId="26948"/>
    <cellStyle name="40% - Accent2 13 4 2 4" xfId="26949"/>
    <cellStyle name="40% - Accent2 13 4 3" xfId="26950"/>
    <cellStyle name="40% - Accent2 13 4 3 2" xfId="26951"/>
    <cellStyle name="40% - Accent2 13 4 3 2 2" xfId="26952"/>
    <cellStyle name="40% - Accent2 13 4 3 3" xfId="26953"/>
    <cellStyle name="40% - Accent2 13 4 4" xfId="26954"/>
    <cellStyle name="40% - Accent2 13 4 4 2" xfId="26955"/>
    <cellStyle name="40% - Accent2 13 4 5" xfId="26956"/>
    <cellStyle name="40% - Accent2 13 5" xfId="26957"/>
    <cellStyle name="40% - Accent2 13 5 2" xfId="26958"/>
    <cellStyle name="40% - Accent2 13 5 2 2" xfId="26959"/>
    <cellStyle name="40% - Accent2 13 5 2 2 2" xfId="26960"/>
    <cellStyle name="40% - Accent2 13 5 2 2 2 2" xfId="26961"/>
    <cellStyle name="40% - Accent2 13 5 2 2 3" xfId="26962"/>
    <cellStyle name="40% - Accent2 13 5 2 3" xfId="26963"/>
    <cellStyle name="40% - Accent2 13 5 2 3 2" xfId="26964"/>
    <cellStyle name="40% - Accent2 13 5 2 4" xfId="26965"/>
    <cellStyle name="40% - Accent2 13 5 3" xfId="26966"/>
    <cellStyle name="40% - Accent2 13 5 3 2" xfId="26967"/>
    <cellStyle name="40% - Accent2 13 5 3 2 2" xfId="26968"/>
    <cellStyle name="40% - Accent2 13 5 3 3" xfId="26969"/>
    <cellStyle name="40% - Accent2 13 5 4" xfId="26970"/>
    <cellStyle name="40% - Accent2 13 5 4 2" xfId="26971"/>
    <cellStyle name="40% - Accent2 13 5 5" xfId="26972"/>
    <cellStyle name="40% - Accent2 13 6" xfId="26973"/>
    <cellStyle name="40% - Accent2 13 6 2" xfId="26974"/>
    <cellStyle name="40% - Accent2 13 6 2 2" xfId="26975"/>
    <cellStyle name="40% - Accent2 13 6 2 2 2" xfId="26976"/>
    <cellStyle name="40% - Accent2 13 6 2 2 2 2" xfId="26977"/>
    <cellStyle name="40% - Accent2 13 6 2 2 3" xfId="26978"/>
    <cellStyle name="40% - Accent2 13 6 2 3" xfId="26979"/>
    <cellStyle name="40% - Accent2 13 6 2 3 2" xfId="26980"/>
    <cellStyle name="40% - Accent2 13 6 2 4" xfId="26981"/>
    <cellStyle name="40% - Accent2 13 6 3" xfId="26982"/>
    <cellStyle name="40% - Accent2 13 6 3 2" xfId="26983"/>
    <cellStyle name="40% - Accent2 13 6 3 2 2" xfId="26984"/>
    <cellStyle name="40% - Accent2 13 6 3 3" xfId="26985"/>
    <cellStyle name="40% - Accent2 13 6 4" xfId="26986"/>
    <cellStyle name="40% - Accent2 13 6 4 2" xfId="26987"/>
    <cellStyle name="40% - Accent2 13 6 5" xfId="26988"/>
    <cellStyle name="40% - Accent2 13 7" xfId="26989"/>
    <cellStyle name="40% - Accent2 13 7 2" xfId="26990"/>
    <cellStyle name="40% - Accent2 13 7 2 2" xfId="26991"/>
    <cellStyle name="40% - Accent2 13 7 2 2 2" xfId="26992"/>
    <cellStyle name="40% - Accent2 13 7 2 3" xfId="26993"/>
    <cellStyle name="40% - Accent2 13 7 3" xfId="26994"/>
    <cellStyle name="40% - Accent2 13 7 3 2" xfId="26995"/>
    <cellStyle name="40% - Accent2 13 7 4" xfId="26996"/>
    <cellStyle name="40% - Accent2 13 8" xfId="26997"/>
    <cellStyle name="40% - Accent2 13 8 2" xfId="26998"/>
    <cellStyle name="40% - Accent2 13 8 2 2" xfId="26999"/>
    <cellStyle name="40% - Accent2 13 8 3" xfId="27000"/>
    <cellStyle name="40% - Accent2 13 9" xfId="27001"/>
    <cellStyle name="40% - Accent2 13 9 2" xfId="27002"/>
    <cellStyle name="40% - Accent2 14" xfId="27003"/>
    <cellStyle name="40% - Accent2 14 2" xfId="27004"/>
    <cellStyle name="40% - Accent2 14 2 2" xfId="27005"/>
    <cellStyle name="40% - Accent2 14 2 2 2" xfId="27006"/>
    <cellStyle name="40% - Accent2 14 2 2 2 2" xfId="27007"/>
    <cellStyle name="40% - Accent2 14 2 2 3" xfId="27008"/>
    <cellStyle name="40% - Accent2 14 2 3" xfId="27009"/>
    <cellStyle name="40% - Accent2 14 2 3 2" xfId="27010"/>
    <cellStyle name="40% - Accent2 14 2 4" xfId="27011"/>
    <cellStyle name="40% - Accent2 14 3" xfId="27012"/>
    <cellStyle name="40% - Accent2 14 3 2" xfId="27013"/>
    <cellStyle name="40% - Accent2 14 3 2 2" xfId="27014"/>
    <cellStyle name="40% - Accent2 14 3 3" xfId="27015"/>
    <cellStyle name="40% - Accent2 14 4" xfId="27016"/>
    <cellStyle name="40% - Accent2 14 4 2" xfId="27017"/>
    <cellStyle name="40% - Accent2 14 5" xfId="27018"/>
    <cellStyle name="40% - Accent2 15" xfId="27019"/>
    <cellStyle name="40% - Accent2 15 2" xfId="27020"/>
    <cellStyle name="40% - Accent2 15 2 2" xfId="27021"/>
    <cellStyle name="40% - Accent2 15 2 2 2" xfId="27022"/>
    <cellStyle name="40% - Accent2 15 2 2 2 2" xfId="27023"/>
    <cellStyle name="40% - Accent2 15 2 2 3" xfId="27024"/>
    <cellStyle name="40% - Accent2 15 2 3" xfId="27025"/>
    <cellStyle name="40% - Accent2 15 2 3 2" xfId="27026"/>
    <cellStyle name="40% - Accent2 15 2 4" xfId="27027"/>
    <cellStyle name="40% - Accent2 15 3" xfId="27028"/>
    <cellStyle name="40% - Accent2 15 3 2" xfId="27029"/>
    <cellStyle name="40% - Accent2 15 3 2 2" xfId="27030"/>
    <cellStyle name="40% - Accent2 15 3 3" xfId="27031"/>
    <cellStyle name="40% - Accent2 15 4" xfId="27032"/>
    <cellStyle name="40% - Accent2 15 4 2" xfId="27033"/>
    <cellStyle name="40% - Accent2 15 5" xfId="27034"/>
    <cellStyle name="40% - Accent2 16" xfId="27035"/>
    <cellStyle name="40% - Accent2 16 2" xfId="27036"/>
    <cellStyle name="40% - Accent2 16 2 2" xfId="27037"/>
    <cellStyle name="40% - Accent2 16 2 2 2" xfId="27038"/>
    <cellStyle name="40% - Accent2 16 2 2 2 2" xfId="27039"/>
    <cellStyle name="40% - Accent2 16 2 2 3" xfId="27040"/>
    <cellStyle name="40% - Accent2 16 2 3" xfId="27041"/>
    <cellStyle name="40% - Accent2 16 2 3 2" xfId="27042"/>
    <cellStyle name="40% - Accent2 16 2 4" xfId="27043"/>
    <cellStyle name="40% - Accent2 16 3" xfId="27044"/>
    <cellStyle name="40% - Accent2 16 3 2" xfId="27045"/>
    <cellStyle name="40% - Accent2 16 3 2 2" xfId="27046"/>
    <cellStyle name="40% - Accent2 16 3 3" xfId="27047"/>
    <cellStyle name="40% - Accent2 16 4" xfId="27048"/>
    <cellStyle name="40% - Accent2 16 4 2" xfId="27049"/>
    <cellStyle name="40% - Accent2 16 5" xfId="27050"/>
    <cellStyle name="40% - Accent2 17" xfId="27051"/>
    <cellStyle name="40% - Accent2 17 2" xfId="27052"/>
    <cellStyle name="40% - Accent2 17 2 2" xfId="27053"/>
    <cellStyle name="40% - Accent2 17 2 2 2" xfId="27054"/>
    <cellStyle name="40% - Accent2 17 2 2 2 2" xfId="27055"/>
    <cellStyle name="40% - Accent2 17 2 2 3" xfId="27056"/>
    <cellStyle name="40% - Accent2 17 2 3" xfId="27057"/>
    <cellStyle name="40% - Accent2 17 2 3 2" xfId="27058"/>
    <cellStyle name="40% - Accent2 17 2 4" xfId="27059"/>
    <cellStyle name="40% - Accent2 17 3" xfId="27060"/>
    <cellStyle name="40% - Accent2 17 3 2" xfId="27061"/>
    <cellStyle name="40% - Accent2 17 3 2 2" xfId="27062"/>
    <cellStyle name="40% - Accent2 17 3 3" xfId="27063"/>
    <cellStyle name="40% - Accent2 17 4" xfId="27064"/>
    <cellStyle name="40% - Accent2 17 4 2" xfId="27065"/>
    <cellStyle name="40% - Accent2 17 5" xfId="27066"/>
    <cellStyle name="40% - Accent2 18" xfId="27067"/>
    <cellStyle name="40% - Accent2 18 2" xfId="27068"/>
    <cellStyle name="40% - Accent2 18 2 2" xfId="27069"/>
    <cellStyle name="40% - Accent2 18 2 2 2" xfId="27070"/>
    <cellStyle name="40% - Accent2 18 2 2 2 2" xfId="27071"/>
    <cellStyle name="40% - Accent2 18 2 2 3" xfId="27072"/>
    <cellStyle name="40% - Accent2 18 2 3" xfId="27073"/>
    <cellStyle name="40% - Accent2 18 2 3 2" xfId="27074"/>
    <cellStyle name="40% - Accent2 18 2 4" xfId="27075"/>
    <cellStyle name="40% - Accent2 18 3" xfId="27076"/>
    <cellStyle name="40% - Accent2 18 3 2" xfId="27077"/>
    <cellStyle name="40% - Accent2 18 3 2 2" xfId="27078"/>
    <cellStyle name="40% - Accent2 18 3 3" xfId="27079"/>
    <cellStyle name="40% - Accent2 18 4" xfId="27080"/>
    <cellStyle name="40% - Accent2 18 4 2" xfId="27081"/>
    <cellStyle name="40% - Accent2 18 5" xfId="27082"/>
    <cellStyle name="40% - Accent2 19" xfId="27083"/>
    <cellStyle name="40% - Accent2 19 2" xfId="27084"/>
    <cellStyle name="40% - Accent2 19 2 2" xfId="27085"/>
    <cellStyle name="40% - Accent2 19 2 2 2" xfId="27086"/>
    <cellStyle name="40% - Accent2 19 2 2 2 2" xfId="27087"/>
    <cellStyle name="40% - Accent2 19 2 2 3" xfId="27088"/>
    <cellStyle name="40% - Accent2 19 2 3" xfId="27089"/>
    <cellStyle name="40% - Accent2 19 2 3 2" xfId="27090"/>
    <cellStyle name="40% - Accent2 19 2 4" xfId="27091"/>
    <cellStyle name="40% - Accent2 19 3" xfId="27092"/>
    <cellStyle name="40% - Accent2 19 3 2" xfId="27093"/>
    <cellStyle name="40% - Accent2 19 3 2 2" xfId="27094"/>
    <cellStyle name="40% - Accent2 19 3 3" xfId="27095"/>
    <cellStyle name="40% - Accent2 19 4" xfId="27096"/>
    <cellStyle name="40% - Accent2 19 4 2" xfId="27097"/>
    <cellStyle name="40% - Accent2 19 5" xfId="27098"/>
    <cellStyle name="40% - Accent2 2" xfId="27099"/>
    <cellStyle name="40% - Accent2 2 10" xfId="27100"/>
    <cellStyle name="40% - Accent2 2 10 10" xfId="27101"/>
    <cellStyle name="40% - Accent2 2 10 2" xfId="27102"/>
    <cellStyle name="40% - Accent2 2 10 2 2" xfId="27103"/>
    <cellStyle name="40% - Accent2 2 10 2 2 2" xfId="27104"/>
    <cellStyle name="40% - Accent2 2 10 2 2 2 2" xfId="27105"/>
    <cellStyle name="40% - Accent2 2 10 2 2 2 2 2" xfId="27106"/>
    <cellStyle name="40% - Accent2 2 10 2 2 2 3" xfId="27107"/>
    <cellStyle name="40% - Accent2 2 10 2 2 3" xfId="27108"/>
    <cellStyle name="40% - Accent2 2 10 2 2 3 2" xfId="27109"/>
    <cellStyle name="40% - Accent2 2 10 2 2 4" xfId="27110"/>
    <cellStyle name="40% - Accent2 2 10 2 3" xfId="27111"/>
    <cellStyle name="40% - Accent2 2 10 2 3 2" xfId="27112"/>
    <cellStyle name="40% - Accent2 2 10 2 3 2 2" xfId="27113"/>
    <cellStyle name="40% - Accent2 2 10 2 3 3" xfId="27114"/>
    <cellStyle name="40% - Accent2 2 10 2 4" xfId="27115"/>
    <cellStyle name="40% - Accent2 2 10 2 4 2" xfId="27116"/>
    <cellStyle name="40% - Accent2 2 10 2 5" xfId="27117"/>
    <cellStyle name="40% - Accent2 2 10 3" xfId="27118"/>
    <cellStyle name="40% - Accent2 2 10 3 2" xfId="27119"/>
    <cellStyle name="40% - Accent2 2 10 3 2 2" xfId="27120"/>
    <cellStyle name="40% - Accent2 2 10 3 2 2 2" xfId="27121"/>
    <cellStyle name="40% - Accent2 2 10 3 2 2 2 2" xfId="27122"/>
    <cellStyle name="40% - Accent2 2 10 3 2 2 3" xfId="27123"/>
    <cellStyle name="40% - Accent2 2 10 3 2 3" xfId="27124"/>
    <cellStyle name="40% - Accent2 2 10 3 2 3 2" xfId="27125"/>
    <cellStyle name="40% - Accent2 2 10 3 2 4" xfId="27126"/>
    <cellStyle name="40% - Accent2 2 10 3 3" xfId="27127"/>
    <cellStyle name="40% - Accent2 2 10 3 3 2" xfId="27128"/>
    <cellStyle name="40% - Accent2 2 10 3 3 2 2" xfId="27129"/>
    <cellStyle name="40% - Accent2 2 10 3 3 3" xfId="27130"/>
    <cellStyle name="40% - Accent2 2 10 3 4" xfId="27131"/>
    <cellStyle name="40% - Accent2 2 10 3 4 2" xfId="27132"/>
    <cellStyle name="40% - Accent2 2 10 3 5" xfId="27133"/>
    <cellStyle name="40% - Accent2 2 10 4" xfId="27134"/>
    <cellStyle name="40% - Accent2 2 10 4 2" xfId="27135"/>
    <cellStyle name="40% - Accent2 2 10 4 2 2" xfId="27136"/>
    <cellStyle name="40% - Accent2 2 10 4 2 2 2" xfId="27137"/>
    <cellStyle name="40% - Accent2 2 10 4 2 2 2 2" xfId="27138"/>
    <cellStyle name="40% - Accent2 2 10 4 2 2 3" xfId="27139"/>
    <cellStyle name="40% - Accent2 2 10 4 2 3" xfId="27140"/>
    <cellStyle name="40% - Accent2 2 10 4 2 3 2" xfId="27141"/>
    <cellStyle name="40% - Accent2 2 10 4 2 4" xfId="27142"/>
    <cellStyle name="40% - Accent2 2 10 4 3" xfId="27143"/>
    <cellStyle name="40% - Accent2 2 10 4 3 2" xfId="27144"/>
    <cellStyle name="40% - Accent2 2 10 4 3 2 2" xfId="27145"/>
    <cellStyle name="40% - Accent2 2 10 4 3 3" xfId="27146"/>
    <cellStyle name="40% - Accent2 2 10 4 4" xfId="27147"/>
    <cellStyle name="40% - Accent2 2 10 4 4 2" xfId="27148"/>
    <cellStyle name="40% - Accent2 2 10 4 5" xfId="27149"/>
    <cellStyle name="40% - Accent2 2 10 5" xfId="27150"/>
    <cellStyle name="40% - Accent2 2 10 5 2" xfId="27151"/>
    <cellStyle name="40% - Accent2 2 10 5 2 2" xfId="27152"/>
    <cellStyle name="40% - Accent2 2 10 5 2 2 2" xfId="27153"/>
    <cellStyle name="40% - Accent2 2 10 5 2 2 2 2" xfId="27154"/>
    <cellStyle name="40% - Accent2 2 10 5 2 2 3" xfId="27155"/>
    <cellStyle name="40% - Accent2 2 10 5 2 3" xfId="27156"/>
    <cellStyle name="40% - Accent2 2 10 5 2 3 2" xfId="27157"/>
    <cellStyle name="40% - Accent2 2 10 5 2 4" xfId="27158"/>
    <cellStyle name="40% - Accent2 2 10 5 3" xfId="27159"/>
    <cellStyle name="40% - Accent2 2 10 5 3 2" xfId="27160"/>
    <cellStyle name="40% - Accent2 2 10 5 3 2 2" xfId="27161"/>
    <cellStyle name="40% - Accent2 2 10 5 3 3" xfId="27162"/>
    <cellStyle name="40% - Accent2 2 10 5 4" xfId="27163"/>
    <cellStyle name="40% - Accent2 2 10 5 4 2" xfId="27164"/>
    <cellStyle name="40% - Accent2 2 10 5 5" xfId="27165"/>
    <cellStyle name="40% - Accent2 2 10 6" xfId="27166"/>
    <cellStyle name="40% - Accent2 2 10 6 2" xfId="27167"/>
    <cellStyle name="40% - Accent2 2 10 6 2 2" xfId="27168"/>
    <cellStyle name="40% - Accent2 2 10 6 2 2 2" xfId="27169"/>
    <cellStyle name="40% - Accent2 2 10 6 2 2 2 2" xfId="27170"/>
    <cellStyle name="40% - Accent2 2 10 6 2 2 3" xfId="27171"/>
    <cellStyle name="40% - Accent2 2 10 6 2 3" xfId="27172"/>
    <cellStyle name="40% - Accent2 2 10 6 2 3 2" xfId="27173"/>
    <cellStyle name="40% - Accent2 2 10 6 2 4" xfId="27174"/>
    <cellStyle name="40% - Accent2 2 10 6 3" xfId="27175"/>
    <cellStyle name="40% - Accent2 2 10 6 3 2" xfId="27176"/>
    <cellStyle name="40% - Accent2 2 10 6 3 2 2" xfId="27177"/>
    <cellStyle name="40% - Accent2 2 10 6 3 3" xfId="27178"/>
    <cellStyle name="40% - Accent2 2 10 6 4" xfId="27179"/>
    <cellStyle name="40% - Accent2 2 10 6 4 2" xfId="27180"/>
    <cellStyle name="40% - Accent2 2 10 6 5" xfId="27181"/>
    <cellStyle name="40% - Accent2 2 10 7" xfId="27182"/>
    <cellStyle name="40% - Accent2 2 10 7 2" xfId="27183"/>
    <cellStyle name="40% - Accent2 2 10 7 2 2" xfId="27184"/>
    <cellStyle name="40% - Accent2 2 10 7 2 2 2" xfId="27185"/>
    <cellStyle name="40% - Accent2 2 10 7 2 3" xfId="27186"/>
    <cellStyle name="40% - Accent2 2 10 7 3" xfId="27187"/>
    <cellStyle name="40% - Accent2 2 10 7 3 2" xfId="27188"/>
    <cellStyle name="40% - Accent2 2 10 7 4" xfId="27189"/>
    <cellStyle name="40% - Accent2 2 10 8" xfId="27190"/>
    <cellStyle name="40% - Accent2 2 10 8 2" xfId="27191"/>
    <cellStyle name="40% - Accent2 2 10 8 2 2" xfId="27192"/>
    <cellStyle name="40% - Accent2 2 10 8 3" xfId="27193"/>
    <cellStyle name="40% - Accent2 2 10 9" xfId="27194"/>
    <cellStyle name="40% - Accent2 2 10 9 2" xfId="27195"/>
    <cellStyle name="40% - Accent2 2 11" xfId="27196"/>
    <cellStyle name="40% - Accent2 2 11 2" xfId="27197"/>
    <cellStyle name="40% - Accent2 2 11 2 2" xfId="27198"/>
    <cellStyle name="40% - Accent2 2 11 2 2 2" xfId="27199"/>
    <cellStyle name="40% - Accent2 2 11 2 2 2 2" xfId="27200"/>
    <cellStyle name="40% - Accent2 2 11 2 2 3" xfId="27201"/>
    <cellStyle name="40% - Accent2 2 11 2 3" xfId="27202"/>
    <cellStyle name="40% - Accent2 2 11 2 3 2" xfId="27203"/>
    <cellStyle name="40% - Accent2 2 11 2 4" xfId="27204"/>
    <cellStyle name="40% - Accent2 2 11 3" xfId="27205"/>
    <cellStyle name="40% - Accent2 2 11 3 2" xfId="27206"/>
    <cellStyle name="40% - Accent2 2 11 3 2 2" xfId="27207"/>
    <cellStyle name="40% - Accent2 2 11 3 3" xfId="27208"/>
    <cellStyle name="40% - Accent2 2 11 4" xfId="27209"/>
    <cellStyle name="40% - Accent2 2 11 4 2" xfId="27210"/>
    <cellStyle name="40% - Accent2 2 11 5" xfId="27211"/>
    <cellStyle name="40% - Accent2 2 12" xfId="27212"/>
    <cellStyle name="40% - Accent2 2 12 2" xfId="27213"/>
    <cellStyle name="40% - Accent2 2 12 2 2" xfId="27214"/>
    <cellStyle name="40% - Accent2 2 12 2 2 2" xfId="27215"/>
    <cellStyle name="40% - Accent2 2 12 2 2 2 2" xfId="27216"/>
    <cellStyle name="40% - Accent2 2 12 2 2 3" xfId="27217"/>
    <cellStyle name="40% - Accent2 2 12 2 3" xfId="27218"/>
    <cellStyle name="40% - Accent2 2 12 2 3 2" xfId="27219"/>
    <cellStyle name="40% - Accent2 2 12 2 4" xfId="27220"/>
    <cellStyle name="40% - Accent2 2 12 3" xfId="27221"/>
    <cellStyle name="40% - Accent2 2 12 3 2" xfId="27222"/>
    <cellStyle name="40% - Accent2 2 12 3 2 2" xfId="27223"/>
    <cellStyle name="40% - Accent2 2 12 3 3" xfId="27224"/>
    <cellStyle name="40% - Accent2 2 12 4" xfId="27225"/>
    <cellStyle name="40% - Accent2 2 12 4 2" xfId="27226"/>
    <cellStyle name="40% - Accent2 2 12 5" xfId="27227"/>
    <cellStyle name="40% - Accent2 2 13" xfId="27228"/>
    <cellStyle name="40% - Accent2 2 13 2" xfId="27229"/>
    <cellStyle name="40% - Accent2 2 13 2 2" xfId="27230"/>
    <cellStyle name="40% - Accent2 2 13 2 2 2" xfId="27231"/>
    <cellStyle name="40% - Accent2 2 13 2 2 2 2" xfId="27232"/>
    <cellStyle name="40% - Accent2 2 13 2 2 3" xfId="27233"/>
    <cellStyle name="40% - Accent2 2 13 2 3" xfId="27234"/>
    <cellStyle name="40% - Accent2 2 13 2 3 2" xfId="27235"/>
    <cellStyle name="40% - Accent2 2 13 2 4" xfId="27236"/>
    <cellStyle name="40% - Accent2 2 13 3" xfId="27237"/>
    <cellStyle name="40% - Accent2 2 13 3 2" xfId="27238"/>
    <cellStyle name="40% - Accent2 2 13 3 2 2" xfId="27239"/>
    <cellStyle name="40% - Accent2 2 13 3 3" xfId="27240"/>
    <cellStyle name="40% - Accent2 2 13 4" xfId="27241"/>
    <cellStyle name="40% - Accent2 2 13 4 2" xfId="27242"/>
    <cellStyle name="40% - Accent2 2 13 5" xfId="27243"/>
    <cellStyle name="40% - Accent2 2 14" xfId="27244"/>
    <cellStyle name="40% - Accent2 2 14 2" xfId="27245"/>
    <cellStyle name="40% - Accent2 2 14 2 2" xfId="27246"/>
    <cellStyle name="40% - Accent2 2 14 2 2 2" xfId="27247"/>
    <cellStyle name="40% - Accent2 2 14 2 2 2 2" xfId="27248"/>
    <cellStyle name="40% - Accent2 2 14 2 2 3" xfId="27249"/>
    <cellStyle name="40% - Accent2 2 14 2 3" xfId="27250"/>
    <cellStyle name="40% - Accent2 2 14 2 3 2" xfId="27251"/>
    <cellStyle name="40% - Accent2 2 14 2 4" xfId="27252"/>
    <cellStyle name="40% - Accent2 2 14 3" xfId="27253"/>
    <cellStyle name="40% - Accent2 2 14 3 2" xfId="27254"/>
    <cellStyle name="40% - Accent2 2 14 3 2 2" xfId="27255"/>
    <cellStyle name="40% - Accent2 2 14 3 3" xfId="27256"/>
    <cellStyle name="40% - Accent2 2 14 4" xfId="27257"/>
    <cellStyle name="40% - Accent2 2 14 4 2" xfId="27258"/>
    <cellStyle name="40% - Accent2 2 14 5" xfId="27259"/>
    <cellStyle name="40% - Accent2 2 15" xfId="27260"/>
    <cellStyle name="40% - Accent2 2 15 2" xfId="27261"/>
    <cellStyle name="40% - Accent2 2 15 2 2" xfId="27262"/>
    <cellStyle name="40% - Accent2 2 15 2 2 2" xfId="27263"/>
    <cellStyle name="40% - Accent2 2 15 2 2 2 2" xfId="27264"/>
    <cellStyle name="40% - Accent2 2 15 2 2 3" xfId="27265"/>
    <cellStyle name="40% - Accent2 2 15 2 3" xfId="27266"/>
    <cellStyle name="40% - Accent2 2 15 2 3 2" xfId="27267"/>
    <cellStyle name="40% - Accent2 2 15 2 4" xfId="27268"/>
    <cellStyle name="40% - Accent2 2 15 3" xfId="27269"/>
    <cellStyle name="40% - Accent2 2 15 3 2" xfId="27270"/>
    <cellStyle name="40% - Accent2 2 15 3 2 2" xfId="27271"/>
    <cellStyle name="40% - Accent2 2 15 3 3" xfId="27272"/>
    <cellStyle name="40% - Accent2 2 15 4" xfId="27273"/>
    <cellStyle name="40% - Accent2 2 15 4 2" xfId="27274"/>
    <cellStyle name="40% - Accent2 2 15 5" xfId="27275"/>
    <cellStyle name="40% - Accent2 2 16" xfId="27276"/>
    <cellStyle name="40% - Accent2 2 16 2" xfId="27277"/>
    <cellStyle name="40% - Accent2 2 16 2 2" xfId="27278"/>
    <cellStyle name="40% - Accent2 2 16 2 2 2" xfId="27279"/>
    <cellStyle name="40% - Accent2 2 16 2 3" xfId="27280"/>
    <cellStyle name="40% - Accent2 2 16 3" xfId="27281"/>
    <cellStyle name="40% - Accent2 2 16 3 2" xfId="27282"/>
    <cellStyle name="40% - Accent2 2 16 4" xfId="27283"/>
    <cellStyle name="40% - Accent2 2 17" xfId="27284"/>
    <cellStyle name="40% - Accent2 2 17 2" xfId="27285"/>
    <cellStyle name="40% - Accent2 2 17 2 2" xfId="27286"/>
    <cellStyle name="40% - Accent2 2 17 3" xfId="27287"/>
    <cellStyle name="40% - Accent2 2 18" xfId="27288"/>
    <cellStyle name="40% - Accent2 2 18 2" xfId="27289"/>
    <cellStyle name="40% - Accent2 2 19" xfId="27290"/>
    <cellStyle name="40% - Accent2 2 2" xfId="27291"/>
    <cellStyle name="40% - Accent2 2 2 10" xfId="27292"/>
    <cellStyle name="40% - Accent2 2 2 10 2" xfId="27293"/>
    <cellStyle name="40% - Accent2 2 2 11" xfId="27294"/>
    <cellStyle name="40% - Accent2 2 2 2" xfId="27295"/>
    <cellStyle name="40% - Accent2 2 2 2 10" xfId="27296"/>
    <cellStyle name="40% - Accent2 2 2 2 2" xfId="27297"/>
    <cellStyle name="40% - Accent2 2 2 2 2 2" xfId="27298"/>
    <cellStyle name="40% - Accent2 2 2 2 2 2 2" xfId="27299"/>
    <cellStyle name="40% - Accent2 2 2 2 2 2 2 2" xfId="27300"/>
    <cellStyle name="40% - Accent2 2 2 2 2 2 2 2 2" xfId="27301"/>
    <cellStyle name="40% - Accent2 2 2 2 2 2 2 3" xfId="27302"/>
    <cellStyle name="40% - Accent2 2 2 2 2 2 3" xfId="27303"/>
    <cellStyle name="40% - Accent2 2 2 2 2 2 3 2" xfId="27304"/>
    <cellStyle name="40% - Accent2 2 2 2 2 2 4" xfId="27305"/>
    <cellStyle name="40% - Accent2 2 2 2 2 3" xfId="27306"/>
    <cellStyle name="40% - Accent2 2 2 2 2 3 2" xfId="27307"/>
    <cellStyle name="40% - Accent2 2 2 2 2 3 2 2" xfId="27308"/>
    <cellStyle name="40% - Accent2 2 2 2 2 3 3" xfId="27309"/>
    <cellStyle name="40% - Accent2 2 2 2 2 4" xfId="27310"/>
    <cellStyle name="40% - Accent2 2 2 2 2 4 2" xfId="27311"/>
    <cellStyle name="40% - Accent2 2 2 2 2 5" xfId="27312"/>
    <cellStyle name="40% - Accent2 2 2 2 3" xfId="27313"/>
    <cellStyle name="40% - Accent2 2 2 2 3 2" xfId="27314"/>
    <cellStyle name="40% - Accent2 2 2 2 3 2 2" xfId="27315"/>
    <cellStyle name="40% - Accent2 2 2 2 3 2 2 2" xfId="27316"/>
    <cellStyle name="40% - Accent2 2 2 2 3 2 2 2 2" xfId="27317"/>
    <cellStyle name="40% - Accent2 2 2 2 3 2 2 3" xfId="27318"/>
    <cellStyle name="40% - Accent2 2 2 2 3 2 3" xfId="27319"/>
    <cellStyle name="40% - Accent2 2 2 2 3 2 3 2" xfId="27320"/>
    <cellStyle name="40% - Accent2 2 2 2 3 2 4" xfId="27321"/>
    <cellStyle name="40% - Accent2 2 2 2 3 3" xfId="27322"/>
    <cellStyle name="40% - Accent2 2 2 2 3 3 2" xfId="27323"/>
    <cellStyle name="40% - Accent2 2 2 2 3 3 2 2" xfId="27324"/>
    <cellStyle name="40% - Accent2 2 2 2 3 3 3" xfId="27325"/>
    <cellStyle name="40% - Accent2 2 2 2 3 4" xfId="27326"/>
    <cellStyle name="40% - Accent2 2 2 2 3 4 2" xfId="27327"/>
    <cellStyle name="40% - Accent2 2 2 2 3 5" xfId="27328"/>
    <cellStyle name="40% - Accent2 2 2 2 4" xfId="27329"/>
    <cellStyle name="40% - Accent2 2 2 2 4 2" xfId="27330"/>
    <cellStyle name="40% - Accent2 2 2 2 4 2 2" xfId="27331"/>
    <cellStyle name="40% - Accent2 2 2 2 4 2 2 2" xfId="27332"/>
    <cellStyle name="40% - Accent2 2 2 2 4 2 2 2 2" xfId="27333"/>
    <cellStyle name="40% - Accent2 2 2 2 4 2 2 3" xfId="27334"/>
    <cellStyle name="40% - Accent2 2 2 2 4 2 3" xfId="27335"/>
    <cellStyle name="40% - Accent2 2 2 2 4 2 3 2" xfId="27336"/>
    <cellStyle name="40% - Accent2 2 2 2 4 2 4" xfId="27337"/>
    <cellStyle name="40% - Accent2 2 2 2 4 3" xfId="27338"/>
    <cellStyle name="40% - Accent2 2 2 2 4 3 2" xfId="27339"/>
    <cellStyle name="40% - Accent2 2 2 2 4 3 2 2" xfId="27340"/>
    <cellStyle name="40% - Accent2 2 2 2 4 3 3" xfId="27341"/>
    <cellStyle name="40% - Accent2 2 2 2 4 4" xfId="27342"/>
    <cellStyle name="40% - Accent2 2 2 2 4 4 2" xfId="27343"/>
    <cellStyle name="40% - Accent2 2 2 2 4 5" xfId="27344"/>
    <cellStyle name="40% - Accent2 2 2 2 5" xfId="27345"/>
    <cellStyle name="40% - Accent2 2 2 2 5 2" xfId="27346"/>
    <cellStyle name="40% - Accent2 2 2 2 5 2 2" xfId="27347"/>
    <cellStyle name="40% - Accent2 2 2 2 5 2 2 2" xfId="27348"/>
    <cellStyle name="40% - Accent2 2 2 2 5 2 2 2 2" xfId="27349"/>
    <cellStyle name="40% - Accent2 2 2 2 5 2 2 3" xfId="27350"/>
    <cellStyle name="40% - Accent2 2 2 2 5 2 3" xfId="27351"/>
    <cellStyle name="40% - Accent2 2 2 2 5 2 3 2" xfId="27352"/>
    <cellStyle name="40% - Accent2 2 2 2 5 2 4" xfId="27353"/>
    <cellStyle name="40% - Accent2 2 2 2 5 3" xfId="27354"/>
    <cellStyle name="40% - Accent2 2 2 2 5 3 2" xfId="27355"/>
    <cellStyle name="40% - Accent2 2 2 2 5 3 2 2" xfId="27356"/>
    <cellStyle name="40% - Accent2 2 2 2 5 3 3" xfId="27357"/>
    <cellStyle name="40% - Accent2 2 2 2 5 4" xfId="27358"/>
    <cellStyle name="40% - Accent2 2 2 2 5 4 2" xfId="27359"/>
    <cellStyle name="40% - Accent2 2 2 2 5 5" xfId="27360"/>
    <cellStyle name="40% - Accent2 2 2 2 6" xfId="27361"/>
    <cellStyle name="40% - Accent2 2 2 2 6 2" xfId="27362"/>
    <cellStyle name="40% - Accent2 2 2 2 6 2 2" xfId="27363"/>
    <cellStyle name="40% - Accent2 2 2 2 6 2 2 2" xfId="27364"/>
    <cellStyle name="40% - Accent2 2 2 2 6 2 2 2 2" xfId="27365"/>
    <cellStyle name="40% - Accent2 2 2 2 6 2 2 3" xfId="27366"/>
    <cellStyle name="40% - Accent2 2 2 2 6 2 3" xfId="27367"/>
    <cellStyle name="40% - Accent2 2 2 2 6 2 3 2" xfId="27368"/>
    <cellStyle name="40% - Accent2 2 2 2 6 2 4" xfId="27369"/>
    <cellStyle name="40% - Accent2 2 2 2 6 3" xfId="27370"/>
    <cellStyle name="40% - Accent2 2 2 2 6 3 2" xfId="27371"/>
    <cellStyle name="40% - Accent2 2 2 2 6 3 2 2" xfId="27372"/>
    <cellStyle name="40% - Accent2 2 2 2 6 3 3" xfId="27373"/>
    <cellStyle name="40% - Accent2 2 2 2 6 4" xfId="27374"/>
    <cellStyle name="40% - Accent2 2 2 2 6 4 2" xfId="27375"/>
    <cellStyle name="40% - Accent2 2 2 2 6 5" xfId="27376"/>
    <cellStyle name="40% - Accent2 2 2 2 7" xfId="27377"/>
    <cellStyle name="40% - Accent2 2 2 2 7 2" xfId="27378"/>
    <cellStyle name="40% - Accent2 2 2 2 7 2 2" xfId="27379"/>
    <cellStyle name="40% - Accent2 2 2 2 7 2 2 2" xfId="27380"/>
    <cellStyle name="40% - Accent2 2 2 2 7 2 3" xfId="27381"/>
    <cellStyle name="40% - Accent2 2 2 2 7 3" xfId="27382"/>
    <cellStyle name="40% - Accent2 2 2 2 7 3 2" xfId="27383"/>
    <cellStyle name="40% - Accent2 2 2 2 7 4" xfId="27384"/>
    <cellStyle name="40% - Accent2 2 2 2 8" xfId="27385"/>
    <cellStyle name="40% - Accent2 2 2 2 8 2" xfId="27386"/>
    <cellStyle name="40% - Accent2 2 2 2 8 2 2" xfId="27387"/>
    <cellStyle name="40% - Accent2 2 2 2 8 3" xfId="27388"/>
    <cellStyle name="40% - Accent2 2 2 2 9" xfId="27389"/>
    <cellStyle name="40% - Accent2 2 2 2 9 2" xfId="27390"/>
    <cellStyle name="40% - Accent2 2 2 3" xfId="27391"/>
    <cellStyle name="40% - Accent2 2 2 3 2" xfId="27392"/>
    <cellStyle name="40% - Accent2 2 2 3 2 2" xfId="27393"/>
    <cellStyle name="40% - Accent2 2 2 3 2 2 2" xfId="27394"/>
    <cellStyle name="40% - Accent2 2 2 3 2 2 2 2" xfId="27395"/>
    <cellStyle name="40% - Accent2 2 2 3 2 2 3" xfId="27396"/>
    <cellStyle name="40% - Accent2 2 2 3 2 3" xfId="27397"/>
    <cellStyle name="40% - Accent2 2 2 3 2 3 2" xfId="27398"/>
    <cellStyle name="40% - Accent2 2 2 3 2 4" xfId="27399"/>
    <cellStyle name="40% - Accent2 2 2 3 3" xfId="27400"/>
    <cellStyle name="40% - Accent2 2 2 3 3 2" xfId="27401"/>
    <cellStyle name="40% - Accent2 2 2 3 3 2 2" xfId="27402"/>
    <cellStyle name="40% - Accent2 2 2 3 3 3" xfId="27403"/>
    <cellStyle name="40% - Accent2 2 2 3 4" xfId="27404"/>
    <cellStyle name="40% - Accent2 2 2 3 4 2" xfId="27405"/>
    <cellStyle name="40% - Accent2 2 2 3 5" xfId="27406"/>
    <cellStyle name="40% - Accent2 2 2 4" xfId="27407"/>
    <cellStyle name="40% - Accent2 2 2 4 2" xfId="27408"/>
    <cellStyle name="40% - Accent2 2 2 4 2 2" xfId="27409"/>
    <cellStyle name="40% - Accent2 2 2 4 2 2 2" xfId="27410"/>
    <cellStyle name="40% - Accent2 2 2 4 2 2 2 2" xfId="27411"/>
    <cellStyle name="40% - Accent2 2 2 4 2 2 3" xfId="27412"/>
    <cellStyle name="40% - Accent2 2 2 4 2 3" xfId="27413"/>
    <cellStyle name="40% - Accent2 2 2 4 2 3 2" xfId="27414"/>
    <cellStyle name="40% - Accent2 2 2 4 2 4" xfId="27415"/>
    <cellStyle name="40% - Accent2 2 2 4 3" xfId="27416"/>
    <cellStyle name="40% - Accent2 2 2 4 3 2" xfId="27417"/>
    <cellStyle name="40% - Accent2 2 2 4 3 2 2" xfId="27418"/>
    <cellStyle name="40% - Accent2 2 2 4 3 3" xfId="27419"/>
    <cellStyle name="40% - Accent2 2 2 4 4" xfId="27420"/>
    <cellStyle name="40% - Accent2 2 2 4 4 2" xfId="27421"/>
    <cellStyle name="40% - Accent2 2 2 4 5" xfId="27422"/>
    <cellStyle name="40% - Accent2 2 2 5" xfId="27423"/>
    <cellStyle name="40% - Accent2 2 2 5 2" xfId="27424"/>
    <cellStyle name="40% - Accent2 2 2 5 2 2" xfId="27425"/>
    <cellStyle name="40% - Accent2 2 2 5 2 2 2" xfId="27426"/>
    <cellStyle name="40% - Accent2 2 2 5 2 2 2 2" xfId="27427"/>
    <cellStyle name="40% - Accent2 2 2 5 2 2 3" xfId="27428"/>
    <cellStyle name="40% - Accent2 2 2 5 2 3" xfId="27429"/>
    <cellStyle name="40% - Accent2 2 2 5 2 3 2" xfId="27430"/>
    <cellStyle name="40% - Accent2 2 2 5 2 4" xfId="27431"/>
    <cellStyle name="40% - Accent2 2 2 5 3" xfId="27432"/>
    <cellStyle name="40% - Accent2 2 2 5 3 2" xfId="27433"/>
    <cellStyle name="40% - Accent2 2 2 5 3 2 2" xfId="27434"/>
    <cellStyle name="40% - Accent2 2 2 5 3 3" xfId="27435"/>
    <cellStyle name="40% - Accent2 2 2 5 4" xfId="27436"/>
    <cellStyle name="40% - Accent2 2 2 5 4 2" xfId="27437"/>
    <cellStyle name="40% - Accent2 2 2 5 5" xfId="27438"/>
    <cellStyle name="40% - Accent2 2 2 6" xfId="27439"/>
    <cellStyle name="40% - Accent2 2 2 6 2" xfId="27440"/>
    <cellStyle name="40% - Accent2 2 2 6 2 2" xfId="27441"/>
    <cellStyle name="40% - Accent2 2 2 6 2 2 2" xfId="27442"/>
    <cellStyle name="40% - Accent2 2 2 6 2 2 2 2" xfId="27443"/>
    <cellStyle name="40% - Accent2 2 2 6 2 2 3" xfId="27444"/>
    <cellStyle name="40% - Accent2 2 2 6 2 3" xfId="27445"/>
    <cellStyle name="40% - Accent2 2 2 6 2 3 2" xfId="27446"/>
    <cellStyle name="40% - Accent2 2 2 6 2 4" xfId="27447"/>
    <cellStyle name="40% - Accent2 2 2 6 3" xfId="27448"/>
    <cellStyle name="40% - Accent2 2 2 6 3 2" xfId="27449"/>
    <cellStyle name="40% - Accent2 2 2 6 3 2 2" xfId="27450"/>
    <cellStyle name="40% - Accent2 2 2 6 3 3" xfId="27451"/>
    <cellStyle name="40% - Accent2 2 2 6 4" xfId="27452"/>
    <cellStyle name="40% - Accent2 2 2 6 4 2" xfId="27453"/>
    <cellStyle name="40% - Accent2 2 2 6 5" xfId="27454"/>
    <cellStyle name="40% - Accent2 2 2 7" xfId="27455"/>
    <cellStyle name="40% - Accent2 2 2 7 2" xfId="27456"/>
    <cellStyle name="40% - Accent2 2 2 7 2 2" xfId="27457"/>
    <cellStyle name="40% - Accent2 2 2 7 2 2 2" xfId="27458"/>
    <cellStyle name="40% - Accent2 2 2 7 2 2 2 2" xfId="27459"/>
    <cellStyle name="40% - Accent2 2 2 7 2 2 3" xfId="27460"/>
    <cellStyle name="40% - Accent2 2 2 7 2 3" xfId="27461"/>
    <cellStyle name="40% - Accent2 2 2 7 2 3 2" xfId="27462"/>
    <cellStyle name="40% - Accent2 2 2 7 2 4" xfId="27463"/>
    <cellStyle name="40% - Accent2 2 2 7 3" xfId="27464"/>
    <cellStyle name="40% - Accent2 2 2 7 3 2" xfId="27465"/>
    <cellStyle name="40% - Accent2 2 2 7 3 2 2" xfId="27466"/>
    <cellStyle name="40% - Accent2 2 2 7 3 3" xfId="27467"/>
    <cellStyle name="40% - Accent2 2 2 7 4" xfId="27468"/>
    <cellStyle name="40% - Accent2 2 2 7 4 2" xfId="27469"/>
    <cellStyle name="40% - Accent2 2 2 7 5" xfId="27470"/>
    <cellStyle name="40% - Accent2 2 2 8" xfId="27471"/>
    <cellStyle name="40% - Accent2 2 2 8 2" xfId="27472"/>
    <cellStyle name="40% - Accent2 2 2 8 2 2" xfId="27473"/>
    <cellStyle name="40% - Accent2 2 2 8 2 2 2" xfId="27474"/>
    <cellStyle name="40% - Accent2 2 2 8 2 3" xfId="27475"/>
    <cellStyle name="40% - Accent2 2 2 8 3" xfId="27476"/>
    <cellStyle name="40% - Accent2 2 2 8 3 2" xfId="27477"/>
    <cellStyle name="40% - Accent2 2 2 8 4" xfId="27478"/>
    <cellStyle name="40% - Accent2 2 2 9" xfId="27479"/>
    <cellStyle name="40% - Accent2 2 2 9 2" xfId="27480"/>
    <cellStyle name="40% - Accent2 2 2 9 2 2" xfId="27481"/>
    <cellStyle name="40% - Accent2 2 2 9 3" xfId="27482"/>
    <cellStyle name="40% - Accent2 2 3" xfId="27483"/>
    <cellStyle name="40% - Accent2 2 3 10" xfId="27484"/>
    <cellStyle name="40% - Accent2 2 3 10 2" xfId="27485"/>
    <cellStyle name="40% - Accent2 2 3 11" xfId="27486"/>
    <cellStyle name="40% - Accent2 2 3 2" xfId="27487"/>
    <cellStyle name="40% - Accent2 2 3 2 10" xfId="27488"/>
    <cellStyle name="40% - Accent2 2 3 2 2" xfId="27489"/>
    <cellStyle name="40% - Accent2 2 3 2 2 2" xfId="27490"/>
    <cellStyle name="40% - Accent2 2 3 2 2 2 2" xfId="27491"/>
    <cellStyle name="40% - Accent2 2 3 2 2 2 2 2" xfId="27492"/>
    <cellStyle name="40% - Accent2 2 3 2 2 2 2 2 2" xfId="27493"/>
    <cellStyle name="40% - Accent2 2 3 2 2 2 2 3" xfId="27494"/>
    <cellStyle name="40% - Accent2 2 3 2 2 2 3" xfId="27495"/>
    <cellStyle name="40% - Accent2 2 3 2 2 2 3 2" xfId="27496"/>
    <cellStyle name="40% - Accent2 2 3 2 2 2 4" xfId="27497"/>
    <cellStyle name="40% - Accent2 2 3 2 2 3" xfId="27498"/>
    <cellStyle name="40% - Accent2 2 3 2 2 3 2" xfId="27499"/>
    <cellStyle name="40% - Accent2 2 3 2 2 3 2 2" xfId="27500"/>
    <cellStyle name="40% - Accent2 2 3 2 2 3 3" xfId="27501"/>
    <cellStyle name="40% - Accent2 2 3 2 2 4" xfId="27502"/>
    <cellStyle name="40% - Accent2 2 3 2 2 4 2" xfId="27503"/>
    <cellStyle name="40% - Accent2 2 3 2 2 5" xfId="27504"/>
    <cellStyle name="40% - Accent2 2 3 2 3" xfId="27505"/>
    <cellStyle name="40% - Accent2 2 3 2 3 2" xfId="27506"/>
    <cellStyle name="40% - Accent2 2 3 2 3 2 2" xfId="27507"/>
    <cellStyle name="40% - Accent2 2 3 2 3 2 2 2" xfId="27508"/>
    <cellStyle name="40% - Accent2 2 3 2 3 2 2 2 2" xfId="27509"/>
    <cellStyle name="40% - Accent2 2 3 2 3 2 2 3" xfId="27510"/>
    <cellStyle name="40% - Accent2 2 3 2 3 2 3" xfId="27511"/>
    <cellStyle name="40% - Accent2 2 3 2 3 2 3 2" xfId="27512"/>
    <cellStyle name="40% - Accent2 2 3 2 3 2 4" xfId="27513"/>
    <cellStyle name="40% - Accent2 2 3 2 3 3" xfId="27514"/>
    <cellStyle name="40% - Accent2 2 3 2 3 3 2" xfId="27515"/>
    <cellStyle name="40% - Accent2 2 3 2 3 3 2 2" xfId="27516"/>
    <cellStyle name="40% - Accent2 2 3 2 3 3 3" xfId="27517"/>
    <cellStyle name="40% - Accent2 2 3 2 3 4" xfId="27518"/>
    <cellStyle name="40% - Accent2 2 3 2 3 4 2" xfId="27519"/>
    <cellStyle name="40% - Accent2 2 3 2 3 5" xfId="27520"/>
    <cellStyle name="40% - Accent2 2 3 2 4" xfId="27521"/>
    <cellStyle name="40% - Accent2 2 3 2 4 2" xfId="27522"/>
    <cellStyle name="40% - Accent2 2 3 2 4 2 2" xfId="27523"/>
    <cellStyle name="40% - Accent2 2 3 2 4 2 2 2" xfId="27524"/>
    <cellStyle name="40% - Accent2 2 3 2 4 2 2 2 2" xfId="27525"/>
    <cellStyle name="40% - Accent2 2 3 2 4 2 2 3" xfId="27526"/>
    <cellStyle name="40% - Accent2 2 3 2 4 2 3" xfId="27527"/>
    <cellStyle name="40% - Accent2 2 3 2 4 2 3 2" xfId="27528"/>
    <cellStyle name="40% - Accent2 2 3 2 4 2 4" xfId="27529"/>
    <cellStyle name="40% - Accent2 2 3 2 4 3" xfId="27530"/>
    <cellStyle name="40% - Accent2 2 3 2 4 3 2" xfId="27531"/>
    <cellStyle name="40% - Accent2 2 3 2 4 3 2 2" xfId="27532"/>
    <cellStyle name="40% - Accent2 2 3 2 4 3 3" xfId="27533"/>
    <cellStyle name="40% - Accent2 2 3 2 4 4" xfId="27534"/>
    <cellStyle name="40% - Accent2 2 3 2 4 4 2" xfId="27535"/>
    <cellStyle name="40% - Accent2 2 3 2 4 5" xfId="27536"/>
    <cellStyle name="40% - Accent2 2 3 2 5" xfId="27537"/>
    <cellStyle name="40% - Accent2 2 3 2 5 2" xfId="27538"/>
    <cellStyle name="40% - Accent2 2 3 2 5 2 2" xfId="27539"/>
    <cellStyle name="40% - Accent2 2 3 2 5 2 2 2" xfId="27540"/>
    <cellStyle name="40% - Accent2 2 3 2 5 2 2 2 2" xfId="27541"/>
    <cellStyle name="40% - Accent2 2 3 2 5 2 2 3" xfId="27542"/>
    <cellStyle name="40% - Accent2 2 3 2 5 2 3" xfId="27543"/>
    <cellStyle name="40% - Accent2 2 3 2 5 2 3 2" xfId="27544"/>
    <cellStyle name="40% - Accent2 2 3 2 5 2 4" xfId="27545"/>
    <cellStyle name="40% - Accent2 2 3 2 5 3" xfId="27546"/>
    <cellStyle name="40% - Accent2 2 3 2 5 3 2" xfId="27547"/>
    <cellStyle name="40% - Accent2 2 3 2 5 3 2 2" xfId="27548"/>
    <cellStyle name="40% - Accent2 2 3 2 5 3 3" xfId="27549"/>
    <cellStyle name="40% - Accent2 2 3 2 5 4" xfId="27550"/>
    <cellStyle name="40% - Accent2 2 3 2 5 4 2" xfId="27551"/>
    <cellStyle name="40% - Accent2 2 3 2 5 5" xfId="27552"/>
    <cellStyle name="40% - Accent2 2 3 2 6" xfId="27553"/>
    <cellStyle name="40% - Accent2 2 3 2 6 2" xfId="27554"/>
    <cellStyle name="40% - Accent2 2 3 2 6 2 2" xfId="27555"/>
    <cellStyle name="40% - Accent2 2 3 2 6 2 2 2" xfId="27556"/>
    <cellStyle name="40% - Accent2 2 3 2 6 2 2 2 2" xfId="27557"/>
    <cellStyle name="40% - Accent2 2 3 2 6 2 2 3" xfId="27558"/>
    <cellStyle name="40% - Accent2 2 3 2 6 2 3" xfId="27559"/>
    <cellStyle name="40% - Accent2 2 3 2 6 2 3 2" xfId="27560"/>
    <cellStyle name="40% - Accent2 2 3 2 6 2 4" xfId="27561"/>
    <cellStyle name="40% - Accent2 2 3 2 6 3" xfId="27562"/>
    <cellStyle name="40% - Accent2 2 3 2 6 3 2" xfId="27563"/>
    <cellStyle name="40% - Accent2 2 3 2 6 3 2 2" xfId="27564"/>
    <cellStyle name="40% - Accent2 2 3 2 6 3 3" xfId="27565"/>
    <cellStyle name="40% - Accent2 2 3 2 6 4" xfId="27566"/>
    <cellStyle name="40% - Accent2 2 3 2 6 4 2" xfId="27567"/>
    <cellStyle name="40% - Accent2 2 3 2 6 5" xfId="27568"/>
    <cellStyle name="40% - Accent2 2 3 2 7" xfId="27569"/>
    <cellStyle name="40% - Accent2 2 3 2 7 2" xfId="27570"/>
    <cellStyle name="40% - Accent2 2 3 2 7 2 2" xfId="27571"/>
    <cellStyle name="40% - Accent2 2 3 2 7 2 2 2" xfId="27572"/>
    <cellStyle name="40% - Accent2 2 3 2 7 2 3" xfId="27573"/>
    <cellStyle name="40% - Accent2 2 3 2 7 3" xfId="27574"/>
    <cellStyle name="40% - Accent2 2 3 2 7 3 2" xfId="27575"/>
    <cellStyle name="40% - Accent2 2 3 2 7 4" xfId="27576"/>
    <cellStyle name="40% - Accent2 2 3 2 8" xfId="27577"/>
    <cellStyle name="40% - Accent2 2 3 2 8 2" xfId="27578"/>
    <cellStyle name="40% - Accent2 2 3 2 8 2 2" xfId="27579"/>
    <cellStyle name="40% - Accent2 2 3 2 8 3" xfId="27580"/>
    <cellStyle name="40% - Accent2 2 3 2 9" xfId="27581"/>
    <cellStyle name="40% - Accent2 2 3 2 9 2" xfId="27582"/>
    <cellStyle name="40% - Accent2 2 3 3" xfId="27583"/>
    <cellStyle name="40% - Accent2 2 3 3 2" xfId="27584"/>
    <cellStyle name="40% - Accent2 2 3 3 2 2" xfId="27585"/>
    <cellStyle name="40% - Accent2 2 3 3 2 2 2" xfId="27586"/>
    <cellStyle name="40% - Accent2 2 3 3 2 2 2 2" xfId="27587"/>
    <cellStyle name="40% - Accent2 2 3 3 2 2 3" xfId="27588"/>
    <cellStyle name="40% - Accent2 2 3 3 2 3" xfId="27589"/>
    <cellStyle name="40% - Accent2 2 3 3 2 3 2" xfId="27590"/>
    <cellStyle name="40% - Accent2 2 3 3 2 4" xfId="27591"/>
    <cellStyle name="40% - Accent2 2 3 3 3" xfId="27592"/>
    <cellStyle name="40% - Accent2 2 3 3 3 2" xfId="27593"/>
    <cellStyle name="40% - Accent2 2 3 3 3 2 2" xfId="27594"/>
    <cellStyle name="40% - Accent2 2 3 3 3 3" xfId="27595"/>
    <cellStyle name="40% - Accent2 2 3 3 4" xfId="27596"/>
    <cellStyle name="40% - Accent2 2 3 3 4 2" xfId="27597"/>
    <cellStyle name="40% - Accent2 2 3 3 5" xfId="27598"/>
    <cellStyle name="40% - Accent2 2 3 4" xfId="27599"/>
    <cellStyle name="40% - Accent2 2 3 4 2" xfId="27600"/>
    <cellStyle name="40% - Accent2 2 3 4 2 2" xfId="27601"/>
    <cellStyle name="40% - Accent2 2 3 4 2 2 2" xfId="27602"/>
    <cellStyle name="40% - Accent2 2 3 4 2 2 2 2" xfId="27603"/>
    <cellStyle name="40% - Accent2 2 3 4 2 2 3" xfId="27604"/>
    <cellStyle name="40% - Accent2 2 3 4 2 3" xfId="27605"/>
    <cellStyle name="40% - Accent2 2 3 4 2 3 2" xfId="27606"/>
    <cellStyle name="40% - Accent2 2 3 4 2 4" xfId="27607"/>
    <cellStyle name="40% - Accent2 2 3 4 3" xfId="27608"/>
    <cellStyle name="40% - Accent2 2 3 4 3 2" xfId="27609"/>
    <cellStyle name="40% - Accent2 2 3 4 3 2 2" xfId="27610"/>
    <cellStyle name="40% - Accent2 2 3 4 3 3" xfId="27611"/>
    <cellStyle name="40% - Accent2 2 3 4 4" xfId="27612"/>
    <cellStyle name="40% - Accent2 2 3 4 4 2" xfId="27613"/>
    <cellStyle name="40% - Accent2 2 3 4 5" xfId="27614"/>
    <cellStyle name="40% - Accent2 2 3 5" xfId="27615"/>
    <cellStyle name="40% - Accent2 2 3 5 2" xfId="27616"/>
    <cellStyle name="40% - Accent2 2 3 5 2 2" xfId="27617"/>
    <cellStyle name="40% - Accent2 2 3 5 2 2 2" xfId="27618"/>
    <cellStyle name="40% - Accent2 2 3 5 2 2 2 2" xfId="27619"/>
    <cellStyle name="40% - Accent2 2 3 5 2 2 3" xfId="27620"/>
    <cellStyle name="40% - Accent2 2 3 5 2 3" xfId="27621"/>
    <cellStyle name="40% - Accent2 2 3 5 2 3 2" xfId="27622"/>
    <cellStyle name="40% - Accent2 2 3 5 2 4" xfId="27623"/>
    <cellStyle name="40% - Accent2 2 3 5 3" xfId="27624"/>
    <cellStyle name="40% - Accent2 2 3 5 3 2" xfId="27625"/>
    <cellStyle name="40% - Accent2 2 3 5 3 2 2" xfId="27626"/>
    <cellStyle name="40% - Accent2 2 3 5 3 3" xfId="27627"/>
    <cellStyle name="40% - Accent2 2 3 5 4" xfId="27628"/>
    <cellStyle name="40% - Accent2 2 3 5 4 2" xfId="27629"/>
    <cellStyle name="40% - Accent2 2 3 5 5" xfId="27630"/>
    <cellStyle name="40% - Accent2 2 3 6" xfId="27631"/>
    <cellStyle name="40% - Accent2 2 3 6 2" xfId="27632"/>
    <cellStyle name="40% - Accent2 2 3 6 2 2" xfId="27633"/>
    <cellStyle name="40% - Accent2 2 3 6 2 2 2" xfId="27634"/>
    <cellStyle name="40% - Accent2 2 3 6 2 2 2 2" xfId="27635"/>
    <cellStyle name="40% - Accent2 2 3 6 2 2 3" xfId="27636"/>
    <cellStyle name="40% - Accent2 2 3 6 2 3" xfId="27637"/>
    <cellStyle name="40% - Accent2 2 3 6 2 3 2" xfId="27638"/>
    <cellStyle name="40% - Accent2 2 3 6 2 4" xfId="27639"/>
    <cellStyle name="40% - Accent2 2 3 6 3" xfId="27640"/>
    <cellStyle name="40% - Accent2 2 3 6 3 2" xfId="27641"/>
    <cellStyle name="40% - Accent2 2 3 6 3 2 2" xfId="27642"/>
    <cellStyle name="40% - Accent2 2 3 6 3 3" xfId="27643"/>
    <cellStyle name="40% - Accent2 2 3 6 4" xfId="27644"/>
    <cellStyle name="40% - Accent2 2 3 6 4 2" xfId="27645"/>
    <cellStyle name="40% - Accent2 2 3 6 5" xfId="27646"/>
    <cellStyle name="40% - Accent2 2 3 7" xfId="27647"/>
    <cellStyle name="40% - Accent2 2 3 7 2" xfId="27648"/>
    <cellStyle name="40% - Accent2 2 3 7 2 2" xfId="27649"/>
    <cellStyle name="40% - Accent2 2 3 7 2 2 2" xfId="27650"/>
    <cellStyle name="40% - Accent2 2 3 7 2 2 2 2" xfId="27651"/>
    <cellStyle name="40% - Accent2 2 3 7 2 2 3" xfId="27652"/>
    <cellStyle name="40% - Accent2 2 3 7 2 3" xfId="27653"/>
    <cellStyle name="40% - Accent2 2 3 7 2 3 2" xfId="27654"/>
    <cellStyle name="40% - Accent2 2 3 7 2 4" xfId="27655"/>
    <cellStyle name="40% - Accent2 2 3 7 3" xfId="27656"/>
    <cellStyle name="40% - Accent2 2 3 7 3 2" xfId="27657"/>
    <cellStyle name="40% - Accent2 2 3 7 3 2 2" xfId="27658"/>
    <cellStyle name="40% - Accent2 2 3 7 3 3" xfId="27659"/>
    <cellStyle name="40% - Accent2 2 3 7 4" xfId="27660"/>
    <cellStyle name="40% - Accent2 2 3 7 4 2" xfId="27661"/>
    <cellStyle name="40% - Accent2 2 3 7 5" xfId="27662"/>
    <cellStyle name="40% - Accent2 2 3 8" xfId="27663"/>
    <cellStyle name="40% - Accent2 2 3 8 2" xfId="27664"/>
    <cellStyle name="40% - Accent2 2 3 8 2 2" xfId="27665"/>
    <cellStyle name="40% - Accent2 2 3 8 2 2 2" xfId="27666"/>
    <cellStyle name="40% - Accent2 2 3 8 2 3" xfId="27667"/>
    <cellStyle name="40% - Accent2 2 3 8 3" xfId="27668"/>
    <cellStyle name="40% - Accent2 2 3 8 3 2" xfId="27669"/>
    <cellStyle name="40% - Accent2 2 3 8 4" xfId="27670"/>
    <cellStyle name="40% - Accent2 2 3 9" xfId="27671"/>
    <cellStyle name="40% - Accent2 2 3 9 2" xfId="27672"/>
    <cellStyle name="40% - Accent2 2 3 9 2 2" xfId="27673"/>
    <cellStyle name="40% - Accent2 2 3 9 3" xfId="27674"/>
    <cellStyle name="40% - Accent2 2 4" xfId="27675"/>
    <cellStyle name="40% - Accent2 2 4 10" xfId="27676"/>
    <cellStyle name="40% - Accent2 2 4 10 2" xfId="27677"/>
    <cellStyle name="40% - Accent2 2 4 11" xfId="27678"/>
    <cellStyle name="40% - Accent2 2 4 2" xfId="27679"/>
    <cellStyle name="40% - Accent2 2 4 2 10" xfId="27680"/>
    <cellStyle name="40% - Accent2 2 4 2 2" xfId="27681"/>
    <cellStyle name="40% - Accent2 2 4 2 2 2" xfId="27682"/>
    <cellStyle name="40% - Accent2 2 4 2 2 2 2" xfId="27683"/>
    <cellStyle name="40% - Accent2 2 4 2 2 2 2 2" xfId="27684"/>
    <cellStyle name="40% - Accent2 2 4 2 2 2 2 2 2" xfId="27685"/>
    <cellStyle name="40% - Accent2 2 4 2 2 2 2 3" xfId="27686"/>
    <cellStyle name="40% - Accent2 2 4 2 2 2 3" xfId="27687"/>
    <cellStyle name="40% - Accent2 2 4 2 2 2 3 2" xfId="27688"/>
    <cellStyle name="40% - Accent2 2 4 2 2 2 4" xfId="27689"/>
    <cellStyle name="40% - Accent2 2 4 2 2 3" xfId="27690"/>
    <cellStyle name="40% - Accent2 2 4 2 2 3 2" xfId="27691"/>
    <cellStyle name="40% - Accent2 2 4 2 2 3 2 2" xfId="27692"/>
    <cellStyle name="40% - Accent2 2 4 2 2 3 3" xfId="27693"/>
    <cellStyle name="40% - Accent2 2 4 2 2 4" xfId="27694"/>
    <cellStyle name="40% - Accent2 2 4 2 2 4 2" xfId="27695"/>
    <cellStyle name="40% - Accent2 2 4 2 2 5" xfId="27696"/>
    <cellStyle name="40% - Accent2 2 4 2 3" xfId="27697"/>
    <cellStyle name="40% - Accent2 2 4 2 3 2" xfId="27698"/>
    <cellStyle name="40% - Accent2 2 4 2 3 2 2" xfId="27699"/>
    <cellStyle name="40% - Accent2 2 4 2 3 2 2 2" xfId="27700"/>
    <cellStyle name="40% - Accent2 2 4 2 3 2 2 2 2" xfId="27701"/>
    <cellStyle name="40% - Accent2 2 4 2 3 2 2 3" xfId="27702"/>
    <cellStyle name="40% - Accent2 2 4 2 3 2 3" xfId="27703"/>
    <cellStyle name="40% - Accent2 2 4 2 3 2 3 2" xfId="27704"/>
    <cellStyle name="40% - Accent2 2 4 2 3 2 4" xfId="27705"/>
    <cellStyle name="40% - Accent2 2 4 2 3 3" xfId="27706"/>
    <cellStyle name="40% - Accent2 2 4 2 3 3 2" xfId="27707"/>
    <cellStyle name="40% - Accent2 2 4 2 3 3 2 2" xfId="27708"/>
    <cellStyle name="40% - Accent2 2 4 2 3 3 3" xfId="27709"/>
    <cellStyle name="40% - Accent2 2 4 2 3 4" xfId="27710"/>
    <cellStyle name="40% - Accent2 2 4 2 3 4 2" xfId="27711"/>
    <cellStyle name="40% - Accent2 2 4 2 3 5" xfId="27712"/>
    <cellStyle name="40% - Accent2 2 4 2 4" xfId="27713"/>
    <cellStyle name="40% - Accent2 2 4 2 4 2" xfId="27714"/>
    <cellStyle name="40% - Accent2 2 4 2 4 2 2" xfId="27715"/>
    <cellStyle name="40% - Accent2 2 4 2 4 2 2 2" xfId="27716"/>
    <cellStyle name="40% - Accent2 2 4 2 4 2 2 2 2" xfId="27717"/>
    <cellStyle name="40% - Accent2 2 4 2 4 2 2 3" xfId="27718"/>
    <cellStyle name="40% - Accent2 2 4 2 4 2 3" xfId="27719"/>
    <cellStyle name="40% - Accent2 2 4 2 4 2 3 2" xfId="27720"/>
    <cellStyle name="40% - Accent2 2 4 2 4 2 4" xfId="27721"/>
    <cellStyle name="40% - Accent2 2 4 2 4 3" xfId="27722"/>
    <cellStyle name="40% - Accent2 2 4 2 4 3 2" xfId="27723"/>
    <cellStyle name="40% - Accent2 2 4 2 4 3 2 2" xfId="27724"/>
    <cellStyle name="40% - Accent2 2 4 2 4 3 3" xfId="27725"/>
    <cellStyle name="40% - Accent2 2 4 2 4 4" xfId="27726"/>
    <cellStyle name="40% - Accent2 2 4 2 4 4 2" xfId="27727"/>
    <cellStyle name="40% - Accent2 2 4 2 4 5" xfId="27728"/>
    <cellStyle name="40% - Accent2 2 4 2 5" xfId="27729"/>
    <cellStyle name="40% - Accent2 2 4 2 5 2" xfId="27730"/>
    <cellStyle name="40% - Accent2 2 4 2 5 2 2" xfId="27731"/>
    <cellStyle name="40% - Accent2 2 4 2 5 2 2 2" xfId="27732"/>
    <cellStyle name="40% - Accent2 2 4 2 5 2 2 2 2" xfId="27733"/>
    <cellStyle name="40% - Accent2 2 4 2 5 2 2 3" xfId="27734"/>
    <cellStyle name="40% - Accent2 2 4 2 5 2 3" xfId="27735"/>
    <cellStyle name="40% - Accent2 2 4 2 5 2 3 2" xfId="27736"/>
    <cellStyle name="40% - Accent2 2 4 2 5 2 4" xfId="27737"/>
    <cellStyle name="40% - Accent2 2 4 2 5 3" xfId="27738"/>
    <cellStyle name="40% - Accent2 2 4 2 5 3 2" xfId="27739"/>
    <cellStyle name="40% - Accent2 2 4 2 5 3 2 2" xfId="27740"/>
    <cellStyle name="40% - Accent2 2 4 2 5 3 3" xfId="27741"/>
    <cellStyle name="40% - Accent2 2 4 2 5 4" xfId="27742"/>
    <cellStyle name="40% - Accent2 2 4 2 5 4 2" xfId="27743"/>
    <cellStyle name="40% - Accent2 2 4 2 5 5" xfId="27744"/>
    <cellStyle name="40% - Accent2 2 4 2 6" xfId="27745"/>
    <cellStyle name="40% - Accent2 2 4 2 6 2" xfId="27746"/>
    <cellStyle name="40% - Accent2 2 4 2 6 2 2" xfId="27747"/>
    <cellStyle name="40% - Accent2 2 4 2 6 2 2 2" xfId="27748"/>
    <cellStyle name="40% - Accent2 2 4 2 6 2 2 2 2" xfId="27749"/>
    <cellStyle name="40% - Accent2 2 4 2 6 2 2 3" xfId="27750"/>
    <cellStyle name="40% - Accent2 2 4 2 6 2 3" xfId="27751"/>
    <cellStyle name="40% - Accent2 2 4 2 6 2 3 2" xfId="27752"/>
    <cellStyle name="40% - Accent2 2 4 2 6 2 4" xfId="27753"/>
    <cellStyle name="40% - Accent2 2 4 2 6 3" xfId="27754"/>
    <cellStyle name="40% - Accent2 2 4 2 6 3 2" xfId="27755"/>
    <cellStyle name="40% - Accent2 2 4 2 6 3 2 2" xfId="27756"/>
    <cellStyle name="40% - Accent2 2 4 2 6 3 3" xfId="27757"/>
    <cellStyle name="40% - Accent2 2 4 2 6 4" xfId="27758"/>
    <cellStyle name="40% - Accent2 2 4 2 6 4 2" xfId="27759"/>
    <cellStyle name="40% - Accent2 2 4 2 6 5" xfId="27760"/>
    <cellStyle name="40% - Accent2 2 4 2 7" xfId="27761"/>
    <cellStyle name="40% - Accent2 2 4 2 7 2" xfId="27762"/>
    <cellStyle name="40% - Accent2 2 4 2 7 2 2" xfId="27763"/>
    <cellStyle name="40% - Accent2 2 4 2 7 2 2 2" xfId="27764"/>
    <cellStyle name="40% - Accent2 2 4 2 7 2 3" xfId="27765"/>
    <cellStyle name="40% - Accent2 2 4 2 7 3" xfId="27766"/>
    <cellStyle name="40% - Accent2 2 4 2 7 3 2" xfId="27767"/>
    <cellStyle name="40% - Accent2 2 4 2 7 4" xfId="27768"/>
    <cellStyle name="40% - Accent2 2 4 2 8" xfId="27769"/>
    <cellStyle name="40% - Accent2 2 4 2 8 2" xfId="27770"/>
    <cellStyle name="40% - Accent2 2 4 2 8 2 2" xfId="27771"/>
    <cellStyle name="40% - Accent2 2 4 2 8 3" xfId="27772"/>
    <cellStyle name="40% - Accent2 2 4 2 9" xfId="27773"/>
    <cellStyle name="40% - Accent2 2 4 2 9 2" xfId="27774"/>
    <cellStyle name="40% - Accent2 2 4 3" xfId="27775"/>
    <cellStyle name="40% - Accent2 2 4 3 2" xfId="27776"/>
    <cellStyle name="40% - Accent2 2 4 3 2 2" xfId="27777"/>
    <cellStyle name="40% - Accent2 2 4 3 2 2 2" xfId="27778"/>
    <cellStyle name="40% - Accent2 2 4 3 2 2 2 2" xfId="27779"/>
    <cellStyle name="40% - Accent2 2 4 3 2 2 3" xfId="27780"/>
    <cellStyle name="40% - Accent2 2 4 3 2 3" xfId="27781"/>
    <cellStyle name="40% - Accent2 2 4 3 2 3 2" xfId="27782"/>
    <cellStyle name="40% - Accent2 2 4 3 2 4" xfId="27783"/>
    <cellStyle name="40% - Accent2 2 4 3 3" xfId="27784"/>
    <cellStyle name="40% - Accent2 2 4 3 3 2" xfId="27785"/>
    <cellStyle name="40% - Accent2 2 4 3 3 2 2" xfId="27786"/>
    <cellStyle name="40% - Accent2 2 4 3 3 3" xfId="27787"/>
    <cellStyle name="40% - Accent2 2 4 3 4" xfId="27788"/>
    <cellStyle name="40% - Accent2 2 4 3 4 2" xfId="27789"/>
    <cellStyle name="40% - Accent2 2 4 3 5" xfId="27790"/>
    <cellStyle name="40% - Accent2 2 4 4" xfId="27791"/>
    <cellStyle name="40% - Accent2 2 4 4 2" xfId="27792"/>
    <cellStyle name="40% - Accent2 2 4 4 2 2" xfId="27793"/>
    <cellStyle name="40% - Accent2 2 4 4 2 2 2" xfId="27794"/>
    <cellStyle name="40% - Accent2 2 4 4 2 2 2 2" xfId="27795"/>
    <cellStyle name="40% - Accent2 2 4 4 2 2 3" xfId="27796"/>
    <cellStyle name="40% - Accent2 2 4 4 2 3" xfId="27797"/>
    <cellStyle name="40% - Accent2 2 4 4 2 3 2" xfId="27798"/>
    <cellStyle name="40% - Accent2 2 4 4 2 4" xfId="27799"/>
    <cellStyle name="40% - Accent2 2 4 4 3" xfId="27800"/>
    <cellStyle name="40% - Accent2 2 4 4 3 2" xfId="27801"/>
    <cellStyle name="40% - Accent2 2 4 4 3 2 2" xfId="27802"/>
    <cellStyle name="40% - Accent2 2 4 4 3 3" xfId="27803"/>
    <cellStyle name="40% - Accent2 2 4 4 4" xfId="27804"/>
    <cellStyle name="40% - Accent2 2 4 4 4 2" xfId="27805"/>
    <cellStyle name="40% - Accent2 2 4 4 5" xfId="27806"/>
    <cellStyle name="40% - Accent2 2 4 5" xfId="27807"/>
    <cellStyle name="40% - Accent2 2 4 5 2" xfId="27808"/>
    <cellStyle name="40% - Accent2 2 4 5 2 2" xfId="27809"/>
    <cellStyle name="40% - Accent2 2 4 5 2 2 2" xfId="27810"/>
    <cellStyle name="40% - Accent2 2 4 5 2 2 2 2" xfId="27811"/>
    <cellStyle name="40% - Accent2 2 4 5 2 2 3" xfId="27812"/>
    <cellStyle name="40% - Accent2 2 4 5 2 3" xfId="27813"/>
    <cellStyle name="40% - Accent2 2 4 5 2 3 2" xfId="27814"/>
    <cellStyle name="40% - Accent2 2 4 5 2 4" xfId="27815"/>
    <cellStyle name="40% - Accent2 2 4 5 3" xfId="27816"/>
    <cellStyle name="40% - Accent2 2 4 5 3 2" xfId="27817"/>
    <cellStyle name="40% - Accent2 2 4 5 3 2 2" xfId="27818"/>
    <cellStyle name="40% - Accent2 2 4 5 3 3" xfId="27819"/>
    <cellStyle name="40% - Accent2 2 4 5 4" xfId="27820"/>
    <cellStyle name="40% - Accent2 2 4 5 4 2" xfId="27821"/>
    <cellStyle name="40% - Accent2 2 4 5 5" xfId="27822"/>
    <cellStyle name="40% - Accent2 2 4 6" xfId="27823"/>
    <cellStyle name="40% - Accent2 2 4 6 2" xfId="27824"/>
    <cellStyle name="40% - Accent2 2 4 6 2 2" xfId="27825"/>
    <cellStyle name="40% - Accent2 2 4 6 2 2 2" xfId="27826"/>
    <cellStyle name="40% - Accent2 2 4 6 2 2 2 2" xfId="27827"/>
    <cellStyle name="40% - Accent2 2 4 6 2 2 3" xfId="27828"/>
    <cellStyle name="40% - Accent2 2 4 6 2 3" xfId="27829"/>
    <cellStyle name="40% - Accent2 2 4 6 2 3 2" xfId="27830"/>
    <cellStyle name="40% - Accent2 2 4 6 2 4" xfId="27831"/>
    <cellStyle name="40% - Accent2 2 4 6 3" xfId="27832"/>
    <cellStyle name="40% - Accent2 2 4 6 3 2" xfId="27833"/>
    <cellStyle name="40% - Accent2 2 4 6 3 2 2" xfId="27834"/>
    <cellStyle name="40% - Accent2 2 4 6 3 3" xfId="27835"/>
    <cellStyle name="40% - Accent2 2 4 6 4" xfId="27836"/>
    <cellStyle name="40% - Accent2 2 4 6 4 2" xfId="27837"/>
    <cellStyle name="40% - Accent2 2 4 6 5" xfId="27838"/>
    <cellStyle name="40% - Accent2 2 4 7" xfId="27839"/>
    <cellStyle name="40% - Accent2 2 4 7 2" xfId="27840"/>
    <cellStyle name="40% - Accent2 2 4 7 2 2" xfId="27841"/>
    <cellStyle name="40% - Accent2 2 4 7 2 2 2" xfId="27842"/>
    <cellStyle name="40% - Accent2 2 4 7 2 2 2 2" xfId="27843"/>
    <cellStyle name="40% - Accent2 2 4 7 2 2 3" xfId="27844"/>
    <cellStyle name="40% - Accent2 2 4 7 2 3" xfId="27845"/>
    <cellStyle name="40% - Accent2 2 4 7 2 3 2" xfId="27846"/>
    <cellStyle name="40% - Accent2 2 4 7 2 4" xfId="27847"/>
    <cellStyle name="40% - Accent2 2 4 7 3" xfId="27848"/>
    <cellStyle name="40% - Accent2 2 4 7 3 2" xfId="27849"/>
    <cellStyle name="40% - Accent2 2 4 7 3 2 2" xfId="27850"/>
    <cellStyle name="40% - Accent2 2 4 7 3 3" xfId="27851"/>
    <cellStyle name="40% - Accent2 2 4 7 4" xfId="27852"/>
    <cellStyle name="40% - Accent2 2 4 7 4 2" xfId="27853"/>
    <cellStyle name="40% - Accent2 2 4 7 5" xfId="27854"/>
    <cellStyle name="40% - Accent2 2 4 8" xfId="27855"/>
    <cellStyle name="40% - Accent2 2 4 8 2" xfId="27856"/>
    <cellStyle name="40% - Accent2 2 4 8 2 2" xfId="27857"/>
    <cellStyle name="40% - Accent2 2 4 8 2 2 2" xfId="27858"/>
    <cellStyle name="40% - Accent2 2 4 8 2 3" xfId="27859"/>
    <cellStyle name="40% - Accent2 2 4 8 3" xfId="27860"/>
    <cellStyle name="40% - Accent2 2 4 8 3 2" xfId="27861"/>
    <cellStyle name="40% - Accent2 2 4 8 4" xfId="27862"/>
    <cellStyle name="40% - Accent2 2 4 9" xfId="27863"/>
    <cellStyle name="40% - Accent2 2 4 9 2" xfId="27864"/>
    <cellStyle name="40% - Accent2 2 4 9 2 2" xfId="27865"/>
    <cellStyle name="40% - Accent2 2 4 9 3" xfId="27866"/>
    <cellStyle name="40% - Accent2 2 5" xfId="27867"/>
    <cellStyle name="40% - Accent2 2 5 10" xfId="27868"/>
    <cellStyle name="40% - Accent2 2 5 10 2" xfId="27869"/>
    <cellStyle name="40% - Accent2 2 5 11" xfId="27870"/>
    <cellStyle name="40% - Accent2 2 5 2" xfId="27871"/>
    <cellStyle name="40% - Accent2 2 5 2 10" xfId="27872"/>
    <cellStyle name="40% - Accent2 2 5 2 2" xfId="27873"/>
    <cellStyle name="40% - Accent2 2 5 2 2 2" xfId="27874"/>
    <cellStyle name="40% - Accent2 2 5 2 2 2 2" xfId="27875"/>
    <cellStyle name="40% - Accent2 2 5 2 2 2 2 2" xfId="27876"/>
    <cellStyle name="40% - Accent2 2 5 2 2 2 2 2 2" xfId="27877"/>
    <cellStyle name="40% - Accent2 2 5 2 2 2 2 3" xfId="27878"/>
    <cellStyle name="40% - Accent2 2 5 2 2 2 3" xfId="27879"/>
    <cellStyle name="40% - Accent2 2 5 2 2 2 3 2" xfId="27880"/>
    <cellStyle name="40% - Accent2 2 5 2 2 2 4" xfId="27881"/>
    <cellStyle name="40% - Accent2 2 5 2 2 3" xfId="27882"/>
    <cellStyle name="40% - Accent2 2 5 2 2 3 2" xfId="27883"/>
    <cellStyle name="40% - Accent2 2 5 2 2 3 2 2" xfId="27884"/>
    <cellStyle name="40% - Accent2 2 5 2 2 3 3" xfId="27885"/>
    <cellStyle name="40% - Accent2 2 5 2 2 4" xfId="27886"/>
    <cellStyle name="40% - Accent2 2 5 2 2 4 2" xfId="27887"/>
    <cellStyle name="40% - Accent2 2 5 2 2 5" xfId="27888"/>
    <cellStyle name="40% - Accent2 2 5 2 3" xfId="27889"/>
    <cellStyle name="40% - Accent2 2 5 2 3 2" xfId="27890"/>
    <cellStyle name="40% - Accent2 2 5 2 3 2 2" xfId="27891"/>
    <cellStyle name="40% - Accent2 2 5 2 3 2 2 2" xfId="27892"/>
    <cellStyle name="40% - Accent2 2 5 2 3 2 2 2 2" xfId="27893"/>
    <cellStyle name="40% - Accent2 2 5 2 3 2 2 3" xfId="27894"/>
    <cellStyle name="40% - Accent2 2 5 2 3 2 3" xfId="27895"/>
    <cellStyle name="40% - Accent2 2 5 2 3 2 3 2" xfId="27896"/>
    <cellStyle name="40% - Accent2 2 5 2 3 2 4" xfId="27897"/>
    <cellStyle name="40% - Accent2 2 5 2 3 3" xfId="27898"/>
    <cellStyle name="40% - Accent2 2 5 2 3 3 2" xfId="27899"/>
    <cellStyle name="40% - Accent2 2 5 2 3 3 2 2" xfId="27900"/>
    <cellStyle name="40% - Accent2 2 5 2 3 3 3" xfId="27901"/>
    <cellStyle name="40% - Accent2 2 5 2 3 4" xfId="27902"/>
    <cellStyle name="40% - Accent2 2 5 2 3 4 2" xfId="27903"/>
    <cellStyle name="40% - Accent2 2 5 2 3 5" xfId="27904"/>
    <cellStyle name="40% - Accent2 2 5 2 4" xfId="27905"/>
    <cellStyle name="40% - Accent2 2 5 2 4 2" xfId="27906"/>
    <cellStyle name="40% - Accent2 2 5 2 4 2 2" xfId="27907"/>
    <cellStyle name="40% - Accent2 2 5 2 4 2 2 2" xfId="27908"/>
    <cellStyle name="40% - Accent2 2 5 2 4 2 2 2 2" xfId="27909"/>
    <cellStyle name="40% - Accent2 2 5 2 4 2 2 3" xfId="27910"/>
    <cellStyle name="40% - Accent2 2 5 2 4 2 3" xfId="27911"/>
    <cellStyle name="40% - Accent2 2 5 2 4 2 3 2" xfId="27912"/>
    <cellStyle name="40% - Accent2 2 5 2 4 2 4" xfId="27913"/>
    <cellStyle name="40% - Accent2 2 5 2 4 3" xfId="27914"/>
    <cellStyle name="40% - Accent2 2 5 2 4 3 2" xfId="27915"/>
    <cellStyle name="40% - Accent2 2 5 2 4 3 2 2" xfId="27916"/>
    <cellStyle name="40% - Accent2 2 5 2 4 3 3" xfId="27917"/>
    <cellStyle name="40% - Accent2 2 5 2 4 4" xfId="27918"/>
    <cellStyle name="40% - Accent2 2 5 2 4 4 2" xfId="27919"/>
    <cellStyle name="40% - Accent2 2 5 2 4 5" xfId="27920"/>
    <cellStyle name="40% - Accent2 2 5 2 5" xfId="27921"/>
    <cellStyle name="40% - Accent2 2 5 2 5 2" xfId="27922"/>
    <cellStyle name="40% - Accent2 2 5 2 5 2 2" xfId="27923"/>
    <cellStyle name="40% - Accent2 2 5 2 5 2 2 2" xfId="27924"/>
    <cellStyle name="40% - Accent2 2 5 2 5 2 2 2 2" xfId="27925"/>
    <cellStyle name="40% - Accent2 2 5 2 5 2 2 3" xfId="27926"/>
    <cellStyle name="40% - Accent2 2 5 2 5 2 3" xfId="27927"/>
    <cellStyle name="40% - Accent2 2 5 2 5 2 3 2" xfId="27928"/>
    <cellStyle name="40% - Accent2 2 5 2 5 2 4" xfId="27929"/>
    <cellStyle name="40% - Accent2 2 5 2 5 3" xfId="27930"/>
    <cellStyle name="40% - Accent2 2 5 2 5 3 2" xfId="27931"/>
    <cellStyle name="40% - Accent2 2 5 2 5 3 2 2" xfId="27932"/>
    <cellStyle name="40% - Accent2 2 5 2 5 3 3" xfId="27933"/>
    <cellStyle name="40% - Accent2 2 5 2 5 4" xfId="27934"/>
    <cellStyle name="40% - Accent2 2 5 2 5 4 2" xfId="27935"/>
    <cellStyle name="40% - Accent2 2 5 2 5 5" xfId="27936"/>
    <cellStyle name="40% - Accent2 2 5 2 6" xfId="27937"/>
    <cellStyle name="40% - Accent2 2 5 2 6 2" xfId="27938"/>
    <cellStyle name="40% - Accent2 2 5 2 6 2 2" xfId="27939"/>
    <cellStyle name="40% - Accent2 2 5 2 6 2 2 2" xfId="27940"/>
    <cellStyle name="40% - Accent2 2 5 2 6 2 2 2 2" xfId="27941"/>
    <cellStyle name="40% - Accent2 2 5 2 6 2 2 3" xfId="27942"/>
    <cellStyle name="40% - Accent2 2 5 2 6 2 3" xfId="27943"/>
    <cellStyle name="40% - Accent2 2 5 2 6 2 3 2" xfId="27944"/>
    <cellStyle name="40% - Accent2 2 5 2 6 2 4" xfId="27945"/>
    <cellStyle name="40% - Accent2 2 5 2 6 3" xfId="27946"/>
    <cellStyle name="40% - Accent2 2 5 2 6 3 2" xfId="27947"/>
    <cellStyle name="40% - Accent2 2 5 2 6 3 2 2" xfId="27948"/>
    <cellStyle name="40% - Accent2 2 5 2 6 3 3" xfId="27949"/>
    <cellStyle name="40% - Accent2 2 5 2 6 4" xfId="27950"/>
    <cellStyle name="40% - Accent2 2 5 2 6 4 2" xfId="27951"/>
    <cellStyle name="40% - Accent2 2 5 2 6 5" xfId="27952"/>
    <cellStyle name="40% - Accent2 2 5 2 7" xfId="27953"/>
    <cellStyle name="40% - Accent2 2 5 2 7 2" xfId="27954"/>
    <cellStyle name="40% - Accent2 2 5 2 7 2 2" xfId="27955"/>
    <cellStyle name="40% - Accent2 2 5 2 7 2 2 2" xfId="27956"/>
    <cellStyle name="40% - Accent2 2 5 2 7 2 3" xfId="27957"/>
    <cellStyle name="40% - Accent2 2 5 2 7 3" xfId="27958"/>
    <cellStyle name="40% - Accent2 2 5 2 7 3 2" xfId="27959"/>
    <cellStyle name="40% - Accent2 2 5 2 7 4" xfId="27960"/>
    <cellStyle name="40% - Accent2 2 5 2 8" xfId="27961"/>
    <cellStyle name="40% - Accent2 2 5 2 8 2" xfId="27962"/>
    <cellStyle name="40% - Accent2 2 5 2 8 2 2" xfId="27963"/>
    <cellStyle name="40% - Accent2 2 5 2 8 3" xfId="27964"/>
    <cellStyle name="40% - Accent2 2 5 2 9" xfId="27965"/>
    <cellStyle name="40% - Accent2 2 5 2 9 2" xfId="27966"/>
    <cellStyle name="40% - Accent2 2 5 3" xfId="27967"/>
    <cellStyle name="40% - Accent2 2 5 3 2" xfId="27968"/>
    <cellStyle name="40% - Accent2 2 5 3 2 2" xfId="27969"/>
    <cellStyle name="40% - Accent2 2 5 3 2 2 2" xfId="27970"/>
    <cellStyle name="40% - Accent2 2 5 3 2 2 2 2" xfId="27971"/>
    <cellStyle name="40% - Accent2 2 5 3 2 2 3" xfId="27972"/>
    <cellStyle name="40% - Accent2 2 5 3 2 3" xfId="27973"/>
    <cellStyle name="40% - Accent2 2 5 3 2 3 2" xfId="27974"/>
    <cellStyle name="40% - Accent2 2 5 3 2 4" xfId="27975"/>
    <cellStyle name="40% - Accent2 2 5 3 3" xfId="27976"/>
    <cellStyle name="40% - Accent2 2 5 3 3 2" xfId="27977"/>
    <cellStyle name="40% - Accent2 2 5 3 3 2 2" xfId="27978"/>
    <cellStyle name="40% - Accent2 2 5 3 3 3" xfId="27979"/>
    <cellStyle name="40% - Accent2 2 5 3 4" xfId="27980"/>
    <cellStyle name="40% - Accent2 2 5 3 4 2" xfId="27981"/>
    <cellStyle name="40% - Accent2 2 5 3 5" xfId="27982"/>
    <cellStyle name="40% - Accent2 2 5 4" xfId="27983"/>
    <cellStyle name="40% - Accent2 2 5 4 2" xfId="27984"/>
    <cellStyle name="40% - Accent2 2 5 4 2 2" xfId="27985"/>
    <cellStyle name="40% - Accent2 2 5 4 2 2 2" xfId="27986"/>
    <cellStyle name="40% - Accent2 2 5 4 2 2 2 2" xfId="27987"/>
    <cellStyle name="40% - Accent2 2 5 4 2 2 3" xfId="27988"/>
    <cellStyle name="40% - Accent2 2 5 4 2 3" xfId="27989"/>
    <cellStyle name="40% - Accent2 2 5 4 2 3 2" xfId="27990"/>
    <cellStyle name="40% - Accent2 2 5 4 2 4" xfId="27991"/>
    <cellStyle name="40% - Accent2 2 5 4 3" xfId="27992"/>
    <cellStyle name="40% - Accent2 2 5 4 3 2" xfId="27993"/>
    <cellStyle name="40% - Accent2 2 5 4 3 2 2" xfId="27994"/>
    <cellStyle name="40% - Accent2 2 5 4 3 3" xfId="27995"/>
    <cellStyle name="40% - Accent2 2 5 4 4" xfId="27996"/>
    <cellStyle name="40% - Accent2 2 5 4 4 2" xfId="27997"/>
    <cellStyle name="40% - Accent2 2 5 4 5" xfId="27998"/>
    <cellStyle name="40% - Accent2 2 5 5" xfId="27999"/>
    <cellStyle name="40% - Accent2 2 5 5 2" xfId="28000"/>
    <cellStyle name="40% - Accent2 2 5 5 2 2" xfId="28001"/>
    <cellStyle name="40% - Accent2 2 5 5 2 2 2" xfId="28002"/>
    <cellStyle name="40% - Accent2 2 5 5 2 2 2 2" xfId="28003"/>
    <cellStyle name="40% - Accent2 2 5 5 2 2 3" xfId="28004"/>
    <cellStyle name="40% - Accent2 2 5 5 2 3" xfId="28005"/>
    <cellStyle name="40% - Accent2 2 5 5 2 3 2" xfId="28006"/>
    <cellStyle name="40% - Accent2 2 5 5 2 4" xfId="28007"/>
    <cellStyle name="40% - Accent2 2 5 5 3" xfId="28008"/>
    <cellStyle name="40% - Accent2 2 5 5 3 2" xfId="28009"/>
    <cellStyle name="40% - Accent2 2 5 5 3 2 2" xfId="28010"/>
    <cellStyle name="40% - Accent2 2 5 5 3 3" xfId="28011"/>
    <cellStyle name="40% - Accent2 2 5 5 4" xfId="28012"/>
    <cellStyle name="40% - Accent2 2 5 5 4 2" xfId="28013"/>
    <cellStyle name="40% - Accent2 2 5 5 5" xfId="28014"/>
    <cellStyle name="40% - Accent2 2 5 6" xfId="28015"/>
    <cellStyle name="40% - Accent2 2 5 6 2" xfId="28016"/>
    <cellStyle name="40% - Accent2 2 5 6 2 2" xfId="28017"/>
    <cellStyle name="40% - Accent2 2 5 6 2 2 2" xfId="28018"/>
    <cellStyle name="40% - Accent2 2 5 6 2 2 2 2" xfId="28019"/>
    <cellStyle name="40% - Accent2 2 5 6 2 2 3" xfId="28020"/>
    <cellStyle name="40% - Accent2 2 5 6 2 3" xfId="28021"/>
    <cellStyle name="40% - Accent2 2 5 6 2 3 2" xfId="28022"/>
    <cellStyle name="40% - Accent2 2 5 6 2 4" xfId="28023"/>
    <cellStyle name="40% - Accent2 2 5 6 3" xfId="28024"/>
    <cellStyle name="40% - Accent2 2 5 6 3 2" xfId="28025"/>
    <cellStyle name="40% - Accent2 2 5 6 3 2 2" xfId="28026"/>
    <cellStyle name="40% - Accent2 2 5 6 3 3" xfId="28027"/>
    <cellStyle name="40% - Accent2 2 5 6 4" xfId="28028"/>
    <cellStyle name="40% - Accent2 2 5 6 4 2" xfId="28029"/>
    <cellStyle name="40% - Accent2 2 5 6 5" xfId="28030"/>
    <cellStyle name="40% - Accent2 2 5 7" xfId="28031"/>
    <cellStyle name="40% - Accent2 2 5 7 2" xfId="28032"/>
    <cellStyle name="40% - Accent2 2 5 7 2 2" xfId="28033"/>
    <cellStyle name="40% - Accent2 2 5 7 2 2 2" xfId="28034"/>
    <cellStyle name="40% - Accent2 2 5 7 2 2 2 2" xfId="28035"/>
    <cellStyle name="40% - Accent2 2 5 7 2 2 3" xfId="28036"/>
    <cellStyle name="40% - Accent2 2 5 7 2 3" xfId="28037"/>
    <cellStyle name="40% - Accent2 2 5 7 2 3 2" xfId="28038"/>
    <cellStyle name="40% - Accent2 2 5 7 2 4" xfId="28039"/>
    <cellStyle name="40% - Accent2 2 5 7 3" xfId="28040"/>
    <cellStyle name="40% - Accent2 2 5 7 3 2" xfId="28041"/>
    <cellStyle name="40% - Accent2 2 5 7 3 2 2" xfId="28042"/>
    <cellStyle name="40% - Accent2 2 5 7 3 3" xfId="28043"/>
    <cellStyle name="40% - Accent2 2 5 7 4" xfId="28044"/>
    <cellStyle name="40% - Accent2 2 5 7 4 2" xfId="28045"/>
    <cellStyle name="40% - Accent2 2 5 7 5" xfId="28046"/>
    <cellStyle name="40% - Accent2 2 5 8" xfId="28047"/>
    <cellStyle name="40% - Accent2 2 5 8 2" xfId="28048"/>
    <cellStyle name="40% - Accent2 2 5 8 2 2" xfId="28049"/>
    <cellStyle name="40% - Accent2 2 5 8 2 2 2" xfId="28050"/>
    <cellStyle name="40% - Accent2 2 5 8 2 3" xfId="28051"/>
    <cellStyle name="40% - Accent2 2 5 8 3" xfId="28052"/>
    <cellStyle name="40% - Accent2 2 5 8 3 2" xfId="28053"/>
    <cellStyle name="40% - Accent2 2 5 8 4" xfId="28054"/>
    <cellStyle name="40% - Accent2 2 5 9" xfId="28055"/>
    <cellStyle name="40% - Accent2 2 5 9 2" xfId="28056"/>
    <cellStyle name="40% - Accent2 2 5 9 2 2" xfId="28057"/>
    <cellStyle name="40% - Accent2 2 5 9 3" xfId="28058"/>
    <cellStyle name="40% - Accent2 2 6" xfId="28059"/>
    <cellStyle name="40% - Accent2 2 6 10" xfId="28060"/>
    <cellStyle name="40% - Accent2 2 6 10 2" xfId="28061"/>
    <cellStyle name="40% - Accent2 2 6 11" xfId="28062"/>
    <cellStyle name="40% - Accent2 2 6 2" xfId="28063"/>
    <cellStyle name="40% - Accent2 2 6 2 10" xfId="28064"/>
    <cellStyle name="40% - Accent2 2 6 2 2" xfId="28065"/>
    <cellStyle name="40% - Accent2 2 6 2 2 2" xfId="28066"/>
    <cellStyle name="40% - Accent2 2 6 2 2 2 2" xfId="28067"/>
    <cellStyle name="40% - Accent2 2 6 2 2 2 2 2" xfId="28068"/>
    <cellStyle name="40% - Accent2 2 6 2 2 2 2 2 2" xfId="28069"/>
    <cellStyle name="40% - Accent2 2 6 2 2 2 2 3" xfId="28070"/>
    <cellStyle name="40% - Accent2 2 6 2 2 2 3" xfId="28071"/>
    <cellStyle name="40% - Accent2 2 6 2 2 2 3 2" xfId="28072"/>
    <cellStyle name="40% - Accent2 2 6 2 2 2 4" xfId="28073"/>
    <cellStyle name="40% - Accent2 2 6 2 2 3" xfId="28074"/>
    <cellStyle name="40% - Accent2 2 6 2 2 3 2" xfId="28075"/>
    <cellStyle name="40% - Accent2 2 6 2 2 3 2 2" xfId="28076"/>
    <cellStyle name="40% - Accent2 2 6 2 2 3 3" xfId="28077"/>
    <cellStyle name="40% - Accent2 2 6 2 2 4" xfId="28078"/>
    <cellStyle name="40% - Accent2 2 6 2 2 4 2" xfId="28079"/>
    <cellStyle name="40% - Accent2 2 6 2 2 5" xfId="28080"/>
    <cellStyle name="40% - Accent2 2 6 2 3" xfId="28081"/>
    <cellStyle name="40% - Accent2 2 6 2 3 2" xfId="28082"/>
    <cellStyle name="40% - Accent2 2 6 2 3 2 2" xfId="28083"/>
    <cellStyle name="40% - Accent2 2 6 2 3 2 2 2" xfId="28084"/>
    <cellStyle name="40% - Accent2 2 6 2 3 2 2 2 2" xfId="28085"/>
    <cellStyle name="40% - Accent2 2 6 2 3 2 2 3" xfId="28086"/>
    <cellStyle name="40% - Accent2 2 6 2 3 2 3" xfId="28087"/>
    <cellStyle name="40% - Accent2 2 6 2 3 2 3 2" xfId="28088"/>
    <cellStyle name="40% - Accent2 2 6 2 3 2 4" xfId="28089"/>
    <cellStyle name="40% - Accent2 2 6 2 3 3" xfId="28090"/>
    <cellStyle name="40% - Accent2 2 6 2 3 3 2" xfId="28091"/>
    <cellStyle name="40% - Accent2 2 6 2 3 3 2 2" xfId="28092"/>
    <cellStyle name="40% - Accent2 2 6 2 3 3 3" xfId="28093"/>
    <cellStyle name="40% - Accent2 2 6 2 3 4" xfId="28094"/>
    <cellStyle name="40% - Accent2 2 6 2 3 4 2" xfId="28095"/>
    <cellStyle name="40% - Accent2 2 6 2 3 5" xfId="28096"/>
    <cellStyle name="40% - Accent2 2 6 2 4" xfId="28097"/>
    <cellStyle name="40% - Accent2 2 6 2 4 2" xfId="28098"/>
    <cellStyle name="40% - Accent2 2 6 2 4 2 2" xfId="28099"/>
    <cellStyle name="40% - Accent2 2 6 2 4 2 2 2" xfId="28100"/>
    <cellStyle name="40% - Accent2 2 6 2 4 2 2 2 2" xfId="28101"/>
    <cellStyle name="40% - Accent2 2 6 2 4 2 2 3" xfId="28102"/>
    <cellStyle name="40% - Accent2 2 6 2 4 2 3" xfId="28103"/>
    <cellStyle name="40% - Accent2 2 6 2 4 2 3 2" xfId="28104"/>
    <cellStyle name="40% - Accent2 2 6 2 4 2 4" xfId="28105"/>
    <cellStyle name="40% - Accent2 2 6 2 4 3" xfId="28106"/>
    <cellStyle name="40% - Accent2 2 6 2 4 3 2" xfId="28107"/>
    <cellStyle name="40% - Accent2 2 6 2 4 3 2 2" xfId="28108"/>
    <cellStyle name="40% - Accent2 2 6 2 4 3 3" xfId="28109"/>
    <cellStyle name="40% - Accent2 2 6 2 4 4" xfId="28110"/>
    <cellStyle name="40% - Accent2 2 6 2 4 4 2" xfId="28111"/>
    <cellStyle name="40% - Accent2 2 6 2 4 5" xfId="28112"/>
    <cellStyle name="40% - Accent2 2 6 2 5" xfId="28113"/>
    <cellStyle name="40% - Accent2 2 6 2 5 2" xfId="28114"/>
    <cellStyle name="40% - Accent2 2 6 2 5 2 2" xfId="28115"/>
    <cellStyle name="40% - Accent2 2 6 2 5 2 2 2" xfId="28116"/>
    <cellStyle name="40% - Accent2 2 6 2 5 2 2 2 2" xfId="28117"/>
    <cellStyle name="40% - Accent2 2 6 2 5 2 2 3" xfId="28118"/>
    <cellStyle name="40% - Accent2 2 6 2 5 2 3" xfId="28119"/>
    <cellStyle name="40% - Accent2 2 6 2 5 2 3 2" xfId="28120"/>
    <cellStyle name="40% - Accent2 2 6 2 5 2 4" xfId="28121"/>
    <cellStyle name="40% - Accent2 2 6 2 5 3" xfId="28122"/>
    <cellStyle name="40% - Accent2 2 6 2 5 3 2" xfId="28123"/>
    <cellStyle name="40% - Accent2 2 6 2 5 3 2 2" xfId="28124"/>
    <cellStyle name="40% - Accent2 2 6 2 5 3 3" xfId="28125"/>
    <cellStyle name="40% - Accent2 2 6 2 5 4" xfId="28126"/>
    <cellStyle name="40% - Accent2 2 6 2 5 4 2" xfId="28127"/>
    <cellStyle name="40% - Accent2 2 6 2 5 5" xfId="28128"/>
    <cellStyle name="40% - Accent2 2 6 2 6" xfId="28129"/>
    <cellStyle name="40% - Accent2 2 6 2 6 2" xfId="28130"/>
    <cellStyle name="40% - Accent2 2 6 2 6 2 2" xfId="28131"/>
    <cellStyle name="40% - Accent2 2 6 2 6 2 2 2" xfId="28132"/>
    <cellStyle name="40% - Accent2 2 6 2 6 2 2 2 2" xfId="28133"/>
    <cellStyle name="40% - Accent2 2 6 2 6 2 2 3" xfId="28134"/>
    <cellStyle name="40% - Accent2 2 6 2 6 2 3" xfId="28135"/>
    <cellStyle name="40% - Accent2 2 6 2 6 2 3 2" xfId="28136"/>
    <cellStyle name="40% - Accent2 2 6 2 6 2 4" xfId="28137"/>
    <cellStyle name="40% - Accent2 2 6 2 6 3" xfId="28138"/>
    <cellStyle name="40% - Accent2 2 6 2 6 3 2" xfId="28139"/>
    <cellStyle name="40% - Accent2 2 6 2 6 3 2 2" xfId="28140"/>
    <cellStyle name="40% - Accent2 2 6 2 6 3 3" xfId="28141"/>
    <cellStyle name="40% - Accent2 2 6 2 6 4" xfId="28142"/>
    <cellStyle name="40% - Accent2 2 6 2 6 4 2" xfId="28143"/>
    <cellStyle name="40% - Accent2 2 6 2 6 5" xfId="28144"/>
    <cellStyle name="40% - Accent2 2 6 2 7" xfId="28145"/>
    <cellStyle name="40% - Accent2 2 6 2 7 2" xfId="28146"/>
    <cellStyle name="40% - Accent2 2 6 2 7 2 2" xfId="28147"/>
    <cellStyle name="40% - Accent2 2 6 2 7 2 2 2" xfId="28148"/>
    <cellStyle name="40% - Accent2 2 6 2 7 2 3" xfId="28149"/>
    <cellStyle name="40% - Accent2 2 6 2 7 3" xfId="28150"/>
    <cellStyle name="40% - Accent2 2 6 2 7 3 2" xfId="28151"/>
    <cellStyle name="40% - Accent2 2 6 2 7 4" xfId="28152"/>
    <cellStyle name="40% - Accent2 2 6 2 8" xfId="28153"/>
    <cellStyle name="40% - Accent2 2 6 2 8 2" xfId="28154"/>
    <cellStyle name="40% - Accent2 2 6 2 8 2 2" xfId="28155"/>
    <cellStyle name="40% - Accent2 2 6 2 8 3" xfId="28156"/>
    <cellStyle name="40% - Accent2 2 6 2 9" xfId="28157"/>
    <cellStyle name="40% - Accent2 2 6 2 9 2" xfId="28158"/>
    <cellStyle name="40% - Accent2 2 6 3" xfId="28159"/>
    <cellStyle name="40% - Accent2 2 6 3 2" xfId="28160"/>
    <cellStyle name="40% - Accent2 2 6 3 2 2" xfId="28161"/>
    <cellStyle name="40% - Accent2 2 6 3 2 2 2" xfId="28162"/>
    <cellStyle name="40% - Accent2 2 6 3 2 2 2 2" xfId="28163"/>
    <cellStyle name="40% - Accent2 2 6 3 2 2 3" xfId="28164"/>
    <cellStyle name="40% - Accent2 2 6 3 2 3" xfId="28165"/>
    <cellStyle name="40% - Accent2 2 6 3 2 3 2" xfId="28166"/>
    <cellStyle name="40% - Accent2 2 6 3 2 4" xfId="28167"/>
    <cellStyle name="40% - Accent2 2 6 3 3" xfId="28168"/>
    <cellStyle name="40% - Accent2 2 6 3 3 2" xfId="28169"/>
    <cellStyle name="40% - Accent2 2 6 3 3 2 2" xfId="28170"/>
    <cellStyle name="40% - Accent2 2 6 3 3 3" xfId="28171"/>
    <cellStyle name="40% - Accent2 2 6 3 4" xfId="28172"/>
    <cellStyle name="40% - Accent2 2 6 3 4 2" xfId="28173"/>
    <cellStyle name="40% - Accent2 2 6 3 5" xfId="28174"/>
    <cellStyle name="40% - Accent2 2 6 4" xfId="28175"/>
    <cellStyle name="40% - Accent2 2 6 4 2" xfId="28176"/>
    <cellStyle name="40% - Accent2 2 6 4 2 2" xfId="28177"/>
    <cellStyle name="40% - Accent2 2 6 4 2 2 2" xfId="28178"/>
    <cellStyle name="40% - Accent2 2 6 4 2 2 2 2" xfId="28179"/>
    <cellStyle name="40% - Accent2 2 6 4 2 2 3" xfId="28180"/>
    <cellStyle name="40% - Accent2 2 6 4 2 3" xfId="28181"/>
    <cellStyle name="40% - Accent2 2 6 4 2 3 2" xfId="28182"/>
    <cellStyle name="40% - Accent2 2 6 4 2 4" xfId="28183"/>
    <cellStyle name="40% - Accent2 2 6 4 3" xfId="28184"/>
    <cellStyle name="40% - Accent2 2 6 4 3 2" xfId="28185"/>
    <cellStyle name="40% - Accent2 2 6 4 3 2 2" xfId="28186"/>
    <cellStyle name="40% - Accent2 2 6 4 3 3" xfId="28187"/>
    <cellStyle name="40% - Accent2 2 6 4 4" xfId="28188"/>
    <cellStyle name="40% - Accent2 2 6 4 4 2" xfId="28189"/>
    <cellStyle name="40% - Accent2 2 6 4 5" xfId="28190"/>
    <cellStyle name="40% - Accent2 2 6 5" xfId="28191"/>
    <cellStyle name="40% - Accent2 2 6 5 2" xfId="28192"/>
    <cellStyle name="40% - Accent2 2 6 5 2 2" xfId="28193"/>
    <cellStyle name="40% - Accent2 2 6 5 2 2 2" xfId="28194"/>
    <cellStyle name="40% - Accent2 2 6 5 2 2 2 2" xfId="28195"/>
    <cellStyle name="40% - Accent2 2 6 5 2 2 3" xfId="28196"/>
    <cellStyle name="40% - Accent2 2 6 5 2 3" xfId="28197"/>
    <cellStyle name="40% - Accent2 2 6 5 2 3 2" xfId="28198"/>
    <cellStyle name="40% - Accent2 2 6 5 2 4" xfId="28199"/>
    <cellStyle name="40% - Accent2 2 6 5 3" xfId="28200"/>
    <cellStyle name="40% - Accent2 2 6 5 3 2" xfId="28201"/>
    <cellStyle name="40% - Accent2 2 6 5 3 2 2" xfId="28202"/>
    <cellStyle name="40% - Accent2 2 6 5 3 3" xfId="28203"/>
    <cellStyle name="40% - Accent2 2 6 5 4" xfId="28204"/>
    <cellStyle name="40% - Accent2 2 6 5 4 2" xfId="28205"/>
    <cellStyle name="40% - Accent2 2 6 5 5" xfId="28206"/>
    <cellStyle name="40% - Accent2 2 6 6" xfId="28207"/>
    <cellStyle name="40% - Accent2 2 6 6 2" xfId="28208"/>
    <cellStyle name="40% - Accent2 2 6 6 2 2" xfId="28209"/>
    <cellStyle name="40% - Accent2 2 6 6 2 2 2" xfId="28210"/>
    <cellStyle name="40% - Accent2 2 6 6 2 2 2 2" xfId="28211"/>
    <cellStyle name="40% - Accent2 2 6 6 2 2 3" xfId="28212"/>
    <cellStyle name="40% - Accent2 2 6 6 2 3" xfId="28213"/>
    <cellStyle name="40% - Accent2 2 6 6 2 3 2" xfId="28214"/>
    <cellStyle name="40% - Accent2 2 6 6 2 4" xfId="28215"/>
    <cellStyle name="40% - Accent2 2 6 6 3" xfId="28216"/>
    <cellStyle name="40% - Accent2 2 6 6 3 2" xfId="28217"/>
    <cellStyle name="40% - Accent2 2 6 6 3 2 2" xfId="28218"/>
    <cellStyle name="40% - Accent2 2 6 6 3 3" xfId="28219"/>
    <cellStyle name="40% - Accent2 2 6 6 4" xfId="28220"/>
    <cellStyle name="40% - Accent2 2 6 6 4 2" xfId="28221"/>
    <cellStyle name="40% - Accent2 2 6 6 5" xfId="28222"/>
    <cellStyle name="40% - Accent2 2 6 7" xfId="28223"/>
    <cellStyle name="40% - Accent2 2 6 7 2" xfId="28224"/>
    <cellStyle name="40% - Accent2 2 6 7 2 2" xfId="28225"/>
    <cellStyle name="40% - Accent2 2 6 7 2 2 2" xfId="28226"/>
    <cellStyle name="40% - Accent2 2 6 7 2 2 2 2" xfId="28227"/>
    <cellStyle name="40% - Accent2 2 6 7 2 2 3" xfId="28228"/>
    <cellStyle name="40% - Accent2 2 6 7 2 3" xfId="28229"/>
    <cellStyle name="40% - Accent2 2 6 7 2 3 2" xfId="28230"/>
    <cellStyle name="40% - Accent2 2 6 7 2 4" xfId="28231"/>
    <cellStyle name="40% - Accent2 2 6 7 3" xfId="28232"/>
    <cellStyle name="40% - Accent2 2 6 7 3 2" xfId="28233"/>
    <cellStyle name="40% - Accent2 2 6 7 3 2 2" xfId="28234"/>
    <cellStyle name="40% - Accent2 2 6 7 3 3" xfId="28235"/>
    <cellStyle name="40% - Accent2 2 6 7 4" xfId="28236"/>
    <cellStyle name="40% - Accent2 2 6 7 4 2" xfId="28237"/>
    <cellStyle name="40% - Accent2 2 6 7 5" xfId="28238"/>
    <cellStyle name="40% - Accent2 2 6 8" xfId="28239"/>
    <cellStyle name="40% - Accent2 2 6 8 2" xfId="28240"/>
    <cellStyle name="40% - Accent2 2 6 8 2 2" xfId="28241"/>
    <cellStyle name="40% - Accent2 2 6 8 2 2 2" xfId="28242"/>
    <cellStyle name="40% - Accent2 2 6 8 2 3" xfId="28243"/>
    <cellStyle name="40% - Accent2 2 6 8 3" xfId="28244"/>
    <cellStyle name="40% - Accent2 2 6 8 3 2" xfId="28245"/>
    <cellStyle name="40% - Accent2 2 6 8 4" xfId="28246"/>
    <cellStyle name="40% - Accent2 2 6 9" xfId="28247"/>
    <cellStyle name="40% - Accent2 2 6 9 2" xfId="28248"/>
    <cellStyle name="40% - Accent2 2 6 9 2 2" xfId="28249"/>
    <cellStyle name="40% - Accent2 2 6 9 3" xfId="28250"/>
    <cellStyle name="40% - Accent2 2 7" xfId="28251"/>
    <cellStyle name="40% - Accent2 2 7 10" xfId="28252"/>
    <cellStyle name="40% - Accent2 2 7 10 2" xfId="28253"/>
    <cellStyle name="40% - Accent2 2 7 11" xfId="28254"/>
    <cellStyle name="40% - Accent2 2 7 2" xfId="28255"/>
    <cellStyle name="40% - Accent2 2 7 2 10" xfId="28256"/>
    <cellStyle name="40% - Accent2 2 7 2 2" xfId="28257"/>
    <cellStyle name="40% - Accent2 2 7 2 2 2" xfId="28258"/>
    <cellStyle name="40% - Accent2 2 7 2 2 2 2" xfId="28259"/>
    <cellStyle name="40% - Accent2 2 7 2 2 2 2 2" xfId="28260"/>
    <cellStyle name="40% - Accent2 2 7 2 2 2 2 2 2" xfId="28261"/>
    <cellStyle name="40% - Accent2 2 7 2 2 2 2 3" xfId="28262"/>
    <cellStyle name="40% - Accent2 2 7 2 2 2 3" xfId="28263"/>
    <cellStyle name="40% - Accent2 2 7 2 2 2 3 2" xfId="28264"/>
    <cellStyle name="40% - Accent2 2 7 2 2 2 4" xfId="28265"/>
    <cellStyle name="40% - Accent2 2 7 2 2 3" xfId="28266"/>
    <cellStyle name="40% - Accent2 2 7 2 2 3 2" xfId="28267"/>
    <cellStyle name="40% - Accent2 2 7 2 2 3 2 2" xfId="28268"/>
    <cellStyle name="40% - Accent2 2 7 2 2 3 3" xfId="28269"/>
    <cellStyle name="40% - Accent2 2 7 2 2 4" xfId="28270"/>
    <cellStyle name="40% - Accent2 2 7 2 2 4 2" xfId="28271"/>
    <cellStyle name="40% - Accent2 2 7 2 2 5" xfId="28272"/>
    <cellStyle name="40% - Accent2 2 7 2 3" xfId="28273"/>
    <cellStyle name="40% - Accent2 2 7 2 3 2" xfId="28274"/>
    <cellStyle name="40% - Accent2 2 7 2 3 2 2" xfId="28275"/>
    <cellStyle name="40% - Accent2 2 7 2 3 2 2 2" xfId="28276"/>
    <cellStyle name="40% - Accent2 2 7 2 3 2 2 2 2" xfId="28277"/>
    <cellStyle name="40% - Accent2 2 7 2 3 2 2 3" xfId="28278"/>
    <cellStyle name="40% - Accent2 2 7 2 3 2 3" xfId="28279"/>
    <cellStyle name="40% - Accent2 2 7 2 3 2 3 2" xfId="28280"/>
    <cellStyle name="40% - Accent2 2 7 2 3 2 4" xfId="28281"/>
    <cellStyle name="40% - Accent2 2 7 2 3 3" xfId="28282"/>
    <cellStyle name="40% - Accent2 2 7 2 3 3 2" xfId="28283"/>
    <cellStyle name="40% - Accent2 2 7 2 3 3 2 2" xfId="28284"/>
    <cellStyle name="40% - Accent2 2 7 2 3 3 3" xfId="28285"/>
    <cellStyle name="40% - Accent2 2 7 2 3 4" xfId="28286"/>
    <cellStyle name="40% - Accent2 2 7 2 3 4 2" xfId="28287"/>
    <cellStyle name="40% - Accent2 2 7 2 3 5" xfId="28288"/>
    <cellStyle name="40% - Accent2 2 7 2 4" xfId="28289"/>
    <cellStyle name="40% - Accent2 2 7 2 4 2" xfId="28290"/>
    <cellStyle name="40% - Accent2 2 7 2 4 2 2" xfId="28291"/>
    <cellStyle name="40% - Accent2 2 7 2 4 2 2 2" xfId="28292"/>
    <cellStyle name="40% - Accent2 2 7 2 4 2 2 2 2" xfId="28293"/>
    <cellStyle name="40% - Accent2 2 7 2 4 2 2 3" xfId="28294"/>
    <cellStyle name="40% - Accent2 2 7 2 4 2 3" xfId="28295"/>
    <cellStyle name="40% - Accent2 2 7 2 4 2 3 2" xfId="28296"/>
    <cellStyle name="40% - Accent2 2 7 2 4 2 4" xfId="28297"/>
    <cellStyle name="40% - Accent2 2 7 2 4 3" xfId="28298"/>
    <cellStyle name="40% - Accent2 2 7 2 4 3 2" xfId="28299"/>
    <cellStyle name="40% - Accent2 2 7 2 4 3 2 2" xfId="28300"/>
    <cellStyle name="40% - Accent2 2 7 2 4 3 3" xfId="28301"/>
    <cellStyle name="40% - Accent2 2 7 2 4 4" xfId="28302"/>
    <cellStyle name="40% - Accent2 2 7 2 4 4 2" xfId="28303"/>
    <cellStyle name="40% - Accent2 2 7 2 4 5" xfId="28304"/>
    <cellStyle name="40% - Accent2 2 7 2 5" xfId="28305"/>
    <cellStyle name="40% - Accent2 2 7 2 5 2" xfId="28306"/>
    <cellStyle name="40% - Accent2 2 7 2 5 2 2" xfId="28307"/>
    <cellStyle name="40% - Accent2 2 7 2 5 2 2 2" xfId="28308"/>
    <cellStyle name="40% - Accent2 2 7 2 5 2 2 2 2" xfId="28309"/>
    <cellStyle name="40% - Accent2 2 7 2 5 2 2 3" xfId="28310"/>
    <cellStyle name="40% - Accent2 2 7 2 5 2 3" xfId="28311"/>
    <cellStyle name="40% - Accent2 2 7 2 5 2 3 2" xfId="28312"/>
    <cellStyle name="40% - Accent2 2 7 2 5 2 4" xfId="28313"/>
    <cellStyle name="40% - Accent2 2 7 2 5 3" xfId="28314"/>
    <cellStyle name="40% - Accent2 2 7 2 5 3 2" xfId="28315"/>
    <cellStyle name="40% - Accent2 2 7 2 5 3 2 2" xfId="28316"/>
    <cellStyle name="40% - Accent2 2 7 2 5 3 3" xfId="28317"/>
    <cellStyle name="40% - Accent2 2 7 2 5 4" xfId="28318"/>
    <cellStyle name="40% - Accent2 2 7 2 5 4 2" xfId="28319"/>
    <cellStyle name="40% - Accent2 2 7 2 5 5" xfId="28320"/>
    <cellStyle name="40% - Accent2 2 7 2 6" xfId="28321"/>
    <cellStyle name="40% - Accent2 2 7 2 6 2" xfId="28322"/>
    <cellStyle name="40% - Accent2 2 7 2 6 2 2" xfId="28323"/>
    <cellStyle name="40% - Accent2 2 7 2 6 2 2 2" xfId="28324"/>
    <cellStyle name="40% - Accent2 2 7 2 6 2 2 2 2" xfId="28325"/>
    <cellStyle name="40% - Accent2 2 7 2 6 2 2 3" xfId="28326"/>
    <cellStyle name="40% - Accent2 2 7 2 6 2 3" xfId="28327"/>
    <cellStyle name="40% - Accent2 2 7 2 6 2 3 2" xfId="28328"/>
    <cellStyle name="40% - Accent2 2 7 2 6 2 4" xfId="28329"/>
    <cellStyle name="40% - Accent2 2 7 2 6 3" xfId="28330"/>
    <cellStyle name="40% - Accent2 2 7 2 6 3 2" xfId="28331"/>
    <cellStyle name="40% - Accent2 2 7 2 6 3 2 2" xfId="28332"/>
    <cellStyle name="40% - Accent2 2 7 2 6 3 3" xfId="28333"/>
    <cellStyle name="40% - Accent2 2 7 2 6 4" xfId="28334"/>
    <cellStyle name="40% - Accent2 2 7 2 6 4 2" xfId="28335"/>
    <cellStyle name="40% - Accent2 2 7 2 6 5" xfId="28336"/>
    <cellStyle name="40% - Accent2 2 7 2 7" xfId="28337"/>
    <cellStyle name="40% - Accent2 2 7 2 7 2" xfId="28338"/>
    <cellStyle name="40% - Accent2 2 7 2 7 2 2" xfId="28339"/>
    <cellStyle name="40% - Accent2 2 7 2 7 2 2 2" xfId="28340"/>
    <cellStyle name="40% - Accent2 2 7 2 7 2 3" xfId="28341"/>
    <cellStyle name="40% - Accent2 2 7 2 7 3" xfId="28342"/>
    <cellStyle name="40% - Accent2 2 7 2 7 3 2" xfId="28343"/>
    <cellStyle name="40% - Accent2 2 7 2 7 4" xfId="28344"/>
    <cellStyle name="40% - Accent2 2 7 2 8" xfId="28345"/>
    <cellStyle name="40% - Accent2 2 7 2 8 2" xfId="28346"/>
    <cellStyle name="40% - Accent2 2 7 2 8 2 2" xfId="28347"/>
    <cellStyle name="40% - Accent2 2 7 2 8 3" xfId="28348"/>
    <cellStyle name="40% - Accent2 2 7 2 9" xfId="28349"/>
    <cellStyle name="40% - Accent2 2 7 2 9 2" xfId="28350"/>
    <cellStyle name="40% - Accent2 2 7 3" xfId="28351"/>
    <cellStyle name="40% - Accent2 2 7 3 2" xfId="28352"/>
    <cellStyle name="40% - Accent2 2 7 3 2 2" xfId="28353"/>
    <cellStyle name="40% - Accent2 2 7 3 2 2 2" xfId="28354"/>
    <cellStyle name="40% - Accent2 2 7 3 2 2 2 2" xfId="28355"/>
    <cellStyle name="40% - Accent2 2 7 3 2 2 3" xfId="28356"/>
    <cellStyle name="40% - Accent2 2 7 3 2 3" xfId="28357"/>
    <cellStyle name="40% - Accent2 2 7 3 2 3 2" xfId="28358"/>
    <cellStyle name="40% - Accent2 2 7 3 2 4" xfId="28359"/>
    <cellStyle name="40% - Accent2 2 7 3 3" xfId="28360"/>
    <cellStyle name="40% - Accent2 2 7 3 3 2" xfId="28361"/>
    <cellStyle name="40% - Accent2 2 7 3 3 2 2" xfId="28362"/>
    <cellStyle name="40% - Accent2 2 7 3 3 3" xfId="28363"/>
    <cellStyle name="40% - Accent2 2 7 3 4" xfId="28364"/>
    <cellStyle name="40% - Accent2 2 7 3 4 2" xfId="28365"/>
    <cellStyle name="40% - Accent2 2 7 3 5" xfId="28366"/>
    <cellStyle name="40% - Accent2 2 7 4" xfId="28367"/>
    <cellStyle name="40% - Accent2 2 7 4 2" xfId="28368"/>
    <cellStyle name="40% - Accent2 2 7 4 2 2" xfId="28369"/>
    <cellStyle name="40% - Accent2 2 7 4 2 2 2" xfId="28370"/>
    <cellStyle name="40% - Accent2 2 7 4 2 2 2 2" xfId="28371"/>
    <cellStyle name="40% - Accent2 2 7 4 2 2 3" xfId="28372"/>
    <cellStyle name="40% - Accent2 2 7 4 2 3" xfId="28373"/>
    <cellStyle name="40% - Accent2 2 7 4 2 3 2" xfId="28374"/>
    <cellStyle name="40% - Accent2 2 7 4 2 4" xfId="28375"/>
    <cellStyle name="40% - Accent2 2 7 4 3" xfId="28376"/>
    <cellStyle name="40% - Accent2 2 7 4 3 2" xfId="28377"/>
    <cellStyle name="40% - Accent2 2 7 4 3 2 2" xfId="28378"/>
    <cellStyle name="40% - Accent2 2 7 4 3 3" xfId="28379"/>
    <cellStyle name="40% - Accent2 2 7 4 4" xfId="28380"/>
    <cellStyle name="40% - Accent2 2 7 4 4 2" xfId="28381"/>
    <cellStyle name="40% - Accent2 2 7 4 5" xfId="28382"/>
    <cellStyle name="40% - Accent2 2 7 5" xfId="28383"/>
    <cellStyle name="40% - Accent2 2 7 5 2" xfId="28384"/>
    <cellStyle name="40% - Accent2 2 7 5 2 2" xfId="28385"/>
    <cellStyle name="40% - Accent2 2 7 5 2 2 2" xfId="28386"/>
    <cellStyle name="40% - Accent2 2 7 5 2 2 2 2" xfId="28387"/>
    <cellStyle name="40% - Accent2 2 7 5 2 2 3" xfId="28388"/>
    <cellStyle name="40% - Accent2 2 7 5 2 3" xfId="28389"/>
    <cellStyle name="40% - Accent2 2 7 5 2 3 2" xfId="28390"/>
    <cellStyle name="40% - Accent2 2 7 5 2 4" xfId="28391"/>
    <cellStyle name="40% - Accent2 2 7 5 3" xfId="28392"/>
    <cellStyle name="40% - Accent2 2 7 5 3 2" xfId="28393"/>
    <cellStyle name="40% - Accent2 2 7 5 3 2 2" xfId="28394"/>
    <cellStyle name="40% - Accent2 2 7 5 3 3" xfId="28395"/>
    <cellStyle name="40% - Accent2 2 7 5 4" xfId="28396"/>
    <cellStyle name="40% - Accent2 2 7 5 4 2" xfId="28397"/>
    <cellStyle name="40% - Accent2 2 7 5 5" xfId="28398"/>
    <cellStyle name="40% - Accent2 2 7 6" xfId="28399"/>
    <cellStyle name="40% - Accent2 2 7 6 2" xfId="28400"/>
    <cellStyle name="40% - Accent2 2 7 6 2 2" xfId="28401"/>
    <cellStyle name="40% - Accent2 2 7 6 2 2 2" xfId="28402"/>
    <cellStyle name="40% - Accent2 2 7 6 2 2 2 2" xfId="28403"/>
    <cellStyle name="40% - Accent2 2 7 6 2 2 3" xfId="28404"/>
    <cellStyle name="40% - Accent2 2 7 6 2 3" xfId="28405"/>
    <cellStyle name="40% - Accent2 2 7 6 2 3 2" xfId="28406"/>
    <cellStyle name="40% - Accent2 2 7 6 2 4" xfId="28407"/>
    <cellStyle name="40% - Accent2 2 7 6 3" xfId="28408"/>
    <cellStyle name="40% - Accent2 2 7 6 3 2" xfId="28409"/>
    <cellStyle name="40% - Accent2 2 7 6 3 2 2" xfId="28410"/>
    <cellStyle name="40% - Accent2 2 7 6 3 3" xfId="28411"/>
    <cellStyle name="40% - Accent2 2 7 6 4" xfId="28412"/>
    <cellStyle name="40% - Accent2 2 7 6 4 2" xfId="28413"/>
    <cellStyle name="40% - Accent2 2 7 6 5" xfId="28414"/>
    <cellStyle name="40% - Accent2 2 7 7" xfId="28415"/>
    <cellStyle name="40% - Accent2 2 7 7 2" xfId="28416"/>
    <cellStyle name="40% - Accent2 2 7 7 2 2" xfId="28417"/>
    <cellStyle name="40% - Accent2 2 7 7 2 2 2" xfId="28418"/>
    <cellStyle name="40% - Accent2 2 7 7 2 2 2 2" xfId="28419"/>
    <cellStyle name="40% - Accent2 2 7 7 2 2 3" xfId="28420"/>
    <cellStyle name="40% - Accent2 2 7 7 2 3" xfId="28421"/>
    <cellStyle name="40% - Accent2 2 7 7 2 3 2" xfId="28422"/>
    <cellStyle name="40% - Accent2 2 7 7 2 4" xfId="28423"/>
    <cellStyle name="40% - Accent2 2 7 7 3" xfId="28424"/>
    <cellStyle name="40% - Accent2 2 7 7 3 2" xfId="28425"/>
    <cellStyle name="40% - Accent2 2 7 7 3 2 2" xfId="28426"/>
    <cellStyle name="40% - Accent2 2 7 7 3 3" xfId="28427"/>
    <cellStyle name="40% - Accent2 2 7 7 4" xfId="28428"/>
    <cellStyle name="40% - Accent2 2 7 7 4 2" xfId="28429"/>
    <cellStyle name="40% - Accent2 2 7 7 5" xfId="28430"/>
    <cellStyle name="40% - Accent2 2 7 8" xfId="28431"/>
    <cellStyle name="40% - Accent2 2 7 8 2" xfId="28432"/>
    <cellStyle name="40% - Accent2 2 7 8 2 2" xfId="28433"/>
    <cellStyle name="40% - Accent2 2 7 8 2 2 2" xfId="28434"/>
    <cellStyle name="40% - Accent2 2 7 8 2 3" xfId="28435"/>
    <cellStyle name="40% - Accent2 2 7 8 3" xfId="28436"/>
    <cellStyle name="40% - Accent2 2 7 8 3 2" xfId="28437"/>
    <cellStyle name="40% - Accent2 2 7 8 4" xfId="28438"/>
    <cellStyle name="40% - Accent2 2 7 9" xfId="28439"/>
    <cellStyle name="40% - Accent2 2 7 9 2" xfId="28440"/>
    <cellStyle name="40% - Accent2 2 7 9 2 2" xfId="28441"/>
    <cellStyle name="40% - Accent2 2 7 9 3" xfId="28442"/>
    <cellStyle name="40% - Accent2 2 8" xfId="28443"/>
    <cellStyle name="40% - Accent2 2 8 10" xfId="28444"/>
    <cellStyle name="40% - Accent2 2 8 10 2" xfId="28445"/>
    <cellStyle name="40% - Accent2 2 8 11" xfId="28446"/>
    <cellStyle name="40% - Accent2 2 8 2" xfId="28447"/>
    <cellStyle name="40% - Accent2 2 8 2 10" xfId="28448"/>
    <cellStyle name="40% - Accent2 2 8 2 2" xfId="28449"/>
    <cellStyle name="40% - Accent2 2 8 2 2 2" xfId="28450"/>
    <cellStyle name="40% - Accent2 2 8 2 2 2 2" xfId="28451"/>
    <cellStyle name="40% - Accent2 2 8 2 2 2 2 2" xfId="28452"/>
    <cellStyle name="40% - Accent2 2 8 2 2 2 2 2 2" xfId="28453"/>
    <cellStyle name="40% - Accent2 2 8 2 2 2 2 3" xfId="28454"/>
    <cellStyle name="40% - Accent2 2 8 2 2 2 3" xfId="28455"/>
    <cellStyle name="40% - Accent2 2 8 2 2 2 3 2" xfId="28456"/>
    <cellStyle name="40% - Accent2 2 8 2 2 2 4" xfId="28457"/>
    <cellStyle name="40% - Accent2 2 8 2 2 3" xfId="28458"/>
    <cellStyle name="40% - Accent2 2 8 2 2 3 2" xfId="28459"/>
    <cellStyle name="40% - Accent2 2 8 2 2 3 2 2" xfId="28460"/>
    <cellStyle name="40% - Accent2 2 8 2 2 3 3" xfId="28461"/>
    <cellStyle name="40% - Accent2 2 8 2 2 4" xfId="28462"/>
    <cellStyle name="40% - Accent2 2 8 2 2 4 2" xfId="28463"/>
    <cellStyle name="40% - Accent2 2 8 2 2 5" xfId="28464"/>
    <cellStyle name="40% - Accent2 2 8 2 3" xfId="28465"/>
    <cellStyle name="40% - Accent2 2 8 2 3 2" xfId="28466"/>
    <cellStyle name="40% - Accent2 2 8 2 3 2 2" xfId="28467"/>
    <cellStyle name="40% - Accent2 2 8 2 3 2 2 2" xfId="28468"/>
    <cellStyle name="40% - Accent2 2 8 2 3 2 2 2 2" xfId="28469"/>
    <cellStyle name="40% - Accent2 2 8 2 3 2 2 3" xfId="28470"/>
    <cellStyle name="40% - Accent2 2 8 2 3 2 3" xfId="28471"/>
    <cellStyle name="40% - Accent2 2 8 2 3 2 3 2" xfId="28472"/>
    <cellStyle name="40% - Accent2 2 8 2 3 2 4" xfId="28473"/>
    <cellStyle name="40% - Accent2 2 8 2 3 3" xfId="28474"/>
    <cellStyle name="40% - Accent2 2 8 2 3 3 2" xfId="28475"/>
    <cellStyle name="40% - Accent2 2 8 2 3 3 2 2" xfId="28476"/>
    <cellStyle name="40% - Accent2 2 8 2 3 3 3" xfId="28477"/>
    <cellStyle name="40% - Accent2 2 8 2 3 4" xfId="28478"/>
    <cellStyle name="40% - Accent2 2 8 2 3 4 2" xfId="28479"/>
    <cellStyle name="40% - Accent2 2 8 2 3 5" xfId="28480"/>
    <cellStyle name="40% - Accent2 2 8 2 4" xfId="28481"/>
    <cellStyle name="40% - Accent2 2 8 2 4 2" xfId="28482"/>
    <cellStyle name="40% - Accent2 2 8 2 4 2 2" xfId="28483"/>
    <cellStyle name="40% - Accent2 2 8 2 4 2 2 2" xfId="28484"/>
    <cellStyle name="40% - Accent2 2 8 2 4 2 2 2 2" xfId="28485"/>
    <cellStyle name="40% - Accent2 2 8 2 4 2 2 3" xfId="28486"/>
    <cellStyle name="40% - Accent2 2 8 2 4 2 3" xfId="28487"/>
    <cellStyle name="40% - Accent2 2 8 2 4 2 3 2" xfId="28488"/>
    <cellStyle name="40% - Accent2 2 8 2 4 2 4" xfId="28489"/>
    <cellStyle name="40% - Accent2 2 8 2 4 3" xfId="28490"/>
    <cellStyle name="40% - Accent2 2 8 2 4 3 2" xfId="28491"/>
    <cellStyle name="40% - Accent2 2 8 2 4 3 2 2" xfId="28492"/>
    <cellStyle name="40% - Accent2 2 8 2 4 3 3" xfId="28493"/>
    <cellStyle name="40% - Accent2 2 8 2 4 4" xfId="28494"/>
    <cellStyle name="40% - Accent2 2 8 2 4 4 2" xfId="28495"/>
    <cellStyle name="40% - Accent2 2 8 2 4 5" xfId="28496"/>
    <cellStyle name="40% - Accent2 2 8 2 5" xfId="28497"/>
    <cellStyle name="40% - Accent2 2 8 2 5 2" xfId="28498"/>
    <cellStyle name="40% - Accent2 2 8 2 5 2 2" xfId="28499"/>
    <cellStyle name="40% - Accent2 2 8 2 5 2 2 2" xfId="28500"/>
    <cellStyle name="40% - Accent2 2 8 2 5 2 2 2 2" xfId="28501"/>
    <cellStyle name="40% - Accent2 2 8 2 5 2 2 3" xfId="28502"/>
    <cellStyle name="40% - Accent2 2 8 2 5 2 3" xfId="28503"/>
    <cellStyle name="40% - Accent2 2 8 2 5 2 3 2" xfId="28504"/>
    <cellStyle name="40% - Accent2 2 8 2 5 2 4" xfId="28505"/>
    <cellStyle name="40% - Accent2 2 8 2 5 3" xfId="28506"/>
    <cellStyle name="40% - Accent2 2 8 2 5 3 2" xfId="28507"/>
    <cellStyle name="40% - Accent2 2 8 2 5 3 2 2" xfId="28508"/>
    <cellStyle name="40% - Accent2 2 8 2 5 3 3" xfId="28509"/>
    <cellStyle name="40% - Accent2 2 8 2 5 4" xfId="28510"/>
    <cellStyle name="40% - Accent2 2 8 2 5 4 2" xfId="28511"/>
    <cellStyle name="40% - Accent2 2 8 2 5 5" xfId="28512"/>
    <cellStyle name="40% - Accent2 2 8 2 6" xfId="28513"/>
    <cellStyle name="40% - Accent2 2 8 2 6 2" xfId="28514"/>
    <cellStyle name="40% - Accent2 2 8 2 6 2 2" xfId="28515"/>
    <cellStyle name="40% - Accent2 2 8 2 6 2 2 2" xfId="28516"/>
    <cellStyle name="40% - Accent2 2 8 2 6 2 2 2 2" xfId="28517"/>
    <cellStyle name="40% - Accent2 2 8 2 6 2 2 3" xfId="28518"/>
    <cellStyle name="40% - Accent2 2 8 2 6 2 3" xfId="28519"/>
    <cellStyle name="40% - Accent2 2 8 2 6 2 3 2" xfId="28520"/>
    <cellStyle name="40% - Accent2 2 8 2 6 2 4" xfId="28521"/>
    <cellStyle name="40% - Accent2 2 8 2 6 3" xfId="28522"/>
    <cellStyle name="40% - Accent2 2 8 2 6 3 2" xfId="28523"/>
    <cellStyle name="40% - Accent2 2 8 2 6 3 2 2" xfId="28524"/>
    <cellStyle name="40% - Accent2 2 8 2 6 3 3" xfId="28525"/>
    <cellStyle name="40% - Accent2 2 8 2 6 4" xfId="28526"/>
    <cellStyle name="40% - Accent2 2 8 2 6 4 2" xfId="28527"/>
    <cellStyle name="40% - Accent2 2 8 2 6 5" xfId="28528"/>
    <cellStyle name="40% - Accent2 2 8 2 7" xfId="28529"/>
    <cellStyle name="40% - Accent2 2 8 2 7 2" xfId="28530"/>
    <cellStyle name="40% - Accent2 2 8 2 7 2 2" xfId="28531"/>
    <cellStyle name="40% - Accent2 2 8 2 7 2 2 2" xfId="28532"/>
    <cellStyle name="40% - Accent2 2 8 2 7 2 3" xfId="28533"/>
    <cellStyle name="40% - Accent2 2 8 2 7 3" xfId="28534"/>
    <cellStyle name="40% - Accent2 2 8 2 7 3 2" xfId="28535"/>
    <cellStyle name="40% - Accent2 2 8 2 7 4" xfId="28536"/>
    <cellStyle name="40% - Accent2 2 8 2 8" xfId="28537"/>
    <cellStyle name="40% - Accent2 2 8 2 8 2" xfId="28538"/>
    <cellStyle name="40% - Accent2 2 8 2 8 2 2" xfId="28539"/>
    <cellStyle name="40% - Accent2 2 8 2 8 3" xfId="28540"/>
    <cellStyle name="40% - Accent2 2 8 2 9" xfId="28541"/>
    <cellStyle name="40% - Accent2 2 8 2 9 2" xfId="28542"/>
    <cellStyle name="40% - Accent2 2 8 3" xfId="28543"/>
    <cellStyle name="40% - Accent2 2 8 3 2" xfId="28544"/>
    <cellStyle name="40% - Accent2 2 8 3 2 2" xfId="28545"/>
    <cellStyle name="40% - Accent2 2 8 3 2 2 2" xfId="28546"/>
    <cellStyle name="40% - Accent2 2 8 3 2 2 2 2" xfId="28547"/>
    <cellStyle name="40% - Accent2 2 8 3 2 2 3" xfId="28548"/>
    <cellStyle name="40% - Accent2 2 8 3 2 3" xfId="28549"/>
    <cellStyle name="40% - Accent2 2 8 3 2 3 2" xfId="28550"/>
    <cellStyle name="40% - Accent2 2 8 3 2 4" xfId="28551"/>
    <cellStyle name="40% - Accent2 2 8 3 3" xfId="28552"/>
    <cellStyle name="40% - Accent2 2 8 3 3 2" xfId="28553"/>
    <cellStyle name="40% - Accent2 2 8 3 3 2 2" xfId="28554"/>
    <cellStyle name="40% - Accent2 2 8 3 3 3" xfId="28555"/>
    <cellStyle name="40% - Accent2 2 8 3 4" xfId="28556"/>
    <cellStyle name="40% - Accent2 2 8 3 4 2" xfId="28557"/>
    <cellStyle name="40% - Accent2 2 8 3 5" xfId="28558"/>
    <cellStyle name="40% - Accent2 2 8 4" xfId="28559"/>
    <cellStyle name="40% - Accent2 2 8 4 2" xfId="28560"/>
    <cellStyle name="40% - Accent2 2 8 4 2 2" xfId="28561"/>
    <cellStyle name="40% - Accent2 2 8 4 2 2 2" xfId="28562"/>
    <cellStyle name="40% - Accent2 2 8 4 2 2 2 2" xfId="28563"/>
    <cellStyle name="40% - Accent2 2 8 4 2 2 3" xfId="28564"/>
    <cellStyle name="40% - Accent2 2 8 4 2 3" xfId="28565"/>
    <cellStyle name="40% - Accent2 2 8 4 2 3 2" xfId="28566"/>
    <cellStyle name="40% - Accent2 2 8 4 2 4" xfId="28567"/>
    <cellStyle name="40% - Accent2 2 8 4 3" xfId="28568"/>
    <cellStyle name="40% - Accent2 2 8 4 3 2" xfId="28569"/>
    <cellStyle name="40% - Accent2 2 8 4 3 2 2" xfId="28570"/>
    <cellStyle name="40% - Accent2 2 8 4 3 3" xfId="28571"/>
    <cellStyle name="40% - Accent2 2 8 4 4" xfId="28572"/>
    <cellStyle name="40% - Accent2 2 8 4 4 2" xfId="28573"/>
    <cellStyle name="40% - Accent2 2 8 4 5" xfId="28574"/>
    <cellStyle name="40% - Accent2 2 8 5" xfId="28575"/>
    <cellStyle name="40% - Accent2 2 8 5 2" xfId="28576"/>
    <cellStyle name="40% - Accent2 2 8 5 2 2" xfId="28577"/>
    <cellStyle name="40% - Accent2 2 8 5 2 2 2" xfId="28578"/>
    <cellStyle name="40% - Accent2 2 8 5 2 2 2 2" xfId="28579"/>
    <cellStyle name="40% - Accent2 2 8 5 2 2 3" xfId="28580"/>
    <cellStyle name="40% - Accent2 2 8 5 2 3" xfId="28581"/>
    <cellStyle name="40% - Accent2 2 8 5 2 3 2" xfId="28582"/>
    <cellStyle name="40% - Accent2 2 8 5 2 4" xfId="28583"/>
    <cellStyle name="40% - Accent2 2 8 5 3" xfId="28584"/>
    <cellStyle name="40% - Accent2 2 8 5 3 2" xfId="28585"/>
    <cellStyle name="40% - Accent2 2 8 5 3 2 2" xfId="28586"/>
    <cellStyle name="40% - Accent2 2 8 5 3 3" xfId="28587"/>
    <cellStyle name="40% - Accent2 2 8 5 4" xfId="28588"/>
    <cellStyle name="40% - Accent2 2 8 5 4 2" xfId="28589"/>
    <cellStyle name="40% - Accent2 2 8 5 5" xfId="28590"/>
    <cellStyle name="40% - Accent2 2 8 6" xfId="28591"/>
    <cellStyle name="40% - Accent2 2 8 6 2" xfId="28592"/>
    <cellStyle name="40% - Accent2 2 8 6 2 2" xfId="28593"/>
    <cellStyle name="40% - Accent2 2 8 6 2 2 2" xfId="28594"/>
    <cellStyle name="40% - Accent2 2 8 6 2 2 2 2" xfId="28595"/>
    <cellStyle name="40% - Accent2 2 8 6 2 2 3" xfId="28596"/>
    <cellStyle name="40% - Accent2 2 8 6 2 3" xfId="28597"/>
    <cellStyle name="40% - Accent2 2 8 6 2 3 2" xfId="28598"/>
    <cellStyle name="40% - Accent2 2 8 6 2 4" xfId="28599"/>
    <cellStyle name="40% - Accent2 2 8 6 3" xfId="28600"/>
    <cellStyle name="40% - Accent2 2 8 6 3 2" xfId="28601"/>
    <cellStyle name="40% - Accent2 2 8 6 3 2 2" xfId="28602"/>
    <cellStyle name="40% - Accent2 2 8 6 3 3" xfId="28603"/>
    <cellStyle name="40% - Accent2 2 8 6 4" xfId="28604"/>
    <cellStyle name="40% - Accent2 2 8 6 4 2" xfId="28605"/>
    <cellStyle name="40% - Accent2 2 8 6 5" xfId="28606"/>
    <cellStyle name="40% - Accent2 2 8 7" xfId="28607"/>
    <cellStyle name="40% - Accent2 2 8 7 2" xfId="28608"/>
    <cellStyle name="40% - Accent2 2 8 7 2 2" xfId="28609"/>
    <cellStyle name="40% - Accent2 2 8 7 2 2 2" xfId="28610"/>
    <cellStyle name="40% - Accent2 2 8 7 2 2 2 2" xfId="28611"/>
    <cellStyle name="40% - Accent2 2 8 7 2 2 3" xfId="28612"/>
    <cellStyle name="40% - Accent2 2 8 7 2 3" xfId="28613"/>
    <cellStyle name="40% - Accent2 2 8 7 2 3 2" xfId="28614"/>
    <cellStyle name="40% - Accent2 2 8 7 2 4" xfId="28615"/>
    <cellStyle name="40% - Accent2 2 8 7 3" xfId="28616"/>
    <cellStyle name="40% - Accent2 2 8 7 3 2" xfId="28617"/>
    <cellStyle name="40% - Accent2 2 8 7 3 2 2" xfId="28618"/>
    <cellStyle name="40% - Accent2 2 8 7 3 3" xfId="28619"/>
    <cellStyle name="40% - Accent2 2 8 7 4" xfId="28620"/>
    <cellStyle name="40% - Accent2 2 8 7 4 2" xfId="28621"/>
    <cellStyle name="40% - Accent2 2 8 7 5" xfId="28622"/>
    <cellStyle name="40% - Accent2 2 8 8" xfId="28623"/>
    <cellStyle name="40% - Accent2 2 8 8 2" xfId="28624"/>
    <cellStyle name="40% - Accent2 2 8 8 2 2" xfId="28625"/>
    <cellStyle name="40% - Accent2 2 8 8 2 2 2" xfId="28626"/>
    <cellStyle name="40% - Accent2 2 8 8 2 3" xfId="28627"/>
    <cellStyle name="40% - Accent2 2 8 8 3" xfId="28628"/>
    <cellStyle name="40% - Accent2 2 8 8 3 2" xfId="28629"/>
    <cellStyle name="40% - Accent2 2 8 8 4" xfId="28630"/>
    <cellStyle name="40% - Accent2 2 8 9" xfId="28631"/>
    <cellStyle name="40% - Accent2 2 8 9 2" xfId="28632"/>
    <cellStyle name="40% - Accent2 2 8 9 2 2" xfId="28633"/>
    <cellStyle name="40% - Accent2 2 8 9 3" xfId="28634"/>
    <cellStyle name="40% - Accent2 2 9" xfId="28635"/>
    <cellStyle name="40% - Accent2 2 9 10" xfId="28636"/>
    <cellStyle name="40% - Accent2 2 9 10 2" xfId="28637"/>
    <cellStyle name="40% - Accent2 2 9 11" xfId="28638"/>
    <cellStyle name="40% - Accent2 2 9 2" xfId="28639"/>
    <cellStyle name="40% - Accent2 2 9 2 10" xfId="28640"/>
    <cellStyle name="40% - Accent2 2 9 2 2" xfId="28641"/>
    <cellStyle name="40% - Accent2 2 9 2 2 2" xfId="28642"/>
    <cellStyle name="40% - Accent2 2 9 2 2 2 2" xfId="28643"/>
    <cellStyle name="40% - Accent2 2 9 2 2 2 2 2" xfId="28644"/>
    <cellStyle name="40% - Accent2 2 9 2 2 2 2 2 2" xfId="28645"/>
    <cellStyle name="40% - Accent2 2 9 2 2 2 2 3" xfId="28646"/>
    <cellStyle name="40% - Accent2 2 9 2 2 2 3" xfId="28647"/>
    <cellStyle name="40% - Accent2 2 9 2 2 2 3 2" xfId="28648"/>
    <cellStyle name="40% - Accent2 2 9 2 2 2 4" xfId="28649"/>
    <cellStyle name="40% - Accent2 2 9 2 2 3" xfId="28650"/>
    <cellStyle name="40% - Accent2 2 9 2 2 3 2" xfId="28651"/>
    <cellStyle name="40% - Accent2 2 9 2 2 3 2 2" xfId="28652"/>
    <cellStyle name="40% - Accent2 2 9 2 2 3 3" xfId="28653"/>
    <cellStyle name="40% - Accent2 2 9 2 2 4" xfId="28654"/>
    <cellStyle name="40% - Accent2 2 9 2 2 4 2" xfId="28655"/>
    <cellStyle name="40% - Accent2 2 9 2 2 5" xfId="28656"/>
    <cellStyle name="40% - Accent2 2 9 2 3" xfId="28657"/>
    <cellStyle name="40% - Accent2 2 9 2 3 2" xfId="28658"/>
    <cellStyle name="40% - Accent2 2 9 2 3 2 2" xfId="28659"/>
    <cellStyle name="40% - Accent2 2 9 2 3 2 2 2" xfId="28660"/>
    <cellStyle name="40% - Accent2 2 9 2 3 2 2 2 2" xfId="28661"/>
    <cellStyle name="40% - Accent2 2 9 2 3 2 2 3" xfId="28662"/>
    <cellStyle name="40% - Accent2 2 9 2 3 2 3" xfId="28663"/>
    <cellStyle name="40% - Accent2 2 9 2 3 2 3 2" xfId="28664"/>
    <cellStyle name="40% - Accent2 2 9 2 3 2 4" xfId="28665"/>
    <cellStyle name="40% - Accent2 2 9 2 3 3" xfId="28666"/>
    <cellStyle name="40% - Accent2 2 9 2 3 3 2" xfId="28667"/>
    <cellStyle name="40% - Accent2 2 9 2 3 3 2 2" xfId="28668"/>
    <cellStyle name="40% - Accent2 2 9 2 3 3 3" xfId="28669"/>
    <cellStyle name="40% - Accent2 2 9 2 3 4" xfId="28670"/>
    <cellStyle name="40% - Accent2 2 9 2 3 4 2" xfId="28671"/>
    <cellStyle name="40% - Accent2 2 9 2 3 5" xfId="28672"/>
    <cellStyle name="40% - Accent2 2 9 2 4" xfId="28673"/>
    <cellStyle name="40% - Accent2 2 9 2 4 2" xfId="28674"/>
    <cellStyle name="40% - Accent2 2 9 2 4 2 2" xfId="28675"/>
    <cellStyle name="40% - Accent2 2 9 2 4 2 2 2" xfId="28676"/>
    <cellStyle name="40% - Accent2 2 9 2 4 2 2 2 2" xfId="28677"/>
    <cellStyle name="40% - Accent2 2 9 2 4 2 2 3" xfId="28678"/>
    <cellStyle name="40% - Accent2 2 9 2 4 2 3" xfId="28679"/>
    <cellStyle name="40% - Accent2 2 9 2 4 2 3 2" xfId="28680"/>
    <cellStyle name="40% - Accent2 2 9 2 4 2 4" xfId="28681"/>
    <cellStyle name="40% - Accent2 2 9 2 4 3" xfId="28682"/>
    <cellStyle name="40% - Accent2 2 9 2 4 3 2" xfId="28683"/>
    <cellStyle name="40% - Accent2 2 9 2 4 3 2 2" xfId="28684"/>
    <cellStyle name="40% - Accent2 2 9 2 4 3 3" xfId="28685"/>
    <cellStyle name="40% - Accent2 2 9 2 4 4" xfId="28686"/>
    <cellStyle name="40% - Accent2 2 9 2 4 4 2" xfId="28687"/>
    <cellStyle name="40% - Accent2 2 9 2 4 5" xfId="28688"/>
    <cellStyle name="40% - Accent2 2 9 2 5" xfId="28689"/>
    <cellStyle name="40% - Accent2 2 9 2 5 2" xfId="28690"/>
    <cellStyle name="40% - Accent2 2 9 2 5 2 2" xfId="28691"/>
    <cellStyle name="40% - Accent2 2 9 2 5 2 2 2" xfId="28692"/>
    <cellStyle name="40% - Accent2 2 9 2 5 2 2 2 2" xfId="28693"/>
    <cellStyle name="40% - Accent2 2 9 2 5 2 2 3" xfId="28694"/>
    <cellStyle name="40% - Accent2 2 9 2 5 2 3" xfId="28695"/>
    <cellStyle name="40% - Accent2 2 9 2 5 2 3 2" xfId="28696"/>
    <cellStyle name="40% - Accent2 2 9 2 5 2 4" xfId="28697"/>
    <cellStyle name="40% - Accent2 2 9 2 5 3" xfId="28698"/>
    <cellStyle name="40% - Accent2 2 9 2 5 3 2" xfId="28699"/>
    <cellStyle name="40% - Accent2 2 9 2 5 3 2 2" xfId="28700"/>
    <cellStyle name="40% - Accent2 2 9 2 5 3 3" xfId="28701"/>
    <cellStyle name="40% - Accent2 2 9 2 5 4" xfId="28702"/>
    <cellStyle name="40% - Accent2 2 9 2 5 4 2" xfId="28703"/>
    <cellStyle name="40% - Accent2 2 9 2 5 5" xfId="28704"/>
    <cellStyle name="40% - Accent2 2 9 2 6" xfId="28705"/>
    <cellStyle name="40% - Accent2 2 9 2 6 2" xfId="28706"/>
    <cellStyle name="40% - Accent2 2 9 2 6 2 2" xfId="28707"/>
    <cellStyle name="40% - Accent2 2 9 2 6 2 2 2" xfId="28708"/>
    <cellStyle name="40% - Accent2 2 9 2 6 2 2 2 2" xfId="28709"/>
    <cellStyle name="40% - Accent2 2 9 2 6 2 2 3" xfId="28710"/>
    <cellStyle name="40% - Accent2 2 9 2 6 2 3" xfId="28711"/>
    <cellStyle name="40% - Accent2 2 9 2 6 2 3 2" xfId="28712"/>
    <cellStyle name="40% - Accent2 2 9 2 6 2 4" xfId="28713"/>
    <cellStyle name="40% - Accent2 2 9 2 6 3" xfId="28714"/>
    <cellStyle name="40% - Accent2 2 9 2 6 3 2" xfId="28715"/>
    <cellStyle name="40% - Accent2 2 9 2 6 3 2 2" xfId="28716"/>
    <cellStyle name="40% - Accent2 2 9 2 6 3 3" xfId="28717"/>
    <cellStyle name="40% - Accent2 2 9 2 6 4" xfId="28718"/>
    <cellStyle name="40% - Accent2 2 9 2 6 4 2" xfId="28719"/>
    <cellStyle name="40% - Accent2 2 9 2 6 5" xfId="28720"/>
    <cellStyle name="40% - Accent2 2 9 2 7" xfId="28721"/>
    <cellStyle name="40% - Accent2 2 9 2 7 2" xfId="28722"/>
    <cellStyle name="40% - Accent2 2 9 2 7 2 2" xfId="28723"/>
    <cellStyle name="40% - Accent2 2 9 2 7 2 2 2" xfId="28724"/>
    <cellStyle name="40% - Accent2 2 9 2 7 2 3" xfId="28725"/>
    <cellStyle name="40% - Accent2 2 9 2 7 3" xfId="28726"/>
    <cellStyle name="40% - Accent2 2 9 2 7 3 2" xfId="28727"/>
    <cellStyle name="40% - Accent2 2 9 2 7 4" xfId="28728"/>
    <cellStyle name="40% - Accent2 2 9 2 8" xfId="28729"/>
    <cellStyle name="40% - Accent2 2 9 2 8 2" xfId="28730"/>
    <cellStyle name="40% - Accent2 2 9 2 8 2 2" xfId="28731"/>
    <cellStyle name="40% - Accent2 2 9 2 8 3" xfId="28732"/>
    <cellStyle name="40% - Accent2 2 9 2 9" xfId="28733"/>
    <cellStyle name="40% - Accent2 2 9 2 9 2" xfId="28734"/>
    <cellStyle name="40% - Accent2 2 9 3" xfId="28735"/>
    <cellStyle name="40% - Accent2 2 9 3 2" xfId="28736"/>
    <cellStyle name="40% - Accent2 2 9 3 2 2" xfId="28737"/>
    <cellStyle name="40% - Accent2 2 9 3 2 2 2" xfId="28738"/>
    <cellStyle name="40% - Accent2 2 9 3 2 2 2 2" xfId="28739"/>
    <cellStyle name="40% - Accent2 2 9 3 2 2 3" xfId="28740"/>
    <cellStyle name="40% - Accent2 2 9 3 2 3" xfId="28741"/>
    <cellStyle name="40% - Accent2 2 9 3 2 3 2" xfId="28742"/>
    <cellStyle name="40% - Accent2 2 9 3 2 4" xfId="28743"/>
    <cellStyle name="40% - Accent2 2 9 3 3" xfId="28744"/>
    <cellStyle name="40% - Accent2 2 9 3 3 2" xfId="28745"/>
    <cellStyle name="40% - Accent2 2 9 3 3 2 2" xfId="28746"/>
    <cellStyle name="40% - Accent2 2 9 3 3 3" xfId="28747"/>
    <cellStyle name="40% - Accent2 2 9 3 4" xfId="28748"/>
    <cellStyle name="40% - Accent2 2 9 3 4 2" xfId="28749"/>
    <cellStyle name="40% - Accent2 2 9 3 5" xfId="28750"/>
    <cellStyle name="40% - Accent2 2 9 4" xfId="28751"/>
    <cellStyle name="40% - Accent2 2 9 4 2" xfId="28752"/>
    <cellStyle name="40% - Accent2 2 9 4 2 2" xfId="28753"/>
    <cellStyle name="40% - Accent2 2 9 4 2 2 2" xfId="28754"/>
    <cellStyle name="40% - Accent2 2 9 4 2 2 2 2" xfId="28755"/>
    <cellStyle name="40% - Accent2 2 9 4 2 2 3" xfId="28756"/>
    <cellStyle name="40% - Accent2 2 9 4 2 3" xfId="28757"/>
    <cellStyle name="40% - Accent2 2 9 4 2 3 2" xfId="28758"/>
    <cellStyle name="40% - Accent2 2 9 4 2 4" xfId="28759"/>
    <cellStyle name="40% - Accent2 2 9 4 3" xfId="28760"/>
    <cellStyle name="40% - Accent2 2 9 4 3 2" xfId="28761"/>
    <cellStyle name="40% - Accent2 2 9 4 3 2 2" xfId="28762"/>
    <cellStyle name="40% - Accent2 2 9 4 3 3" xfId="28763"/>
    <cellStyle name="40% - Accent2 2 9 4 4" xfId="28764"/>
    <cellStyle name="40% - Accent2 2 9 4 4 2" xfId="28765"/>
    <cellStyle name="40% - Accent2 2 9 4 5" xfId="28766"/>
    <cellStyle name="40% - Accent2 2 9 5" xfId="28767"/>
    <cellStyle name="40% - Accent2 2 9 5 2" xfId="28768"/>
    <cellStyle name="40% - Accent2 2 9 5 2 2" xfId="28769"/>
    <cellStyle name="40% - Accent2 2 9 5 2 2 2" xfId="28770"/>
    <cellStyle name="40% - Accent2 2 9 5 2 2 2 2" xfId="28771"/>
    <cellStyle name="40% - Accent2 2 9 5 2 2 3" xfId="28772"/>
    <cellStyle name="40% - Accent2 2 9 5 2 3" xfId="28773"/>
    <cellStyle name="40% - Accent2 2 9 5 2 3 2" xfId="28774"/>
    <cellStyle name="40% - Accent2 2 9 5 2 4" xfId="28775"/>
    <cellStyle name="40% - Accent2 2 9 5 3" xfId="28776"/>
    <cellStyle name="40% - Accent2 2 9 5 3 2" xfId="28777"/>
    <cellStyle name="40% - Accent2 2 9 5 3 2 2" xfId="28778"/>
    <cellStyle name="40% - Accent2 2 9 5 3 3" xfId="28779"/>
    <cellStyle name="40% - Accent2 2 9 5 4" xfId="28780"/>
    <cellStyle name="40% - Accent2 2 9 5 4 2" xfId="28781"/>
    <cellStyle name="40% - Accent2 2 9 5 5" xfId="28782"/>
    <cellStyle name="40% - Accent2 2 9 6" xfId="28783"/>
    <cellStyle name="40% - Accent2 2 9 6 2" xfId="28784"/>
    <cellStyle name="40% - Accent2 2 9 6 2 2" xfId="28785"/>
    <cellStyle name="40% - Accent2 2 9 6 2 2 2" xfId="28786"/>
    <cellStyle name="40% - Accent2 2 9 6 2 2 2 2" xfId="28787"/>
    <cellStyle name="40% - Accent2 2 9 6 2 2 3" xfId="28788"/>
    <cellStyle name="40% - Accent2 2 9 6 2 3" xfId="28789"/>
    <cellStyle name="40% - Accent2 2 9 6 2 3 2" xfId="28790"/>
    <cellStyle name="40% - Accent2 2 9 6 2 4" xfId="28791"/>
    <cellStyle name="40% - Accent2 2 9 6 3" xfId="28792"/>
    <cellStyle name="40% - Accent2 2 9 6 3 2" xfId="28793"/>
    <cellStyle name="40% - Accent2 2 9 6 3 2 2" xfId="28794"/>
    <cellStyle name="40% - Accent2 2 9 6 3 3" xfId="28795"/>
    <cellStyle name="40% - Accent2 2 9 6 4" xfId="28796"/>
    <cellStyle name="40% - Accent2 2 9 6 4 2" xfId="28797"/>
    <cellStyle name="40% - Accent2 2 9 6 5" xfId="28798"/>
    <cellStyle name="40% - Accent2 2 9 7" xfId="28799"/>
    <cellStyle name="40% - Accent2 2 9 7 2" xfId="28800"/>
    <cellStyle name="40% - Accent2 2 9 7 2 2" xfId="28801"/>
    <cellStyle name="40% - Accent2 2 9 7 2 2 2" xfId="28802"/>
    <cellStyle name="40% - Accent2 2 9 7 2 2 2 2" xfId="28803"/>
    <cellStyle name="40% - Accent2 2 9 7 2 2 3" xfId="28804"/>
    <cellStyle name="40% - Accent2 2 9 7 2 3" xfId="28805"/>
    <cellStyle name="40% - Accent2 2 9 7 2 3 2" xfId="28806"/>
    <cellStyle name="40% - Accent2 2 9 7 2 4" xfId="28807"/>
    <cellStyle name="40% - Accent2 2 9 7 3" xfId="28808"/>
    <cellStyle name="40% - Accent2 2 9 7 3 2" xfId="28809"/>
    <cellStyle name="40% - Accent2 2 9 7 3 2 2" xfId="28810"/>
    <cellStyle name="40% - Accent2 2 9 7 3 3" xfId="28811"/>
    <cellStyle name="40% - Accent2 2 9 7 4" xfId="28812"/>
    <cellStyle name="40% - Accent2 2 9 7 4 2" xfId="28813"/>
    <cellStyle name="40% - Accent2 2 9 7 5" xfId="28814"/>
    <cellStyle name="40% - Accent2 2 9 8" xfId="28815"/>
    <cellStyle name="40% - Accent2 2 9 8 2" xfId="28816"/>
    <cellStyle name="40% - Accent2 2 9 8 2 2" xfId="28817"/>
    <cellStyle name="40% - Accent2 2 9 8 2 2 2" xfId="28818"/>
    <cellStyle name="40% - Accent2 2 9 8 2 3" xfId="28819"/>
    <cellStyle name="40% - Accent2 2 9 8 3" xfId="28820"/>
    <cellStyle name="40% - Accent2 2 9 8 3 2" xfId="28821"/>
    <cellStyle name="40% - Accent2 2 9 8 4" xfId="28822"/>
    <cellStyle name="40% - Accent2 2 9 9" xfId="28823"/>
    <cellStyle name="40% - Accent2 2 9 9 2" xfId="28824"/>
    <cellStyle name="40% - Accent2 2 9 9 2 2" xfId="28825"/>
    <cellStyle name="40% - Accent2 2 9 9 3" xfId="28826"/>
    <cellStyle name="40% - Accent2 20" xfId="28827"/>
    <cellStyle name="40% - Accent2 20 2" xfId="28828"/>
    <cellStyle name="40% - Accent2 20 2 2" xfId="28829"/>
    <cellStyle name="40% - Accent2 20 2 2 2" xfId="28830"/>
    <cellStyle name="40% - Accent2 20 2 2 2 2" xfId="28831"/>
    <cellStyle name="40% - Accent2 20 2 2 3" xfId="28832"/>
    <cellStyle name="40% - Accent2 20 2 3" xfId="28833"/>
    <cellStyle name="40% - Accent2 20 2 3 2" xfId="28834"/>
    <cellStyle name="40% - Accent2 20 2 4" xfId="28835"/>
    <cellStyle name="40% - Accent2 20 3" xfId="28836"/>
    <cellStyle name="40% - Accent2 20 3 2" xfId="28837"/>
    <cellStyle name="40% - Accent2 20 3 2 2" xfId="28838"/>
    <cellStyle name="40% - Accent2 20 3 3" xfId="28839"/>
    <cellStyle name="40% - Accent2 20 4" xfId="28840"/>
    <cellStyle name="40% - Accent2 20 4 2" xfId="28841"/>
    <cellStyle name="40% - Accent2 20 5" xfId="28842"/>
    <cellStyle name="40% - Accent2 21" xfId="28843"/>
    <cellStyle name="40% - Accent2 21 2" xfId="28844"/>
    <cellStyle name="40% - Accent2 21 2 2" xfId="28845"/>
    <cellStyle name="40% - Accent2 21 2 2 2" xfId="28846"/>
    <cellStyle name="40% - Accent2 21 2 3" xfId="28847"/>
    <cellStyle name="40% - Accent2 21 3" xfId="28848"/>
    <cellStyle name="40% - Accent2 21 3 2" xfId="28849"/>
    <cellStyle name="40% - Accent2 21 4" xfId="28850"/>
    <cellStyle name="40% - Accent2 22" xfId="28851"/>
    <cellStyle name="40% - Accent2 22 2" xfId="28852"/>
    <cellStyle name="40% - Accent2 22 2 2" xfId="28853"/>
    <cellStyle name="40% - Accent2 22 3" xfId="28854"/>
    <cellStyle name="40% - Accent2 23" xfId="28855"/>
    <cellStyle name="40% - Accent2 23 2" xfId="28856"/>
    <cellStyle name="40% - Accent2 24" xfId="28857"/>
    <cellStyle name="40% - Accent2 3" xfId="28858"/>
    <cellStyle name="40% - Accent2 3 10" xfId="28859"/>
    <cellStyle name="40% - Accent2 3 10 2" xfId="28860"/>
    <cellStyle name="40% - Accent2 3 11" xfId="28861"/>
    <cellStyle name="40% - Accent2 3 2" xfId="28862"/>
    <cellStyle name="40% - Accent2 3 2 10" xfId="28863"/>
    <cellStyle name="40% - Accent2 3 2 2" xfId="28864"/>
    <cellStyle name="40% - Accent2 3 2 2 2" xfId="28865"/>
    <cellStyle name="40% - Accent2 3 2 2 2 2" xfId="28866"/>
    <cellStyle name="40% - Accent2 3 2 2 2 2 2" xfId="28867"/>
    <cellStyle name="40% - Accent2 3 2 2 2 2 2 2" xfId="28868"/>
    <cellStyle name="40% - Accent2 3 2 2 2 2 3" xfId="28869"/>
    <cellStyle name="40% - Accent2 3 2 2 2 3" xfId="28870"/>
    <cellStyle name="40% - Accent2 3 2 2 2 3 2" xfId="28871"/>
    <cellStyle name="40% - Accent2 3 2 2 2 4" xfId="28872"/>
    <cellStyle name="40% - Accent2 3 2 2 3" xfId="28873"/>
    <cellStyle name="40% - Accent2 3 2 2 3 2" xfId="28874"/>
    <cellStyle name="40% - Accent2 3 2 2 3 2 2" xfId="28875"/>
    <cellStyle name="40% - Accent2 3 2 2 3 3" xfId="28876"/>
    <cellStyle name="40% - Accent2 3 2 2 4" xfId="28877"/>
    <cellStyle name="40% - Accent2 3 2 2 4 2" xfId="28878"/>
    <cellStyle name="40% - Accent2 3 2 2 5" xfId="28879"/>
    <cellStyle name="40% - Accent2 3 2 3" xfId="28880"/>
    <cellStyle name="40% - Accent2 3 2 3 2" xfId="28881"/>
    <cellStyle name="40% - Accent2 3 2 3 2 2" xfId="28882"/>
    <cellStyle name="40% - Accent2 3 2 3 2 2 2" xfId="28883"/>
    <cellStyle name="40% - Accent2 3 2 3 2 2 2 2" xfId="28884"/>
    <cellStyle name="40% - Accent2 3 2 3 2 2 3" xfId="28885"/>
    <cellStyle name="40% - Accent2 3 2 3 2 3" xfId="28886"/>
    <cellStyle name="40% - Accent2 3 2 3 2 3 2" xfId="28887"/>
    <cellStyle name="40% - Accent2 3 2 3 2 4" xfId="28888"/>
    <cellStyle name="40% - Accent2 3 2 3 3" xfId="28889"/>
    <cellStyle name="40% - Accent2 3 2 3 3 2" xfId="28890"/>
    <cellStyle name="40% - Accent2 3 2 3 3 2 2" xfId="28891"/>
    <cellStyle name="40% - Accent2 3 2 3 3 3" xfId="28892"/>
    <cellStyle name="40% - Accent2 3 2 3 4" xfId="28893"/>
    <cellStyle name="40% - Accent2 3 2 3 4 2" xfId="28894"/>
    <cellStyle name="40% - Accent2 3 2 3 5" xfId="28895"/>
    <cellStyle name="40% - Accent2 3 2 4" xfId="28896"/>
    <cellStyle name="40% - Accent2 3 2 4 2" xfId="28897"/>
    <cellStyle name="40% - Accent2 3 2 4 2 2" xfId="28898"/>
    <cellStyle name="40% - Accent2 3 2 4 2 2 2" xfId="28899"/>
    <cellStyle name="40% - Accent2 3 2 4 2 2 2 2" xfId="28900"/>
    <cellStyle name="40% - Accent2 3 2 4 2 2 3" xfId="28901"/>
    <cellStyle name="40% - Accent2 3 2 4 2 3" xfId="28902"/>
    <cellStyle name="40% - Accent2 3 2 4 2 3 2" xfId="28903"/>
    <cellStyle name="40% - Accent2 3 2 4 2 4" xfId="28904"/>
    <cellStyle name="40% - Accent2 3 2 4 3" xfId="28905"/>
    <cellStyle name="40% - Accent2 3 2 4 3 2" xfId="28906"/>
    <cellStyle name="40% - Accent2 3 2 4 3 2 2" xfId="28907"/>
    <cellStyle name="40% - Accent2 3 2 4 3 3" xfId="28908"/>
    <cellStyle name="40% - Accent2 3 2 4 4" xfId="28909"/>
    <cellStyle name="40% - Accent2 3 2 4 4 2" xfId="28910"/>
    <cellStyle name="40% - Accent2 3 2 4 5" xfId="28911"/>
    <cellStyle name="40% - Accent2 3 2 5" xfId="28912"/>
    <cellStyle name="40% - Accent2 3 2 5 2" xfId="28913"/>
    <cellStyle name="40% - Accent2 3 2 5 2 2" xfId="28914"/>
    <cellStyle name="40% - Accent2 3 2 5 2 2 2" xfId="28915"/>
    <cellStyle name="40% - Accent2 3 2 5 2 2 2 2" xfId="28916"/>
    <cellStyle name="40% - Accent2 3 2 5 2 2 3" xfId="28917"/>
    <cellStyle name="40% - Accent2 3 2 5 2 3" xfId="28918"/>
    <cellStyle name="40% - Accent2 3 2 5 2 3 2" xfId="28919"/>
    <cellStyle name="40% - Accent2 3 2 5 2 4" xfId="28920"/>
    <cellStyle name="40% - Accent2 3 2 5 3" xfId="28921"/>
    <cellStyle name="40% - Accent2 3 2 5 3 2" xfId="28922"/>
    <cellStyle name="40% - Accent2 3 2 5 3 2 2" xfId="28923"/>
    <cellStyle name="40% - Accent2 3 2 5 3 3" xfId="28924"/>
    <cellStyle name="40% - Accent2 3 2 5 4" xfId="28925"/>
    <cellStyle name="40% - Accent2 3 2 5 4 2" xfId="28926"/>
    <cellStyle name="40% - Accent2 3 2 5 5" xfId="28927"/>
    <cellStyle name="40% - Accent2 3 2 6" xfId="28928"/>
    <cellStyle name="40% - Accent2 3 2 6 2" xfId="28929"/>
    <cellStyle name="40% - Accent2 3 2 6 2 2" xfId="28930"/>
    <cellStyle name="40% - Accent2 3 2 6 2 2 2" xfId="28931"/>
    <cellStyle name="40% - Accent2 3 2 6 2 2 2 2" xfId="28932"/>
    <cellStyle name="40% - Accent2 3 2 6 2 2 3" xfId="28933"/>
    <cellStyle name="40% - Accent2 3 2 6 2 3" xfId="28934"/>
    <cellStyle name="40% - Accent2 3 2 6 2 3 2" xfId="28935"/>
    <cellStyle name="40% - Accent2 3 2 6 2 4" xfId="28936"/>
    <cellStyle name="40% - Accent2 3 2 6 3" xfId="28937"/>
    <cellStyle name="40% - Accent2 3 2 6 3 2" xfId="28938"/>
    <cellStyle name="40% - Accent2 3 2 6 3 2 2" xfId="28939"/>
    <cellStyle name="40% - Accent2 3 2 6 3 3" xfId="28940"/>
    <cellStyle name="40% - Accent2 3 2 6 4" xfId="28941"/>
    <cellStyle name="40% - Accent2 3 2 6 4 2" xfId="28942"/>
    <cellStyle name="40% - Accent2 3 2 6 5" xfId="28943"/>
    <cellStyle name="40% - Accent2 3 2 7" xfId="28944"/>
    <cellStyle name="40% - Accent2 3 2 7 2" xfId="28945"/>
    <cellStyle name="40% - Accent2 3 2 7 2 2" xfId="28946"/>
    <cellStyle name="40% - Accent2 3 2 7 2 2 2" xfId="28947"/>
    <cellStyle name="40% - Accent2 3 2 7 2 3" xfId="28948"/>
    <cellStyle name="40% - Accent2 3 2 7 3" xfId="28949"/>
    <cellStyle name="40% - Accent2 3 2 7 3 2" xfId="28950"/>
    <cellStyle name="40% - Accent2 3 2 7 4" xfId="28951"/>
    <cellStyle name="40% - Accent2 3 2 8" xfId="28952"/>
    <cellStyle name="40% - Accent2 3 2 8 2" xfId="28953"/>
    <cellStyle name="40% - Accent2 3 2 8 2 2" xfId="28954"/>
    <cellStyle name="40% - Accent2 3 2 8 3" xfId="28955"/>
    <cellStyle name="40% - Accent2 3 2 9" xfId="28956"/>
    <cellStyle name="40% - Accent2 3 2 9 2" xfId="28957"/>
    <cellStyle name="40% - Accent2 3 3" xfId="28958"/>
    <cellStyle name="40% - Accent2 3 3 2" xfId="28959"/>
    <cellStyle name="40% - Accent2 3 3 2 2" xfId="28960"/>
    <cellStyle name="40% - Accent2 3 3 2 2 2" xfId="28961"/>
    <cellStyle name="40% - Accent2 3 3 2 2 2 2" xfId="28962"/>
    <cellStyle name="40% - Accent2 3 3 2 2 3" xfId="28963"/>
    <cellStyle name="40% - Accent2 3 3 2 3" xfId="28964"/>
    <cellStyle name="40% - Accent2 3 3 2 3 2" xfId="28965"/>
    <cellStyle name="40% - Accent2 3 3 2 4" xfId="28966"/>
    <cellStyle name="40% - Accent2 3 3 3" xfId="28967"/>
    <cellStyle name="40% - Accent2 3 3 3 2" xfId="28968"/>
    <cellStyle name="40% - Accent2 3 3 3 2 2" xfId="28969"/>
    <cellStyle name="40% - Accent2 3 3 3 3" xfId="28970"/>
    <cellStyle name="40% - Accent2 3 3 4" xfId="28971"/>
    <cellStyle name="40% - Accent2 3 3 4 2" xfId="28972"/>
    <cellStyle name="40% - Accent2 3 3 5" xfId="28973"/>
    <cellStyle name="40% - Accent2 3 4" xfId="28974"/>
    <cellStyle name="40% - Accent2 3 4 2" xfId="28975"/>
    <cellStyle name="40% - Accent2 3 4 2 2" xfId="28976"/>
    <cellStyle name="40% - Accent2 3 4 2 2 2" xfId="28977"/>
    <cellStyle name="40% - Accent2 3 4 2 2 2 2" xfId="28978"/>
    <cellStyle name="40% - Accent2 3 4 2 2 3" xfId="28979"/>
    <cellStyle name="40% - Accent2 3 4 2 3" xfId="28980"/>
    <cellStyle name="40% - Accent2 3 4 2 3 2" xfId="28981"/>
    <cellStyle name="40% - Accent2 3 4 2 4" xfId="28982"/>
    <cellStyle name="40% - Accent2 3 4 3" xfId="28983"/>
    <cellStyle name="40% - Accent2 3 4 3 2" xfId="28984"/>
    <cellStyle name="40% - Accent2 3 4 3 2 2" xfId="28985"/>
    <cellStyle name="40% - Accent2 3 4 3 3" xfId="28986"/>
    <cellStyle name="40% - Accent2 3 4 4" xfId="28987"/>
    <cellStyle name="40% - Accent2 3 4 4 2" xfId="28988"/>
    <cellStyle name="40% - Accent2 3 4 5" xfId="28989"/>
    <cellStyle name="40% - Accent2 3 5" xfId="28990"/>
    <cellStyle name="40% - Accent2 3 5 2" xfId="28991"/>
    <cellStyle name="40% - Accent2 3 5 2 2" xfId="28992"/>
    <cellStyle name="40% - Accent2 3 5 2 2 2" xfId="28993"/>
    <cellStyle name="40% - Accent2 3 5 2 2 2 2" xfId="28994"/>
    <cellStyle name="40% - Accent2 3 5 2 2 3" xfId="28995"/>
    <cellStyle name="40% - Accent2 3 5 2 3" xfId="28996"/>
    <cellStyle name="40% - Accent2 3 5 2 3 2" xfId="28997"/>
    <cellStyle name="40% - Accent2 3 5 2 4" xfId="28998"/>
    <cellStyle name="40% - Accent2 3 5 3" xfId="28999"/>
    <cellStyle name="40% - Accent2 3 5 3 2" xfId="29000"/>
    <cellStyle name="40% - Accent2 3 5 3 2 2" xfId="29001"/>
    <cellStyle name="40% - Accent2 3 5 3 3" xfId="29002"/>
    <cellStyle name="40% - Accent2 3 5 4" xfId="29003"/>
    <cellStyle name="40% - Accent2 3 5 4 2" xfId="29004"/>
    <cellStyle name="40% - Accent2 3 5 5" xfId="29005"/>
    <cellStyle name="40% - Accent2 3 6" xfId="29006"/>
    <cellStyle name="40% - Accent2 3 6 2" xfId="29007"/>
    <cellStyle name="40% - Accent2 3 6 2 2" xfId="29008"/>
    <cellStyle name="40% - Accent2 3 6 2 2 2" xfId="29009"/>
    <cellStyle name="40% - Accent2 3 6 2 2 2 2" xfId="29010"/>
    <cellStyle name="40% - Accent2 3 6 2 2 3" xfId="29011"/>
    <cellStyle name="40% - Accent2 3 6 2 3" xfId="29012"/>
    <cellStyle name="40% - Accent2 3 6 2 3 2" xfId="29013"/>
    <cellStyle name="40% - Accent2 3 6 2 4" xfId="29014"/>
    <cellStyle name="40% - Accent2 3 6 3" xfId="29015"/>
    <cellStyle name="40% - Accent2 3 6 3 2" xfId="29016"/>
    <cellStyle name="40% - Accent2 3 6 3 2 2" xfId="29017"/>
    <cellStyle name="40% - Accent2 3 6 3 3" xfId="29018"/>
    <cellStyle name="40% - Accent2 3 6 4" xfId="29019"/>
    <cellStyle name="40% - Accent2 3 6 4 2" xfId="29020"/>
    <cellStyle name="40% - Accent2 3 6 5" xfId="29021"/>
    <cellStyle name="40% - Accent2 3 7" xfId="29022"/>
    <cellStyle name="40% - Accent2 3 7 2" xfId="29023"/>
    <cellStyle name="40% - Accent2 3 7 2 2" xfId="29024"/>
    <cellStyle name="40% - Accent2 3 7 2 2 2" xfId="29025"/>
    <cellStyle name="40% - Accent2 3 7 2 2 2 2" xfId="29026"/>
    <cellStyle name="40% - Accent2 3 7 2 2 3" xfId="29027"/>
    <cellStyle name="40% - Accent2 3 7 2 3" xfId="29028"/>
    <cellStyle name="40% - Accent2 3 7 2 3 2" xfId="29029"/>
    <cellStyle name="40% - Accent2 3 7 2 4" xfId="29030"/>
    <cellStyle name="40% - Accent2 3 7 3" xfId="29031"/>
    <cellStyle name="40% - Accent2 3 7 3 2" xfId="29032"/>
    <cellStyle name="40% - Accent2 3 7 3 2 2" xfId="29033"/>
    <cellStyle name="40% - Accent2 3 7 3 3" xfId="29034"/>
    <cellStyle name="40% - Accent2 3 7 4" xfId="29035"/>
    <cellStyle name="40% - Accent2 3 7 4 2" xfId="29036"/>
    <cellStyle name="40% - Accent2 3 7 5" xfId="29037"/>
    <cellStyle name="40% - Accent2 3 8" xfId="29038"/>
    <cellStyle name="40% - Accent2 3 8 2" xfId="29039"/>
    <cellStyle name="40% - Accent2 3 8 2 2" xfId="29040"/>
    <cellStyle name="40% - Accent2 3 8 2 2 2" xfId="29041"/>
    <cellStyle name="40% - Accent2 3 8 2 3" xfId="29042"/>
    <cellStyle name="40% - Accent2 3 8 3" xfId="29043"/>
    <cellStyle name="40% - Accent2 3 8 3 2" xfId="29044"/>
    <cellStyle name="40% - Accent2 3 8 4" xfId="29045"/>
    <cellStyle name="40% - Accent2 3 9" xfId="29046"/>
    <cellStyle name="40% - Accent2 3 9 2" xfId="29047"/>
    <cellStyle name="40% - Accent2 3 9 2 2" xfId="29048"/>
    <cellStyle name="40% - Accent2 3 9 3" xfId="29049"/>
    <cellStyle name="40% - Accent2 4" xfId="29050"/>
    <cellStyle name="40% - Accent2 4 10" xfId="29051"/>
    <cellStyle name="40% - Accent2 4 10 2" xfId="29052"/>
    <cellStyle name="40% - Accent2 4 11" xfId="29053"/>
    <cellStyle name="40% - Accent2 4 2" xfId="29054"/>
    <cellStyle name="40% - Accent2 4 2 10" xfId="29055"/>
    <cellStyle name="40% - Accent2 4 2 2" xfId="29056"/>
    <cellStyle name="40% - Accent2 4 2 2 2" xfId="29057"/>
    <cellStyle name="40% - Accent2 4 2 2 2 2" xfId="29058"/>
    <cellStyle name="40% - Accent2 4 2 2 2 2 2" xfId="29059"/>
    <cellStyle name="40% - Accent2 4 2 2 2 2 2 2" xfId="29060"/>
    <cellStyle name="40% - Accent2 4 2 2 2 2 3" xfId="29061"/>
    <cellStyle name="40% - Accent2 4 2 2 2 3" xfId="29062"/>
    <cellStyle name="40% - Accent2 4 2 2 2 3 2" xfId="29063"/>
    <cellStyle name="40% - Accent2 4 2 2 2 4" xfId="29064"/>
    <cellStyle name="40% - Accent2 4 2 2 3" xfId="29065"/>
    <cellStyle name="40% - Accent2 4 2 2 3 2" xfId="29066"/>
    <cellStyle name="40% - Accent2 4 2 2 3 2 2" xfId="29067"/>
    <cellStyle name="40% - Accent2 4 2 2 3 3" xfId="29068"/>
    <cellStyle name="40% - Accent2 4 2 2 4" xfId="29069"/>
    <cellStyle name="40% - Accent2 4 2 2 4 2" xfId="29070"/>
    <cellStyle name="40% - Accent2 4 2 2 5" xfId="29071"/>
    <cellStyle name="40% - Accent2 4 2 3" xfId="29072"/>
    <cellStyle name="40% - Accent2 4 2 3 2" xfId="29073"/>
    <cellStyle name="40% - Accent2 4 2 3 2 2" xfId="29074"/>
    <cellStyle name="40% - Accent2 4 2 3 2 2 2" xfId="29075"/>
    <cellStyle name="40% - Accent2 4 2 3 2 2 2 2" xfId="29076"/>
    <cellStyle name="40% - Accent2 4 2 3 2 2 3" xfId="29077"/>
    <cellStyle name="40% - Accent2 4 2 3 2 3" xfId="29078"/>
    <cellStyle name="40% - Accent2 4 2 3 2 3 2" xfId="29079"/>
    <cellStyle name="40% - Accent2 4 2 3 2 4" xfId="29080"/>
    <cellStyle name="40% - Accent2 4 2 3 3" xfId="29081"/>
    <cellStyle name="40% - Accent2 4 2 3 3 2" xfId="29082"/>
    <cellStyle name="40% - Accent2 4 2 3 3 2 2" xfId="29083"/>
    <cellStyle name="40% - Accent2 4 2 3 3 3" xfId="29084"/>
    <cellStyle name="40% - Accent2 4 2 3 4" xfId="29085"/>
    <cellStyle name="40% - Accent2 4 2 3 4 2" xfId="29086"/>
    <cellStyle name="40% - Accent2 4 2 3 5" xfId="29087"/>
    <cellStyle name="40% - Accent2 4 2 4" xfId="29088"/>
    <cellStyle name="40% - Accent2 4 2 4 2" xfId="29089"/>
    <cellStyle name="40% - Accent2 4 2 4 2 2" xfId="29090"/>
    <cellStyle name="40% - Accent2 4 2 4 2 2 2" xfId="29091"/>
    <cellStyle name="40% - Accent2 4 2 4 2 2 2 2" xfId="29092"/>
    <cellStyle name="40% - Accent2 4 2 4 2 2 3" xfId="29093"/>
    <cellStyle name="40% - Accent2 4 2 4 2 3" xfId="29094"/>
    <cellStyle name="40% - Accent2 4 2 4 2 3 2" xfId="29095"/>
    <cellStyle name="40% - Accent2 4 2 4 2 4" xfId="29096"/>
    <cellStyle name="40% - Accent2 4 2 4 3" xfId="29097"/>
    <cellStyle name="40% - Accent2 4 2 4 3 2" xfId="29098"/>
    <cellStyle name="40% - Accent2 4 2 4 3 2 2" xfId="29099"/>
    <cellStyle name="40% - Accent2 4 2 4 3 3" xfId="29100"/>
    <cellStyle name="40% - Accent2 4 2 4 4" xfId="29101"/>
    <cellStyle name="40% - Accent2 4 2 4 4 2" xfId="29102"/>
    <cellStyle name="40% - Accent2 4 2 4 5" xfId="29103"/>
    <cellStyle name="40% - Accent2 4 2 5" xfId="29104"/>
    <cellStyle name="40% - Accent2 4 2 5 2" xfId="29105"/>
    <cellStyle name="40% - Accent2 4 2 5 2 2" xfId="29106"/>
    <cellStyle name="40% - Accent2 4 2 5 2 2 2" xfId="29107"/>
    <cellStyle name="40% - Accent2 4 2 5 2 2 2 2" xfId="29108"/>
    <cellStyle name="40% - Accent2 4 2 5 2 2 3" xfId="29109"/>
    <cellStyle name="40% - Accent2 4 2 5 2 3" xfId="29110"/>
    <cellStyle name="40% - Accent2 4 2 5 2 3 2" xfId="29111"/>
    <cellStyle name="40% - Accent2 4 2 5 2 4" xfId="29112"/>
    <cellStyle name="40% - Accent2 4 2 5 3" xfId="29113"/>
    <cellStyle name="40% - Accent2 4 2 5 3 2" xfId="29114"/>
    <cellStyle name="40% - Accent2 4 2 5 3 2 2" xfId="29115"/>
    <cellStyle name="40% - Accent2 4 2 5 3 3" xfId="29116"/>
    <cellStyle name="40% - Accent2 4 2 5 4" xfId="29117"/>
    <cellStyle name="40% - Accent2 4 2 5 4 2" xfId="29118"/>
    <cellStyle name="40% - Accent2 4 2 5 5" xfId="29119"/>
    <cellStyle name="40% - Accent2 4 2 6" xfId="29120"/>
    <cellStyle name="40% - Accent2 4 2 6 2" xfId="29121"/>
    <cellStyle name="40% - Accent2 4 2 6 2 2" xfId="29122"/>
    <cellStyle name="40% - Accent2 4 2 6 2 2 2" xfId="29123"/>
    <cellStyle name="40% - Accent2 4 2 6 2 2 2 2" xfId="29124"/>
    <cellStyle name="40% - Accent2 4 2 6 2 2 3" xfId="29125"/>
    <cellStyle name="40% - Accent2 4 2 6 2 3" xfId="29126"/>
    <cellStyle name="40% - Accent2 4 2 6 2 3 2" xfId="29127"/>
    <cellStyle name="40% - Accent2 4 2 6 2 4" xfId="29128"/>
    <cellStyle name="40% - Accent2 4 2 6 3" xfId="29129"/>
    <cellStyle name="40% - Accent2 4 2 6 3 2" xfId="29130"/>
    <cellStyle name="40% - Accent2 4 2 6 3 2 2" xfId="29131"/>
    <cellStyle name="40% - Accent2 4 2 6 3 3" xfId="29132"/>
    <cellStyle name="40% - Accent2 4 2 6 4" xfId="29133"/>
    <cellStyle name="40% - Accent2 4 2 6 4 2" xfId="29134"/>
    <cellStyle name="40% - Accent2 4 2 6 5" xfId="29135"/>
    <cellStyle name="40% - Accent2 4 2 7" xfId="29136"/>
    <cellStyle name="40% - Accent2 4 2 7 2" xfId="29137"/>
    <cellStyle name="40% - Accent2 4 2 7 2 2" xfId="29138"/>
    <cellStyle name="40% - Accent2 4 2 7 2 2 2" xfId="29139"/>
    <cellStyle name="40% - Accent2 4 2 7 2 3" xfId="29140"/>
    <cellStyle name="40% - Accent2 4 2 7 3" xfId="29141"/>
    <cellStyle name="40% - Accent2 4 2 7 3 2" xfId="29142"/>
    <cellStyle name="40% - Accent2 4 2 7 4" xfId="29143"/>
    <cellStyle name="40% - Accent2 4 2 8" xfId="29144"/>
    <cellStyle name="40% - Accent2 4 2 8 2" xfId="29145"/>
    <cellStyle name="40% - Accent2 4 2 8 2 2" xfId="29146"/>
    <cellStyle name="40% - Accent2 4 2 8 3" xfId="29147"/>
    <cellStyle name="40% - Accent2 4 2 9" xfId="29148"/>
    <cellStyle name="40% - Accent2 4 2 9 2" xfId="29149"/>
    <cellStyle name="40% - Accent2 4 3" xfId="29150"/>
    <cellStyle name="40% - Accent2 4 3 2" xfId="29151"/>
    <cellStyle name="40% - Accent2 4 3 2 2" xfId="29152"/>
    <cellStyle name="40% - Accent2 4 3 2 2 2" xfId="29153"/>
    <cellStyle name="40% - Accent2 4 3 2 2 2 2" xfId="29154"/>
    <cellStyle name="40% - Accent2 4 3 2 2 3" xfId="29155"/>
    <cellStyle name="40% - Accent2 4 3 2 3" xfId="29156"/>
    <cellStyle name="40% - Accent2 4 3 2 3 2" xfId="29157"/>
    <cellStyle name="40% - Accent2 4 3 2 4" xfId="29158"/>
    <cellStyle name="40% - Accent2 4 3 3" xfId="29159"/>
    <cellStyle name="40% - Accent2 4 3 3 2" xfId="29160"/>
    <cellStyle name="40% - Accent2 4 3 3 2 2" xfId="29161"/>
    <cellStyle name="40% - Accent2 4 3 3 3" xfId="29162"/>
    <cellStyle name="40% - Accent2 4 3 4" xfId="29163"/>
    <cellStyle name="40% - Accent2 4 3 4 2" xfId="29164"/>
    <cellStyle name="40% - Accent2 4 3 5" xfId="29165"/>
    <cellStyle name="40% - Accent2 4 4" xfId="29166"/>
    <cellStyle name="40% - Accent2 4 4 2" xfId="29167"/>
    <cellStyle name="40% - Accent2 4 4 2 2" xfId="29168"/>
    <cellStyle name="40% - Accent2 4 4 2 2 2" xfId="29169"/>
    <cellStyle name="40% - Accent2 4 4 2 2 2 2" xfId="29170"/>
    <cellStyle name="40% - Accent2 4 4 2 2 3" xfId="29171"/>
    <cellStyle name="40% - Accent2 4 4 2 3" xfId="29172"/>
    <cellStyle name="40% - Accent2 4 4 2 3 2" xfId="29173"/>
    <cellStyle name="40% - Accent2 4 4 2 4" xfId="29174"/>
    <cellStyle name="40% - Accent2 4 4 3" xfId="29175"/>
    <cellStyle name="40% - Accent2 4 4 3 2" xfId="29176"/>
    <cellStyle name="40% - Accent2 4 4 3 2 2" xfId="29177"/>
    <cellStyle name="40% - Accent2 4 4 3 3" xfId="29178"/>
    <cellStyle name="40% - Accent2 4 4 4" xfId="29179"/>
    <cellStyle name="40% - Accent2 4 4 4 2" xfId="29180"/>
    <cellStyle name="40% - Accent2 4 4 5" xfId="29181"/>
    <cellStyle name="40% - Accent2 4 5" xfId="29182"/>
    <cellStyle name="40% - Accent2 4 5 2" xfId="29183"/>
    <cellStyle name="40% - Accent2 4 5 2 2" xfId="29184"/>
    <cellStyle name="40% - Accent2 4 5 2 2 2" xfId="29185"/>
    <cellStyle name="40% - Accent2 4 5 2 2 2 2" xfId="29186"/>
    <cellStyle name="40% - Accent2 4 5 2 2 3" xfId="29187"/>
    <cellStyle name="40% - Accent2 4 5 2 3" xfId="29188"/>
    <cellStyle name="40% - Accent2 4 5 2 3 2" xfId="29189"/>
    <cellStyle name="40% - Accent2 4 5 2 4" xfId="29190"/>
    <cellStyle name="40% - Accent2 4 5 3" xfId="29191"/>
    <cellStyle name="40% - Accent2 4 5 3 2" xfId="29192"/>
    <cellStyle name="40% - Accent2 4 5 3 2 2" xfId="29193"/>
    <cellStyle name="40% - Accent2 4 5 3 3" xfId="29194"/>
    <cellStyle name="40% - Accent2 4 5 4" xfId="29195"/>
    <cellStyle name="40% - Accent2 4 5 4 2" xfId="29196"/>
    <cellStyle name="40% - Accent2 4 5 5" xfId="29197"/>
    <cellStyle name="40% - Accent2 4 6" xfId="29198"/>
    <cellStyle name="40% - Accent2 4 6 2" xfId="29199"/>
    <cellStyle name="40% - Accent2 4 6 2 2" xfId="29200"/>
    <cellStyle name="40% - Accent2 4 6 2 2 2" xfId="29201"/>
    <cellStyle name="40% - Accent2 4 6 2 2 2 2" xfId="29202"/>
    <cellStyle name="40% - Accent2 4 6 2 2 3" xfId="29203"/>
    <cellStyle name="40% - Accent2 4 6 2 3" xfId="29204"/>
    <cellStyle name="40% - Accent2 4 6 2 3 2" xfId="29205"/>
    <cellStyle name="40% - Accent2 4 6 2 4" xfId="29206"/>
    <cellStyle name="40% - Accent2 4 6 3" xfId="29207"/>
    <cellStyle name="40% - Accent2 4 6 3 2" xfId="29208"/>
    <cellStyle name="40% - Accent2 4 6 3 2 2" xfId="29209"/>
    <cellStyle name="40% - Accent2 4 6 3 3" xfId="29210"/>
    <cellStyle name="40% - Accent2 4 6 4" xfId="29211"/>
    <cellStyle name="40% - Accent2 4 6 4 2" xfId="29212"/>
    <cellStyle name="40% - Accent2 4 6 5" xfId="29213"/>
    <cellStyle name="40% - Accent2 4 7" xfId="29214"/>
    <cellStyle name="40% - Accent2 4 7 2" xfId="29215"/>
    <cellStyle name="40% - Accent2 4 7 2 2" xfId="29216"/>
    <cellStyle name="40% - Accent2 4 7 2 2 2" xfId="29217"/>
    <cellStyle name="40% - Accent2 4 7 2 2 2 2" xfId="29218"/>
    <cellStyle name="40% - Accent2 4 7 2 2 3" xfId="29219"/>
    <cellStyle name="40% - Accent2 4 7 2 3" xfId="29220"/>
    <cellStyle name="40% - Accent2 4 7 2 3 2" xfId="29221"/>
    <cellStyle name="40% - Accent2 4 7 2 4" xfId="29222"/>
    <cellStyle name="40% - Accent2 4 7 3" xfId="29223"/>
    <cellStyle name="40% - Accent2 4 7 3 2" xfId="29224"/>
    <cellStyle name="40% - Accent2 4 7 3 2 2" xfId="29225"/>
    <cellStyle name="40% - Accent2 4 7 3 3" xfId="29226"/>
    <cellStyle name="40% - Accent2 4 7 4" xfId="29227"/>
    <cellStyle name="40% - Accent2 4 7 4 2" xfId="29228"/>
    <cellStyle name="40% - Accent2 4 7 5" xfId="29229"/>
    <cellStyle name="40% - Accent2 4 8" xfId="29230"/>
    <cellStyle name="40% - Accent2 4 8 2" xfId="29231"/>
    <cellStyle name="40% - Accent2 4 8 2 2" xfId="29232"/>
    <cellStyle name="40% - Accent2 4 8 2 2 2" xfId="29233"/>
    <cellStyle name="40% - Accent2 4 8 2 3" xfId="29234"/>
    <cellStyle name="40% - Accent2 4 8 3" xfId="29235"/>
    <cellStyle name="40% - Accent2 4 8 3 2" xfId="29236"/>
    <cellStyle name="40% - Accent2 4 8 4" xfId="29237"/>
    <cellStyle name="40% - Accent2 4 9" xfId="29238"/>
    <cellStyle name="40% - Accent2 4 9 2" xfId="29239"/>
    <cellStyle name="40% - Accent2 4 9 2 2" xfId="29240"/>
    <cellStyle name="40% - Accent2 4 9 3" xfId="29241"/>
    <cellStyle name="40% - Accent2 5" xfId="29242"/>
    <cellStyle name="40% - Accent2 5 10" xfId="29243"/>
    <cellStyle name="40% - Accent2 5 10 2" xfId="29244"/>
    <cellStyle name="40% - Accent2 5 11" xfId="29245"/>
    <cellStyle name="40% - Accent2 5 2" xfId="29246"/>
    <cellStyle name="40% - Accent2 5 2 10" xfId="29247"/>
    <cellStyle name="40% - Accent2 5 2 2" xfId="29248"/>
    <cellStyle name="40% - Accent2 5 2 2 2" xfId="29249"/>
    <cellStyle name="40% - Accent2 5 2 2 2 2" xfId="29250"/>
    <cellStyle name="40% - Accent2 5 2 2 2 2 2" xfId="29251"/>
    <cellStyle name="40% - Accent2 5 2 2 2 2 2 2" xfId="29252"/>
    <cellStyle name="40% - Accent2 5 2 2 2 2 3" xfId="29253"/>
    <cellStyle name="40% - Accent2 5 2 2 2 3" xfId="29254"/>
    <cellStyle name="40% - Accent2 5 2 2 2 3 2" xfId="29255"/>
    <cellStyle name="40% - Accent2 5 2 2 2 4" xfId="29256"/>
    <cellStyle name="40% - Accent2 5 2 2 3" xfId="29257"/>
    <cellStyle name="40% - Accent2 5 2 2 3 2" xfId="29258"/>
    <cellStyle name="40% - Accent2 5 2 2 3 2 2" xfId="29259"/>
    <cellStyle name="40% - Accent2 5 2 2 3 3" xfId="29260"/>
    <cellStyle name="40% - Accent2 5 2 2 4" xfId="29261"/>
    <cellStyle name="40% - Accent2 5 2 2 4 2" xfId="29262"/>
    <cellStyle name="40% - Accent2 5 2 2 5" xfId="29263"/>
    <cellStyle name="40% - Accent2 5 2 3" xfId="29264"/>
    <cellStyle name="40% - Accent2 5 2 3 2" xfId="29265"/>
    <cellStyle name="40% - Accent2 5 2 3 2 2" xfId="29266"/>
    <cellStyle name="40% - Accent2 5 2 3 2 2 2" xfId="29267"/>
    <cellStyle name="40% - Accent2 5 2 3 2 2 2 2" xfId="29268"/>
    <cellStyle name="40% - Accent2 5 2 3 2 2 3" xfId="29269"/>
    <cellStyle name="40% - Accent2 5 2 3 2 3" xfId="29270"/>
    <cellStyle name="40% - Accent2 5 2 3 2 3 2" xfId="29271"/>
    <cellStyle name="40% - Accent2 5 2 3 2 4" xfId="29272"/>
    <cellStyle name="40% - Accent2 5 2 3 3" xfId="29273"/>
    <cellStyle name="40% - Accent2 5 2 3 3 2" xfId="29274"/>
    <cellStyle name="40% - Accent2 5 2 3 3 2 2" xfId="29275"/>
    <cellStyle name="40% - Accent2 5 2 3 3 3" xfId="29276"/>
    <cellStyle name="40% - Accent2 5 2 3 4" xfId="29277"/>
    <cellStyle name="40% - Accent2 5 2 3 4 2" xfId="29278"/>
    <cellStyle name="40% - Accent2 5 2 3 5" xfId="29279"/>
    <cellStyle name="40% - Accent2 5 2 4" xfId="29280"/>
    <cellStyle name="40% - Accent2 5 2 4 2" xfId="29281"/>
    <cellStyle name="40% - Accent2 5 2 4 2 2" xfId="29282"/>
    <cellStyle name="40% - Accent2 5 2 4 2 2 2" xfId="29283"/>
    <cellStyle name="40% - Accent2 5 2 4 2 2 2 2" xfId="29284"/>
    <cellStyle name="40% - Accent2 5 2 4 2 2 3" xfId="29285"/>
    <cellStyle name="40% - Accent2 5 2 4 2 3" xfId="29286"/>
    <cellStyle name="40% - Accent2 5 2 4 2 3 2" xfId="29287"/>
    <cellStyle name="40% - Accent2 5 2 4 2 4" xfId="29288"/>
    <cellStyle name="40% - Accent2 5 2 4 3" xfId="29289"/>
    <cellStyle name="40% - Accent2 5 2 4 3 2" xfId="29290"/>
    <cellStyle name="40% - Accent2 5 2 4 3 2 2" xfId="29291"/>
    <cellStyle name="40% - Accent2 5 2 4 3 3" xfId="29292"/>
    <cellStyle name="40% - Accent2 5 2 4 4" xfId="29293"/>
    <cellStyle name="40% - Accent2 5 2 4 4 2" xfId="29294"/>
    <cellStyle name="40% - Accent2 5 2 4 5" xfId="29295"/>
    <cellStyle name="40% - Accent2 5 2 5" xfId="29296"/>
    <cellStyle name="40% - Accent2 5 2 5 2" xfId="29297"/>
    <cellStyle name="40% - Accent2 5 2 5 2 2" xfId="29298"/>
    <cellStyle name="40% - Accent2 5 2 5 2 2 2" xfId="29299"/>
    <cellStyle name="40% - Accent2 5 2 5 2 2 2 2" xfId="29300"/>
    <cellStyle name="40% - Accent2 5 2 5 2 2 3" xfId="29301"/>
    <cellStyle name="40% - Accent2 5 2 5 2 3" xfId="29302"/>
    <cellStyle name="40% - Accent2 5 2 5 2 3 2" xfId="29303"/>
    <cellStyle name="40% - Accent2 5 2 5 2 4" xfId="29304"/>
    <cellStyle name="40% - Accent2 5 2 5 3" xfId="29305"/>
    <cellStyle name="40% - Accent2 5 2 5 3 2" xfId="29306"/>
    <cellStyle name="40% - Accent2 5 2 5 3 2 2" xfId="29307"/>
    <cellStyle name="40% - Accent2 5 2 5 3 3" xfId="29308"/>
    <cellStyle name="40% - Accent2 5 2 5 4" xfId="29309"/>
    <cellStyle name="40% - Accent2 5 2 5 4 2" xfId="29310"/>
    <cellStyle name="40% - Accent2 5 2 5 5" xfId="29311"/>
    <cellStyle name="40% - Accent2 5 2 6" xfId="29312"/>
    <cellStyle name="40% - Accent2 5 2 6 2" xfId="29313"/>
    <cellStyle name="40% - Accent2 5 2 6 2 2" xfId="29314"/>
    <cellStyle name="40% - Accent2 5 2 6 2 2 2" xfId="29315"/>
    <cellStyle name="40% - Accent2 5 2 6 2 2 2 2" xfId="29316"/>
    <cellStyle name="40% - Accent2 5 2 6 2 2 3" xfId="29317"/>
    <cellStyle name="40% - Accent2 5 2 6 2 3" xfId="29318"/>
    <cellStyle name="40% - Accent2 5 2 6 2 3 2" xfId="29319"/>
    <cellStyle name="40% - Accent2 5 2 6 2 4" xfId="29320"/>
    <cellStyle name="40% - Accent2 5 2 6 3" xfId="29321"/>
    <cellStyle name="40% - Accent2 5 2 6 3 2" xfId="29322"/>
    <cellStyle name="40% - Accent2 5 2 6 3 2 2" xfId="29323"/>
    <cellStyle name="40% - Accent2 5 2 6 3 3" xfId="29324"/>
    <cellStyle name="40% - Accent2 5 2 6 4" xfId="29325"/>
    <cellStyle name="40% - Accent2 5 2 6 4 2" xfId="29326"/>
    <cellStyle name="40% - Accent2 5 2 6 5" xfId="29327"/>
    <cellStyle name="40% - Accent2 5 2 7" xfId="29328"/>
    <cellStyle name="40% - Accent2 5 2 7 2" xfId="29329"/>
    <cellStyle name="40% - Accent2 5 2 7 2 2" xfId="29330"/>
    <cellStyle name="40% - Accent2 5 2 7 2 2 2" xfId="29331"/>
    <cellStyle name="40% - Accent2 5 2 7 2 3" xfId="29332"/>
    <cellStyle name="40% - Accent2 5 2 7 3" xfId="29333"/>
    <cellStyle name="40% - Accent2 5 2 7 3 2" xfId="29334"/>
    <cellStyle name="40% - Accent2 5 2 7 4" xfId="29335"/>
    <cellStyle name="40% - Accent2 5 2 8" xfId="29336"/>
    <cellStyle name="40% - Accent2 5 2 8 2" xfId="29337"/>
    <cellStyle name="40% - Accent2 5 2 8 2 2" xfId="29338"/>
    <cellStyle name="40% - Accent2 5 2 8 3" xfId="29339"/>
    <cellStyle name="40% - Accent2 5 2 9" xfId="29340"/>
    <cellStyle name="40% - Accent2 5 2 9 2" xfId="29341"/>
    <cellStyle name="40% - Accent2 5 3" xfId="29342"/>
    <cellStyle name="40% - Accent2 5 3 2" xfId="29343"/>
    <cellStyle name="40% - Accent2 5 3 2 2" xfId="29344"/>
    <cellStyle name="40% - Accent2 5 3 2 2 2" xfId="29345"/>
    <cellStyle name="40% - Accent2 5 3 2 2 2 2" xfId="29346"/>
    <cellStyle name="40% - Accent2 5 3 2 2 3" xfId="29347"/>
    <cellStyle name="40% - Accent2 5 3 2 3" xfId="29348"/>
    <cellStyle name="40% - Accent2 5 3 2 3 2" xfId="29349"/>
    <cellStyle name="40% - Accent2 5 3 2 4" xfId="29350"/>
    <cellStyle name="40% - Accent2 5 3 3" xfId="29351"/>
    <cellStyle name="40% - Accent2 5 3 3 2" xfId="29352"/>
    <cellStyle name="40% - Accent2 5 3 3 2 2" xfId="29353"/>
    <cellStyle name="40% - Accent2 5 3 3 3" xfId="29354"/>
    <cellStyle name="40% - Accent2 5 3 4" xfId="29355"/>
    <cellStyle name="40% - Accent2 5 3 4 2" xfId="29356"/>
    <cellStyle name="40% - Accent2 5 3 5" xfId="29357"/>
    <cellStyle name="40% - Accent2 5 4" xfId="29358"/>
    <cellStyle name="40% - Accent2 5 4 2" xfId="29359"/>
    <cellStyle name="40% - Accent2 5 4 2 2" xfId="29360"/>
    <cellStyle name="40% - Accent2 5 4 2 2 2" xfId="29361"/>
    <cellStyle name="40% - Accent2 5 4 2 2 2 2" xfId="29362"/>
    <cellStyle name="40% - Accent2 5 4 2 2 3" xfId="29363"/>
    <cellStyle name="40% - Accent2 5 4 2 3" xfId="29364"/>
    <cellStyle name="40% - Accent2 5 4 2 3 2" xfId="29365"/>
    <cellStyle name="40% - Accent2 5 4 2 4" xfId="29366"/>
    <cellStyle name="40% - Accent2 5 4 3" xfId="29367"/>
    <cellStyle name="40% - Accent2 5 4 3 2" xfId="29368"/>
    <cellStyle name="40% - Accent2 5 4 3 2 2" xfId="29369"/>
    <cellStyle name="40% - Accent2 5 4 3 3" xfId="29370"/>
    <cellStyle name="40% - Accent2 5 4 4" xfId="29371"/>
    <cellStyle name="40% - Accent2 5 4 4 2" xfId="29372"/>
    <cellStyle name="40% - Accent2 5 4 5" xfId="29373"/>
    <cellStyle name="40% - Accent2 5 5" xfId="29374"/>
    <cellStyle name="40% - Accent2 5 5 2" xfId="29375"/>
    <cellStyle name="40% - Accent2 5 5 2 2" xfId="29376"/>
    <cellStyle name="40% - Accent2 5 5 2 2 2" xfId="29377"/>
    <cellStyle name="40% - Accent2 5 5 2 2 2 2" xfId="29378"/>
    <cellStyle name="40% - Accent2 5 5 2 2 3" xfId="29379"/>
    <cellStyle name="40% - Accent2 5 5 2 3" xfId="29380"/>
    <cellStyle name="40% - Accent2 5 5 2 3 2" xfId="29381"/>
    <cellStyle name="40% - Accent2 5 5 2 4" xfId="29382"/>
    <cellStyle name="40% - Accent2 5 5 3" xfId="29383"/>
    <cellStyle name="40% - Accent2 5 5 3 2" xfId="29384"/>
    <cellStyle name="40% - Accent2 5 5 3 2 2" xfId="29385"/>
    <cellStyle name="40% - Accent2 5 5 3 3" xfId="29386"/>
    <cellStyle name="40% - Accent2 5 5 4" xfId="29387"/>
    <cellStyle name="40% - Accent2 5 5 4 2" xfId="29388"/>
    <cellStyle name="40% - Accent2 5 5 5" xfId="29389"/>
    <cellStyle name="40% - Accent2 5 6" xfId="29390"/>
    <cellStyle name="40% - Accent2 5 6 2" xfId="29391"/>
    <cellStyle name="40% - Accent2 5 6 2 2" xfId="29392"/>
    <cellStyle name="40% - Accent2 5 6 2 2 2" xfId="29393"/>
    <cellStyle name="40% - Accent2 5 6 2 2 2 2" xfId="29394"/>
    <cellStyle name="40% - Accent2 5 6 2 2 3" xfId="29395"/>
    <cellStyle name="40% - Accent2 5 6 2 3" xfId="29396"/>
    <cellStyle name="40% - Accent2 5 6 2 3 2" xfId="29397"/>
    <cellStyle name="40% - Accent2 5 6 2 4" xfId="29398"/>
    <cellStyle name="40% - Accent2 5 6 3" xfId="29399"/>
    <cellStyle name="40% - Accent2 5 6 3 2" xfId="29400"/>
    <cellStyle name="40% - Accent2 5 6 3 2 2" xfId="29401"/>
    <cellStyle name="40% - Accent2 5 6 3 3" xfId="29402"/>
    <cellStyle name="40% - Accent2 5 6 4" xfId="29403"/>
    <cellStyle name="40% - Accent2 5 6 4 2" xfId="29404"/>
    <cellStyle name="40% - Accent2 5 6 5" xfId="29405"/>
    <cellStyle name="40% - Accent2 5 7" xfId="29406"/>
    <cellStyle name="40% - Accent2 5 7 2" xfId="29407"/>
    <cellStyle name="40% - Accent2 5 7 2 2" xfId="29408"/>
    <cellStyle name="40% - Accent2 5 7 2 2 2" xfId="29409"/>
    <cellStyle name="40% - Accent2 5 7 2 2 2 2" xfId="29410"/>
    <cellStyle name="40% - Accent2 5 7 2 2 3" xfId="29411"/>
    <cellStyle name="40% - Accent2 5 7 2 3" xfId="29412"/>
    <cellStyle name="40% - Accent2 5 7 2 3 2" xfId="29413"/>
    <cellStyle name="40% - Accent2 5 7 2 4" xfId="29414"/>
    <cellStyle name="40% - Accent2 5 7 3" xfId="29415"/>
    <cellStyle name="40% - Accent2 5 7 3 2" xfId="29416"/>
    <cellStyle name="40% - Accent2 5 7 3 2 2" xfId="29417"/>
    <cellStyle name="40% - Accent2 5 7 3 3" xfId="29418"/>
    <cellStyle name="40% - Accent2 5 7 4" xfId="29419"/>
    <cellStyle name="40% - Accent2 5 7 4 2" xfId="29420"/>
    <cellStyle name="40% - Accent2 5 7 5" xfId="29421"/>
    <cellStyle name="40% - Accent2 5 8" xfId="29422"/>
    <cellStyle name="40% - Accent2 5 8 2" xfId="29423"/>
    <cellStyle name="40% - Accent2 5 8 2 2" xfId="29424"/>
    <cellStyle name="40% - Accent2 5 8 2 2 2" xfId="29425"/>
    <cellStyle name="40% - Accent2 5 8 2 3" xfId="29426"/>
    <cellStyle name="40% - Accent2 5 8 3" xfId="29427"/>
    <cellStyle name="40% - Accent2 5 8 3 2" xfId="29428"/>
    <cellStyle name="40% - Accent2 5 8 4" xfId="29429"/>
    <cellStyle name="40% - Accent2 5 9" xfId="29430"/>
    <cellStyle name="40% - Accent2 5 9 2" xfId="29431"/>
    <cellStyle name="40% - Accent2 5 9 2 2" xfId="29432"/>
    <cellStyle name="40% - Accent2 5 9 3" xfId="29433"/>
    <cellStyle name="40% - Accent2 6" xfId="29434"/>
    <cellStyle name="40% - Accent2 6 10" xfId="29435"/>
    <cellStyle name="40% - Accent2 6 10 2" xfId="29436"/>
    <cellStyle name="40% - Accent2 6 11" xfId="29437"/>
    <cellStyle name="40% - Accent2 6 2" xfId="29438"/>
    <cellStyle name="40% - Accent2 6 2 10" xfId="29439"/>
    <cellStyle name="40% - Accent2 6 2 2" xfId="29440"/>
    <cellStyle name="40% - Accent2 6 2 2 2" xfId="29441"/>
    <cellStyle name="40% - Accent2 6 2 2 2 2" xfId="29442"/>
    <cellStyle name="40% - Accent2 6 2 2 2 2 2" xfId="29443"/>
    <cellStyle name="40% - Accent2 6 2 2 2 2 2 2" xfId="29444"/>
    <cellStyle name="40% - Accent2 6 2 2 2 2 3" xfId="29445"/>
    <cellStyle name="40% - Accent2 6 2 2 2 3" xfId="29446"/>
    <cellStyle name="40% - Accent2 6 2 2 2 3 2" xfId="29447"/>
    <cellStyle name="40% - Accent2 6 2 2 2 4" xfId="29448"/>
    <cellStyle name="40% - Accent2 6 2 2 3" xfId="29449"/>
    <cellStyle name="40% - Accent2 6 2 2 3 2" xfId="29450"/>
    <cellStyle name="40% - Accent2 6 2 2 3 2 2" xfId="29451"/>
    <cellStyle name="40% - Accent2 6 2 2 3 3" xfId="29452"/>
    <cellStyle name="40% - Accent2 6 2 2 4" xfId="29453"/>
    <cellStyle name="40% - Accent2 6 2 2 4 2" xfId="29454"/>
    <cellStyle name="40% - Accent2 6 2 2 5" xfId="29455"/>
    <cellStyle name="40% - Accent2 6 2 3" xfId="29456"/>
    <cellStyle name="40% - Accent2 6 2 3 2" xfId="29457"/>
    <cellStyle name="40% - Accent2 6 2 3 2 2" xfId="29458"/>
    <cellStyle name="40% - Accent2 6 2 3 2 2 2" xfId="29459"/>
    <cellStyle name="40% - Accent2 6 2 3 2 2 2 2" xfId="29460"/>
    <cellStyle name="40% - Accent2 6 2 3 2 2 3" xfId="29461"/>
    <cellStyle name="40% - Accent2 6 2 3 2 3" xfId="29462"/>
    <cellStyle name="40% - Accent2 6 2 3 2 3 2" xfId="29463"/>
    <cellStyle name="40% - Accent2 6 2 3 2 4" xfId="29464"/>
    <cellStyle name="40% - Accent2 6 2 3 3" xfId="29465"/>
    <cellStyle name="40% - Accent2 6 2 3 3 2" xfId="29466"/>
    <cellStyle name="40% - Accent2 6 2 3 3 2 2" xfId="29467"/>
    <cellStyle name="40% - Accent2 6 2 3 3 3" xfId="29468"/>
    <cellStyle name="40% - Accent2 6 2 3 4" xfId="29469"/>
    <cellStyle name="40% - Accent2 6 2 3 4 2" xfId="29470"/>
    <cellStyle name="40% - Accent2 6 2 3 5" xfId="29471"/>
    <cellStyle name="40% - Accent2 6 2 4" xfId="29472"/>
    <cellStyle name="40% - Accent2 6 2 4 2" xfId="29473"/>
    <cellStyle name="40% - Accent2 6 2 4 2 2" xfId="29474"/>
    <cellStyle name="40% - Accent2 6 2 4 2 2 2" xfId="29475"/>
    <cellStyle name="40% - Accent2 6 2 4 2 2 2 2" xfId="29476"/>
    <cellStyle name="40% - Accent2 6 2 4 2 2 3" xfId="29477"/>
    <cellStyle name="40% - Accent2 6 2 4 2 3" xfId="29478"/>
    <cellStyle name="40% - Accent2 6 2 4 2 3 2" xfId="29479"/>
    <cellStyle name="40% - Accent2 6 2 4 2 4" xfId="29480"/>
    <cellStyle name="40% - Accent2 6 2 4 3" xfId="29481"/>
    <cellStyle name="40% - Accent2 6 2 4 3 2" xfId="29482"/>
    <cellStyle name="40% - Accent2 6 2 4 3 2 2" xfId="29483"/>
    <cellStyle name="40% - Accent2 6 2 4 3 3" xfId="29484"/>
    <cellStyle name="40% - Accent2 6 2 4 4" xfId="29485"/>
    <cellStyle name="40% - Accent2 6 2 4 4 2" xfId="29486"/>
    <cellStyle name="40% - Accent2 6 2 4 5" xfId="29487"/>
    <cellStyle name="40% - Accent2 6 2 5" xfId="29488"/>
    <cellStyle name="40% - Accent2 6 2 5 2" xfId="29489"/>
    <cellStyle name="40% - Accent2 6 2 5 2 2" xfId="29490"/>
    <cellStyle name="40% - Accent2 6 2 5 2 2 2" xfId="29491"/>
    <cellStyle name="40% - Accent2 6 2 5 2 2 2 2" xfId="29492"/>
    <cellStyle name="40% - Accent2 6 2 5 2 2 3" xfId="29493"/>
    <cellStyle name="40% - Accent2 6 2 5 2 3" xfId="29494"/>
    <cellStyle name="40% - Accent2 6 2 5 2 3 2" xfId="29495"/>
    <cellStyle name="40% - Accent2 6 2 5 2 4" xfId="29496"/>
    <cellStyle name="40% - Accent2 6 2 5 3" xfId="29497"/>
    <cellStyle name="40% - Accent2 6 2 5 3 2" xfId="29498"/>
    <cellStyle name="40% - Accent2 6 2 5 3 2 2" xfId="29499"/>
    <cellStyle name="40% - Accent2 6 2 5 3 3" xfId="29500"/>
    <cellStyle name="40% - Accent2 6 2 5 4" xfId="29501"/>
    <cellStyle name="40% - Accent2 6 2 5 4 2" xfId="29502"/>
    <cellStyle name="40% - Accent2 6 2 5 5" xfId="29503"/>
    <cellStyle name="40% - Accent2 6 2 6" xfId="29504"/>
    <cellStyle name="40% - Accent2 6 2 6 2" xfId="29505"/>
    <cellStyle name="40% - Accent2 6 2 6 2 2" xfId="29506"/>
    <cellStyle name="40% - Accent2 6 2 6 2 2 2" xfId="29507"/>
    <cellStyle name="40% - Accent2 6 2 6 2 2 2 2" xfId="29508"/>
    <cellStyle name="40% - Accent2 6 2 6 2 2 3" xfId="29509"/>
    <cellStyle name="40% - Accent2 6 2 6 2 3" xfId="29510"/>
    <cellStyle name="40% - Accent2 6 2 6 2 3 2" xfId="29511"/>
    <cellStyle name="40% - Accent2 6 2 6 2 4" xfId="29512"/>
    <cellStyle name="40% - Accent2 6 2 6 3" xfId="29513"/>
    <cellStyle name="40% - Accent2 6 2 6 3 2" xfId="29514"/>
    <cellStyle name="40% - Accent2 6 2 6 3 2 2" xfId="29515"/>
    <cellStyle name="40% - Accent2 6 2 6 3 3" xfId="29516"/>
    <cellStyle name="40% - Accent2 6 2 6 4" xfId="29517"/>
    <cellStyle name="40% - Accent2 6 2 6 4 2" xfId="29518"/>
    <cellStyle name="40% - Accent2 6 2 6 5" xfId="29519"/>
    <cellStyle name="40% - Accent2 6 2 7" xfId="29520"/>
    <cellStyle name="40% - Accent2 6 2 7 2" xfId="29521"/>
    <cellStyle name="40% - Accent2 6 2 7 2 2" xfId="29522"/>
    <cellStyle name="40% - Accent2 6 2 7 2 2 2" xfId="29523"/>
    <cellStyle name="40% - Accent2 6 2 7 2 3" xfId="29524"/>
    <cellStyle name="40% - Accent2 6 2 7 3" xfId="29525"/>
    <cellStyle name="40% - Accent2 6 2 7 3 2" xfId="29526"/>
    <cellStyle name="40% - Accent2 6 2 7 4" xfId="29527"/>
    <cellStyle name="40% - Accent2 6 2 8" xfId="29528"/>
    <cellStyle name="40% - Accent2 6 2 8 2" xfId="29529"/>
    <cellStyle name="40% - Accent2 6 2 8 2 2" xfId="29530"/>
    <cellStyle name="40% - Accent2 6 2 8 3" xfId="29531"/>
    <cellStyle name="40% - Accent2 6 2 9" xfId="29532"/>
    <cellStyle name="40% - Accent2 6 2 9 2" xfId="29533"/>
    <cellStyle name="40% - Accent2 6 3" xfId="29534"/>
    <cellStyle name="40% - Accent2 6 3 2" xfId="29535"/>
    <cellStyle name="40% - Accent2 6 3 2 2" xfId="29536"/>
    <cellStyle name="40% - Accent2 6 3 2 2 2" xfId="29537"/>
    <cellStyle name="40% - Accent2 6 3 2 2 2 2" xfId="29538"/>
    <cellStyle name="40% - Accent2 6 3 2 2 3" xfId="29539"/>
    <cellStyle name="40% - Accent2 6 3 2 3" xfId="29540"/>
    <cellStyle name="40% - Accent2 6 3 2 3 2" xfId="29541"/>
    <cellStyle name="40% - Accent2 6 3 2 4" xfId="29542"/>
    <cellStyle name="40% - Accent2 6 3 3" xfId="29543"/>
    <cellStyle name="40% - Accent2 6 3 3 2" xfId="29544"/>
    <cellStyle name="40% - Accent2 6 3 3 2 2" xfId="29545"/>
    <cellStyle name="40% - Accent2 6 3 3 3" xfId="29546"/>
    <cellStyle name="40% - Accent2 6 3 4" xfId="29547"/>
    <cellStyle name="40% - Accent2 6 3 4 2" xfId="29548"/>
    <cellStyle name="40% - Accent2 6 3 5" xfId="29549"/>
    <cellStyle name="40% - Accent2 6 4" xfId="29550"/>
    <cellStyle name="40% - Accent2 6 4 2" xfId="29551"/>
    <cellStyle name="40% - Accent2 6 4 2 2" xfId="29552"/>
    <cellStyle name="40% - Accent2 6 4 2 2 2" xfId="29553"/>
    <cellStyle name="40% - Accent2 6 4 2 2 2 2" xfId="29554"/>
    <cellStyle name="40% - Accent2 6 4 2 2 3" xfId="29555"/>
    <cellStyle name="40% - Accent2 6 4 2 3" xfId="29556"/>
    <cellStyle name="40% - Accent2 6 4 2 3 2" xfId="29557"/>
    <cellStyle name="40% - Accent2 6 4 2 4" xfId="29558"/>
    <cellStyle name="40% - Accent2 6 4 3" xfId="29559"/>
    <cellStyle name="40% - Accent2 6 4 3 2" xfId="29560"/>
    <cellStyle name="40% - Accent2 6 4 3 2 2" xfId="29561"/>
    <cellStyle name="40% - Accent2 6 4 3 3" xfId="29562"/>
    <cellStyle name="40% - Accent2 6 4 4" xfId="29563"/>
    <cellStyle name="40% - Accent2 6 4 4 2" xfId="29564"/>
    <cellStyle name="40% - Accent2 6 4 5" xfId="29565"/>
    <cellStyle name="40% - Accent2 6 5" xfId="29566"/>
    <cellStyle name="40% - Accent2 6 5 2" xfId="29567"/>
    <cellStyle name="40% - Accent2 6 5 2 2" xfId="29568"/>
    <cellStyle name="40% - Accent2 6 5 2 2 2" xfId="29569"/>
    <cellStyle name="40% - Accent2 6 5 2 2 2 2" xfId="29570"/>
    <cellStyle name="40% - Accent2 6 5 2 2 3" xfId="29571"/>
    <cellStyle name="40% - Accent2 6 5 2 3" xfId="29572"/>
    <cellStyle name="40% - Accent2 6 5 2 3 2" xfId="29573"/>
    <cellStyle name="40% - Accent2 6 5 2 4" xfId="29574"/>
    <cellStyle name="40% - Accent2 6 5 3" xfId="29575"/>
    <cellStyle name="40% - Accent2 6 5 3 2" xfId="29576"/>
    <cellStyle name="40% - Accent2 6 5 3 2 2" xfId="29577"/>
    <cellStyle name="40% - Accent2 6 5 3 3" xfId="29578"/>
    <cellStyle name="40% - Accent2 6 5 4" xfId="29579"/>
    <cellStyle name="40% - Accent2 6 5 4 2" xfId="29580"/>
    <cellStyle name="40% - Accent2 6 5 5" xfId="29581"/>
    <cellStyle name="40% - Accent2 6 6" xfId="29582"/>
    <cellStyle name="40% - Accent2 6 6 2" xfId="29583"/>
    <cellStyle name="40% - Accent2 6 6 2 2" xfId="29584"/>
    <cellStyle name="40% - Accent2 6 6 2 2 2" xfId="29585"/>
    <cellStyle name="40% - Accent2 6 6 2 2 2 2" xfId="29586"/>
    <cellStyle name="40% - Accent2 6 6 2 2 3" xfId="29587"/>
    <cellStyle name="40% - Accent2 6 6 2 3" xfId="29588"/>
    <cellStyle name="40% - Accent2 6 6 2 3 2" xfId="29589"/>
    <cellStyle name="40% - Accent2 6 6 2 4" xfId="29590"/>
    <cellStyle name="40% - Accent2 6 6 3" xfId="29591"/>
    <cellStyle name="40% - Accent2 6 6 3 2" xfId="29592"/>
    <cellStyle name="40% - Accent2 6 6 3 2 2" xfId="29593"/>
    <cellStyle name="40% - Accent2 6 6 3 3" xfId="29594"/>
    <cellStyle name="40% - Accent2 6 6 4" xfId="29595"/>
    <cellStyle name="40% - Accent2 6 6 4 2" xfId="29596"/>
    <cellStyle name="40% - Accent2 6 6 5" xfId="29597"/>
    <cellStyle name="40% - Accent2 6 7" xfId="29598"/>
    <cellStyle name="40% - Accent2 6 7 2" xfId="29599"/>
    <cellStyle name="40% - Accent2 6 7 2 2" xfId="29600"/>
    <cellStyle name="40% - Accent2 6 7 2 2 2" xfId="29601"/>
    <cellStyle name="40% - Accent2 6 7 2 2 2 2" xfId="29602"/>
    <cellStyle name="40% - Accent2 6 7 2 2 3" xfId="29603"/>
    <cellStyle name="40% - Accent2 6 7 2 3" xfId="29604"/>
    <cellStyle name="40% - Accent2 6 7 2 3 2" xfId="29605"/>
    <cellStyle name="40% - Accent2 6 7 2 4" xfId="29606"/>
    <cellStyle name="40% - Accent2 6 7 3" xfId="29607"/>
    <cellStyle name="40% - Accent2 6 7 3 2" xfId="29608"/>
    <cellStyle name="40% - Accent2 6 7 3 2 2" xfId="29609"/>
    <cellStyle name="40% - Accent2 6 7 3 3" xfId="29610"/>
    <cellStyle name="40% - Accent2 6 7 4" xfId="29611"/>
    <cellStyle name="40% - Accent2 6 7 4 2" xfId="29612"/>
    <cellStyle name="40% - Accent2 6 7 5" xfId="29613"/>
    <cellStyle name="40% - Accent2 6 8" xfId="29614"/>
    <cellStyle name="40% - Accent2 6 8 2" xfId="29615"/>
    <cellStyle name="40% - Accent2 6 8 2 2" xfId="29616"/>
    <cellStyle name="40% - Accent2 6 8 2 2 2" xfId="29617"/>
    <cellStyle name="40% - Accent2 6 8 2 3" xfId="29618"/>
    <cellStyle name="40% - Accent2 6 8 3" xfId="29619"/>
    <cellStyle name="40% - Accent2 6 8 3 2" xfId="29620"/>
    <cellStyle name="40% - Accent2 6 8 4" xfId="29621"/>
    <cellStyle name="40% - Accent2 6 9" xfId="29622"/>
    <cellStyle name="40% - Accent2 6 9 2" xfId="29623"/>
    <cellStyle name="40% - Accent2 6 9 2 2" xfId="29624"/>
    <cellStyle name="40% - Accent2 6 9 3" xfId="29625"/>
    <cellStyle name="40% - Accent2 7" xfId="29626"/>
    <cellStyle name="40% - Accent2 7 10" xfId="29627"/>
    <cellStyle name="40% - Accent2 7 10 2" xfId="29628"/>
    <cellStyle name="40% - Accent2 7 11" xfId="29629"/>
    <cellStyle name="40% - Accent2 7 2" xfId="29630"/>
    <cellStyle name="40% - Accent2 7 2 10" xfId="29631"/>
    <cellStyle name="40% - Accent2 7 2 2" xfId="29632"/>
    <cellStyle name="40% - Accent2 7 2 2 2" xfId="29633"/>
    <cellStyle name="40% - Accent2 7 2 2 2 2" xfId="29634"/>
    <cellStyle name="40% - Accent2 7 2 2 2 2 2" xfId="29635"/>
    <cellStyle name="40% - Accent2 7 2 2 2 2 2 2" xfId="29636"/>
    <cellStyle name="40% - Accent2 7 2 2 2 2 3" xfId="29637"/>
    <cellStyle name="40% - Accent2 7 2 2 2 3" xfId="29638"/>
    <cellStyle name="40% - Accent2 7 2 2 2 3 2" xfId="29639"/>
    <cellStyle name="40% - Accent2 7 2 2 2 4" xfId="29640"/>
    <cellStyle name="40% - Accent2 7 2 2 3" xfId="29641"/>
    <cellStyle name="40% - Accent2 7 2 2 3 2" xfId="29642"/>
    <cellStyle name="40% - Accent2 7 2 2 3 2 2" xfId="29643"/>
    <cellStyle name="40% - Accent2 7 2 2 3 3" xfId="29644"/>
    <cellStyle name="40% - Accent2 7 2 2 4" xfId="29645"/>
    <cellStyle name="40% - Accent2 7 2 2 4 2" xfId="29646"/>
    <cellStyle name="40% - Accent2 7 2 2 5" xfId="29647"/>
    <cellStyle name="40% - Accent2 7 2 3" xfId="29648"/>
    <cellStyle name="40% - Accent2 7 2 3 2" xfId="29649"/>
    <cellStyle name="40% - Accent2 7 2 3 2 2" xfId="29650"/>
    <cellStyle name="40% - Accent2 7 2 3 2 2 2" xfId="29651"/>
    <cellStyle name="40% - Accent2 7 2 3 2 2 2 2" xfId="29652"/>
    <cellStyle name="40% - Accent2 7 2 3 2 2 3" xfId="29653"/>
    <cellStyle name="40% - Accent2 7 2 3 2 3" xfId="29654"/>
    <cellStyle name="40% - Accent2 7 2 3 2 3 2" xfId="29655"/>
    <cellStyle name="40% - Accent2 7 2 3 2 4" xfId="29656"/>
    <cellStyle name="40% - Accent2 7 2 3 3" xfId="29657"/>
    <cellStyle name="40% - Accent2 7 2 3 3 2" xfId="29658"/>
    <cellStyle name="40% - Accent2 7 2 3 3 2 2" xfId="29659"/>
    <cellStyle name="40% - Accent2 7 2 3 3 3" xfId="29660"/>
    <cellStyle name="40% - Accent2 7 2 3 4" xfId="29661"/>
    <cellStyle name="40% - Accent2 7 2 3 4 2" xfId="29662"/>
    <cellStyle name="40% - Accent2 7 2 3 5" xfId="29663"/>
    <cellStyle name="40% - Accent2 7 2 4" xfId="29664"/>
    <cellStyle name="40% - Accent2 7 2 4 2" xfId="29665"/>
    <cellStyle name="40% - Accent2 7 2 4 2 2" xfId="29666"/>
    <cellStyle name="40% - Accent2 7 2 4 2 2 2" xfId="29667"/>
    <cellStyle name="40% - Accent2 7 2 4 2 2 2 2" xfId="29668"/>
    <cellStyle name="40% - Accent2 7 2 4 2 2 3" xfId="29669"/>
    <cellStyle name="40% - Accent2 7 2 4 2 3" xfId="29670"/>
    <cellStyle name="40% - Accent2 7 2 4 2 3 2" xfId="29671"/>
    <cellStyle name="40% - Accent2 7 2 4 2 4" xfId="29672"/>
    <cellStyle name="40% - Accent2 7 2 4 3" xfId="29673"/>
    <cellStyle name="40% - Accent2 7 2 4 3 2" xfId="29674"/>
    <cellStyle name="40% - Accent2 7 2 4 3 2 2" xfId="29675"/>
    <cellStyle name="40% - Accent2 7 2 4 3 3" xfId="29676"/>
    <cellStyle name="40% - Accent2 7 2 4 4" xfId="29677"/>
    <cellStyle name="40% - Accent2 7 2 4 4 2" xfId="29678"/>
    <cellStyle name="40% - Accent2 7 2 4 5" xfId="29679"/>
    <cellStyle name="40% - Accent2 7 2 5" xfId="29680"/>
    <cellStyle name="40% - Accent2 7 2 5 2" xfId="29681"/>
    <cellStyle name="40% - Accent2 7 2 5 2 2" xfId="29682"/>
    <cellStyle name="40% - Accent2 7 2 5 2 2 2" xfId="29683"/>
    <cellStyle name="40% - Accent2 7 2 5 2 2 2 2" xfId="29684"/>
    <cellStyle name="40% - Accent2 7 2 5 2 2 3" xfId="29685"/>
    <cellStyle name="40% - Accent2 7 2 5 2 3" xfId="29686"/>
    <cellStyle name="40% - Accent2 7 2 5 2 3 2" xfId="29687"/>
    <cellStyle name="40% - Accent2 7 2 5 2 4" xfId="29688"/>
    <cellStyle name="40% - Accent2 7 2 5 3" xfId="29689"/>
    <cellStyle name="40% - Accent2 7 2 5 3 2" xfId="29690"/>
    <cellStyle name="40% - Accent2 7 2 5 3 2 2" xfId="29691"/>
    <cellStyle name="40% - Accent2 7 2 5 3 3" xfId="29692"/>
    <cellStyle name="40% - Accent2 7 2 5 4" xfId="29693"/>
    <cellStyle name="40% - Accent2 7 2 5 4 2" xfId="29694"/>
    <cellStyle name="40% - Accent2 7 2 5 5" xfId="29695"/>
    <cellStyle name="40% - Accent2 7 2 6" xfId="29696"/>
    <cellStyle name="40% - Accent2 7 2 6 2" xfId="29697"/>
    <cellStyle name="40% - Accent2 7 2 6 2 2" xfId="29698"/>
    <cellStyle name="40% - Accent2 7 2 6 2 2 2" xfId="29699"/>
    <cellStyle name="40% - Accent2 7 2 6 2 2 2 2" xfId="29700"/>
    <cellStyle name="40% - Accent2 7 2 6 2 2 3" xfId="29701"/>
    <cellStyle name="40% - Accent2 7 2 6 2 3" xfId="29702"/>
    <cellStyle name="40% - Accent2 7 2 6 2 3 2" xfId="29703"/>
    <cellStyle name="40% - Accent2 7 2 6 2 4" xfId="29704"/>
    <cellStyle name="40% - Accent2 7 2 6 3" xfId="29705"/>
    <cellStyle name="40% - Accent2 7 2 6 3 2" xfId="29706"/>
    <cellStyle name="40% - Accent2 7 2 6 3 2 2" xfId="29707"/>
    <cellStyle name="40% - Accent2 7 2 6 3 3" xfId="29708"/>
    <cellStyle name="40% - Accent2 7 2 6 4" xfId="29709"/>
    <cellStyle name="40% - Accent2 7 2 6 4 2" xfId="29710"/>
    <cellStyle name="40% - Accent2 7 2 6 5" xfId="29711"/>
    <cellStyle name="40% - Accent2 7 2 7" xfId="29712"/>
    <cellStyle name="40% - Accent2 7 2 7 2" xfId="29713"/>
    <cellStyle name="40% - Accent2 7 2 7 2 2" xfId="29714"/>
    <cellStyle name="40% - Accent2 7 2 7 2 2 2" xfId="29715"/>
    <cellStyle name="40% - Accent2 7 2 7 2 3" xfId="29716"/>
    <cellStyle name="40% - Accent2 7 2 7 3" xfId="29717"/>
    <cellStyle name="40% - Accent2 7 2 7 3 2" xfId="29718"/>
    <cellStyle name="40% - Accent2 7 2 7 4" xfId="29719"/>
    <cellStyle name="40% - Accent2 7 2 8" xfId="29720"/>
    <cellStyle name="40% - Accent2 7 2 8 2" xfId="29721"/>
    <cellStyle name="40% - Accent2 7 2 8 2 2" xfId="29722"/>
    <cellStyle name="40% - Accent2 7 2 8 3" xfId="29723"/>
    <cellStyle name="40% - Accent2 7 2 9" xfId="29724"/>
    <cellStyle name="40% - Accent2 7 2 9 2" xfId="29725"/>
    <cellStyle name="40% - Accent2 7 3" xfId="29726"/>
    <cellStyle name="40% - Accent2 7 3 2" xfId="29727"/>
    <cellStyle name="40% - Accent2 7 3 2 2" xfId="29728"/>
    <cellStyle name="40% - Accent2 7 3 2 2 2" xfId="29729"/>
    <cellStyle name="40% - Accent2 7 3 2 2 2 2" xfId="29730"/>
    <cellStyle name="40% - Accent2 7 3 2 2 3" xfId="29731"/>
    <cellStyle name="40% - Accent2 7 3 2 3" xfId="29732"/>
    <cellStyle name="40% - Accent2 7 3 2 3 2" xfId="29733"/>
    <cellStyle name="40% - Accent2 7 3 2 4" xfId="29734"/>
    <cellStyle name="40% - Accent2 7 3 3" xfId="29735"/>
    <cellStyle name="40% - Accent2 7 3 3 2" xfId="29736"/>
    <cellStyle name="40% - Accent2 7 3 3 2 2" xfId="29737"/>
    <cellStyle name="40% - Accent2 7 3 3 3" xfId="29738"/>
    <cellStyle name="40% - Accent2 7 3 4" xfId="29739"/>
    <cellStyle name="40% - Accent2 7 3 4 2" xfId="29740"/>
    <cellStyle name="40% - Accent2 7 3 5" xfId="29741"/>
    <cellStyle name="40% - Accent2 7 4" xfId="29742"/>
    <cellStyle name="40% - Accent2 7 4 2" xfId="29743"/>
    <cellStyle name="40% - Accent2 7 4 2 2" xfId="29744"/>
    <cellStyle name="40% - Accent2 7 4 2 2 2" xfId="29745"/>
    <cellStyle name="40% - Accent2 7 4 2 2 2 2" xfId="29746"/>
    <cellStyle name="40% - Accent2 7 4 2 2 3" xfId="29747"/>
    <cellStyle name="40% - Accent2 7 4 2 3" xfId="29748"/>
    <cellStyle name="40% - Accent2 7 4 2 3 2" xfId="29749"/>
    <cellStyle name="40% - Accent2 7 4 2 4" xfId="29750"/>
    <cellStyle name="40% - Accent2 7 4 3" xfId="29751"/>
    <cellStyle name="40% - Accent2 7 4 3 2" xfId="29752"/>
    <cellStyle name="40% - Accent2 7 4 3 2 2" xfId="29753"/>
    <cellStyle name="40% - Accent2 7 4 3 3" xfId="29754"/>
    <cellStyle name="40% - Accent2 7 4 4" xfId="29755"/>
    <cellStyle name="40% - Accent2 7 4 4 2" xfId="29756"/>
    <cellStyle name="40% - Accent2 7 4 5" xfId="29757"/>
    <cellStyle name="40% - Accent2 7 5" xfId="29758"/>
    <cellStyle name="40% - Accent2 7 5 2" xfId="29759"/>
    <cellStyle name="40% - Accent2 7 5 2 2" xfId="29760"/>
    <cellStyle name="40% - Accent2 7 5 2 2 2" xfId="29761"/>
    <cellStyle name="40% - Accent2 7 5 2 2 2 2" xfId="29762"/>
    <cellStyle name="40% - Accent2 7 5 2 2 3" xfId="29763"/>
    <cellStyle name="40% - Accent2 7 5 2 3" xfId="29764"/>
    <cellStyle name="40% - Accent2 7 5 2 3 2" xfId="29765"/>
    <cellStyle name="40% - Accent2 7 5 2 4" xfId="29766"/>
    <cellStyle name="40% - Accent2 7 5 3" xfId="29767"/>
    <cellStyle name="40% - Accent2 7 5 3 2" xfId="29768"/>
    <cellStyle name="40% - Accent2 7 5 3 2 2" xfId="29769"/>
    <cellStyle name="40% - Accent2 7 5 3 3" xfId="29770"/>
    <cellStyle name="40% - Accent2 7 5 4" xfId="29771"/>
    <cellStyle name="40% - Accent2 7 5 4 2" xfId="29772"/>
    <cellStyle name="40% - Accent2 7 5 5" xfId="29773"/>
    <cellStyle name="40% - Accent2 7 6" xfId="29774"/>
    <cellStyle name="40% - Accent2 7 6 2" xfId="29775"/>
    <cellStyle name="40% - Accent2 7 6 2 2" xfId="29776"/>
    <cellStyle name="40% - Accent2 7 6 2 2 2" xfId="29777"/>
    <cellStyle name="40% - Accent2 7 6 2 2 2 2" xfId="29778"/>
    <cellStyle name="40% - Accent2 7 6 2 2 3" xfId="29779"/>
    <cellStyle name="40% - Accent2 7 6 2 3" xfId="29780"/>
    <cellStyle name="40% - Accent2 7 6 2 3 2" xfId="29781"/>
    <cellStyle name="40% - Accent2 7 6 2 4" xfId="29782"/>
    <cellStyle name="40% - Accent2 7 6 3" xfId="29783"/>
    <cellStyle name="40% - Accent2 7 6 3 2" xfId="29784"/>
    <cellStyle name="40% - Accent2 7 6 3 2 2" xfId="29785"/>
    <cellStyle name="40% - Accent2 7 6 3 3" xfId="29786"/>
    <cellStyle name="40% - Accent2 7 6 4" xfId="29787"/>
    <cellStyle name="40% - Accent2 7 6 4 2" xfId="29788"/>
    <cellStyle name="40% - Accent2 7 6 5" xfId="29789"/>
    <cellStyle name="40% - Accent2 7 7" xfId="29790"/>
    <cellStyle name="40% - Accent2 7 7 2" xfId="29791"/>
    <cellStyle name="40% - Accent2 7 7 2 2" xfId="29792"/>
    <cellStyle name="40% - Accent2 7 7 2 2 2" xfId="29793"/>
    <cellStyle name="40% - Accent2 7 7 2 2 2 2" xfId="29794"/>
    <cellStyle name="40% - Accent2 7 7 2 2 3" xfId="29795"/>
    <cellStyle name="40% - Accent2 7 7 2 3" xfId="29796"/>
    <cellStyle name="40% - Accent2 7 7 2 3 2" xfId="29797"/>
    <cellStyle name="40% - Accent2 7 7 2 4" xfId="29798"/>
    <cellStyle name="40% - Accent2 7 7 3" xfId="29799"/>
    <cellStyle name="40% - Accent2 7 7 3 2" xfId="29800"/>
    <cellStyle name="40% - Accent2 7 7 3 2 2" xfId="29801"/>
    <cellStyle name="40% - Accent2 7 7 3 3" xfId="29802"/>
    <cellStyle name="40% - Accent2 7 7 4" xfId="29803"/>
    <cellStyle name="40% - Accent2 7 7 4 2" xfId="29804"/>
    <cellStyle name="40% - Accent2 7 7 5" xfId="29805"/>
    <cellStyle name="40% - Accent2 7 8" xfId="29806"/>
    <cellStyle name="40% - Accent2 7 8 2" xfId="29807"/>
    <cellStyle name="40% - Accent2 7 8 2 2" xfId="29808"/>
    <cellStyle name="40% - Accent2 7 8 2 2 2" xfId="29809"/>
    <cellStyle name="40% - Accent2 7 8 2 3" xfId="29810"/>
    <cellStyle name="40% - Accent2 7 8 3" xfId="29811"/>
    <cellStyle name="40% - Accent2 7 8 3 2" xfId="29812"/>
    <cellStyle name="40% - Accent2 7 8 4" xfId="29813"/>
    <cellStyle name="40% - Accent2 7 9" xfId="29814"/>
    <cellStyle name="40% - Accent2 7 9 2" xfId="29815"/>
    <cellStyle name="40% - Accent2 7 9 2 2" xfId="29816"/>
    <cellStyle name="40% - Accent2 7 9 3" xfId="29817"/>
    <cellStyle name="40% - Accent2 8" xfId="29818"/>
    <cellStyle name="40% - Accent2 8 10" xfId="29819"/>
    <cellStyle name="40% - Accent2 8 10 2" xfId="29820"/>
    <cellStyle name="40% - Accent2 8 11" xfId="29821"/>
    <cellStyle name="40% - Accent2 8 2" xfId="29822"/>
    <cellStyle name="40% - Accent2 8 2 10" xfId="29823"/>
    <cellStyle name="40% - Accent2 8 2 2" xfId="29824"/>
    <cellStyle name="40% - Accent2 8 2 2 2" xfId="29825"/>
    <cellStyle name="40% - Accent2 8 2 2 2 2" xfId="29826"/>
    <cellStyle name="40% - Accent2 8 2 2 2 2 2" xfId="29827"/>
    <cellStyle name="40% - Accent2 8 2 2 2 2 2 2" xfId="29828"/>
    <cellStyle name="40% - Accent2 8 2 2 2 2 3" xfId="29829"/>
    <cellStyle name="40% - Accent2 8 2 2 2 3" xfId="29830"/>
    <cellStyle name="40% - Accent2 8 2 2 2 3 2" xfId="29831"/>
    <cellStyle name="40% - Accent2 8 2 2 2 4" xfId="29832"/>
    <cellStyle name="40% - Accent2 8 2 2 3" xfId="29833"/>
    <cellStyle name="40% - Accent2 8 2 2 3 2" xfId="29834"/>
    <cellStyle name="40% - Accent2 8 2 2 3 2 2" xfId="29835"/>
    <cellStyle name="40% - Accent2 8 2 2 3 3" xfId="29836"/>
    <cellStyle name="40% - Accent2 8 2 2 4" xfId="29837"/>
    <cellStyle name="40% - Accent2 8 2 2 4 2" xfId="29838"/>
    <cellStyle name="40% - Accent2 8 2 2 5" xfId="29839"/>
    <cellStyle name="40% - Accent2 8 2 3" xfId="29840"/>
    <cellStyle name="40% - Accent2 8 2 3 2" xfId="29841"/>
    <cellStyle name="40% - Accent2 8 2 3 2 2" xfId="29842"/>
    <cellStyle name="40% - Accent2 8 2 3 2 2 2" xfId="29843"/>
    <cellStyle name="40% - Accent2 8 2 3 2 2 2 2" xfId="29844"/>
    <cellStyle name="40% - Accent2 8 2 3 2 2 3" xfId="29845"/>
    <cellStyle name="40% - Accent2 8 2 3 2 3" xfId="29846"/>
    <cellStyle name="40% - Accent2 8 2 3 2 3 2" xfId="29847"/>
    <cellStyle name="40% - Accent2 8 2 3 2 4" xfId="29848"/>
    <cellStyle name="40% - Accent2 8 2 3 3" xfId="29849"/>
    <cellStyle name="40% - Accent2 8 2 3 3 2" xfId="29850"/>
    <cellStyle name="40% - Accent2 8 2 3 3 2 2" xfId="29851"/>
    <cellStyle name="40% - Accent2 8 2 3 3 3" xfId="29852"/>
    <cellStyle name="40% - Accent2 8 2 3 4" xfId="29853"/>
    <cellStyle name="40% - Accent2 8 2 3 4 2" xfId="29854"/>
    <cellStyle name="40% - Accent2 8 2 3 5" xfId="29855"/>
    <cellStyle name="40% - Accent2 8 2 4" xfId="29856"/>
    <cellStyle name="40% - Accent2 8 2 4 2" xfId="29857"/>
    <cellStyle name="40% - Accent2 8 2 4 2 2" xfId="29858"/>
    <cellStyle name="40% - Accent2 8 2 4 2 2 2" xfId="29859"/>
    <cellStyle name="40% - Accent2 8 2 4 2 2 2 2" xfId="29860"/>
    <cellStyle name="40% - Accent2 8 2 4 2 2 3" xfId="29861"/>
    <cellStyle name="40% - Accent2 8 2 4 2 3" xfId="29862"/>
    <cellStyle name="40% - Accent2 8 2 4 2 3 2" xfId="29863"/>
    <cellStyle name="40% - Accent2 8 2 4 2 4" xfId="29864"/>
    <cellStyle name="40% - Accent2 8 2 4 3" xfId="29865"/>
    <cellStyle name="40% - Accent2 8 2 4 3 2" xfId="29866"/>
    <cellStyle name="40% - Accent2 8 2 4 3 2 2" xfId="29867"/>
    <cellStyle name="40% - Accent2 8 2 4 3 3" xfId="29868"/>
    <cellStyle name="40% - Accent2 8 2 4 4" xfId="29869"/>
    <cellStyle name="40% - Accent2 8 2 4 4 2" xfId="29870"/>
    <cellStyle name="40% - Accent2 8 2 4 5" xfId="29871"/>
    <cellStyle name="40% - Accent2 8 2 5" xfId="29872"/>
    <cellStyle name="40% - Accent2 8 2 5 2" xfId="29873"/>
    <cellStyle name="40% - Accent2 8 2 5 2 2" xfId="29874"/>
    <cellStyle name="40% - Accent2 8 2 5 2 2 2" xfId="29875"/>
    <cellStyle name="40% - Accent2 8 2 5 2 2 2 2" xfId="29876"/>
    <cellStyle name="40% - Accent2 8 2 5 2 2 3" xfId="29877"/>
    <cellStyle name="40% - Accent2 8 2 5 2 3" xfId="29878"/>
    <cellStyle name="40% - Accent2 8 2 5 2 3 2" xfId="29879"/>
    <cellStyle name="40% - Accent2 8 2 5 2 4" xfId="29880"/>
    <cellStyle name="40% - Accent2 8 2 5 3" xfId="29881"/>
    <cellStyle name="40% - Accent2 8 2 5 3 2" xfId="29882"/>
    <cellStyle name="40% - Accent2 8 2 5 3 2 2" xfId="29883"/>
    <cellStyle name="40% - Accent2 8 2 5 3 3" xfId="29884"/>
    <cellStyle name="40% - Accent2 8 2 5 4" xfId="29885"/>
    <cellStyle name="40% - Accent2 8 2 5 4 2" xfId="29886"/>
    <cellStyle name="40% - Accent2 8 2 5 5" xfId="29887"/>
    <cellStyle name="40% - Accent2 8 2 6" xfId="29888"/>
    <cellStyle name="40% - Accent2 8 2 6 2" xfId="29889"/>
    <cellStyle name="40% - Accent2 8 2 6 2 2" xfId="29890"/>
    <cellStyle name="40% - Accent2 8 2 6 2 2 2" xfId="29891"/>
    <cellStyle name="40% - Accent2 8 2 6 2 2 2 2" xfId="29892"/>
    <cellStyle name="40% - Accent2 8 2 6 2 2 3" xfId="29893"/>
    <cellStyle name="40% - Accent2 8 2 6 2 3" xfId="29894"/>
    <cellStyle name="40% - Accent2 8 2 6 2 3 2" xfId="29895"/>
    <cellStyle name="40% - Accent2 8 2 6 2 4" xfId="29896"/>
    <cellStyle name="40% - Accent2 8 2 6 3" xfId="29897"/>
    <cellStyle name="40% - Accent2 8 2 6 3 2" xfId="29898"/>
    <cellStyle name="40% - Accent2 8 2 6 3 2 2" xfId="29899"/>
    <cellStyle name="40% - Accent2 8 2 6 3 3" xfId="29900"/>
    <cellStyle name="40% - Accent2 8 2 6 4" xfId="29901"/>
    <cellStyle name="40% - Accent2 8 2 6 4 2" xfId="29902"/>
    <cellStyle name="40% - Accent2 8 2 6 5" xfId="29903"/>
    <cellStyle name="40% - Accent2 8 2 7" xfId="29904"/>
    <cellStyle name="40% - Accent2 8 2 7 2" xfId="29905"/>
    <cellStyle name="40% - Accent2 8 2 7 2 2" xfId="29906"/>
    <cellStyle name="40% - Accent2 8 2 7 2 2 2" xfId="29907"/>
    <cellStyle name="40% - Accent2 8 2 7 2 3" xfId="29908"/>
    <cellStyle name="40% - Accent2 8 2 7 3" xfId="29909"/>
    <cellStyle name="40% - Accent2 8 2 7 3 2" xfId="29910"/>
    <cellStyle name="40% - Accent2 8 2 7 4" xfId="29911"/>
    <cellStyle name="40% - Accent2 8 2 8" xfId="29912"/>
    <cellStyle name="40% - Accent2 8 2 8 2" xfId="29913"/>
    <cellStyle name="40% - Accent2 8 2 8 2 2" xfId="29914"/>
    <cellStyle name="40% - Accent2 8 2 8 3" xfId="29915"/>
    <cellStyle name="40% - Accent2 8 2 9" xfId="29916"/>
    <cellStyle name="40% - Accent2 8 2 9 2" xfId="29917"/>
    <cellStyle name="40% - Accent2 8 3" xfId="29918"/>
    <cellStyle name="40% - Accent2 8 3 2" xfId="29919"/>
    <cellStyle name="40% - Accent2 8 3 2 2" xfId="29920"/>
    <cellStyle name="40% - Accent2 8 3 2 2 2" xfId="29921"/>
    <cellStyle name="40% - Accent2 8 3 2 2 2 2" xfId="29922"/>
    <cellStyle name="40% - Accent2 8 3 2 2 3" xfId="29923"/>
    <cellStyle name="40% - Accent2 8 3 2 3" xfId="29924"/>
    <cellStyle name="40% - Accent2 8 3 2 3 2" xfId="29925"/>
    <cellStyle name="40% - Accent2 8 3 2 4" xfId="29926"/>
    <cellStyle name="40% - Accent2 8 3 3" xfId="29927"/>
    <cellStyle name="40% - Accent2 8 3 3 2" xfId="29928"/>
    <cellStyle name="40% - Accent2 8 3 3 2 2" xfId="29929"/>
    <cellStyle name="40% - Accent2 8 3 3 3" xfId="29930"/>
    <cellStyle name="40% - Accent2 8 3 4" xfId="29931"/>
    <cellStyle name="40% - Accent2 8 3 4 2" xfId="29932"/>
    <cellStyle name="40% - Accent2 8 3 5" xfId="29933"/>
    <cellStyle name="40% - Accent2 8 4" xfId="29934"/>
    <cellStyle name="40% - Accent2 8 4 2" xfId="29935"/>
    <cellStyle name="40% - Accent2 8 4 2 2" xfId="29936"/>
    <cellStyle name="40% - Accent2 8 4 2 2 2" xfId="29937"/>
    <cellStyle name="40% - Accent2 8 4 2 2 2 2" xfId="29938"/>
    <cellStyle name="40% - Accent2 8 4 2 2 3" xfId="29939"/>
    <cellStyle name="40% - Accent2 8 4 2 3" xfId="29940"/>
    <cellStyle name="40% - Accent2 8 4 2 3 2" xfId="29941"/>
    <cellStyle name="40% - Accent2 8 4 2 4" xfId="29942"/>
    <cellStyle name="40% - Accent2 8 4 3" xfId="29943"/>
    <cellStyle name="40% - Accent2 8 4 3 2" xfId="29944"/>
    <cellStyle name="40% - Accent2 8 4 3 2 2" xfId="29945"/>
    <cellStyle name="40% - Accent2 8 4 3 3" xfId="29946"/>
    <cellStyle name="40% - Accent2 8 4 4" xfId="29947"/>
    <cellStyle name="40% - Accent2 8 4 4 2" xfId="29948"/>
    <cellStyle name="40% - Accent2 8 4 5" xfId="29949"/>
    <cellStyle name="40% - Accent2 8 5" xfId="29950"/>
    <cellStyle name="40% - Accent2 8 5 2" xfId="29951"/>
    <cellStyle name="40% - Accent2 8 5 2 2" xfId="29952"/>
    <cellStyle name="40% - Accent2 8 5 2 2 2" xfId="29953"/>
    <cellStyle name="40% - Accent2 8 5 2 2 2 2" xfId="29954"/>
    <cellStyle name="40% - Accent2 8 5 2 2 3" xfId="29955"/>
    <cellStyle name="40% - Accent2 8 5 2 3" xfId="29956"/>
    <cellStyle name="40% - Accent2 8 5 2 3 2" xfId="29957"/>
    <cellStyle name="40% - Accent2 8 5 2 4" xfId="29958"/>
    <cellStyle name="40% - Accent2 8 5 3" xfId="29959"/>
    <cellStyle name="40% - Accent2 8 5 3 2" xfId="29960"/>
    <cellStyle name="40% - Accent2 8 5 3 2 2" xfId="29961"/>
    <cellStyle name="40% - Accent2 8 5 3 3" xfId="29962"/>
    <cellStyle name="40% - Accent2 8 5 4" xfId="29963"/>
    <cellStyle name="40% - Accent2 8 5 4 2" xfId="29964"/>
    <cellStyle name="40% - Accent2 8 5 5" xfId="29965"/>
    <cellStyle name="40% - Accent2 8 6" xfId="29966"/>
    <cellStyle name="40% - Accent2 8 6 2" xfId="29967"/>
    <cellStyle name="40% - Accent2 8 6 2 2" xfId="29968"/>
    <cellStyle name="40% - Accent2 8 6 2 2 2" xfId="29969"/>
    <cellStyle name="40% - Accent2 8 6 2 2 2 2" xfId="29970"/>
    <cellStyle name="40% - Accent2 8 6 2 2 3" xfId="29971"/>
    <cellStyle name="40% - Accent2 8 6 2 3" xfId="29972"/>
    <cellStyle name="40% - Accent2 8 6 2 3 2" xfId="29973"/>
    <cellStyle name="40% - Accent2 8 6 2 4" xfId="29974"/>
    <cellStyle name="40% - Accent2 8 6 3" xfId="29975"/>
    <cellStyle name="40% - Accent2 8 6 3 2" xfId="29976"/>
    <cellStyle name="40% - Accent2 8 6 3 2 2" xfId="29977"/>
    <cellStyle name="40% - Accent2 8 6 3 3" xfId="29978"/>
    <cellStyle name="40% - Accent2 8 6 4" xfId="29979"/>
    <cellStyle name="40% - Accent2 8 6 4 2" xfId="29980"/>
    <cellStyle name="40% - Accent2 8 6 5" xfId="29981"/>
    <cellStyle name="40% - Accent2 8 7" xfId="29982"/>
    <cellStyle name="40% - Accent2 8 7 2" xfId="29983"/>
    <cellStyle name="40% - Accent2 8 7 2 2" xfId="29984"/>
    <cellStyle name="40% - Accent2 8 7 2 2 2" xfId="29985"/>
    <cellStyle name="40% - Accent2 8 7 2 2 2 2" xfId="29986"/>
    <cellStyle name="40% - Accent2 8 7 2 2 3" xfId="29987"/>
    <cellStyle name="40% - Accent2 8 7 2 3" xfId="29988"/>
    <cellStyle name="40% - Accent2 8 7 2 3 2" xfId="29989"/>
    <cellStyle name="40% - Accent2 8 7 2 4" xfId="29990"/>
    <cellStyle name="40% - Accent2 8 7 3" xfId="29991"/>
    <cellStyle name="40% - Accent2 8 7 3 2" xfId="29992"/>
    <cellStyle name="40% - Accent2 8 7 3 2 2" xfId="29993"/>
    <cellStyle name="40% - Accent2 8 7 3 3" xfId="29994"/>
    <cellStyle name="40% - Accent2 8 7 4" xfId="29995"/>
    <cellStyle name="40% - Accent2 8 7 4 2" xfId="29996"/>
    <cellStyle name="40% - Accent2 8 7 5" xfId="29997"/>
    <cellStyle name="40% - Accent2 8 8" xfId="29998"/>
    <cellStyle name="40% - Accent2 8 8 2" xfId="29999"/>
    <cellStyle name="40% - Accent2 8 8 2 2" xfId="30000"/>
    <cellStyle name="40% - Accent2 8 8 2 2 2" xfId="30001"/>
    <cellStyle name="40% - Accent2 8 8 2 3" xfId="30002"/>
    <cellStyle name="40% - Accent2 8 8 3" xfId="30003"/>
    <cellStyle name="40% - Accent2 8 8 3 2" xfId="30004"/>
    <cellStyle name="40% - Accent2 8 8 4" xfId="30005"/>
    <cellStyle name="40% - Accent2 8 9" xfId="30006"/>
    <cellStyle name="40% - Accent2 8 9 2" xfId="30007"/>
    <cellStyle name="40% - Accent2 8 9 2 2" xfId="30008"/>
    <cellStyle name="40% - Accent2 8 9 3" xfId="30009"/>
    <cellStyle name="40% - Accent2 9" xfId="30010"/>
    <cellStyle name="40% - Accent2 9 10" xfId="30011"/>
    <cellStyle name="40% - Accent2 9 10 2" xfId="30012"/>
    <cellStyle name="40% - Accent2 9 11" xfId="30013"/>
    <cellStyle name="40% - Accent2 9 2" xfId="30014"/>
    <cellStyle name="40% - Accent2 9 2 10" xfId="30015"/>
    <cellStyle name="40% - Accent2 9 2 2" xfId="30016"/>
    <cellStyle name="40% - Accent2 9 2 2 2" xfId="30017"/>
    <cellStyle name="40% - Accent2 9 2 2 2 2" xfId="30018"/>
    <cellStyle name="40% - Accent2 9 2 2 2 2 2" xfId="30019"/>
    <cellStyle name="40% - Accent2 9 2 2 2 2 2 2" xfId="30020"/>
    <cellStyle name="40% - Accent2 9 2 2 2 2 3" xfId="30021"/>
    <cellStyle name="40% - Accent2 9 2 2 2 3" xfId="30022"/>
    <cellStyle name="40% - Accent2 9 2 2 2 3 2" xfId="30023"/>
    <cellStyle name="40% - Accent2 9 2 2 2 4" xfId="30024"/>
    <cellStyle name="40% - Accent2 9 2 2 3" xfId="30025"/>
    <cellStyle name="40% - Accent2 9 2 2 3 2" xfId="30026"/>
    <cellStyle name="40% - Accent2 9 2 2 3 2 2" xfId="30027"/>
    <cellStyle name="40% - Accent2 9 2 2 3 3" xfId="30028"/>
    <cellStyle name="40% - Accent2 9 2 2 4" xfId="30029"/>
    <cellStyle name="40% - Accent2 9 2 2 4 2" xfId="30030"/>
    <cellStyle name="40% - Accent2 9 2 2 5" xfId="30031"/>
    <cellStyle name="40% - Accent2 9 2 3" xfId="30032"/>
    <cellStyle name="40% - Accent2 9 2 3 2" xfId="30033"/>
    <cellStyle name="40% - Accent2 9 2 3 2 2" xfId="30034"/>
    <cellStyle name="40% - Accent2 9 2 3 2 2 2" xfId="30035"/>
    <cellStyle name="40% - Accent2 9 2 3 2 2 2 2" xfId="30036"/>
    <cellStyle name="40% - Accent2 9 2 3 2 2 3" xfId="30037"/>
    <cellStyle name="40% - Accent2 9 2 3 2 3" xfId="30038"/>
    <cellStyle name="40% - Accent2 9 2 3 2 3 2" xfId="30039"/>
    <cellStyle name="40% - Accent2 9 2 3 2 4" xfId="30040"/>
    <cellStyle name="40% - Accent2 9 2 3 3" xfId="30041"/>
    <cellStyle name="40% - Accent2 9 2 3 3 2" xfId="30042"/>
    <cellStyle name="40% - Accent2 9 2 3 3 2 2" xfId="30043"/>
    <cellStyle name="40% - Accent2 9 2 3 3 3" xfId="30044"/>
    <cellStyle name="40% - Accent2 9 2 3 4" xfId="30045"/>
    <cellStyle name="40% - Accent2 9 2 3 4 2" xfId="30046"/>
    <cellStyle name="40% - Accent2 9 2 3 5" xfId="30047"/>
    <cellStyle name="40% - Accent2 9 2 4" xfId="30048"/>
    <cellStyle name="40% - Accent2 9 2 4 2" xfId="30049"/>
    <cellStyle name="40% - Accent2 9 2 4 2 2" xfId="30050"/>
    <cellStyle name="40% - Accent2 9 2 4 2 2 2" xfId="30051"/>
    <cellStyle name="40% - Accent2 9 2 4 2 2 2 2" xfId="30052"/>
    <cellStyle name="40% - Accent2 9 2 4 2 2 3" xfId="30053"/>
    <cellStyle name="40% - Accent2 9 2 4 2 3" xfId="30054"/>
    <cellStyle name="40% - Accent2 9 2 4 2 3 2" xfId="30055"/>
    <cellStyle name="40% - Accent2 9 2 4 2 4" xfId="30056"/>
    <cellStyle name="40% - Accent2 9 2 4 3" xfId="30057"/>
    <cellStyle name="40% - Accent2 9 2 4 3 2" xfId="30058"/>
    <cellStyle name="40% - Accent2 9 2 4 3 2 2" xfId="30059"/>
    <cellStyle name="40% - Accent2 9 2 4 3 3" xfId="30060"/>
    <cellStyle name="40% - Accent2 9 2 4 4" xfId="30061"/>
    <cellStyle name="40% - Accent2 9 2 4 4 2" xfId="30062"/>
    <cellStyle name="40% - Accent2 9 2 4 5" xfId="30063"/>
    <cellStyle name="40% - Accent2 9 2 5" xfId="30064"/>
    <cellStyle name="40% - Accent2 9 2 5 2" xfId="30065"/>
    <cellStyle name="40% - Accent2 9 2 5 2 2" xfId="30066"/>
    <cellStyle name="40% - Accent2 9 2 5 2 2 2" xfId="30067"/>
    <cellStyle name="40% - Accent2 9 2 5 2 2 2 2" xfId="30068"/>
    <cellStyle name="40% - Accent2 9 2 5 2 2 3" xfId="30069"/>
    <cellStyle name="40% - Accent2 9 2 5 2 3" xfId="30070"/>
    <cellStyle name="40% - Accent2 9 2 5 2 3 2" xfId="30071"/>
    <cellStyle name="40% - Accent2 9 2 5 2 4" xfId="30072"/>
    <cellStyle name="40% - Accent2 9 2 5 3" xfId="30073"/>
    <cellStyle name="40% - Accent2 9 2 5 3 2" xfId="30074"/>
    <cellStyle name="40% - Accent2 9 2 5 3 2 2" xfId="30075"/>
    <cellStyle name="40% - Accent2 9 2 5 3 3" xfId="30076"/>
    <cellStyle name="40% - Accent2 9 2 5 4" xfId="30077"/>
    <cellStyle name="40% - Accent2 9 2 5 4 2" xfId="30078"/>
    <cellStyle name="40% - Accent2 9 2 5 5" xfId="30079"/>
    <cellStyle name="40% - Accent2 9 2 6" xfId="30080"/>
    <cellStyle name="40% - Accent2 9 2 6 2" xfId="30081"/>
    <cellStyle name="40% - Accent2 9 2 6 2 2" xfId="30082"/>
    <cellStyle name="40% - Accent2 9 2 6 2 2 2" xfId="30083"/>
    <cellStyle name="40% - Accent2 9 2 6 2 2 2 2" xfId="30084"/>
    <cellStyle name="40% - Accent2 9 2 6 2 2 3" xfId="30085"/>
    <cellStyle name="40% - Accent2 9 2 6 2 3" xfId="30086"/>
    <cellStyle name="40% - Accent2 9 2 6 2 3 2" xfId="30087"/>
    <cellStyle name="40% - Accent2 9 2 6 2 4" xfId="30088"/>
    <cellStyle name="40% - Accent2 9 2 6 3" xfId="30089"/>
    <cellStyle name="40% - Accent2 9 2 6 3 2" xfId="30090"/>
    <cellStyle name="40% - Accent2 9 2 6 3 2 2" xfId="30091"/>
    <cellStyle name="40% - Accent2 9 2 6 3 3" xfId="30092"/>
    <cellStyle name="40% - Accent2 9 2 6 4" xfId="30093"/>
    <cellStyle name="40% - Accent2 9 2 6 4 2" xfId="30094"/>
    <cellStyle name="40% - Accent2 9 2 6 5" xfId="30095"/>
    <cellStyle name="40% - Accent2 9 2 7" xfId="30096"/>
    <cellStyle name="40% - Accent2 9 2 7 2" xfId="30097"/>
    <cellStyle name="40% - Accent2 9 2 7 2 2" xfId="30098"/>
    <cellStyle name="40% - Accent2 9 2 7 2 2 2" xfId="30099"/>
    <cellStyle name="40% - Accent2 9 2 7 2 3" xfId="30100"/>
    <cellStyle name="40% - Accent2 9 2 7 3" xfId="30101"/>
    <cellStyle name="40% - Accent2 9 2 7 3 2" xfId="30102"/>
    <cellStyle name="40% - Accent2 9 2 7 4" xfId="30103"/>
    <cellStyle name="40% - Accent2 9 2 8" xfId="30104"/>
    <cellStyle name="40% - Accent2 9 2 8 2" xfId="30105"/>
    <cellStyle name="40% - Accent2 9 2 8 2 2" xfId="30106"/>
    <cellStyle name="40% - Accent2 9 2 8 3" xfId="30107"/>
    <cellStyle name="40% - Accent2 9 2 9" xfId="30108"/>
    <cellStyle name="40% - Accent2 9 2 9 2" xfId="30109"/>
    <cellStyle name="40% - Accent2 9 3" xfId="30110"/>
    <cellStyle name="40% - Accent2 9 3 2" xfId="30111"/>
    <cellStyle name="40% - Accent2 9 3 2 2" xfId="30112"/>
    <cellStyle name="40% - Accent2 9 3 2 2 2" xfId="30113"/>
    <cellStyle name="40% - Accent2 9 3 2 2 2 2" xfId="30114"/>
    <cellStyle name="40% - Accent2 9 3 2 2 3" xfId="30115"/>
    <cellStyle name="40% - Accent2 9 3 2 3" xfId="30116"/>
    <cellStyle name="40% - Accent2 9 3 2 3 2" xfId="30117"/>
    <cellStyle name="40% - Accent2 9 3 2 4" xfId="30118"/>
    <cellStyle name="40% - Accent2 9 3 3" xfId="30119"/>
    <cellStyle name="40% - Accent2 9 3 3 2" xfId="30120"/>
    <cellStyle name="40% - Accent2 9 3 3 2 2" xfId="30121"/>
    <cellStyle name="40% - Accent2 9 3 3 3" xfId="30122"/>
    <cellStyle name="40% - Accent2 9 3 4" xfId="30123"/>
    <cellStyle name="40% - Accent2 9 3 4 2" xfId="30124"/>
    <cellStyle name="40% - Accent2 9 3 5" xfId="30125"/>
    <cellStyle name="40% - Accent2 9 4" xfId="30126"/>
    <cellStyle name="40% - Accent2 9 4 2" xfId="30127"/>
    <cellStyle name="40% - Accent2 9 4 2 2" xfId="30128"/>
    <cellStyle name="40% - Accent2 9 4 2 2 2" xfId="30129"/>
    <cellStyle name="40% - Accent2 9 4 2 2 2 2" xfId="30130"/>
    <cellStyle name="40% - Accent2 9 4 2 2 3" xfId="30131"/>
    <cellStyle name="40% - Accent2 9 4 2 3" xfId="30132"/>
    <cellStyle name="40% - Accent2 9 4 2 3 2" xfId="30133"/>
    <cellStyle name="40% - Accent2 9 4 2 4" xfId="30134"/>
    <cellStyle name="40% - Accent2 9 4 3" xfId="30135"/>
    <cellStyle name="40% - Accent2 9 4 3 2" xfId="30136"/>
    <cellStyle name="40% - Accent2 9 4 3 2 2" xfId="30137"/>
    <cellStyle name="40% - Accent2 9 4 3 3" xfId="30138"/>
    <cellStyle name="40% - Accent2 9 4 4" xfId="30139"/>
    <cellStyle name="40% - Accent2 9 4 4 2" xfId="30140"/>
    <cellStyle name="40% - Accent2 9 4 5" xfId="30141"/>
    <cellStyle name="40% - Accent2 9 5" xfId="30142"/>
    <cellStyle name="40% - Accent2 9 5 2" xfId="30143"/>
    <cellStyle name="40% - Accent2 9 5 2 2" xfId="30144"/>
    <cellStyle name="40% - Accent2 9 5 2 2 2" xfId="30145"/>
    <cellStyle name="40% - Accent2 9 5 2 2 2 2" xfId="30146"/>
    <cellStyle name="40% - Accent2 9 5 2 2 3" xfId="30147"/>
    <cellStyle name="40% - Accent2 9 5 2 3" xfId="30148"/>
    <cellStyle name="40% - Accent2 9 5 2 3 2" xfId="30149"/>
    <cellStyle name="40% - Accent2 9 5 2 4" xfId="30150"/>
    <cellStyle name="40% - Accent2 9 5 3" xfId="30151"/>
    <cellStyle name="40% - Accent2 9 5 3 2" xfId="30152"/>
    <cellStyle name="40% - Accent2 9 5 3 2 2" xfId="30153"/>
    <cellStyle name="40% - Accent2 9 5 3 3" xfId="30154"/>
    <cellStyle name="40% - Accent2 9 5 4" xfId="30155"/>
    <cellStyle name="40% - Accent2 9 5 4 2" xfId="30156"/>
    <cellStyle name="40% - Accent2 9 5 5" xfId="30157"/>
    <cellStyle name="40% - Accent2 9 6" xfId="30158"/>
    <cellStyle name="40% - Accent2 9 6 2" xfId="30159"/>
    <cellStyle name="40% - Accent2 9 6 2 2" xfId="30160"/>
    <cellStyle name="40% - Accent2 9 6 2 2 2" xfId="30161"/>
    <cellStyle name="40% - Accent2 9 6 2 2 2 2" xfId="30162"/>
    <cellStyle name="40% - Accent2 9 6 2 2 3" xfId="30163"/>
    <cellStyle name="40% - Accent2 9 6 2 3" xfId="30164"/>
    <cellStyle name="40% - Accent2 9 6 2 3 2" xfId="30165"/>
    <cellStyle name="40% - Accent2 9 6 2 4" xfId="30166"/>
    <cellStyle name="40% - Accent2 9 6 3" xfId="30167"/>
    <cellStyle name="40% - Accent2 9 6 3 2" xfId="30168"/>
    <cellStyle name="40% - Accent2 9 6 3 2 2" xfId="30169"/>
    <cellStyle name="40% - Accent2 9 6 3 3" xfId="30170"/>
    <cellStyle name="40% - Accent2 9 6 4" xfId="30171"/>
    <cellStyle name="40% - Accent2 9 6 4 2" xfId="30172"/>
    <cellStyle name="40% - Accent2 9 6 5" xfId="30173"/>
    <cellStyle name="40% - Accent2 9 7" xfId="30174"/>
    <cellStyle name="40% - Accent2 9 7 2" xfId="30175"/>
    <cellStyle name="40% - Accent2 9 7 2 2" xfId="30176"/>
    <cellStyle name="40% - Accent2 9 7 2 2 2" xfId="30177"/>
    <cellStyle name="40% - Accent2 9 7 2 2 2 2" xfId="30178"/>
    <cellStyle name="40% - Accent2 9 7 2 2 3" xfId="30179"/>
    <cellStyle name="40% - Accent2 9 7 2 3" xfId="30180"/>
    <cellStyle name="40% - Accent2 9 7 2 3 2" xfId="30181"/>
    <cellStyle name="40% - Accent2 9 7 2 4" xfId="30182"/>
    <cellStyle name="40% - Accent2 9 7 3" xfId="30183"/>
    <cellStyle name="40% - Accent2 9 7 3 2" xfId="30184"/>
    <cellStyle name="40% - Accent2 9 7 3 2 2" xfId="30185"/>
    <cellStyle name="40% - Accent2 9 7 3 3" xfId="30186"/>
    <cellStyle name="40% - Accent2 9 7 4" xfId="30187"/>
    <cellStyle name="40% - Accent2 9 7 4 2" xfId="30188"/>
    <cellStyle name="40% - Accent2 9 7 5" xfId="30189"/>
    <cellStyle name="40% - Accent2 9 8" xfId="30190"/>
    <cellStyle name="40% - Accent2 9 8 2" xfId="30191"/>
    <cellStyle name="40% - Accent2 9 8 2 2" xfId="30192"/>
    <cellStyle name="40% - Accent2 9 8 2 2 2" xfId="30193"/>
    <cellStyle name="40% - Accent2 9 8 2 3" xfId="30194"/>
    <cellStyle name="40% - Accent2 9 8 3" xfId="30195"/>
    <cellStyle name="40% - Accent2 9 8 3 2" xfId="30196"/>
    <cellStyle name="40% - Accent2 9 8 4" xfId="30197"/>
    <cellStyle name="40% - Accent2 9 9" xfId="30198"/>
    <cellStyle name="40% - Accent2 9 9 2" xfId="30199"/>
    <cellStyle name="40% - Accent2 9 9 2 2" xfId="30200"/>
    <cellStyle name="40% - Accent2 9 9 3" xfId="30201"/>
    <cellStyle name="40% - Accent3 10" xfId="30202"/>
    <cellStyle name="40% - Accent3 10 10" xfId="30203"/>
    <cellStyle name="40% - Accent3 10 10 2" xfId="30204"/>
    <cellStyle name="40% - Accent3 10 11" xfId="30205"/>
    <cellStyle name="40% - Accent3 10 2" xfId="30206"/>
    <cellStyle name="40% - Accent3 10 2 10" xfId="30207"/>
    <cellStyle name="40% - Accent3 10 2 2" xfId="30208"/>
    <cellStyle name="40% - Accent3 10 2 2 2" xfId="30209"/>
    <cellStyle name="40% - Accent3 10 2 2 2 2" xfId="30210"/>
    <cellStyle name="40% - Accent3 10 2 2 2 2 2" xfId="30211"/>
    <cellStyle name="40% - Accent3 10 2 2 2 2 2 2" xfId="30212"/>
    <cellStyle name="40% - Accent3 10 2 2 2 2 3" xfId="30213"/>
    <cellStyle name="40% - Accent3 10 2 2 2 3" xfId="30214"/>
    <cellStyle name="40% - Accent3 10 2 2 2 3 2" xfId="30215"/>
    <cellStyle name="40% - Accent3 10 2 2 2 4" xfId="30216"/>
    <cellStyle name="40% - Accent3 10 2 2 3" xfId="30217"/>
    <cellStyle name="40% - Accent3 10 2 2 3 2" xfId="30218"/>
    <cellStyle name="40% - Accent3 10 2 2 3 2 2" xfId="30219"/>
    <cellStyle name="40% - Accent3 10 2 2 3 3" xfId="30220"/>
    <cellStyle name="40% - Accent3 10 2 2 4" xfId="30221"/>
    <cellStyle name="40% - Accent3 10 2 2 4 2" xfId="30222"/>
    <cellStyle name="40% - Accent3 10 2 2 5" xfId="30223"/>
    <cellStyle name="40% - Accent3 10 2 3" xfId="30224"/>
    <cellStyle name="40% - Accent3 10 2 3 2" xfId="30225"/>
    <cellStyle name="40% - Accent3 10 2 3 2 2" xfId="30226"/>
    <cellStyle name="40% - Accent3 10 2 3 2 2 2" xfId="30227"/>
    <cellStyle name="40% - Accent3 10 2 3 2 2 2 2" xfId="30228"/>
    <cellStyle name="40% - Accent3 10 2 3 2 2 3" xfId="30229"/>
    <cellStyle name="40% - Accent3 10 2 3 2 3" xfId="30230"/>
    <cellStyle name="40% - Accent3 10 2 3 2 3 2" xfId="30231"/>
    <cellStyle name="40% - Accent3 10 2 3 2 4" xfId="30232"/>
    <cellStyle name="40% - Accent3 10 2 3 3" xfId="30233"/>
    <cellStyle name="40% - Accent3 10 2 3 3 2" xfId="30234"/>
    <cellStyle name="40% - Accent3 10 2 3 3 2 2" xfId="30235"/>
    <cellStyle name="40% - Accent3 10 2 3 3 3" xfId="30236"/>
    <cellStyle name="40% - Accent3 10 2 3 4" xfId="30237"/>
    <cellStyle name="40% - Accent3 10 2 3 4 2" xfId="30238"/>
    <cellStyle name="40% - Accent3 10 2 3 5" xfId="30239"/>
    <cellStyle name="40% - Accent3 10 2 4" xfId="30240"/>
    <cellStyle name="40% - Accent3 10 2 4 2" xfId="30241"/>
    <cellStyle name="40% - Accent3 10 2 4 2 2" xfId="30242"/>
    <cellStyle name="40% - Accent3 10 2 4 2 2 2" xfId="30243"/>
    <cellStyle name="40% - Accent3 10 2 4 2 2 2 2" xfId="30244"/>
    <cellStyle name="40% - Accent3 10 2 4 2 2 3" xfId="30245"/>
    <cellStyle name="40% - Accent3 10 2 4 2 3" xfId="30246"/>
    <cellStyle name="40% - Accent3 10 2 4 2 3 2" xfId="30247"/>
    <cellStyle name="40% - Accent3 10 2 4 2 4" xfId="30248"/>
    <cellStyle name="40% - Accent3 10 2 4 3" xfId="30249"/>
    <cellStyle name="40% - Accent3 10 2 4 3 2" xfId="30250"/>
    <cellStyle name="40% - Accent3 10 2 4 3 2 2" xfId="30251"/>
    <cellStyle name="40% - Accent3 10 2 4 3 3" xfId="30252"/>
    <cellStyle name="40% - Accent3 10 2 4 4" xfId="30253"/>
    <cellStyle name="40% - Accent3 10 2 4 4 2" xfId="30254"/>
    <cellStyle name="40% - Accent3 10 2 4 5" xfId="30255"/>
    <cellStyle name="40% - Accent3 10 2 5" xfId="30256"/>
    <cellStyle name="40% - Accent3 10 2 5 2" xfId="30257"/>
    <cellStyle name="40% - Accent3 10 2 5 2 2" xfId="30258"/>
    <cellStyle name="40% - Accent3 10 2 5 2 2 2" xfId="30259"/>
    <cellStyle name="40% - Accent3 10 2 5 2 2 2 2" xfId="30260"/>
    <cellStyle name="40% - Accent3 10 2 5 2 2 3" xfId="30261"/>
    <cellStyle name="40% - Accent3 10 2 5 2 3" xfId="30262"/>
    <cellStyle name="40% - Accent3 10 2 5 2 3 2" xfId="30263"/>
    <cellStyle name="40% - Accent3 10 2 5 2 4" xfId="30264"/>
    <cellStyle name="40% - Accent3 10 2 5 3" xfId="30265"/>
    <cellStyle name="40% - Accent3 10 2 5 3 2" xfId="30266"/>
    <cellStyle name="40% - Accent3 10 2 5 3 2 2" xfId="30267"/>
    <cellStyle name="40% - Accent3 10 2 5 3 3" xfId="30268"/>
    <cellStyle name="40% - Accent3 10 2 5 4" xfId="30269"/>
    <cellStyle name="40% - Accent3 10 2 5 4 2" xfId="30270"/>
    <cellStyle name="40% - Accent3 10 2 5 5" xfId="30271"/>
    <cellStyle name="40% - Accent3 10 2 6" xfId="30272"/>
    <cellStyle name="40% - Accent3 10 2 6 2" xfId="30273"/>
    <cellStyle name="40% - Accent3 10 2 6 2 2" xfId="30274"/>
    <cellStyle name="40% - Accent3 10 2 6 2 2 2" xfId="30275"/>
    <cellStyle name="40% - Accent3 10 2 6 2 2 2 2" xfId="30276"/>
    <cellStyle name="40% - Accent3 10 2 6 2 2 3" xfId="30277"/>
    <cellStyle name="40% - Accent3 10 2 6 2 3" xfId="30278"/>
    <cellStyle name="40% - Accent3 10 2 6 2 3 2" xfId="30279"/>
    <cellStyle name="40% - Accent3 10 2 6 2 4" xfId="30280"/>
    <cellStyle name="40% - Accent3 10 2 6 3" xfId="30281"/>
    <cellStyle name="40% - Accent3 10 2 6 3 2" xfId="30282"/>
    <cellStyle name="40% - Accent3 10 2 6 3 2 2" xfId="30283"/>
    <cellStyle name="40% - Accent3 10 2 6 3 3" xfId="30284"/>
    <cellStyle name="40% - Accent3 10 2 6 4" xfId="30285"/>
    <cellStyle name="40% - Accent3 10 2 6 4 2" xfId="30286"/>
    <cellStyle name="40% - Accent3 10 2 6 5" xfId="30287"/>
    <cellStyle name="40% - Accent3 10 2 7" xfId="30288"/>
    <cellStyle name="40% - Accent3 10 2 7 2" xfId="30289"/>
    <cellStyle name="40% - Accent3 10 2 7 2 2" xfId="30290"/>
    <cellStyle name="40% - Accent3 10 2 7 2 2 2" xfId="30291"/>
    <cellStyle name="40% - Accent3 10 2 7 2 3" xfId="30292"/>
    <cellStyle name="40% - Accent3 10 2 7 3" xfId="30293"/>
    <cellStyle name="40% - Accent3 10 2 7 3 2" xfId="30294"/>
    <cellStyle name="40% - Accent3 10 2 7 4" xfId="30295"/>
    <cellStyle name="40% - Accent3 10 2 8" xfId="30296"/>
    <cellStyle name="40% - Accent3 10 2 8 2" xfId="30297"/>
    <cellStyle name="40% - Accent3 10 2 8 2 2" xfId="30298"/>
    <cellStyle name="40% - Accent3 10 2 8 3" xfId="30299"/>
    <cellStyle name="40% - Accent3 10 2 9" xfId="30300"/>
    <cellStyle name="40% - Accent3 10 2 9 2" xfId="30301"/>
    <cellStyle name="40% - Accent3 10 3" xfId="30302"/>
    <cellStyle name="40% - Accent3 10 3 2" xfId="30303"/>
    <cellStyle name="40% - Accent3 10 3 2 2" xfId="30304"/>
    <cellStyle name="40% - Accent3 10 3 2 2 2" xfId="30305"/>
    <cellStyle name="40% - Accent3 10 3 2 2 2 2" xfId="30306"/>
    <cellStyle name="40% - Accent3 10 3 2 2 3" xfId="30307"/>
    <cellStyle name="40% - Accent3 10 3 2 3" xfId="30308"/>
    <cellStyle name="40% - Accent3 10 3 2 3 2" xfId="30309"/>
    <cellStyle name="40% - Accent3 10 3 2 4" xfId="30310"/>
    <cellStyle name="40% - Accent3 10 3 3" xfId="30311"/>
    <cellStyle name="40% - Accent3 10 3 3 2" xfId="30312"/>
    <cellStyle name="40% - Accent3 10 3 3 2 2" xfId="30313"/>
    <cellStyle name="40% - Accent3 10 3 3 3" xfId="30314"/>
    <cellStyle name="40% - Accent3 10 3 4" xfId="30315"/>
    <cellStyle name="40% - Accent3 10 3 4 2" xfId="30316"/>
    <cellStyle name="40% - Accent3 10 3 5" xfId="30317"/>
    <cellStyle name="40% - Accent3 10 4" xfId="30318"/>
    <cellStyle name="40% - Accent3 10 4 2" xfId="30319"/>
    <cellStyle name="40% - Accent3 10 4 2 2" xfId="30320"/>
    <cellStyle name="40% - Accent3 10 4 2 2 2" xfId="30321"/>
    <cellStyle name="40% - Accent3 10 4 2 2 2 2" xfId="30322"/>
    <cellStyle name="40% - Accent3 10 4 2 2 3" xfId="30323"/>
    <cellStyle name="40% - Accent3 10 4 2 3" xfId="30324"/>
    <cellStyle name="40% - Accent3 10 4 2 3 2" xfId="30325"/>
    <cellStyle name="40% - Accent3 10 4 2 4" xfId="30326"/>
    <cellStyle name="40% - Accent3 10 4 3" xfId="30327"/>
    <cellStyle name="40% - Accent3 10 4 3 2" xfId="30328"/>
    <cellStyle name="40% - Accent3 10 4 3 2 2" xfId="30329"/>
    <cellStyle name="40% - Accent3 10 4 3 3" xfId="30330"/>
    <cellStyle name="40% - Accent3 10 4 4" xfId="30331"/>
    <cellStyle name="40% - Accent3 10 4 4 2" xfId="30332"/>
    <cellStyle name="40% - Accent3 10 4 5" xfId="30333"/>
    <cellStyle name="40% - Accent3 10 5" xfId="30334"/>
    <cellStyle name="40% - Accent3 10 5 2" xfId="30335"/>
    <cellStyle name="40% - Accent3 10 5 2 2" xfId="30336"/>
    <cellStyle name="40% - Accent3 10 5 2 2 2" xfId="30337"/>
    <cellStyle name="40% - Accent3 10 5 2 2 2 2" xfId="30338"/>
    <cellStyle name="40% - Accent3 10 5 2 2 3" xfId="30339"/>
    <cellStyle name="40% - Accent3 10 5 2 3" xfId="30340"/>
    <cellStyle name="40% - Accent3 10 5 2 3 2" xfId="30341"/>
    <cellStyle name="40% - Accent3 10 5 2 4" xfId="30342"/>
    <cellStyle name="40% - Accent3 10 5 3" xfId="30343"/>
    <cellStyle name="40% - Accent3 10 5 3 2" xfId="30344"/>
    <cellStyle name="40% - Accent3 10 5 3 2 2" xfId="30345"/>
    <cellStyle name="40% - Accent3 10 5 3 3" xfId="30346"/>
    <cellStyle name="40% - Accent3 10 5 4" xfId="30347"/>
    <cellStyle name="40% - Accent3 10 5 4 2" xfId="30348"/>
    <cellStyle name="40% - Accent3 10 5 5" xfId="30349"/>
    <cellStyle name="40% - Accent3 10 6" xfId="30350"/>
    <cellStyle name="40% - Accent3 10 6 2" xfId="30351"/>
    <cellStyle name="40% - Accent3 10 6 2 2" xfId="30352"/>
    <cellStyle name="40% - Accent3 10 6 2 2 2" xfId="30353"/>
    <cellStyle name="40% - Accent3 10 6 2 2 2 2" xfId="30354"/>
    <cellStyle name="40% - Accent3 10 6 2 2 3" xfId="30355"/>
    <cellStyle name="40% - Accent3 10 6 2 3" xfId="30356"/>
    <cellStyle name="40% - Accent3 10 6 2 3 2" xfId="30357"/>
    <cellStyle name="40% - Accent3 10 6 2 4" xfId="30358"/>
    <cellStyle name="40% - Accent3 10 6 3" xfId="30359"/>
    <cellStyle name="40% - Accent3 10 6 3 2" xfId="30360"/>
    <cellStyle name="40% - Accent3 10 6 3 2 2" xfId="30361"/>
    <cellStyle name="40% - Accent3 10 6 3 3" xfId="30362"/>
    <cellStyle name="40% - Accent3 10 6 4" xfId="30363"/>
    <cellStyle name="40% - Accent3 10 6 4 2" xfId="30364"/>
    <cellStyle name="40% - Accent3 10 6 5" xfId="30365"/>
    <cellStyle name="40% - Accent3 10 7" xfId="30366"/>
    <cellStyle name="40% - Accent3 10 7 2" xfId="30367"/>
    <cellStyle name="40% - Accent3 10 7 2 2" xfId="30368"/>
    <cellStyle name="40% - Accent3 10 7 2 2 2" xfId="30369"/>
    <cellStyle name="40% - Accent3 10 7 2 2 2 2" xfId="30370"/>
    <cellStyle name="40% - Accent3 10 7 2 2 3" xfId="30371"/>
    <cellStyle name="40% - Accent3 10 7 2 3" xfId="30372"/>
    <cellStyle name="40% - Accent3 10 7 2 3 2" xfId="30373"/>
    <cellStyle name="40% - Accent3 10 7 2 4" xfId="30374"/>
    <cellStyle name="40% - Accent3 10 7 3" xfId="30375"/>
    <cellStyle name="40% - Accent3 10 7 3 2" xfId="30376"/>
    <cellStyle name="40% - Accent3 10 7 3 2 2" xfId="30377"/>
    <cellStyle name="40% - Accent3 10 7 3 3" xfId="30378"/>
    <cellStyle name="40% - Accent3 10 7 4" xfId="30379"/>
    <cellStyle name="40% - Accent3 10 7 4 2" xfId="30380"/>
    <cellStyle name="40% - Accent3 10 7 5" xfId="30381"/>
    <cellStyle name="40% - Accent3 10 8" xfId="30382"/>
    <cellStyle name="40% - Accent3 10 8 2" xfId="30383"/>
    <cellStyle name="40% - Accent3 10 8 2 2" xfId="30384"/>
    <cellStyle name="40% - Accent3 10 8 2 2 2" xfId="30385"/>
    <cellStyle name="40% - Accent3 10 8 2 3" xfId="30386"/>
    <cellStyle name="40% - Accent3 10 8 3" xfId="30387"/>
    <cellStyle name="40% - Accent3 10 8 3 2" xfId="30388"/>
    <cellStyle name="40% - Accent3 10 8 4" xfId="30389"/>
    <cellStyle name="40% - Accent3 10 9" xfId="30390"/>
    <cellStyle name="40% - Accent3 10 9 2" xfId="30391"/>
    <cellStyle name="40% - Accent3 10 9 2 2" xfId="30392"/>
    <cellStyle name="40% - Accent3 10 9 3" xfId="30393"/>
    <cellStyle name="40% - Accent3 11" xfId="30394"/>
    <cellStyle name="40% - Accent3 11 10" xfId="30395"/>
    <cellStyle name="40% - Accent3 11 10 2" xfId="30396"/>
    <cellStyle name="40% - Accent3 11 11" xfId="30397"/>
    <cellStyle name="40% - Accent3 11 2" xfId="30398"/>
    <cellStyle name="40% - Accent3 11 2 10" xfId="30399"/>
    <cellStyle name="40% - Accent3 11 2 2" xfId="30400"/>
    <cellStyle name="40% - Accent3 11 2 2 2" xfId="30401"/>
    <cellStyle name="40% - Accent3 11 2 2 2 2" xfId="30402"/>
    <cellStyle name="40% - Accent3 11 2 2 2 2 2" xfId="30403"/>
    <cellStyle name="40% - Accent3 11 2 2 2 2 2 2" xfId="30404"/>
    <cellStyle name="40% - Accent3 11 2 2 2 2 3" xfId="30405"/>
    <cellStyle name="40% - Accent3 11 2 2 2 3" xfId="30406"/>
    <cellStyle name="40% - Accent3 11 2 2 2 3 2" xfId="30407"/>
    <cellStyle name="40% - Accent3 11 2 2 2 4" xfId="30408"/>
    <cellStyle name="40% - Accent3 11 2 2 3" xfId="30409"/>
    <cellStyle name="40% - Accent3 11 2 2 3 2" xfId="30410"/>
    <cellStyle name="40% - Accent3 11 2 2 3 2 2" xfId="30411"/>
    <cellStyle name="40% - Accent3 11 2 2 3 3" xfId="30412"/>
    <cellStyle name="40% - Accent3 11 2 2 4" xfId="30413"/>
    <cellStyle name="40% - Accent3 11 2 2 4 2" xfId="30414"/>
    <cellStyle name="40% - Accent3 11 2 2 5" xfId="30415"/>
    <cellStyle name="40% - Accent3 11 2 3" xfId="30416"/>
    <cellStyle name="40% - Accent3 11 2 3 2" xfId="30417"/>
    <cellStyle name="40% - Accent3 11 2 3 2 2" xfId="30418"/>
    <cellStyle name="40% - Accent3 11 2 3 2 2 2" xfId="30419"/>
    <cellStyle name="40% - Accent3 11 2 3 2 2 2 2" xfId="30420"/>
    <cellStyle name="40% - Accent3 11 2 3 2 2 3" xfId="30421"/>
    <cellStyle name="40% - Accent3 11 2 3 2 3" xfId="30422"/>
    <cellStyle name="40% - Accent3 11 2 3 2 3 2" xfId="30423"/>
    <cellStyle name="40% - Accent3 11 2 3 2 4" xfId="30424"/>
    <cellStyle name="40% - Accent3 11 2 3 3" xfId="30425"/>
    <cellStyle name="40% - Accent3 11 2 3 3 2" xfId="30426"/>
    <cellStyle name="40% - Accent3 11 2 3 3 2 2" xfId="30427"/>
    <cellStyle name="40% - Accent3 11 2 3 3 3" xfId="30428"/>
    <cellStyle name="40% - Accent3 11 2 3 4" xfId="30429"/>
    <cellStyle name="40% - Accent3 11 2 3 4 2" xfId="30430"/>
    <cellStyle name="40% - Accent3 11 2 3 5" xfId="30431"/>
    <cellStyle name="40% - Accent3 11 2 4" xfId="30432"/>
    <cellStyle name="40% - Accent3 11 2 4 2" xfId="30433"/>
    <cellStyle name="40% - Accent3 11 2 4 2 2" xfId="30434"/>
    <cellStyle name="40% - Accent3 11 2 4 2 2 2" xfId="30435"/>
    <cellStyle name="40% - Accent3 11 2 4 2 2 2 2" xfId="30436"/>
    <cellStyle name="40% - Accent3 11 2 4 2 2 3" xfId="30437"/>
    <cellStyle name="40% - Accent3 11 2 4 2 3" xfId="30438"/>
    <cellStyle name="40% - Accent3 11 2 4 2 3 2" xfId="30439"/>
    <cellStyle name="40% - Accent3 11 2 4 2 4" xfId="30440"/>
    <cellStyle name="40% - Accent3 11 2 4 3" xfId="30441"/>
    <cellStyle name="40% - Accent3 11 2 4 3 2" xfId="30442"/>
    <cellStyle name="40% - Accent3 11 2 4 3 2 2" xfId="30443"/>
    <cellStyle name="40% - Accent3 11 2 4 3 3" xfId="30444"/>
    <cellStyle name="40% - Accent3 11 2 4 4" xfId="30445"/>
    <cellStyle name="40% - Accent3 11 2 4 4 2" xfId="30446"/>
    <cellStyle name="40% - Accent3 11 2 4 5" xfId="30447"/>
    <cellStyle name="40% - Accent3 11 2 5" xfId="30448"/>
    <cellStyle name="40% - Accent3 11 2 5 2" xfId="30449"/>
    <cellStyle name="40% - Accent3 11 2 5 2 2" xfId="30450"/>
    <cellStyle name="40% - Accent3 11 2 5 2 2 2" xfId="30451"/>
    <cellStyle name="40% - Accent3 11 2 5 2 2 2 2" xfId="30452"/>
    <cellStyle name="40% - Accent3 11 2 5 2 2 3" xfId="30453"/>
    <cellStyle name="40% - Accent3 11 2 5 2 3" xfId="30454"/>
    <cellStyle name="40% - Accent3 11 2 5 2 3 2" xfId="30455"/>
    <cellStyle name="40% - Accent3 11 2 5 2 4" xfId="30456"/>
    <cellStyle name="40% - Accent3 11 2 5 3" xfId="30457"/>
    <cellStyle name="40% - Accent3 11 2 5 3 2" xfId="30458"/>
    <cellStyle name="40% - Accent3 11 2 5 3 2 2" xfId="30459"/>
    <cellStyle name="40% - Accent3 11 2 5 3 3" xfId="30460"/>
    <cellStyle name="40% - Accent3 11 2 5 4" xfId="30461"/>
    <cellStyle name="40% - Accent3 11 2 5 4 2" xfId="30462"/>
    <cellStyle name="40% - Accent3 11 2 5 5" xfId="30463"/>
    <cellStyle name="40% - Accent3 11 2 6" xfId="30464"/>
    <cellStyle name="40% - Accent3 11 2 6 2" xfId="30465"/>
    <cellStyle name="40% - Accent3 11 2 6 2 2" xfId="30466"/>
    <cellStyle name="40% - Accent3 11 2 6 2 2 2" xfId="30467"/>
    <cellStyle name="40% - Accent3 11 2 6 2 2 2 2" xfId="30468"/>
    <cellStyle name="40% - Accent3 11 2 6 2 2 3" xfId="30469"/>
    <cellStyle name="40% - Accent3 11 2 6 2 3" xfId="30470"/>
    <cellStyle name="40% - Accent3 11 2 6 2 3 2" xfId="30471"/>
    <cellStyle name="40% - Accent3 11 2 6 2 4" xfId="30472"/>
    <cellStyle name="40% - Accent3 11 2 6 3" xfId="30473"/>
    <cellStyle name="40% - Accent3 11 2 6 3 2" xfId="30474"/>
    <cellStyle name="40% - Accent3 11 2 6 3 2 2" xfId="30475"/>
    <cellStyle name="40% - Accent3 11 2 6 3 3" xfId="30476"/>
    <cellStyle name="40% - Accent3 11 2 6 4" xfId="30477"/>
    <cellStyle name="40% - Accent3 11 2 6 4 2" xfId="30478"/>
    <cellStyle name="40% - Accent3 11 2 6 5" xfId="30479"/>
    <cellStyle name="40% - Accent3 11 2 7" xfId="30480"/>
    <cellStyle name="40% - Accent3 11 2 7 2" xfId="30481"/>
    <cellStyle name="40% - Accent3 11 2 7 2 2" xfId="30482"/>
    <cellStyle name="40% - Accent3 11 2 7 2 2 2" xfId="30483"/>
    <cellStyle name="40% - Accent3 11 2 7 2 3" xfId="30484"/>
    <cellStyle name="40% - Accent3 11 2 7 3" xfId="30485"/>
    <cellStyle name="40% - Accent3 11 2 7 3 2" xfId="30486"/>
    <cellStyle name="40% - Accent3 11 2 7 4" xfId="30487"/>
    <cellStyle name="40% - Accent3 11 2 8" xfId="30488"/>
    <cellStyle name="40% - Accent3 11 2 8 2" xfId="30489"/>
    <cellStyle name="40% - Accent3 11 2 8 2 2" xfId="30490"/>
    <cellStyle name="40% - Accent3 11 2 8 3" xfId="30491"/>
    <cellStyle name="40% - Accent3 11 2 9" xfId="30492"/>
    <cellStyle name="40% - Accent3 11 2 9 2" xfId="30493"/>
    <cellStyle name="40% - Accent3 11 3" xfId="30494"/>
    <cellStyle name="40% - Accent3 11 3 2" xfId="30495"/>
    <cellStyle name="40% - Accent3 11 3 2 2" xfId="30496"/>
    <cellStyle name="40% - Accent3 11 3 2 2 2" xfId="30497"/>
    <cellStyle name="40% - Accent3 11 3 2 2 2 2" xfId="30498"/>
    <cellStyle name="40% - Accent3 11 3 2 2 3" xfId="30499"/>
    <cellStyle name="40% - Accent3 11 3 2 3" xfId="30500"/>
    <cellStyle name="40% - Accent3 11 3 2 3 2" xfId="30501"/>
    <cellStyle name="40% - Accent3 11 3 2 4" xfId="30502"/>
    <cellStyle name="40% - Accent3 11 3 3" xfId="30503"/>
    <cellStyle name="40% - Accent3 11 3 3 2" xfId="30504"/>
    <cellStyle name="40% - Accent3 11 3 3 2 2" xfId="30505"/>
    <cellStyle name="40% - Accent3 11 3 3 3" xfId="30506"/>
    <cellStyle name="40% - Accent3 11 3 4" xfId="30507"/>
    <cellStyle name="40% - Accent3 11 3 4 2" xfId="30508"/>
    <cellStyle name="40% - Accent3 11 3 5" xfId="30509"/>
    <cellStyle name="40% - Accent3 11 4" xfId="30510"/>
    <cellStyle name="40% - Accent3 11 4 2" xfId="30511"/>
    <cellStyle name="40% - Accent3 11 4 2 2" xfId="30512"/>
    <cellStyle name="40% - Accent3 11 4 2 2 2" xfId="30513"/>
    <cellStyle name="40% - Accent3 11 4 2 2 2 2" xfId="30514"/>
    <cellStyle name="40% - Accent3 11 4 2 2 3" xfId="30515"/>
    <cellStyle name="40% - Accent3 11 4 2 3" xfId="30516"/>
    <cellStyle name="40% - Accent3 11 4 2 3 2" xfId="30517"/>
    <cellStyle name="40% - Accent3 11 4 2 4" xfId="30518"/>
    <cellStyle name="40% - Accent3 11 4 3" xfId="30519"/>
    <cellStyle name="40% - Accent3 11 4 3 2" xfId="30520"/>
    <cellStyle name="40% - Accent3 11 4 3 2 2" xfId="30521"/>
    <cellStyle name="40% - Accent3 11 4 3 3" xfId="30522"/>
    <cellStyle name="40% - Accent3 11 4 4" xfId="30523"/>
    <cellStyle name="40% - Accent3 11 4 4 2" xfId="30524"/>
    <cellStyle name="40% - Accent3 11 4 5" xfId="30525"/>
    <cellStyle name="40% - Accent3 11 5" xfId="30526"/>
    <cellStyle name="40% - Accent3 11 5 2" xfId="30527"/>
    <cellStyle name="40% - Accent3 11 5 2 2" xfId="30528"/>
    <cellStyle name="40% - Accent3 11 5 2 2 2" xfId="30529"/>
    <cellStyle name="40% - Accent3 11 5 2 2 2 2" xfId="30530"/>
    <cellStyle name="40% - Accent3 11 5 2 2 3" xfId="30531"/>
    <cellStyle name="40% - Accent3 11 5 2 3" xfId="30532"/>
    <cellStyle name="40% - Accent3 11 5 2 3 2" xfId="30533"/>
    <cellStyle name="40% - Accent3 11 5 2 4" xfId="30534"/>
    <cellStyle name="40% - Accent3 11 5 3" xfId="30535"/>
    <cellStyle name="40% - Accent3 11 5 3 2" xfId="30536"/>
    <cellStyle name="40% - Accent3 11 5 3 2 2" xfId="30537"/>
    <cellStyle name="40% - Accent3 11 5 3 3" xfId="30538"/>
    <cellStyle name="40% - Accent3 11 5 4" xfId="30539"/>
    <cellStyle name="40% - Accent3 11 5 4 2" xfId="30540"/>
    <cellStyle name="40% - Accent3 11 5 5" xfId="30541"/>
    <cellStyle name="40% - Accent3 11 6" xfId="30542"/>
    <cellStyle name="40% - Accent3 11 6 2" xfId="30543"/>
    <cellStyle name="40% - Accent3 11 6 2 2" xfId="30544"/>
    <cellStyle name="40% - Accent3 11 6 2 2 2" xfId="30545"/>
    <cellStyle name="40% - Accent3 11 6 2 2 2 2" xfId="30546"/>
    <cellStyle name="40% - Accent3 11 6 2 2 3" xfId="30547"/>
    <cellStyle name="40% - Accent3 11 6 2 3" xfId="30548"/>
    <cellStyle name="40% - Accent3 11 6 2 3 2" xfId="30549"/>
    <cellStyle name="40% - Accent3 11 6 2 4" xfId="30550"/>
    <cellStyle name="40% - Accent3 11 6 3" xfId="30551"/>
    <cellStyle name="40% - Accent3 11 6 3 2" xfId="30552"/>
    <cellStyle name="40% - Accent3 11 6 3 2 2" xfId="30553"/>
    <cellStyle name="40% - Accent3 11 6 3 3" xfId="30554"/>
    <cellStyle name="40% - Accent3 11 6 4" xfId="30555"/>
    <cellStyle name="40% - Accent3 11 6 4 2" xfId="30556"/>
    <cellStyle name="40% - Accent3 11 6 5" xfId="30557"/>
    <cellStyle name="40% - Accent3 11 7" xfId="30558"/>
    <cellStyle name="40% - Accent3 11 7 2" xfId="30559"/>
    <cellStyle name="40% - Accent3 11 7 2 2" xfId="30560"/>
    <cellStyle name="40% - Accent3 11 7 2 2 2" xfId="30561"/>
    <cellStyle name="40% - Accent3 11 7 2 2 2 2" xfId="30562"/>
    <cellStyle name="40% - Accent3 11 7 2 2 3" xfId="30563"/>
    <cellStyle name="40% - Accent3 11 7 2 3" xfId="30564"/>
    <cellStyle name="40% - Accent3 11 7 2 3 2" xfId="30565"/>
    <cellStyle name="40% - Accent3 11 7 2 4" xfId="30566"/>
    <cellStyle name="40% - Accent3 11 7 3" xfId="30567"/>
    <cellStyle name="40% - Accent3 11 7 3 2" xfId="30568"/>
    <cellStyle name="40% - Accent3 11 7 3 2 2" xfId="30569"/>
    <cellStyle name="40% - Accent3 11 7 3 3" xfId="30570"/>
    <cellStyle name="40% - Accent3 11 7 4" xfId="30571"/>
    <cellStyle name="40% - Accent3 11 7 4 2" xfId="30572"/>
    <cellStyle name="40% - Accent3 11 7 5" xfId="30573"/>
    <cellStyle name="40% - Accent3 11 8" xfId="30574"/>
    <cellStyle name="40% - Accent3 11 8 2" xfId="30575"/>
    <cellStyle name="40% - Accent3 11 8 2 2" xfId="30576"/>
    <cellStyle name="40% - Accent3 11 8 2 2 2" xfId="30577"/>
    <cellStyle name="40% - Accent3 11 8 2 3" xfId="30578"/>
    <cellStyle name="40% - Accent3 11 8 3" xfId="30579"/>
    <cellStyle name="40% - Accent3 11 8 3 2" xfId="30580"/>
    <cellStyle name="40% - Accent3 11 8 4" xfId="30581"/>
    <cellStyle name="40% - Accent3 11 9" xfId="30582"/>
    <cellStyle name="40% - Accent3 11 9 2" xfId="30583"/>
    <cellStyle name="40% - Accent3 11 9 2 2" xfId="30584"/>
    <cellStyle name="40% - Accent3 11 9 3" xfId="30585"/>
    <cellStyle name="40% - Accent3 12" xfId="30586"/>
    <cellStyle name="40% - Accent3 12 10" xfId="30587"/>
    <cellStyle name="40% - Accent3 12 2" xfId="30588"/>
    <cellStyle name="40% - Accent3 12 2 2" xfId="30589"/>
    <cellStyle name="40% - Accent3 12 2 2 2" xfId="30590"/>
    <cellStyle name="40% - Accent3 12 2 2 2 2" xfId="30591"/>
    <cellStyle name="40% - Accent3 12 2 2 2 2 2" xfId="30592"/>
    <cellStyle name="40% - Accent3 12 2 2 2 3" xfId="30593"/>
    <cellStyle name="40% - Accent3 12 2 2 3" xfId="30594"/>
    <cellStyle name="40% - Accent3 12 2 2 3 2" xfId="30595"/>
    <cellStyle name="40% - Accent3 12 2 2 4" xfId="30596"/>
    <cellStyle name="40% - Accent3 12 2 3" xfId="30597"/>
    <cellStyle name="40% - Accent3 12 2 3 2" xfId="30598"/>
    <cellStyle name="40% - Accent3 12 2 3 2 2" xfId="30599"/>
    <cellStyle name="40% - Accent3 12 2 3 3" xfId="30600"/>
    <cellStyle name="40% - Accent3 12 2 4" xfId="30601"/>
    <cellStyle name="40% - Accent3 12 2 4 2" xfId="30602"/>
    <cellStyle name="40% - Accent3 12 2 5" xfId="30603"/>
    <cellStyle name="40% - Accent3 12 3" xfId="30604"/>
    <cellStyle name="40% - Accent3 12 3 2" xfId="30605"/>
    <cellStyle name="40% - Accent3 12 3 2 2" xfId="30606"/>
    <cellStyle name="40% - Accent3 12 3 2 2 2" xfId="30607"/>
    <cellStyle name="40% - Accent3 12 3 2 2 2 2" xfId="30608"/>
    <cellStyle name="40% - Accent3 12 3 2 2 3" xfId="30609"/>
    <cellStyle name="40% - Accent3 12 3 2 3" xfId="30610"/>
    <cellStyle name="40% - Accent3 12 3 2 3 2" xfId="30611"/>
    <cellStyle name="40% - Accent3 12 3 2 4" xfId="30612"/>
    <cellStyle name="40% - Accent3 12 3 3" xfId="30613"/>
    <cellStyle name="40% - Accent3 12 3 3 2" xfId="30614"/>
    <cellStyle name="40% - Accent3 12 3 3 2 2" xfId="30615"/>
    <cellStyle name="40% - Accent3 12 3 3 3" xfId="30616"/>
    <cellStyle name="40% - Accent3 12 3 4" xfId="30617"/>
    <cellStyle name="40% - Accent3 12 3 4 2" xfId="30618"/>
    <cellStyle name="40% - Accent3 12 3 5" xfId="30619"/>
    <cellStyle name="40% - Accent3 12 4" xfId="30620"/>
    <cellStyle name="40% - Accent3 12 4 2" xfId="30621"/>
    <cellStyle name="40% - Accent3 12 4 2 2" xfId="30622"/>
    <cellStyle name="40% - Accent3 12 4 2 2 2" xfId="30623"/>
    <cellStyle name="40% - Accent3 12 4 2 2 2 2" xfId="30624"/>
    <cellStyle name="40% - Accent3 12 4 2 2 3" xfId="30625"/>
    <cellStyle name="40% - Accent3 12 4 2 3" xfId="30626"/>
    <cellStyle name="40% - Accent3 12 4 2 3 2" xfId="30627"/>
    <cellStyle name="40% - Accent3 12 4 2 4" xfId="30628"/>
    <cellStyle name="40% - Accent3 12 4 3" xfId="30629"/>
    <cellStyle name="40% - Accent3 12 4 3 2" xfId="30630"/>
    <cellStyle name="40% - Accent3 12 4 3 2 2" xfId="30631"/>
    <cellStyle name="40% - Accent3 12 4 3 3" xfId="30632"/>
    <cellStyle name="40% - Accent3 12 4 4" xfId="30633"/>
    <cellStyle name="40% - Accent3 12 4 4 2" xfId="30634"/>
    <cellStyle name="40% - Accent3 12 4 5" xfId="30635"/>
    <cellStyle name="40% - Accent3 12 5" xfId="30636"/>
    <cellStyle name="40% - Accent3 12 5 2" xfId="30637"/>
    <cellStyle name="40% - Accent3 12 5 2 2" xfId="30638"/>
    <cellStyle name="40% - Accent3 12 5 2 2 2" xfId="30639"/>
    <cellStyle name="40% - Accent3 12 5 2 2 2 2" xfId="30640"/>
    <cellStyle name="40% - Accent3 12 5 2 2 3" xfId="30641"/>
    <cellStyle name="40% - Accent3 12 5 2 3" xfId="30642"/>
    <cellStyle name="40% - Accent3 12 5 2 3 2" xfId="30643"/>
    <cellStyle name="40% - Accent3 12 5 2 4" xfId="30644"/>
    <cellStyle name="40% - Accent3 12 5 3" xfId="30645"/>
    <cellStyle name="40% - Accent3 12 5 3 2" xfId="30646"/>
    <cellStyle name="40% - Accent3 12 5 3 2 2" xfId="30647"/>
    <cellStyle name="40% - Accent3 12 5 3 3" xfId="30648"/>
    <cellStyle name="40% - Accent3 12 5 4" xfId="30649"/>
    <cellStyle name="40% - Accent3 12 5 4 2" xfId="30650"/>
    <cellStyle name="40% - Accent3 12 5 5" xfId="30651"/>
    <cellStyle name="40% - Accent3 12 6" xfId="30652"/>
    <cellStyle name="40% - Accent3 12 6 2" xfId="30653"/>
    <cellStyle name="40% - Accent3 12 6 2 2" xfId="30654"/>
    <cellStyle name="40% - Accent3 12 6 2 2 2" xfId="30655"/>
    <cellStyle name="40% - Accent3 12 6 2 2 2 2" xfId="30656"/>
    <cellStyle name="40% - Accent3 12 6 2 2 3" xfId="30657"/>
    <cellStyle name="40% - Accent3 12 6 2 3" xfId="30658"/>
    <cellStyle name="40% - Accent3 12 6 2 3 2" xfId="30659"/>
    <cellStyle name="40% - Accent3 12 6 2 4" xfId="30660"/>
    <cellStyle name="40% - Accent3 12 6 3" xfId="30661"/>
    <cellStyle name="40% - Accent3 12 6 3 2" xfId="30662"/>
    <cellStyle name="40% - Accent3 12 6 3 2 2" xfId="30663"/>
    <cellStyle name="40% - Accent3 12 6 3 3" xfId="30664"/>
    <cellStyle name="40% - Accent3 12 6 4" xfId="30665"/>
    <cellStyle name="40% - Accent3 12 6 4 2" xfId="30666"/>
    <cellStyle name="40% - Accent3 12 6 5" xfId="30667"/>
    <cellStyle name="40% - Accent3 12 7" xfId="30668"/>
    <cellStyle name="40% - Accent3 12 7 2" xfId="30669"/>
    <cellStyle name="40% - Accent3 12 7 2 2" xfId="30670"/>
    <cellStyle name="40% - Accent3 12 7 2 2 2" xfId="30671"/>
    <cellStyle name="40% - Accent3 12 7 2 3" xfId="30672"/>
    <cellStyle name="40% - Accent3 12 7 3" xfId="30673"/>
    <cellStyle name="40% - Accent3 12 7 3 2" xfId="30674"/>
    <cellStyle name="40% - Accent3 12 7 4" xfId="30675"/>
    <cellStyle name="40% - Accent3 12 8" xfId="30676"/>
    <cellStyle name="40% - Accent3 12 8 2" xfId="30677"/>
    <cellStyle name="40% - Accent3 12 8 2 2" xfId="30678"/>
    <cellStyle name="40% - Accent3 12 8 3" xfId="30679"/>
    <cellStyle name="40% - Accent3 12 9" xfId="30680"/>
    <cellStyle name="40% - Accent3 12 9 2" xfId="30681"/>
    <cellStyle name="40% - Accent3 13" xfId="30682"/>
    <cellStyle name="40% - Accent3 13 10" xfId="30683"/>
    <cellStyle name="40% - Accent3 13 2" xfId="30684"/>
    <cellStyle name="40% - Accent3 13 2 2" xfId="30685"/>
    <cellStyle name="40% - Accent3 13 2 2 2" xfId="30686"/>
    <cellStyle name="40% - Accent3 13 2 2 2 2" xfId="30687"/>
    <cellStyle name="40% - Accent3 13 2 2 2 2 2" xfId="30688"/>
    <cellStyle name="40% - Accent3 13 2 2 2 3" xfId="30689"/>
    <cellStyle name="40% - Accent3 13 2 2 3" xfId="30690"/>
    <cellStyle name="40% - Accent3 13 2 2 3 2" xfId="30691"/>
    <cellStyle name="40% - Accent3 13 2 2 4" xfId="30692"/>
    <cellStyle name="40% - Accent3 13 2 3" xfId="30693"/>
    <cellStyle name="40% - Accent3 13 2 3 2" xfId="30694"/>
    <cellStyle name="40% - Accent3 13 2 3 2 2" xfId="30695"/>
    <cellStyle name="40% - Accent3 13 2 3 3" xfId="30696"/>
    <cellStyle name="40% - Accent3 13 2 4" xfId="30697"/>
    <cellStyle name="40% - Accent3 13 2 4 2" xfId="30698"/>
    <cellStyle name="40% - Accent3 13 2 5" xfId="30699"/>
    <cellStyle name="40% - Accent3 13 3" xfId="30700"/>
    <cellStyle name="40% - Accent3 13 3 2" xfId="30701"/>
    <cellStyle name="40% - Accent3 13 3 2 2" xfId="30702"/>
    <cellStyle name="40% - Accent3 13 3 2 2 2" xfId="30703"/>
    <cellStyle name="40% - Accent3 13 3 2 2 2 2" xfId="30704"/>
    <cellStyle name="40% - Accent3 13 3 2 2 3" xfId="30705"/>
    <cellStyle name="40% - Accent3 13 3 2 3" xfId="30706"/>
    <cellStyle name="40% - Accent3 13 3 2 3 2" xfId="30707"/>
    <cellStyle name="40% - Accent3 13 3 2 4" xfId="30708"/>
    <cellStyle name="40% - Accent3 13 3 3" xfId="30709"/>
    <cellStyle name="40% - Accent3 13 3 3 2" xfId="30710"/>
    <cellStyle name="40% - Accent3 13 3 3 2 2" xfId="30711"/>
    <cellStyle name="40% - Accent3 13 3 3 3" xfId="30712"/>
    <cellStyle name="40% - Accent3 13 3 4" xfId="30713"/>
    <cellStyle name="40% - Accent3 13 3 4 2" xfId="30714"/>
    <cellStyle name="40% - Accent3 13 3 5" xfId="30715"/>
    <cellStyle name="40% - Accent3 13 4" xfId="30716"/>
    <cellStyle name="40% - Accent3 13 4 2" xfId="30717"/>
    <cellStyle name="40% - Accent3 13 4 2 2" xfId="30718"/>
    <cellStyle name="40% - Accent3 13 4 2 2 2" xfId="30719"/>
    <cellStyle name="40% - Accent3 13 4 2 2 2 2" xfId="30720"/>
    <cellStyle name="40% - Accent3 13 4 2 2 3" xfId="30721"/>
    <cellStyle name="40% - Accent3 13 4 2 3" xfId="30722"/>
    <cellStyle name="40% - Accent3 13 4 2 3 2" xfId="30723"/>
    <cellStyle name="40% - Accent3 13 4 2 4" xfId="30724"/>
    <cellStyle name="40% - Accent3 13 4 3" xfId="30725"/>
    <cellStyle name="40% - Accent3 13 4 3 2" xfId="30726"/>
    <cellStyle name="40% - Accent3 13 4 3 2 2" xfId="30727"/>
    <cellStyle name="40% - Accent3 13 4 3 3" xfId="30728"/>
    <cellStyle name="40% - Accent3 13 4 4" xfId="30729"/>
    <cellStyle name="40% - Accent3 13 4 4 2" xfId="30730"/>
    <cellStyle name="40% - Accent3 13 4 5" xfId="30731"/>
    <cellStyle name="40% - Accent3 13 5" xfId="30732"/>
    <cellStyle name="40% - Accent3 13 5 2" xfId="30733"/>
    <cellStyle name="40% - Accent3 13 5 2 2" xfId="30734"/>
    <cellStyle name="40% - Accent3 13 5 2 2 2" xfId="30735"/>
    <cellStyle name="40% - Accent3 13 5 2 2 2 2" xfId="30736"/>
    <cellStyle name="40% - Accent3 13 5 2 2 3" xfId="30737"/>
    <cellStyle name="40% - Accent3 13 5 2 3" xfId="30738"/>
    <cellStyle name="40% - Accent3 13 5 2 3 2" xfId="30739"/>
    <cellStyle name="40% - Accent3 13 5 2 4" xfId="30740"/>
    <cellStyle name="40% - Accent3 13 5 3" xfId="30741"/>
    <cellStyle name="40% - Accent3 13 5 3 2" xfId="30742"/>
    <cellStyle name="40% - Accent3 13 5 3 2 2" xfId="30743"/>
    <cellStyle name="40% - Accent3 13 5 3 3" xfId="30744"/>
    <cellStyle name="40% - Accent3 13 5 4" xfId="30745"/>
    <cellStyle name="40% - Accent3 13 5 4 2" xfId="30746"/>
    <cellStyle name="40% - Accent3 13 5 5" xfId="30747"/>
    <cellStyle name="40% - Accent3 13 6" xfId="30748"/>
    <cellStyle name="40% - Accent3 13 6 2" xfId="30749"/>
    <cellStyle name="40% - Accent3 13 6 2 2" xfId="30750"/>
    <cellStyle name="40% - Accent3 13 6 2 2 2" xfId="30751"/>
    <cellStyle name="40% - Accent3 13 6 2 2 2 2" xfId="30752"/>
    <cellStyle name="40% - Accent3 13 6 2 2 3" xfId="30753"/>
    <cellStyle name="40% - Accent3 13 6 2 3" xfId="30754"/>
    <cellStyle name="40% - Accent3 13 6 2 3 2" xfId="30755"/>
    <cellStyle name="40% - Accent3 13 6 2 4" xfId="30756"/>
    <cellStyle name="40% - Accent3 13 6 3" xfId="30757"/>
    <cellStyle name="40% - Accent3 13 6 3 2" xfId="30758"/>
    <cellStyle name="40% - Accent3 13 6 3 2 2" xfId="30759"/>
    <cellStyle name="40% - Accent3 13 6 3 3" xfId="30760"/>
    <cellStyle name="40% - Accent3 13 6 4" xfId="30761"/>
    <cellStyle name="40% - Accent3 13 6 4 2" xfId="30762"/>
    <cellStyle name="40% - Accent3 13 6 5" xfId="30763"/>
    <cellStyle name="40% - Accent3 13 7" xfId="30764"/>
    <cellStyle name="40% - Accent3 13 7 2" xfId="30765"/>
    <cellStyle name="40% - Accent3 13 7 2 2" xfId="30766"/>
    <cellStyle name="40% - Accent3 13 7 2 2 2" xfId="30767"/>
    <cellStyle name="40% - Accent3 13 7 2 3" xfId="30768"/>
    <cellStyle name="40% - Accent3 13 7 3" xfId="30769"/>
    <cellStyle name="40% - Accent3 13 7 3 2" xfId="30770"/>
    <cellStyle name="40% - Accent3 13 7 4" xfId="30771"/>
    <cellStyle name="40% - Accent3 13 8" xfId="30772"/>
    <cellStyle name="40% - Accent3 13 8 2" xfId="30773"/>
    <cellStyle name="40% - Accent3 13 8 2 2" xfId="30774"/>
    <cellStyle name="40% - Accent3 13 8 3" xfId="30775"/>
    <cellStyle name="40% - Accent3 13 9" xfId="30776"/>
    <cellStyle name="40% - Accent3 13 9 2" xfId="30777"/>
    <cellStyle name="40% - Accent3 14" xfId="30778"/>
    <cellStyle name="40% - Accent3 14 2" xfId="30779"/>
    <cellStyle name="40% - Accent3 14 2 2" xfId="30780"/>
    <cellStyle name="40% - Accent3 14 2 2 2" xfId="30781"/>
    <cellStyle name="40% - Accent3 14 2 2 2 2" xfId="30782"/>
    <cellStyle name="40% - Accent3 14 2 2 3" xfId="30783"/>
    <cellStyle name="40% - Accent3 14 2 3" xfId="30784"/>
    <cellStyle name="40% - Accent3 14 2 3 2" xfId="30785"/>
    <cellStyle name="40% - Accent3 14 2 4" xfId="30786"/>
    <cellStyle name="40% - Accent3 14 3" xfId="30787"/>
    <cellStyle name="40% - Accent3 14 3 2" xfId="30788"/>
    <cellStyle name="40% - Accent3 14 3 2 2" xfId="30789"/>
    <cellStyle name="40% - Accent3 14 3 3" xfId="30790"/>
    <cellStyle name="40% - Accent3 14 4" xfId="30791"/>
    <cellStyle name="40% - Accent3 14 4 2" xfId="30792"/>
    <cellStyle name="40% - Accent3 14 5" xfId="30793"/>
    <cellStyle name="40% - Accent3 15" xfId="30794"/>
    <cellStyle name="40% - Accent3 15 2" xfId="30795"/>
    <cellStyle name="40% - Accent3 15 2 2" xfId="30796"/>
    <cellStyle name="40% - Accent3 15 2 2 2" xfId="30797"/>
    <cellStyle name="40% - Accent3 15 2 2 2 2" xfId="30798"/>
    <cellStyle name="40% - Accent3 15 2 2 3" xfId="30799"/>
    <cellStyle name="40% - Accent3 15 2 3" xfId="30800"/>
    <cellStyle name="40% - Accent3 15 2 3 2" xfId="30801"/>
    <cellStyle name="40% - Accent3 15 2 4" xfId="30802"/>
    <cellStyle name="40% - Accent3 15 3" xfId="30803"/>
    <cellStyle name="40% - Accent3 15 3 2" xfId="30804"/>
    <cellStyle name="40% - Accent3 15 3 2 2" xfId="30805"/>
    <cellStyle name="40% - Accent3 15 3 3" xfId="30806"/>
    <cellStyle name="40% - Accent3 15 4" xfId="30807"/>
    <cellStyle name="40% - Accent3 15 4 2" xfId="30808"/>
    <cellStyle name="40% - Accent3 15 5" xfId="30809"/>
    <cellStyle name="40% - Accent3 16" xfId="30810"/>
    <cellStyle name="40% - Accent3 16 2" xfId="30811"/>
    <cellStyle name="40% - Accent3 16 2 2" xfId="30812"/>
    <cellStyle name="40% - Accent3 16 2 2 2" xfId="30813"/>
    <cellStyle name="40% - Accent3 16 2 2 2 2" xfId="30814"/>
    <cellStyle name="40% - Accent3 16 2 2 3" xfId="30815"/>
    <cellStyle name="40% - Accent3 16 2 3" xfId="30816"/>
    <cellStyle name="40% - Accent3 16 2 3 2" xfId="30817"/>
    <cellStyle name="40% - Accent3 16 2 4" xfId="30818"/>
    <cellStyle name="40% - Accent3 16 3" xfId="30819"/>
    <cellStyle name="40% - Accent3 16 3 2" xfId="30820"/>
    <cellStyle name="40% - Accent3 16 3 2 2" xfId="30821"/>
    <cellStyle name="40% - Accent3 16 3 3" xfId="30822"/>
    <cellStyle name="40% - Accent3 16 4" xfId="30823"/>
    <cellStyle name="40% - Accent3 16 4 2" xfId="30824"/>
    <cellStyle name="40% - Accent3 16 5" xfId="30825"/>
    <cellStyle name="40% - Accent3 17" xfId="30826"/>
    <cellStyle name="40% - Accent3 17 2" xfId="30827"/>
    <cellStyle name="40% - Accent3 17 2 2" xfId="30828"/>
    <cellStyle name="40% - Accent3 17 2 2 2" xfId="30829"/>
    <cellStyle name="40% - Accent3 17 2 2 2 2" xfId="30830"/>
    <cellStyle name="40% - Accent3 17 2 2 3" xfId="30831"/>
    <cellStyle name="40% - Accent3 17 2 3" xfId="30832"/>
    <cellStyle name="40% - Accent3 17 2 3 2" xfId="30833"/>
    <cellStyle name="40% - Accent3 17 2 4" xfId="30834"/>
    <cellStyle name="40% - Accent3 17 3" xfId="30835"/>
    <cellStyle name="40% - Accent3 17 3 2" xfId="30836"/>
    <cellStyle name="40% - Accent3 17 3 2 2" xfId="30837"/>
    <cellStyle name="40% - Accent3 17 3 3" xfId="30838"/>
    <cellStyle name="40% - Accent3 17 4" xfId="30839"/>
    <cellStyle name="40% - Accent3 17 4 2" xfId="30840"/>
    <cellStyle name="40% - Accent3 17 5" xfId="30841"/>
    <cellStyle name="40% - Accent3 18" xfId="30842"/>
    <cellStyle name="40% - Accent3 18 2" xfId="30843"/>
    <cellStyle name="40% - Accent3 18 2 2" xfId="30844"/>
    <cellStyle name="40% - Accent3 18 2 2 2" xfId="30845"/>
    <cellStyle name="40% - Accent3 18 2 2 2 2" xfId="30846"/>
    <cellStyle name="40% - Accent3 18 2 2 3" xfId="30847"/>
    <cellStyle name="40% - Accent3 18 2 3" xfId="30848"/>
    <cellStyle name="40% - Accent3 18 2 3 2" xfId="30849"/>
    <cellStyle name="40% - Accent3 18 2 4" xfId="30850"/>
    <cellStyle name="40% - Accent3 18 3" xfId="30851"/>
    <cellStyle name="40% - Accent3 18 3 2" xfId="30852"/>
    <cellStyle name="40% - Accent3 18 3 2 2" xfId="30853"/>
    <cellStyle name="40% - Accent3 18 3 3" xfId="30854"/>
    <cellStyle name="40% - Accent3 18 4" xfId="30855"/>
    <cellStyle name="40% - Accent3 18 4 2" xfId="30856"/>
    <cellStyle name="40% - Accent3 18 5" xfId="30857"/>
    <cellStyle name="40% - Accent3 19" xfId="30858"/>
    <cellStyle name="40% - Accent3 19 2" xfId="30859"/>
    <cellStyle name="40% - Accent3 19 2 2" xfId="30860"/>
    <cellStyle name="40% - Accent3 19 2 2 2" xfId="30861"/>
    <cellStyle name="40% - Accent3 19 2 2 2 2" xfId="30862"/>
    <cellStyle name="40% - Accent3 19 2 2 3" xfId="30863"/>
    <cellStyle name="40% - Accent3 19 2 3" xfId="30864"/>
    <cellStyle name="40% - Accent3 19 2 3 2" xfId="30865"/>
    <cellStyle name="40% - Accent3 19 2 4" xfId="30866"/>
    <cellStyle name="40% - Accent3 19 3" xfId="30867"/>
    <cellStyle name="40% - Accent3 19 3 2" xfId="30868"/>
    <cellStyle name="40% - Accent3 19 3 2 2" xfId="30869"/>
    <cellStyle name="40% - Accent3 19 3 3" xfId="30870"/>
    <cellStyle name="40% - Accent3 19 4" xfId="30871"/>
    <cellStyle name="40% - Accent3 19 4 2" xfId="30872"/>
    <cellStyle name="40% - Accent3 19 5" xfId="30873"/>
    <cellStyle name="40% - Accent3 2" xfId="30874"/>
    <cellStyle name="40% - Accent3 2 10" xfId="30875"/>
    <cellStyle name="40% - Accent3 2 10 10" xfId="30876"/>
    <cellStyle name="40% - Accent3 2 10 2" xfId="30877"/>
    <cellStyle name="40% - Accent3 2 10 2 2" xfId="30878"/>
    <cellStyle name="40% - Accent3 2 10 2 2 2" xfId="30879"/>
    <cellStyle name="40% - Accent3 2 10 2 2 2 2" xfId="30880"/>
    <cellStyle name="40% - Accent3 2 10 2 2 2 2 2" xfId="30881"/>
    <cellStyle name="40% - Accent3 2 10 2 2 2 3" xfId="30882"/>
    <cellStyle name="40% - Accent3 2 10 2 2 3" xfId="30883"/>
    <cellStyle name="40% - Accent3 2 10 2 2 3 2" xfId="30884"/>
    <cellStyle name="40% - Accent3 2 10 2 2 4" xfId="30885"/>
    <cellStyle name="40% - Accent3 2 10 2 3" xfId="30886"/>
    <cellStyle name="40% - Accent3 2 10 2 3 2" xfId="30887"/>
    <cellStyle name="40% - Accent3 2 10 2 3 2 2" xfId="30888"/>
    <cellStyle name="40% - Accent3 2 10 2 3 3" xfId="30889"/>
    <cellStyle name="40% - Accent3 2 10 2 4" xfId="30890"/>
    <cellStyle name="40% - Accent3 2 10 2 4 2" xfId="30891"/>
    <cellStyle name="40% - Accent3 2 10 2 5" xfId="30892"/>
    <cellStyle name="40% - Accent3 2 10 3" xfId="30893"/>
    <cellStyle name="40% - Accent3 2 10 3 2" xfId="30894"/>
    <cellStyle name="40% - Accent3 2 10 3 2 2" xfId="30895"/>
    <cellStyle name="40% - Accent3 2 10 3 2 2 2" xfId="30896"/>
    <cellStyle name="40% - Accent3 2 10 3 2 2 2 2" xfId="30897"/>
    <cellStyle name="40% - Accent3 2 10 3 2 2 3" xfId="30898"/>
    <cellStyle name="40% - Accent3 2 10 3 2 3" xfId="30899"/>
    <cellStyle name="40% - Accent3 2 10 3 2 3 2" xfId="30900"/>
    <cellStyle name="40% - Accent3 2 10 3 2 4" xfId="30901"/>
    <cellStyle name="40% - Accent3 2 10 3 3" xfId="30902"/>
    <cellStyle name="40% - Accent3 2 10 3 3 2" xfId="30903"/>
    <cellStyle name="40% - Accent3 2 10 3 3 2 2" xfId="30904"/>
    <cellStyle name="40% - Accent3 2 10 3 3 3" xfId="30905"/>
    <cellStyle name="40% - Accent3 2 10 3 4" xfId="30906"/>
    <cellStyle name="40% - Accent3 2 10 3 4 2" xfId="30907"/>
    <cellStyle name="40% - Accent3 2 10 3 5" xfId="30908"/>
    <cellStyle name="40% - Accent3 2 10 4" xfId="30909"/>
    <cellStyle name="40% - Accent3 2 10 4 2" xfId="30910"/>
    <cellStyle name="40% - Accent3 2 10 4 2 2" xfId="30911"/>
    <cellStyle name="40% - Accent3 2 10 4 2 2 2" xfId="30912"/>
    <cellStyle name="40% - Accent3 2 10 4 2 2 2 2" xfId="30913"/>
    <cellStyle name="40% - Accent3 2 10 4 2 2 3" xfId="30914"/>
    <cellStyle name="40% - Accent3 2 10 4 2 3" xfId="30915"/>
    <cellStyle name="40% - Accent3 2 10 4 2 3 2" xfId="30916"/>
    <cellStyle name="40% - Accent3 2 10 4 2 4" xfId="30917"/>
    <cellStyle name="40% - Accent3 2 10 4 3" xfId="30918"/>
    <cellStyle name="40% - Accent3 2 10 4 3 2" xfId="30919"/>
    <cellStyle name="40% - Accent3 2 10 4 3 2 2" xfId="30920"/>
    <cellStyle name="40% - Accent3 2 10 4 3 3" xfId="30921"/>
    <cellStyle name="40% - Accent3 2 10 4 4" xfId="30922"/>
    <cellStyle name="40% - Accent3 2 10 4 4 2" xfId="30923"/>
    <cellStyle name="40% - Accent3 2 10 4 5" xfId="30924"/>
    <cellStyle name="40% - Accent3 2 10 5" xfId="30925"/>
    <cellStyle name="40% - Accent3 2 10 5 2" xfId="30926"/>
    <cellStyle name="40% - Accent3 2 10 5 2 2" xfId="30927"/>
    <cellStyle name="40% - Accent3 2 10 5 2 2 2" xfId="30928"/>
    <cellStyle name="40% - Accent3 2 10 5 2 2 2 2" xfId="30929"/>
    <cellStyle name="40% - Accent3 2 10 5 2 2 3" xfId="30930"/>
    <cellStyle name="40% - Accent3 2 10 5 2 3" xfId="30931"/>
    <cellStyle name="40% - Accent3 2 10 5 2 3 2" xfId="30932"/>
    <cellStyle name="40% - Accent3 2 10 5 2 4" xfId="30933"/>
    <cellStyle name="40% - Accent3 2 10 5 3" xfId="30934"/>
    <cellStyle name="40% - Accent3 2 10 5 3 2" xfId="30935"/>
    <cellStyle name="40% - Accent3 2 10 5 3 2 2" xfId="30936"/>
    <cellStyle name="40% - Accent3 2 10 5 3 3" xfId="30937"/>
    <cellStyle name="40% - Accent3 2 10 5 4" xfId="30938"/>
    <cellStyle name="40% - Accent3 2 10 5 4 2" xfId="30939"/>
    <cellStyle name="40% - Accent3 2 10 5 5" xfId="30940"/>
    <cellStyle name="40% - Accent3 2 10 6" xfId="30941"/>
    <cellStyle name="40% - Accent3 2 10 6 2" xfId="30942"/>
    <cellStyle name="40% - Accent3 2 10 6 2 2" xfId="30943"/>
    <cellStyle name="40% - Accent3 2 10 6 2 2 2" xfId="30944"/>
    <cellStyle name="40% - Accent3 2 10 6 2 2 2 2" xfId="30945"/>
    <cellStyle name="40% - Accent3 2 10 6 2 2 3" xfId="30946"/>
    <cellStyle name="40% - Accent3 2 10 6 2 3" xfId="30947"/>
    <cellStyle name="40% - Accent3 2 10 6 2 3 2" xfId="30948"/>
    <cellStyle name="40% - Accent3 2 10 6 2 4" xfId="30949"/>
    <cellStyle name="40% - Accent3 2 10 6 3" xfId="30950"/>
    <cellStyle name="40% - Accent3 2 10 6 3 2" xfId="30951"/>
    <cellStyle name="40% - Accent3 2 10 6 3 2 2" xfId="30952"/>
    <cellStyle name="40% - Accent3 2 10 6 3 3" xfId="30953"/>
    <cellStyle name="40% - Accent3 2 10 6 4" xfId="30954"/>
    <cellStyle name="40% - Accent3 2 10 6 4 2" xfId="30955"/>
    <cellStyle name="40% - Accent3 2 10 6 5" xfId="30956"/>
    <cellStyle name="40% - Accent3 2 10 7" xfId="30957"/>
    <cellStyle name="40% - Accent3 2 10 7 2" xfId="30958"/>
    <cellStyle name="40% - Accent3 2 10 7 2 2" xfId="30959"/>
    <cellStyle name="40% - Accent3 2 10 7 2 2 2" xfId="30960"/>
    <cellStyle name="40% - Accent3 2 10 7 2 3" xfId="30961"/>
    <cellStyle name="40% - Accent3 2 10 7 3" xfId="30962"/>
    <cellStyle name="40% - Accent3 2 10 7 3 2" xfId="30963"/>
    <cellStyle name="40% - Accent3 2 10 7 4" xfId="30964"/>
    <cellStyle name="40% - Accent3 2 10 8" xfId="30965"/>
    <cellStyle name="40% - Accent3 2 10 8 2" xfId="30966"/>
    <cellStyle name="40% - Accent3 2 10 8 2 2" xfId="30967"/>
    <cellStyle name="40% - Accent3 2 10 8 3" xfId="30968"/>
    <cellStyle name="40% - Accent3 2 10 9" xfId="30969"/>
    <cellStyle name="40% - Accent3 2 10 9 2" xfId="30970"/>
    <cellStyle name="40% - Accent3 2 11" xfId="30971"/>
    <cellStyle name="40% - Accent3 2 11 2" xfId="30972"/>
    <cellStyle name="40% - Accent3 2 11 2 2" xfId="30973"/>
    <cellStyle name="40% - Accent3 2 11 2 2 2" xfId="30974"/>
    <cellStyle name="40% - Accent3 2 11 2 2 2 2" xfId="30975"/>
    <cellStyle name="40% - Accent3 2 11 2 2 3" xfId="30976"/>
    <cellStyle name="40% - Accent3 2 11 2 3" xfId="30977"/>
    <cellStyle name="40% - Accent3 2 11 2 3 2" xfId="30978"/>
    <cellStyle name="40% - Accent3 2 11 2 4" xfId="30979"/>
    <cellStyle name="40% - Accent3 2 11 3" xfId="30980"/>
    <cellStyle name="40% - Accent3 2 11 3 2" xfId="30981"/>
    <cellStyle name="40% - Accent3 2 11 3 2 2" xfId="30982"/>
    <cellStyle name="40% - Accent3 2 11 3 3" xfId="30983"/>
    <cellStyle name="40% - Accent3 2 11 4" xfId="30984"/>
    <cellStyle name="40% - Accent3 2 11 4 2" xfId="30985"/>
    <cellStyle name="40% - Accent3 2 11 5" xfId="30986"/>
    <cellStyle name="40% - Accent3 2 12" xfId="30987"/>
    <cellStyle name="40% - Accent3 2 12 2" xfId="30988"/>
    <cellStyle name="40% - Accent3 2 12 2 2" xfId="30989"/>
    <cellStyle name="40% - Accent3 2 12 2 2 2" xfId="30990"/>
    <cellStyle name="40% - Accent3 2 12 2 2 2 2" xfId="30991"/>
    <cellStyle name="40% - Accent3 2 12 2 2 3" xfId="30992"/>
    <cellStyle name="40% - Accent3 2 12 2 3" xfId="30993"/>
    <cellStyle name="40% - Accent3 2 12 2 3 2" xfId="30994"/>
    <cellStyle name="40% - Accent3 2 12 2 4" xfId="30995"/>
    <cellStyle name="40% - Accent3 2 12 3" xfId="30996"/>
    <cellStyle name="40% - Accent3 2 12 3 2" xfId="30997"/>
    <cellStyle name="40% - Accent3 2 12 3 2 2" xfId="30998"/>
    <cellStyle name="40% - Accent3 2 12 3 3" xfId="30999"/>
    <cellStyle name="40% - Accent3 2 12 4" xfId="31000"/>
    <cellStyle name="40% - Accent3 2 12 4 2" xfId="31001"/>
    <cellStyle name="40% - Accent3 2 12 5" xfId="31002"/>
    <cellStyle name="40% - Accent3 2 13" xfId="31003"/>
    <cellStyle name="40% - Accent3 2 13 2" xfId="31004"/>
    <cellStyle name="40% - Accent3 2 13 2 2" xfId="31005"/>
    <cellStyle name="40% - Accent3 2 13 2 2 2" xfId="31006"/>
    <cellStyle name="40% - Accent3 2 13 2 2 2 2" xfId="31007"/>
    <cellStyle name="40% - Accent3 2 13 2 2 3" xfId="31008"/>
    <cellStyle name="40% - Accent3 2 13 2 3" xfId="31009"/>
    <cellStyle name="40% - Accent3 2 13 2 3 2" xfId="31010"/>
    <cellStyle name="40% - Accent3 2 13 2 4" xfId="31011"/>
    <cellStyle name="40% - Accent3 2 13 3" xfId="31012"/>
    <cellStyle name="40% - Accent3 2 13 3 2" xfId="31013"/>
    <cellStyle name="40% - Accent3 2 13 3 2 2" xfId="31014"/>
    <cellStyle name="40% - Accent3 2 13 3 3" xfId="31015"/>
    <cellStyle name="40% - Accent3 2 13 4" xfId="31016"/>
    <cellStyle name="40% - Accent3 2 13 4 2" xfId="31017"/>
    <cellStyle name="40% - Accent3 2 13 5" xfId="31018"/>
    <cellStyle name="40% - Accent3 2 14" xfId="31019"/>
    <cellStyle name="40% - Accent3 2 14 2" xfId="31020"/>
    <cellStyle name="40% - Accent3 2 14 2 2" xfId="31021"/>
    <cellStyle name="40% - Accent3 2 14 2 2 2" xfId="31022"/>
    <cellStyle name="40% - Accent3 2 14 2 2 2 2" xfId="31023"/>
    <cellStyle name="40% - Accent3 2 14 2 2 3" xfId="31024"/>
    <cellStyle name="40% - Accent3 2 14 2 3" xfId="31025"/>
    <cellStyle name="40% - Accent3 2 14 2 3 2" xfId="31026"/>
    <cellStyle name="40% - Accent3 2 14 2 4" xfId="31027"/>
    <cellStyle name="40% - Accent3 2 14 3" xfId="31028"/>
    <cellStyle name="40% - Accent3 2 14 3 2" xfId="31029"/>
    <cellStyle name="40% - Accent3 2 14 3 2 2" xfId="31030"/>
    <cellStyle name="40% - Accent3 2 14 3 3" xfId="31031"/>
    <cellStyle name="40% - Accent3 2 14 4" xfId="31032"/>
    <cellStyle name="40% - Accent3 2 14 4 2" xfId="31033"/>
    <cellStyle name="40% - Accent3 2 14 5" xfId="31034"/>
    <cellStyle name="40% - Accent3 2 15" xfId="31035"/>
    <cellStyle name="40% - Accent3 2 15 2" xfId="31036"/>
    <cellStyle name="40% - Accent3 2 15 2 2" xfId="31037"/>
    <cellStyle name="40% - Accent3 2 15 2 2 2" xfId="31038"/>
    <cellStyle name="40% - Accent3 2 15 2 2 2 2" xfId="31039"/>
    <cellStyle name="40% - Accent3 2 15 2 2 3" xfId="31040"/>
    <cellStyle name="40% - Accent3 2 15 2 3" xfId="31041"/>
    <cellStyle name="40% - Accent3 2 15 2 3 2" xfId="31042"/>
    <cellStyle name="40% - Accent3 2 15 2 4" xfId="31043"/>
    <cellStyle name="40% - Accent3 2 15 3" xfId="31044"/>
    <cellStyle name="40% - Accent3 2 15 3 2" xfId="31045"/>
    <cellStyle name="40% - Accent3 2 15 3 2 2" xfId="31046"/>
    <cellStyle name="40% - Accent3 2 15 3 3" xfId="31047"/>
    <cellStyle name="40% - Accent3 2 15 4" xfId="31048"/>
    <cellStyle name="40% - Accent3 2 15 4 2" xfId="31049"/>
    <cellStyle name="40% - Accent3 2 15 5" xfId="31050"/>
    <cellStyle name="40% - Accent3 2 16" xfId="31051"/>
    <cellStyle name="40% - Accent3 2 16 2" xfId="31052"/>
    <cellStyle name="40% - Accent3 2 16 2 2" xfId="31053"/>
    <cellStyle name="40% - Accent3 2 16 2 2 2" xfId="31054"/>
    <cellStyle name="40% - Accent3 2 16 2 3" xfId="31055"/>
    <cellStyle name="40% - Accent3 2 16 3" xfId="31056"/>
    <cellStyle name="40% - Accent3 2 16 3 2" xfId="31057"/>
    <cellStyle name="40% - Accent3 2 16 4" xfId="31058"/>
    <cellStyle name="40% - Accent3 2 17" xfId="31059"/>
    <cellStyle name="40% - Accent3 2 17 2" xfId="31060"/>
    <cellStyle name="40% - Accent3 2 17 2 2" xfId="31061"/>
    <cellStyle name="40% - Accent3 2 17 3" xfId="31062"/>
    <cellStyle name="40% - Accent3 2 18" xfId="31063"/>
    <cellStyle name="40% - Accent3 2 18 2" xfId="31064"/>
    <cellStyle name="40% - Accent3 2 19" xfId="31065"/>
    <cellStyle name="40% - Accent3 2 2" xfId="31066"/>
    <cellStyle name="40% - Accent3 2 2 10" xfId="31067"/>
    <cellStyle name="40% - Accent3 2 2 10 2" xfId="31068"/>
    <cellStyle name="40% - Accent3 2 2 11" xfId="31069"/>
    <cellStyle name="40% - Accent3 2 2 2" xfId="31070"/>
    <cellStyle name="40% - Accent3 2 2 2 10" xfId="31071"/>
    <cellStyle name="40% - Accent3 2 2 2 2" xfId="31072"/>
    <cellStyle name="40% - Accent3 2 2 2 2 2" xfId="31073"/>
    <cellStyle name="40% - Accent3 2 2 2 2 2 2" xfId="31074"/>
    <cellStyle name="40% - Accent3 2 2 2 2 2 2 2" xfId="31075"/>
    <cellStyle name="40% - Accent3 2 2 2 2 2 2 2 2" xfId="31076"/>
    <cellStyle name="40% - Accent3 2 2 2 2 2 2 3" xfId="31077"/>
    <cellStyle name="40% - Accent3 2 2 2 2 2 3" xfId="31078"/>
    <cellStyle name="40% - Accent3 2 2 2 2 2 3 2" xfId="31079"/>
    <cellStyle name="40% - Accent3 2 2 2 2 2 4" xfId="31080"/>
    <cellStyle name="40% - Accent3 2 2 2 2 3" xfId="31081"/>
    <cellStyle name="40% - Accent3 2 2 2 2 3 2" xfId="31082"/>
    <cellStyle name="40% - Accent3 2 2 2 2 3 2 2" xfId="31083"/>
    <cellStyle name="40% - Accent3 2 2 2 2 3 3" xfId="31084"/>
    <cellStyle name="40% - Accent3 2 2 2 2 4" xfId="31085"/>
    <cellStyle name="40% - Accent3 2 2 2 2 4 2" xfId="31086"/>
    <cellStyle name="40% - Accent3 2 2 2 2 5" xfId="31087"/>
    <cellStyle name="40% - Accent3 2 2 2 3" xfId="31088"/>
    <cellStyle name="40% - Accent3 2 2 2 3 2" xfId="31089"/>
    <cellStyle name="40% - Accent3 2 2 2 3 2 2" xfId="31090"/>
    <cellStyle name="40% - Accent3 2 2 2 3 2 2 2" xfId="31091"/>
    <cellStyle name="40% - Accent3 2 2 2 3 2 2 2 2" xfId="31092"/>
    <cellStyle name="40% - Accent3 2 2 2 3 2 2 3" xfId="31093"/>
    <cellStyle name="40% - Accent3 2 2 2 3 2 3" xfId="31094"/>
    <cellStyle name="40% - Accent3 2 2 2 3 2 3 2" xfId="31095"/>
    <cellStyle name="40% - Accent3 2 2 2 3 2 4" xfId="31096"/>
    <cellStyle name="40% - Accent3 2 2 2 3 3" xfId="31097"/>
    <cellStyle name="40% - Accent3 2 2 2 3 3 2" xfId="31098"/>
    <cellStyle name="40% - Accent3 2 2 2 3 3 2 2" xfId="31099"/>
    <cellStyle name="40% - Accent3 2 2 2 3 3 3" xfId="31100"/>
    <cellStyle name="40% - Accent3 2 2 2 3 4" xfId="31101"/>
    <cellStyle name="40% - Accent3 2 2 2 3 4 2" xfId="31102"/>
    <cellStyle name="40% - Accent3 2 2 2 3 5" xfId="31103"/>
    <cellStyle name="40% - Accent3 2 2 2 4" xfId="31104"/>
    <cellStyle name="40% - Accent3 2 2 2 4 2" xfId="31105"/>
    <cellStyle name="40% - Accent3 2 2 2 4 2 2" xfId="31106"/>
    <cellStyle name="40% - Accent3 2 2 2 4 2 2 2" xfId="31107"/>
    <cellStyle name="40% - Accent3 2 2 2 4 2 2 2 2" xfId="31108"/>
    <cellStyle name="40% - Accent3 2 2 2 4 2 2 3" xfId="31109"/>
    <cellStyle name="40% - Accent3 2 2 2 4 2 3" xfId="31110"/>
    <cellStyle name="40% - Accent3 2 2 2 4 2 3 2" xfId="31111"/>
    <cellStyle name="40% - Accent3 2 2 2 4 2 4" xfId="31112"/>
    <cellStyle name="40% - Accent3 2 2 2 4 3" xfId="31113"/>
    <cellStyle name="40% - Accent3 2 2 2 4 3 2" xfId="31114"/>
    <cellStyle name="40% - Accent3 2 2 2 4 3 2 2" xfId="31115"/>
    <cellStyle name="40% - Accent3 2 2 2 4 3 3" xfId="31116"/>
    <cellStyle name="40% - Accent3 2 2 2 4 4" xfId="31117"/>
    <cellStyle name="40% - Accent3 2 2 2 4 4 2" xfId="31118"/>
    <cellStyle name="40% - Accent3 2 2 2 4 5" xfId="31119"/>
    <cellStyle name="40% - Accent3 2 2 2 5" xfId="31120"/>
    <cellStyle name="40% - Accent3 2 2 2 5 2" xfId="31121"/>
    <cellStyle name="40% - Accent3 2 2 2 5 2 2" xfId="31122"/>
    <cellStyle name="40% - Accent3 2 2 2 5 2 2 2" xfId="31123"/>
    <cellStyle name="40% - Accent3 2 2 2 5 2 2 2 2" xfId="31124"/>
    <cellStyle name="40% - Accent3 2 2 2 5 2 2 3" xfId="31125"/>
    <cellStyle name="40% - Accent3 2 2 2 5 2 3" xfId="31126"/>
    <cellStyle name="40% - Accent3 2 2 2 5 2 3 2" xfId="31127"/>
    <cellStyle name="40% - Accent3 2 2 2 5 2 4" xfId="31128"/>
    <cellStyle name="40% - Accent3 2 2 2 5 3" xfId="31129"/>
    <cellStyle name="40% - Accent3 2 2 2 5 3 2" xfId="31130"/>
    <cellStyle name="40% - Accent3 2 2 2 5 3 2 2" xfId="31131"/>
    <cellStyle name="40% - Accent3 2 2 2 5 3 3" xfId="31132"/>
    <cellStyle name="40% - Accent3 2 2 2 5 4" xfId="31133"/>
    <cellStyle name="40% - Accent3 2 2 2 5 4 2" xfId="31134"/>
    <cellStyle name="40% - Accent3 2 2 2 5 5" xfId="31135"/>
    <cellStyle name="40% - Accent3 2 2 2 6" xfId="31136"/>
    <cellStyle name="40% - Accent3 2 2 2 6 2" xfId="31137"/>
    <cellStyle name="40% - Accent3 2 2 2 6 2 2" xfId="31138"/>
    <cellStyle name="40% - Accent3 2 2 2 6 2 2 2" xfId="31139"/>
    <cellStyle name="40% - Accent3 2 2 2 6 2 2 2 2" xfId="31140"/>
    <cellStyle name="40% - Accent3 2 2 2 6 2 2 3" xfId="31141"/>
    <cellStyle name="40% - Accent3 2 2 2 6 2 3" xfId="31142"/>
    <cellStyle name="40% - Accent3 2 2 2 6 2 3 2" xfId="31143"/>
    <cellStyle name="40% - Accent3 2 2 2 6 2 4" xfId="31144"/>
    <cellStyle name="40% - Accent3 2 2 2 6 3" xfId="31145"/>
    <cellStyle name="40% - Accent3 2 2 2 6 3 2" xfId="31146"/>
    <cellStyle name="40% - Accent3 2 2 2 6 3 2 2" xfId="31147"/>
    <cellStyle name="40% - Accent3 2 2 2 6 3 3" xfId="31148"/>
    <cellStyle name="40% - Accent3 2 2 2 6 4" xfId="31149"/>
    <cellStyle name="40% - Accent3 2 2 2 6 4 2" xfId="31150"/>
    <cellStyle name="40% - Accent3 2 2 2 6 5" xfId="31151"/>
    <cellStyle name="40% - Accent3 2 2 2 7" xfId="31152"/>
    <cellStyle name="40% - Accent3 2 2 2 7 2" xfId="31153"/>
    <cellStyle name="40% - Accent3 2 2 2 7 2 2" xfId="31154"/>
    <cellStyle name="40% - Accent3 2 2 2 7 2 2 2" xfId="31155"/>
    <cellStyle name="40% - Accent3 2 2 2 7 2 3" xfId="31156"/>
    <cellStyle name="40% - Accent3 2 2 2 7 3" xfId="31157"/>
    <cellStyle name="40% - Accent3 2 2 2 7 3 2" xfId="31158"/>
    <cellStyle name="40% - Accent3 2 2 2 7 4" xfId="31159"/>
    <cellStyle name="40% - Accent3 2 2 2 8" xfId="31160"/>
    <cellStyle name="40% - Accent3 2 2 2 8 2" xfId="31161"/>
    <cellStyle name="40% - Accent3 2 2 2 8 2 2" xfId="31162"/>
    <cellStyle name="40% - Accent3 2 2 2 8 3" xfId="31163"/>
    <cellStyle name="40% - Accent3 2 2 2 9" xfId="31164"/>
    <cellStyle name="40% - Accent3 2 2 2 9 2" xfId="31165"/>
    <cellStyle name="40% - Accent3 2 2 3" xfId="31166"/>
    <cellStyle name="40% - Accent3 2 2 3 2" xfId="31167"/>
    <cellStyle name="40% - Accent3 2 2 3 2 2" xfId="31168"/>
    <cellStyle name="40% - Accent3 2 2 3 2 2 2" xfId="31169"/>
    <cellStyle name="40% - Accent3 2 2 3 2 2 2 2" xfId="31170"/>
    <cellStyle name="40% - Accent3 2 2 3 2 2 3" xfId="31171"/>
    <cellStyle name="40% - Accent3 2 2 3 2 3" xfId="31172"/>
    <cellStyle name="40% - Accent3 2 2 3 2 3 2" xfId="31173"/>
    <cellStyle name="40% - Accent3 2 2 3 2 4" xfId="31174"/>
    <cellStyle name="40% - Accent3 2 2 3 3" xfId="31175"/>
    <cellStyle name="40% - Accent3 2 2 3 3 2" xfId="31176"/>
    <cellStyle name="40% - Accent3 2 2 3 3 2 2" xfId="31177"/>
    <cellStyle name="40% - Accent3 2 2 3 3 3" xfId="31178"/>
    <cellStyle name="40% - Accent3 2 2 3 4" xfId="31179"/>
    <cellStyle name="40% - Accent3 2 2 3 4 2" xfId="31180"/>
    <cellStyle name="40% - Accent3 2 2 3 5" xfId="31181"/>
    <cellStyle name="40% - Accent3 2 2 4" xfId="31182"/>
    <cellStyle name="40% - Accent3 2 2 4 2" xfId="31183"/>
    <cellStyle name="40% - Accent3 2 2 4 2 2" xfId="31184"/>
    <cellStyle name="40% - Accent3 2 2 4 2 2 2" xfId="31185"/>
    <cellStyle name="40% - Accent3 2 2 4 2 2 2 2" xfId="31186"/>
    <cellStyle name="40% - Accent3 2 2 4 2 2 3" xfId="31187"/>
    <cellStyle name="40% - Accent3 2 2 4 2 3" xfId="31188"/>
    <cellStyle name="40% - Accent3 2 2 4 2 3 2" xfId="31189"/>
    <cellStyle name="40% - Accent3 2 2 4 2 4" xfId="31190"/>
    <cellStyle name="40% - Accent3 2 2 4 3" xfId="31191"/>
    <cellStyle name="40% - Accent3 2 2 4 3 2" xfId="31192"/>
    <cellStyle name="40% - Accent3 2 2 4 3 2 2" xfId="31193"/>
    <cellStyle name="40% - Accent3 2 2 4 3 3" xfId="31194"/>
    <cellStyle name="40% - Accent3 2 2 4 4" xfId="31195"/>
    <cellStyle name="40% - Accent3 2 2 4 4 2" xfId="31196"/>
    <cellStyle name="40% - Accent3 2 2 4 5" xfId="31197"/>
    <cellStyle name="40% - Accent3 2 2 5" xfId="31198"/>
    <cellStyle name="40% - Accent3 2 2 5 2" xfId="31199"/>
    <cellStyle name="40% - Accent3 2 2 5 2 2" xfId="31200"/>
    <cellStyle name="40% - Accent3 2 2 5 2 2 2" xfId="31201"/>
    <cellStyle name="40% - Accent3 2 2 5 2 2 2 2" xfId="31202"/>
    <cellStyle name="40% - Accent3 2 2 5 2 2 3" xfId="31203"/>
    <cellStyle name="40% - Accent3 2 2 5 2 3" xfId="31204"/>
    <cellStyle name="40% - Accent3 2 2 5 2 3 2" xfId="31205"/>
    <cellStyle name="40% - Accent3 2 2 5 2 4" xfId="31206"/>
    <cellStyle name="40% - Accent3 2 2 5 3" xfId="31207"/>
    <cellStyle name="40% - Accent3 2 2 5 3 2" xfId="31208"/>
    <cellStyle name="40% - Accent3 2 2 5 3 2 2" xfId="31209"/>
    <cellStyle name="40% - Accent3 2 2 5 3 3" xfId="31210"/>
    <cellStyle name="40% - Accent3 2 2 5 4" xfId="31211"/>
    <cellStyle name="40% - Accent3 2 2 5 4 2" xfId="31212"/>
    <cellStyle name="40% - Accent3 2 2 5 5" xfId="31213"/>
    <cellStyle name="40% - Accent3 2 2 6" xfId="31214"/>
    <cellStyle name="40% - Accent3 2 2 6 2" xfId="31215"/>
    <cellStyle name="40% - Accent3 2 2 6 2 2" xfId="31216"/>
    <cellStyle name="40% - Accent3 2 2 6 2 2 2" xfId="31217"/>
    <cellStyle name="40% - Accent3 2 2 6 2 2 2 2" xfId="31218"/>
    <cellStyle name="40% - Accent3 2 2 6 2 2 3" xfId="31219"/>
    <cellStyle name="40% - Accent3 2 2 6 2 3" xfId="31220"/>
    <cellStyle name="40% - Accent3 2 2 6 2 3 2" xfId="31221"/>
    <cellStyle name="40% - Accent3 2 2 6 2 4" xfId="31222"/>
    <cellStyle name="40% - Accent3 2 2 6 3" xfId="31223"/>
    <cellStyle name="40% - Accent3 2 2 6 3 2" xfId="31224"/>
    <cellStyle name="40% - Accent3 2 2 6 3 2 2" xfId="31225"/>
    <cellStyle name="40% - Accent3 2 2 6 3 3" xfId="31226"/>
    <cellStyle name="40% - Accent3 2 2 6 4" xfId="31227"/>
    <cellStyle name="40% - Accent3 2 2 6 4 2" xfId="31228"/>
    <cellStyle name="40% - Accent3 2 2 6 5" xfId="31229"/>
    <cellStyle name="40% - Accent3 2 2 7" xfId="31230"/>
    <cellStyle name="40% - Accent3 2 2 7 2" xfId="31231"/>
    <cellStyle name="40% - Accent3 2 2 7 2 2" xfId="31232"/>
    <cellStyle name="40% - Accent3 2 2 7 2 2 2" xfId="31233"/>
    <cellStyle name="40% - Accent3 2 2 7 2 2 2 2" xfId="31234"/>
    <cellStyle name="40% - Accent3 2 2 7 2 2 3" xfId="31235"/>
    <cellStyle name="40% - Accent3 2 2 7 2 3" xfId="31236"/>
    <cellStyle name="40% - Accent3 2 2 7 2 3 2" xfId="31237"/>
    <cellStyle name="40% - Accent3 2 2 7 2 4" xfId="31238"/>
    <cellStyle name="40% - Accent3 2 2 7 3" xfId="31239"/>
    <cellStyle name="40% - Accent3 2 2 7 3 2" xfId="31240"/>
    <cellStyle name="40% - Accent3 2 2 7 3 2 2" xfId="31241"/>
    <cellStyle name="40% - Accent3 2 2 7 3 3" xfId="31242"/>
    <cellStyle name="40% - Accent3 2 2 7 4" xfId="31243"/>
    <cellStyle name="40% - Accent3 2 2 7 4 2" xfId="31244"/>
    <cellStyle name="40% - Accent3 2 2 7 5" xfId="31245"/>
    <cellStyle name="40% - Accent3 2 2 8" xfId="31246"/>
    <cellStyle name="40% - Accent3 2 2 8 2" xfId="31247"/>
    <cellStyle name="40% - Accent3 2 2 8 2 2" xfId="31248"/>
    <cellStyle name="40% - Accent3 2 2 8 2 2 2" xfId="31249"/>
    <cellStyle name="40% - Accent3 2 2 8 2 3" xfId="31250"/>
    <cellStyle name="40% - Accent3 2 2 8 3" xfId="31251"/>
    <cellStyle name="40% - Accent3 2 2 8 3 2" xfId="31252"/>
    <cellStyle name="40% - Accent3 2 2 8 4" xfId="31253"/>
    <cellStyle name="40% - Accent3 2 2 9" xfId="31254"/>
    <cellStyle name="40% - Accent3 2 2 9 2" xfId="31255"/>
    <cellStyle name="40% - Accent3 2 2 9 2 2" xfId="31256"/>
    <cellStyle name="40% - Accent3 2 2 9 3" xfId="31257"/>
    <cellStyle name="40% - Accent3 2 3" xfId="31258"/>
    <cellStyle name="40% - Accent3 2 3 10" xfId="31259"/>
    <cellStyle name="40% - Accent3 2 3 10 2" xfId="31260"/>
    <cellStyle name="40% - Accent3 2 3 11" xfId="31261"/>
    <cellStyle name="40% - Accent3 2 3 2" xfId="31262"/>
    <cellStyle name="40% - Accent3 2 3 2 10" xfId="31263"/>
    <cellStyle name="40% - Accent3 2 3 2 2" xfId="31264"/>
    <cellStyle name="40% - Accent3 2 3 2 2 2" xfId="31265"/>
    <cellStyle name="40% - Accent3 2 3 2 2 2 2" xfId="31266"/>
    <cellStyle name="40% - Accent3 2 3 2 2 2 2 2" xfId="31267"/>
    <cellStyle name="40% - Accent3 2 3 2 2 2 2 2 2" xfId="31268"/>
    <cellStyle name="40% - Accent3 2 3 2 2 2 2 3" xfId="31269"/>
    <cellStyle name="40% - Accent3 2 3 2 2 2 3" xfId="31270"/>
    <cellStyle name="40% - Accent3 2 3 2 2 2 3 2" xfId="31271"/>
    <cellStyle name="40% - Accent3 2 3 2 2 2 4" xfId="31272"/>
    <cellStyle name="40% - Accent3 2 3 2 2 3" xfId="31273"/>
    <cellStyle name="40% - Accent3 2 3 2 2 3 2" xfId="31274"/>
    <cellStyle name="40% - Accent3 2 3 2 2 3 2 2" xfId="31275"/>
    <cellStyle name="40% - Accent3 2 3 2 2 3 3" xfId="31276"/>
    <cellStyle name="40% - Accent3 2 3 2 2 4" xfId="31277"/>
    <cellStyle name="40% - Accent3 2 3 2 2 4 2" xfId="31278"/>
    <cellStyle name="40% - Accent3 2 3 2 2 5" xfId="31279"/>
    <cellStyle name="40% - Accent3 2 3 2 3" xfId="31280"/>
    <cellStyle name="40% - Accent3 2 3 2 3 2" xfId="31281"/>
    <cellStyle name="40% - Accent3 2 3 2 3 2 2" xfId="31282"/>
    <cellStyle name="40% - Accent3 2 3 2 3 2 2 2" xfId="31283"/>
    <cellStyle name="40% - Accent3 2 3 2 3 2 2 2 2" xfId="31284"/>
    <cellStyle name="40% - Accent3 2 3 2 3 2 2 3" xfId="31285"/>
    <cellStyle name="40% - Accent3 2 3 2 3 2 3" xfId="31286"/>
    <cellStyle name="40% - Accent3 2 3 2 3 2 3 2" xfId="31287"/>
    <cellStyle name="40% - Accent3 2 3 2 3 2 4" xfId="31288"/>
    <cellStyle name="40% - Accent3 2 3 2 3 3" xfId="31289"/>
    <cellStyle name="40% - Accent3 2 3 2 3 3 2" xfId="31290"/>
    <cellStyle name="40% - Accent3 2 3 2 3 3 2 2" xfId="31291"/>
    <cellStyle name="40% - Accent3 2 3 2 3 3 3" xfId="31292"/>
    <cellStyle name="40% - Accent3 2 3 2 3 4" xfId="31293"/>
    <cellStyle name="40% - Accent3 2 3 2 3 4 2" xfId="31294"/>
    <cellStyle name="40% - Accent3 2 3 2 3 5" xfId="31295"/>
    <cellStyle name="40% - Accent3 2 3 2 4" xfId="31296"/>
    <cellStyle name="40% - Accent3 2 3 2 4 2" xfId="31297"/>
    <cellStyle name="40% - Accent3 2 3 2 4 2 2" xfId="31298"/>
    <cellStyle name="40% - Accent3 2 3 2 4 2 2 2" xfId="31299"/>
    <cellStyle name="40% - Accent3 2 3 2 4 2 2 2 2" xfId="31300"/>
    <cellStyle name="40% - Accent3 2 3 2 4 2 2 3" xfId="31301"/>
    <cellStyle name="40% - Accent3 2 3 2 4 2 3" xfId="31302"/>
    <cellStyle name="40% - Accent3 2 3 2 4 2 3 2" xfId="31303"/>
    <cellStyle name="40% - Accent3 2 3 2 4 2 4" xfId="31304"/>
    <cellStyle name="40% - Accent3 2 3 2 4 3" xfId="31305"/>
    <cellStyle name="40% - Accent3 2 3 2 4 3 2" xfId="31306"/>
    <cellStyle name="40% - Accent3 2 3 2 4 3 2 2" xfId="31307"/>
    <cellStyle name="40% - Accent3 2 3 2 4 3 3" xfId="31308"/>
    <cellStyle name="40% - Accent3 2 3 2 4 4" xfId="31309"/>
    <cellStyle name="40% - Accent3 2 3 2 4 4 2" xfId="31310"/>
    <cellStyle name="40% - Accent3 2 3 2 4 5" xfId="31311"/>
    <cellStyle name="40% - Accent3 2 3 2 5" xfId="31312"/>
    <cellStyle name="40% - Accent3 2 3 2 5 2" xfId="31313"/>
    <cellStyle name="40% - Accent3 2 3 2 5 2 2" xfId="31314"/>
    <cellStyle name="40% - Accent3 2 3 2 5 2 2 2" xfId="31315"/>
    <cellStyle name="40% - Accent3 2 3 2 5 2 2 2 2" xfId="31316"/>
    <cellStyle name="40% - Accent3 2 3 2 5 2 2 3" xfId="31317"/>
    <cellStyle name="40% - Accent3 2 3 2 5 2 3" xfId="31318"/>
    <cellStyle name="40% - Accent3 2 3 2 5 2 3 2" xfId="31319"/>
    <cellStyle name="40% - Accent3 2 3 2 5 2 4" xfId="31320"/>
    <cellStyle name="40% - Accent3 2 3 2 5 3" xfId="31321"/>
    <cellStyle name="40% - Accent3 2 3 2 5 3 2" xfId="31322"/>
    <cellStyle name="40% - Accent3 2 3 2 5 3 2 2" xfId="31323"/>
    <cellStyle name="40% - Accent3 2 3 2 5 3 3" xfId="31324"/>
    <cellStyle name="40% - Accent3 2 3 2 5 4" xfId="31325"/>
    <cellStyle name="40% - Accent3 2 3 2 5 4 2" xfId="31326"/>
    <cellStyle name="40% - Accent3 2 3 2 5 5" xfId="31327"/>
    <cellStyle name="40% - Accent3 2 3 2 6" xfId="31328"/>
    <cellStyle name="40% - Accent3 2 3 2 6 2" xfId="31329"/>
    <cellStyle name="40% - Accent3 2 3 2 6 2 2" xfId="31330"/>
    <cellStyle name="40% - Accent3 2 3 2 6 2 2 2" xfId="31331"/>
    <cellStyle name="40% - Accent3 2 3 2 6 2 2 2 2" xfId="31332"/>
    <cellStyle name="40% - Accent3 2 3 2 6 2 2 3" xfId="31333"/>
    <cellStyle name="40% - Accent3 2 3 2 6 2 3" xfId="31334"/>
    <cellStyle name="40% - Accent3 2 3 2 6 2 3 2" xfId="31335"/>
    <cellStyle name="40% - Accent3 2 3 2 6 2 4" xfId="31336"/>
    <cellStyle name="40% - Accent3 2 3 2 6 3" xfId="31337"/>
    <cellStyle name="40% - Accent3 2 3 2 6 3 2" xfId="31338"/>
    <cellStyle name="40% - Accent3 2 3 2 6 3 2 2" xfId="31339"/>
    <cellStyle name="40% - Accent3 2 3 2 6 3 3" xfId="31340"/>
    <cellStyle name="40% - Accent3 2 3 2 6 4" xfId="31341"/>
    <cellStyle name="40% - Accent3 2 3 2 6 4 2" xfId="31342"/>
    <cellStyle name="40% - Accent3 2 3 2 6 5" xfId="31343"/>
    <cellStyle name="40% - Accent3 2 3 2 7" xfId="31344"/>
    <cellStyle name="40% - Accent3 2 3 2 7 2" xfId="31345"/>
    <cellStyle name="40% - Accent3 2 3 2 7 2 2" xfId="31346"/>
    <cellStyle name="40% - Accent3 2 3 2 7 2 2 2" xfId="31347"/>
    <cellStyle name="40% - Accent3 2 3 2 7 2 3" xfId="31348"/>
    <cellStyle name="40% - Accent3 2 3 2 7 3" xfId="31349"/>
    <cellStyle name="40% - Accent3 2 3 2 7 3 2" xfId="31350"/>
    <cellStyle name="40% - Accent3 2 3 2 7 4" xfId="31351"/>
    <cellStyle name="40% - Accent3 2 3 2 8" xfId="31352"/>
    <cellStyle name="40% - Accent3 2 3 2 8 2" xfId="31353"/>
    <cellStyle name="40% - Accent3 2 3 2 8 2 2" xfId="31354"/>
    <cellStyle name="40% - Accent3 2 3 2 8 3" xfId="31355"/>
    <cellStyle name="40% - Accent3 2 3 2 9" xfId="31356"/>
    <cellStyle name="40% - Accent3 2 3 2 9 2" xfId="31357"/>
    <cellStyle name="40% - Accent3 2 3 3" xfId="31358"/>
    <cellStyle name="40% - Accent3 2 3 3 2" xfId="31359"/>
    <cellStyle name="40% - Accent3 2 3 3 2 2" xfId="31360"/>
    <cellStyle name="40% - Accent3 2 3 3 2 2 2" xfId="31361"/>
    <cellStyle name="40% - Accent3 2 3 3 2 2 2 2" xfId="31362"/>
    <cellStyle name="40% - Accent3 2 3 3 2 2 3" xfId="31363"/>
    <cellStyle name="40% - Accent3 2 3 3 2 3" xfId="31364"/>
    <cellStyle name="40% - Accent3 2 3 3 2 3 2" xfId="31365"/>
    <cellStyle name="40% - Accent3 2 3 3 2 4" xfId="31366"/>
    <cellStyle name="40% - Accent3 2 3 3 3" xfId="31367"/>
    <cellStyle name="40% - Accent3 2 3 3 3 2" xfId="31368"/>
    <cellStyle name="40% - Accent3 2 3 3 3 2 2" xfId="31369"/>
    <cellStyle name="40% - Accent3 2 3 3 3 3" xfId="31370"/>
    <cellStyle name="40% - Accent3 2 3 3 4" xfId="31371"/>
    <cellStyle name="40% - Accent3 2 3 3 4 2" xfId="31372"/>
    <cellStyle name="40% - Accent3 2 3 3 5" xfId="31373"/>
    <cellStyle name="40% - Accent3 2 3 4" xfId="31374"/>
    <cellStyle name="40% - Accent3 2 3 4 2" xfId="31375"/>
    <cellStyle name="40% - Accent3 2 3 4 2 2" xfId="31376"/>
    <cellStyle name="40% - Accent3 2 3 4 2 2 2" xfId="31377"/>
    <cellStyle name="40% - Accent3 2 3 4 2 2 2 2" xfId="31378"/>
    <cellStyle name="40% - Accent3 2 3 4 2 2 3" xfId="31379"/>
    <cellStyle name="40% - Accent3 2 3 4 2 3" xfId="31380"/>
    <cellStyle name="40% - Accent3 2 3 4 2 3 2" xfId="31381"/>
    <cellStyle name="40% - Accent3 2 3 4 2 4" xfId="31382"/>
    <cellStyle name="40% - Accent3 2 3 4 3" xfId="31383"/>
    <cellStyle name="40% - Accent3 2 3 4 3 2" xfId="31384"/>
    <cellStyle name="40% - Accent3 2 3 4 3 2 2" xfId="31385"/>
    <cellStyle name="40% - Accent3 2 3 4 3 3" xfId="31386"/>
    <cellStyle name="40% - Accent3 2 3 4 4" xfId="31387"/>
    <cellStyle name="40% - Accent3 2 3 4 4 2" xfId="31388"/>
    <cellStyle name="40% - Accent3 2 3 4 5" xfId="31389"/>
    <cellStyle name="40% - Accent3 2 3 5" xfId="31390"/>
    <cellStyle name="40% - Accent3 2 3 5 2" xfId="31391"/>
    <cellStyle name="40% - Accent3 2 3 5 2 2" xfId="31392"/>
    <cellStyle name="40% - Accent3 2 3 5 2 2 2" xfId="31393"/>
    <cellStyle name="40% - Accent3 2 3 5 2 2 2 2" xfId="31394"/>
    <cellStyle name="40% - Accent3 2 3 5 2 2 3" xfId="31395"/>
    <cellStyle name="40% - Accent3 2 3 5 2 3" xfId="31396"/>
    <cellStyle name="40% - Accent3 2 3 5 2 3 2" xfId="31397"/>
    <cellStyle name="40% - Accent3 2 3 5 2 4" xfId="31398"/>
    <cellStyle name="40% - Accent3 2 3 5 3" xfId="31399"/>
    <cellStyle name="40% - Accent3 2 3 5 3 2" xfId="31400"/>
    <cellStyle name="40% - Accent3 2 3 5 3 2 2" xfId="31401"/>
    <cellStyle name="40% - Accent3 2 3 5 3 3" xfId="31402"/>
    <cellStyle name="40% - Accent3 2 3 5 4" xfId="31403"/>
    <cellStyle name="40% - Accent3 2 3 5 4 2" xfId="31404"/>
    <cellStyle name="40% - Accent3 2 3 5 5" xfId="31405"/>
    <cellStyle name="40% - Accent3 2 3 6" xfId="31406"/>
    <cellStyle name="40% - Accent3 2 3 6 2" xfId="31407"/>
    <cellStyle name="40% - Accent3 2 3 6 2 2" xfId="31408"/>
    <cellStyle name="40% - Accent3 2 3 6 2 2 2" xfId="31409"/>
    <cellStyle name="40% - Accent3 2 3 6 2 2 2 2" xfId="31410"/>
    <cellStyle name="40% - Accent3 2 3 6 2 2 3" xfId="31411"/>
    <cellStyle name="40% - Accent3 2 3 6 2 3" xfId="31412"/>
    <cellStyle name="40% - Accent3 2 3 6 2 3 2" xfId="31413"/>
    <cellStyle name="40% - Accent3 2 3 6 2 4" xfId="31414"/>
    <cellStyle name="40% - Accent3 2 3 6 3" xfId="31415"/>
    <cellStyle name="40% - Accent3 2 3 6 3 2" xfId="31416"/>
    <cellStyle name="40% - Accent3 2 3 6 3 2 2" xfId="31417"/>
    <cellStyle name="40% - Accent3 2 3 6 3 3" xfId="31418"/>
    <cellStyle name="40% - Accent3 2 3 6 4" xfId="31419"/>
    <cellStyle name="40% - Accent3 2 3 6 4 2" xfId="31420"/>
    <cellStyle name="40% - Accent3 2 3 6 5" xfId="31421"/>
    <cellStyle name="40% - Accent3 2 3 7" xfId="31422"/>
    <cellStyle name="40% - Accent3 2 3 7 2" xfId="31423"/>
    <cellStyle name="40% - Accent3 2 3 7 2 2" xfId="31424"/>
    <cellStyle name="40% - Accent3 2 3 7 2 2 2" xfId="31425"/>
    <cellStyle name="40% - Accent3 2 3 7 2 2 2 2" xfId="31426"/>
    <cellStyle name="40% - Accent3 2 3 7 2 2 3" xfId="31427"/>
    <cellStyle name="40% - Accent3 2 3 7 2 3" xfId="31428"/>
    <cellStyle name="40% - Accent3 2 3 7 2 3 2" xfId="31429"/>
    <cellStyle name="40% - Accent3 2 3 7 2 4" xfId="31430"/>
    <cellStyle name="40% - Accent3 2 3 7 3" xfId="31431"/>
    <cellStyle name="40% - Accent3 2 3 7 3 2" xfId="31432"/>
    <cellStyle name="40% - Accent3 2 3 7 3 2 2" xfId="31433"/>
    <cellStyle name="40% - Accent3 2 3 7 3 3" xfId="31434"/>
    <cellStyle name="40% - Accent3 2 3 7 4" xfId="31435"/>
    <cellStyle name="40% - Accent3 2 3 7 4 2" xfId="31436"/>
    <cellStyle name="40% - Accent3 2 3 7 5" xfId="31437"/>
    <cellStyle name="40% - Accent3 2 3 8" xfId="31438"/>
    <cellStyle name="40% - Accent3 2 3 8 2" xfId="31439"/>
    <cellStyle name="40% - Accent3 2 3 8 2 2" xfId="31440"/>
    <cellStyle name="40% - Accent3 2 3 8 2 2 2" xfId="31441"/>
    <cellStyle name="40% - Accent3 2 3 8 2 3" xfId="31442"/>
    <cellStyle name="40% - Accent3 2 3 8 3" xfId="31443"/>
    <cellStyle name="40% - Accent3 2 3 8 3 2" xfId="31444"/>
    <cellStyle name="40% - Accent3 2 3 8 4" xfId="31445"/>
    <cellStyle name="40% - Accent3 2 3 9" xfId="31446"/>
    <cellStyle name="40% - Accent3 2 3 9 2" xfId="31447"/>
    <cellStyle name="40% - Accent3 2 3 9 2 2" xfId="31448"/>
    <cellStyle name="40% - Accent3 2 3 9 3" xfId="31449"/>
    <cellStyle name="40% - Accent3 2 4" xfId="31450"/>
    <cellStyle name="40% - Accent3 2 4 10" xfId="31451"/>
    <cellStyle name="40% - Accent3 2 4 10 2" xfId="31452"/>
    <cellStyle name="40% - Accent3 2 4 11" xfId="31453"/>
    <cellStyle name="40% - Accent3 2 4 2" xfId="31454"/>
    <cellStyle name="40% - Accent3 2 4 2 10" xfId="31455"/>
    <cellStyle name="40% - Accent3 2 4 2 2" xfId="31456"/>
    <cellStyle name="40% - Accent3 2 4 2 2 2" xfId="31457"/>
    <cellStyle name="40% - Accent3 2 4 2 2 2 2" xfId="31458"/>
    <cellStyle name="40% - Accent3 2 4 2 2 2 2 2" xfId="31459"/>
    <cellStyle name="40% - Accent3 2 4 2 2 2 2 2 2" xfId="31460"/>
    <cellStyle name="40% - Accent3 2 4 2 2 2 2 3" xfId="31461"/>
    <cellStyle name="40% - Accent3 2 4 2 2 2 3" xfId="31462"/>
    <cellStyle name="40% - Accent3 2 4 2 2 2 3 2" xfId="31463"/>
    <cellStyle name="40% - Accent3 2 4 2 2 2 4" xfId="31464"/>
    <cellStyle name="40% - Accent3 2 4 2 2 3" xfId="31465"/>
    <cellStyle name="40% - Accent3 2 4 2 2 3 2" xfId="31466"/>
    <cellStyle name="40% - Accent3 2 4 2 2 3 2 2" xfId="31467"/>
    <cellStyle name="40% - Accent3 2 4 2 2 3 3" xfId="31468"/>
    <cellStyle name="40% - Accent3 2 4 2 2 4" xfId="31469"/>
    <cellStyle name="40% - Accent3 2 4 2 2 4 2" xfId="31470"/>
    <cellStyle name="40% - Accent3 2 4 2 2 5" xfId="31471"/>
    <cellStyle name="40% - Accent3 2 4 2 3" xfId="31472"/>
    <cellStyle name="40% - Accent3 2 4 2 3 2" xfId="31473"/>
    <cellStyle name="40% - Accent3 2 4 2 3 2 2" xfId="31474"/>
    <cellStyle name="40% - Accent3 2 4 2 3 2 2 2" xfId="31475"/>
    <cellStyle name="40% - Accent3 2 4 2 3 2 2 2 2" xfId="31476"/>
    <cellStyle name="40% - Accent3 2 4 2 3 2 2 3" xfId="31477"/>
    <cellStyle name="40% - Accent3 2 4 2 3 2 3" xfId="31478"/>
    <cellStyle name="40% - Accent3 2 4 2 3 2 3 2" xfId="31479"/>
    <cellStyle name="40% - Accent3 2 4 2 3 2 4" xfId="31480"/>
    <cellStyle name="40% - Accent3 2 4 2 3 3" xfId="31481"/>
    <cellStyle name="40% - Accent3 2 4 2 3 3 2" xfId="31482"/>
    <cellStyle name="40% - Accent3 2 4 2 3 3 2 2" xfId="31483"/>
    <cellStyle name="40% - Accent3 2 4 2 3 3 3" xfId="31484"/>
    <cellStyle name="40% - Accent3 2 4 2 3 4" xfId="31485"/>
    <cellStyle name="40% - Accent3 2 4 2 3 4 2" xfId="31486"/>
    <cellStyle name="40% - Accent3 2 4 2 3 5" xfId="31487"/>
    <cellStyle name="40% - Accent3 2 4 2 4" xfId="31488"/>
    <cellStyle name="40% - Accent3 2 4 2 4 2" xfId="31489"/>
    <cellStyle name="40% - Accent3 2 4 2 4 2 2" xfId="31490"/>
    <cellStyle name="40% - Accent3 2 4 2 4 2 2 2" xfId="31491"/>
    <cellStyle name="40% - Accent3 2 4 2 4 2 2 2 2" xfId="31492"/>
    <cellStyle name="40% - Accent3 2 4 2 4 2 2 3" xfId="31493"/>
    <cellStyle name="40% - Accent3 2 4 2 4 2 3" xfId="31494"/>
    <cellStyle name="40% - Accent3 2 4 2 4 2 3 2" xfId="31495"/>
    <cellStyle name="40% - Accent3 2 4 2 4 2 4" xfId="31496"/>
    <cellStyle name="40% - Accent3 2 4 2 4 3" xfId="31497"/>
    <cellStyle name="40% - Accent3 2 4 2 4 3 2" xfId="31498"/>
    <cellStyle name="40% - Accent3 2 4 2 4 3 2 2" xfId="31499"/>
    <cellStyle name="40% - Accent3 2 4 2 4 3 3" xfId="31500"/>
    <cellStyle name="40% - Accent3 2 4 2 4 4" xfId="31501"/>
    <cellStyle name="40% - Accent3 2 4 2 4 4 2" xfId="31502"/>
    <cellStyle name="40% - Accent3 2 4 2 4 5" xfId="31503"/>
    <cellStyle name="40% - Accent3 2 4 2 5" xfId="31504"/>
    <cellStyle name="40% - Accent3 2 4 2 5 2" xfId="31505"/>
    <cellStyle name="40% - Accent3 2 4 2 5 2 2" xfId="31506"/>
    <cellStyle name="40% - Accent3 2 4 2 5 2 2 2" xfId="31507"/>
    <cellStyle name="40% - Accent3 2 4 2 5 2 2 2 2" xfId="31508"/>
    <cellStyle name="40% - Accent3 2 4 2 5 2 2 3" xfId="31509"/>
    <cellStyle name="40% - Accent3 2 4 2 5 2 3" xfId="31510"/>
    <cellStyle name="40% - Accent3 2 4 2 5 2 3 2" xfId="31511"/>
    <cellStyle name="40% - Accent3 2 4 2 5 2 4" xfId="31512"/>
    <cellStyle name="40% - Accent3 2 4 2 5 3" xfId="31513"/>
    <cellStyle name="40% - Accent3 2 4 2 5 3 2" xfId="31514"/>
    <cellStyle name="40% - Accent3 2 4 2 5 3 2 2" xfId="31515"/>
    <cellStyle name="40% - Accent3 2 4 2 5 3 3" xfId="31516"/>
    <cellStyle name="40% - Accent3 2 4 2 5 4" xfId="31517"/>
    <cellStyle name="40% - Accent3 2 4 2 5 4 2" xfId="31518"/>
    <cellStyle name="40% - Accent3 2 4 2 5 5" xfId="31519"/>
    <cellStyle name="40% - Accent3 2 4 2 6" xfId="31520"/>
    <cellStyle name="40% - Accent3 2 4 2 6 2" xfId="31521"/>
    <cellStyle name="40% - Accent3 2 4 2 6 2 2" xfId="31522"/>
    <cellStyle name="40% - Accent3 2 4 2 6 2 2 2" xfId="31523"/>
    <cellStyle name="40% - Accent3 2 4 2 6 2 2 2 2" xfId="31524"/>
    <cellStyle name="40% - Accent3 2 4 2 6 2 2 3" xfId="31525"/>
    <cellStyle name="40% - Accent3 2 4 2 6 2 3" xfId="31526"/>
    <cellStyle name="40% - Accent3 2 4 2 6 2 3 2" xfId="31527"/>
    <cellStyle name="40% - Accent3 2 4 2 6 2 4" xfId="31528"/>
    <cellStyle name="40% - Accent3 2 4 2 6 3" xfId="31529"/>
    <cellStyle name="40% - Accent3 2 4 2 6 3 2" xfId="31530"/>
    <cellStyle name="40% - Accent3 2 4 2 6 3 2 2" xfId="31531"/>
    <cellStyle name="40% - Accent3 2 4 2 6 3 3" xfId="31532"/>
    <cellStyle name="40% - Accent3 2 4 2 6 4" xfId="31533"/>
    <cellStyle name="40% - Accent3 2 4 2 6 4 2" xfId="31534"/>
    <cellStyle name="40% - Accent3 2 4 2 6 5" xfId="31535"/>
    <cellStyle name="40% - Accent3 2 4 2 7" xfId="31536"/>
    <cellStyle name="40% - Accent3 2 4 2 7 2" xfId="31537"/>
    <cellStyle name="40% - Accent3 2 4 2 7 2 2" xfId="31538"/>
    <cellStyle name="40% - Accent3 2 4 2 7 2 2 2" xfId="31539"/>
    <cellStyle name="40% - Accent3 2 4 2 7 2 3" xfId="31540"/>
    <cellStyle name="40% - Accent3 2 4 2 7 3" xfId="31541"/>
    <cellStyle name="40% - Accent3 2 4 2 7 3 2" xfId="31542"/>
    <cellStyle name="40% - Accent3 2 4 2 7 4" xfId="31543"/>
    <cellStyle name="40% - Accent3 2 4 2 8" xfId="31544"/>
    <cellStyle name="40% - Accent3 2 4 2 8 2" xfId="31545"/>
    <cellStyle name="40% - Accent3 2 4 2 8 2 2" xfId="31546"/>
    <cellStyle name="40% - Accent3 2 4 2 8 3" xfId="31547"/>
    <cellStyle name="40% - Accent3 2 4 2 9" xfId="31548"/>
    <cellStyle name="40% - Accent3 2 4 2 9 2" xfId="31549"/>
    <cellStyle name="40% - Accent3 2 4 3" xfId="31550"/>
    <cellStyle name="40% - Accent3 2 4 3 2" xfId="31551"/>
    <cellStyle name="40% - Accent3 2 4 3 2 2" xfId="31552"/>
    <cellStyle name="40% - Accent3 2 4 3 2 2 2" xfId="31553"/>
    <cellStyle name="40% - Accent3 2 4 3 2 2 2 2" xfId="31554"/>
    <cellStyle name="40% - Accent3 2 4 3 2 2 3" xfId="31555"/>
    <cellStyle name="40% - Accent3 2 4 3 2 3" xfId="31556"/>
    <cellStyle name="40% - Accent3 2 4 3 2 3 2" xfId="31557"/>
    <cellStyle name="40% - Accent3 2 4 3 2 4" xfId="31558"/>
    <cellStyle name="40% - Accent3 2 4 3 3" xfId="31559"/>
    <cellStyle name="40% - Accent3 2 4 3 3 2" xfId="31560"/>
    <cellStyle name="40% - Accent3 2 4 3 3 2 2" xfId="31561"/>
    <cellStyle name="40% - Accent3 2 4 3 3 3" xfId="31562"/>
    <cellStyle name="40% - Accent3 2 4 3 4" xfId="31563"/>
    <cellStyle name="40% - Accent3 2 4 3 4 2" xfId="31564"/>
    <cellStyle name="40% - Accent3 2 4 3 5" xfId="31565"/>
    <cellStyle name="40% - Accent3 2 4 4" xfId="31566"/>
    <cellStyle name="40% - Accent3 2 4 4 2" xfId="31567"/>
    <cellStyle name="40% - Accent3 2 4 4 2 2" xfId="31568"/>
    <cellStyle name="40% - Accent3 2 4 4 2 2 2" xfId="31569"/>
    <cellStyle name="40% - Accent3 2 4 4 2 2 2 2" xfId="31570"/>
    <cellStyle name="40% - Accent3 2 4 4 2 2 3" xfId="31571"/>
    <cellStyle name="40% - Accent3 2 4 4 2 3" xfId="31572"/>
    <cellStyle name="40% - Accent3 2 4 4 2 3 2" xfId="31573"/>
    <cellStyle name="40% - Accent3 2 4 4 2 4" xfId="31574"/>
    <cellStyle name="40% - Accent3 2 4 4 3" xfId="31575"/>
    <cellStyle name="40% - Accent3 2 4 4 3 2" xfId="31576"/>
    <cellStyle name="40% - Accent3 2 4 4 3 2 2" xfId="31577"/>
    <cellStyle name="40% - Accent3 2 4 4 3 3" xfId="31578"/>
    <cellStyle name="40% - Accent3 2 4 4 4" xfId="31579"/>
    <cellStyle name="40% - Accent3 2 4 4 4 2" xfId="31580"/>
    <cellStyle name="40% - Accent3 2 4 4 5" xfId="31581"/>
    <cellStyle name="40% - Accent3 2 4 5" xfId="31582"/>
    <cellStyle name="40% - Accent3 2 4 5 2" xfId="31583"/>
    <cellStyle name="40% - Accent3 2 4 5 2 2" xfId="31584"/>
    <cellStyle name="40% - Accent3 2 4 5 2 2 2" xfId="31585"/>
    <cellStyle name="40% - Accent3 2 4 5 2 2 2 2" xfId="31586"/>
    <cellStyle name="40% - Accent3 2 4 5 2 2 3" xfId="31587"/>
    <cellStyle name="40% - Accent3 2 4 5 2 3" xfId="31588"/>
    <cellStyle name="40% - Accent3 2 4 5 2 3 2" xfId="31589"/>
    <cellStyle name="40% - Accent3 2 4 5 2 4" xfId="31590"/>
    <cellStyle name="40% - Accent3 2 4 5 3" xfId="31591"/>
    <cellStyle name="40% - Accent3 2 4 5 3 2" xfId="31592"/>
    <cellStyle name="40% - Accent3 2 4 5 3 2 2" xfId="31593"/>
    <cellStyle name="40% - Accent3 2 4 5 3 3" xfId="31594"/>
    <cellStyle name="40% - Accent3 2 4 5 4" xfId="31595"/>
    <cellStyle name="40% - Accent3 2 4 5 4 2" xfId="31596"/>
    <cellStyle name="40% - Accent3 2 4 5 5" xfId="31597"/>
    <cellStyle name="40% - Accent3 2 4 6" xfId="31598"/>
    <cellStyle name="40% - Accent3 2 4 6 2" xfId="31599"/>
    <cellStyle name="40% - Accent3 2 4 6 2 2" xfId="31600"/>
    <cellStyle name="40% - Accent3 2 4 6 2 2 2" xfId="31601"/>
    <cellStyle name="40% - Accent3 2 4 6 2 2 2 2" xfId="31602"/>
    <cellStyle name="40% - Accent3 2 4 6 2 2 3" xfId="31603"/>
    <cellStyle name="40% - Accent3 2 4 6 2 3" xfId="31604"/>
    <cellStyle name="40% - Accent3 2 4 6 2 3 2" xfId="31605"/>
    <cellStyle name="40% - Accent3 2 4 6 2 4" xfId="31606"/>
    <cellStyle name="40% - Accent3 2 4 6 3" xfId="31607"/>
    <cellStyle name="40% - Accent3 2 4 6 3 2" xfId="31608"/>
    <cellStyle name="40% - Accent3 2 4 6 3 2 2" xfId="31609"/>
    <cellStyle name="40% - Accent3 2 4 6 3 3" xfId="31610"/>
    <cellStyle name="40% - Accent3 2 4 6 4" xfId="31611"/>
    <cellStyle name="40% - Accent3 2 4 6 4 2" xfId="31612"/>
    <cellStyle name="40% - Accent3 2 4 6 5" xfId="31613"/>
    <cellStyle name="40% - Accent3 2 4 7" xfId="31614"/>
    <cellStyle name="40% - Accent3 2 4 7 2" xfId="31615"/>
    <cellStyle name="40% - Accent3 2 4 7 2 2" xfId="31616"/>
    <cellStyle name="40% - Accent3 2 4 7 2 2 2" xfId="31617"/>
    <cellStyle name="40% - Accent3 2 4 7 2 2 2 2" xfId="31618"/>
    <cellStyle name="40% - Accent3 2 4 7 2 2 3" xfId="31619"/>
    <cellStyle name="40% - Accent3 2 4 7 2 3" xfId="31620"/>
    <cellStyle name="40% - Accent3 2 4 7 2 3 2" xfId="31621"/>
    <cellStyle name="40% - Accent3 2 4 7 2 4" xfId="31622"/>
    <cellStyle name="40% - Accent3 2 4 7 3" xfId="31623"/>
    <cellStyle name="40% - Accent3 2 4 7 3 2" xfId="31624"/>
    <cellStyle name="40% - Accent3 2 4 7 3 2 2" xfId="31625"/>
    <cellStyle name="40% - Accent3 2 4 7 3 3" xfId="31626"/>
    <cellStyle name="40% - Accent3 2 4 7 4" xfId="31627"/>
    <cellStyle name="40% - Accent3 2 4 7 4 2" xfId="31628"/>
    <cellStyle name="40% - Accent3 2 4 7 5" xfId="31629"/>
    <cellStyle name="40% - Accent3 2 4 8" xfId="31630"/>
    <cellStyle name="40% - Accent3 2 4 8 2" xfId="31631"/>
    <cellStyle name="40% - Accent3 2 4 8 2 2" xfId="31632"/>
    <cellStyle name="40% - Accent3 2 4 8 2 2 2" xfId="31633"/>
    <cellStyle name="40% - Accent3 2 4 8 2 3" xfId="31634"/>
    <cellStyle name="40% - Accent3 2 4 8 3" xfId="31635"/>
    <cellStyle name="40% - Accent3 2 4 8 3 2" xfId="31636"/>
    <cellStyle name="40% - Accent3 2 4 8 4" xfId="31637"/>
    <cellStyle name="40% - Accent3 2 4 9" xfId="31638"/>
    <cellStyle name="40% - Accent3 2 4 9 2" xfId="31639"/>
    <cellStyle name="40% - Accent3 2 4 9 2 2" xfId="31640"/>
    <cellStyle name="40% - Accent3 2 4 9 3" xfId="31641"/>
    <cellStyle name="40% - Accent3 2 5" xfId="31642"/>
    <cellStyle name="40% - Accent3 2 5 10" xfId="31643"/>
    <cellStyle name="40% - Accent3 2 5 10 2" xfId="31644"/>
    <cellStyle name="40% - Accent3 2 5 11" xfId="31645"/>
    <cellStyle name="40% - Accent3 2 5 2" xfId="31646"/>
    <cellStyle name="40% - Accent3 2 5 2 10" xfId="31647"/>
    <cellStyle name="40% - Accent3 2 5 2 2" xfId="31648"/>
    <cellStyle name="40% - Accent3 2 5 2 2 2" xfId="31649"/>
    <cellStyle name="40% - Accent3 2 5 2 2 2 2" xfId="31650"/>
    <cellStyle name="40% - Accent3 2 5 2 2 2 2 2" xfId="31651"/>
    <cellStyle name="40% - Accent3 2 5 2 2 2 2 2 2" xfId="31652"/>
    <cellStyle name="40% - Accent3 2 5 2 2 2 2 3" xfId="31653"/>
    <cellStyle name="40% - Accent3 2 5 2 2 2 3" xfId="31654"/>
    <cellStyle name="40% - Accent3 2 5 2 2 2 3 2" xfId="31655"/>
    <cellStyle name="40% - Accent3 2 5 2 2 2 4" xfId="31656"/>
    <cellStyle name="40% - Accent3 2 5 2 2 3" xfId="31657"/>
    <cellStyle name="40% - Accent3 2 5 2 2 3 2" xfId="31658"/>
    <cellStyle name="40% - Accent3 2 5 2 2 3 2 2" xfId="31659"/>
    <cellStyle name="40% - Accent3 2 5 2 2 3 3" xfId="31660"/>
    <cellStyle name="40% - Accent3 2 5 2 2 4" xfId="31661"/>
    <cellStyle name="40% - Accent3 2 5 2 2 4 2" xfId="31662"/>
    <cellStyle name="40% - Accent3 2 5 2 2 5" xfId="31663"/>
    <cellStyle name="40% - Accent3 2 5 2 3" xfId="31664"/>
    <cellStyle name="40% - Accent3 2 5 2 3 2" xfId="31665"/>
    <cellStyle name="40% - Accent3 2 5 2 3 2 2" xfId="31666"/>
    <cellStyle name="40% - Accent3 2 5 2 3 2 2 2" xfId="31667"/>
    <cellStyle name="40% - Accent3 2 5 2 3 2 2 2 2" xfId="31668"/>
    <cellStyle name="40% - Accent3 2 5 2 3 2 2 3" xfId="31669"/>
    <cellStyle name="40% - Accent3 2 5 2 3 2 3" xfId="31670"/>
    <cellStyle name="40% - Accent3 2 5 2 3 2 3 2" xfId="31671"/>
    <cellStyle name="40% - Accent3 2 5 2 3 2 4" xfId="31672"/>
    <cellStyle name="40% - Accent3 2 5 2 3 3" xfId="31673"/>
    <cellStyle name="40% - Accent3 2 5 2 3 3 2" xfId="31674"/>
    <cellStyle name="40% - Accent3 2 5 2 3 3 2 2" xfId="31675"/>
    <cellStyle name="40% - Accent3 2 5 2 3 3 3" xfId="31676"/>
    <cellStyle name="40% - Accent3 2 5 2 3 4" xfId="31677"/>
    <cellStyle name="40% - Accent3 2 5 2 3 4 2" xfId="31678"/>
    <cellStyle name="40% - Accent3 2 5 2 3 5" xfId="31679"/>
    <cellStyle name="40% - Accent3 2 5 2 4" xfId="31680"/>
    <cellStyle name="40% - Accent3 2 5 2 4 2" xfId="31681"/>
    <cellStyle name="40% - Accent3 2 5 2 4 2 2" xfId="31682"/>
    <cellStyle name="40% - Accent3 2 5 2 4 2 2 2" xfId="31683"/>
    <cellStyle name="40% - Accent3 2 5 2 4 2 2 2 2" xfId="31684"/>
    <cellStyle name="40% - Accent3 2 5 2 4 2 2 3" xfId="31685"/>
    <cellStyle name="40% - Accent3 2 5 2 4 2 3" xfId="31686"/>
    <cellStyle name="40% - Accent3 2 5 2 4 2 3 2" xfId="31687"/>
    <cellStyle name="40% - Accent3 2 5 2 4 2 4" xfId="31688"/>
    <cellStyle name="40% - Accent3 2 5 2 4 3" xfId="31689"/>
    <cellStyle name="40% - Accent3 2 5 2 4 3 2" xfId="31690"/>
    <cellStyle name="40% - Accent3 2 5 2 4 3 2 2" xfId="31691"/>
    <cellStyle name="40% - Accent3 2 5 2 4 3 3" xfId="31692"/>
    <cellStyle name="40% - Accent3 2 5 2 4 4" xfId="31693"/>
    <cellStyle name="40% - Accent3 2 5 2 4 4 2" xfId="31694"/>
    <cellStyle name="40% - Accent3 2 5 2 4 5" xfId="31695"/>
    <cellStyle name="40% - Accent3 2 5 2 5" xfId="31696"/>
    <cellStyle name="40% - Accent3 2 5 2 5 2" xfId="31697"/>
    <cellStyle name="40% - Accent3 2 5 2 5 2 2" xfId="31698"/>
    <cellStyle name="40% - Accent3 2 5 2 5 2 2 2" xfId="31699"/>
    <cellStyle name="40% - Accent3 2 5 2 5 2 2 2 2" xfId="31700"/>
    <cellStyle name="40% - Accent3 2 5 2 5 2 2 3" xfId="31701"/>
    <cellStyle name="40% - Accent3 2 5 2 5 2 3" xfId="31702"/>
    <cellStyle name="40% - Accent3 2 5 2 5 2 3 2" xfId="31703"/>
    <cellStyle name="40% - Accent3 2 5 2 5 2 4" xfId="31704"/>
    <cellStyle name="40% - Accent3 2 5 2 5 3" xfId="31705"/>
    <cellStyle name="40% - Accent3 2 5 2 5 3 2" xfId="31706"/>
    <cellStyle name="40% - Accent3 2 5 2 5 3 2 2" xfId="31707"/>
    <cellStyle name="40% - Accent3 2 5 2 5 3 3" xfId="31708"/>
    <cellStyle name="40% - Accent3 2 5 2 5 4" xfId="31709"/>
    <cellStyle name="40% - Accent3 2 5 2 5 4 2" xfId="31710"/>
    <cellStyle name="40% - Accent3 2 5 2 5 5" xfId="31711"/>
    <cellStyle name="40% - Accent3 2 5 2 6" xfId="31712"/>
    <cellStyle name="40% - Accent3 2 5 2 6 2" xfId="31713"/>
    <cellStyle name="40% - Accent3 2 5 2 6 2 2" xfId="31714"/>
    <cellStyle name="40% - Accent3 2 5 2 6 2 2 2" xfId="31715"/>
    <cellStyle name="40% - Accent3 2 5 2 6 2 2 2 2" xfId="31716"/>
    <cellStyle name="40% - Accent3 2 5 2 6 2 2 3" xfId="31717"/>
    <cellStyle name="40% - Accent3 2 5 2 6 2 3" xfId="31718"/>
    <cellStyle name="40% - Accent3 2 5 2 6 2 3 2" xfId="31719"/>
    <cellStyle name="40% - Accent3 2 5 2 6 2 4" xfId="31720"/>
    <cellStyle name="40% - Accent3 2 5 2 6 3" xfId="31721"/>
    <cellStyle name="40% - Accent3 2 5 2 6 3 2" xfId="31722"/>
    <cellStyle name="40% - Accent3 2 5 2 6 3 2 2" xfId="31723"/>
    <cellStyle name="40% - Accent3 2 5 2 6 3 3" xfId="31724"/>
    <cellStyle name="40% - Accent3 2 5 2 6 4" xfId="31725"/>
    <cellStyle name="40% - Accent3 2 5 2 6 4 2" xfId="31726"/>
    <cellStyle name="40% - Accent3 2 5 2 6 5" xfId="31727"/>
    <cellStyle name="40% - Accent3 2 5 2 7" xfId="31728"/>
    <cellStyle name="40% - Accent3 2 5 2 7 2" xfId="31729"/>
    <cellStyle name="40% - Accent3 2 5 2 7 2 2" xfId="31730"/>
    <cellStyle name="40% - Accent3 2 5 2 7 2 2 2" xfId="31731"/>
    <cellStyle name="40% - Accent3 2 5 2 7 2 3" xfId="31732"/>
    <cellStyle name="40% - Accent3 2 5 2 7 3" xfId="31733"/>
    <cellStyle name="40% - Accent3 2 5 2 7 3 2" xfId="31734"/>
    <cellStyle name="40% - Accent3 2 5 2 7 4" xfId="31735"/>
    <cellStyle name="40% - Accent3 2 5 2 8" xfId="31736"/>
    <cellStyle name="40% - Accent3 2 5 2 8 2" xfId="31737"/>
    <cellStyle name="40% - Accent3 2 5 2 8 2 2" xfId="31738"/>
    <cellStyle name="40% - Accent3 2 5 2 8 3" xfId="31739"/>
    <cellStyle name="40% - Accent3 2 5 2 9" xfId="31740"/>
    <cellStyle name="40% - Accent3 2 5 2 9 2" xfId="31741"/>
    <cellStyle name="40% - Accent3 2 5 3" xfId="31742"/>
    <cellStyle name="40% - Accent3 2 5 3 2" xfId="31743"/>
    <cellStyle name="40% - Accent3 2 5 3 2 2" xfId="31744"/>
    <cellStyle name="40% - Accent3 2 5 3 2 2 2" xfId="31745"/>
    <cellStyle name="40% - Accent3 2 5 3 2 2 2 2" xfId="31746"/>
    <cellStyle name="40% - Accent3 2 5 3 2 2 3" xfId="31747"/>
    <cellStyle name="40% - Accent3 2 5 3 2 3" xfId="31748"/>
    <cellStyle name="40% - Accent3 2 5 3 2 3 2" xfId="31749"/>
    <cellStyle name="40% - Accent3 2 5 3 2 4" xfId="31750"/>
    <cellStyle name="40% - Accent3 2 5 3 3" xfId="31751"/>
    <cellStyle name="40% - Accent3 2 5 3 3 2" xfId="31752"/>
    <cellStyle name="40% - Accent3 2 5 3 3 2 2" xfId="31753"/>
    <cellStyle name="40% - Accent3 2 5 3 3 3" xfId="31754"/>
    <cellStyle name="40% - Accent3 2 5 3 4" xfId="31755"/>
    <cellStyle name="40% - Accent3 2 5 3 4 2" xfId="31756"/>
    <cellStyle name="40% - Accent3 2 5 3 5" xfId="31757"/>
    <cellStyle name="40% - Accent3 2 5 4" xfId="31758"/>
    <cellStyle name="40% - Accent3 2 5 4 2" xfId="31759"/>
    <cellStyle name="40% - Accent3 2 5 4 2 2" xfId="31760"/>
    <cellStyle name="40% - Accent3 2 5 4 2 2 2" xfId="31761"/>
    <cellStyle name="40% - Accent3 2 5 4 2 2 2 2" xfId="31762"/>
    <cellStyle name="40% - Accent3 2 5 4 2 2 3" xfId="31763"/>
    <cellStyle name="40% - Accent3 2 5 4 2 3" xfId="31764"/>
    <cellStyle name="40% - Accent3 2 5 4 2 3 2" xfId="31765"/>
    <cellStyle name="40% - Accent3 2 5 4 2 4" xfId="31766"/>
    <cellStyle name="40% - Accent3 2 5 4 3" xfId="31767"/>
    <cellStyle name="40% - Accent3 2 5 4 3 2" xfId="31768"/>
    <cellStyle name="40% - Accent3 2 5 4 3 2 2" xfId="31769"/>
    <cellStyle name="40% - Accent3 2 5 4 3 3" xfId="31770"/>
    <cellStyle name="40% - Accent3 2 5 4 4" xfId="31771"/>
    <cellStyle name="40% - Accent3 2 5 4 4 2" xfId="31772"/>
    <cellStyle name="40% - Accent3 2 5 4 5" xfId="31773"/>
    <cellStyle name="40% - Accent3 2 5 5" xfId="31774"/>
    <cellStyle name="40% - Accent3 2 5 5 2" xfId="31775"/>
    <cellStyle name="40% - Accent3 2 5 5 2 2" xfId="31776"/>
    <cellStyle name="40% - Accent3 2 5 5 2 2 2" xfId="31777"/>
    <cellStyle name="40% - Accent3 2 5 5 2 2 2 2" xfId="31778"/>
    <cellStyle name="40% - Accent3 2 5 5 2 2 3" xfId="31779"/>
    <cellStyle name="40% - Accent3 2 5 5 2 3" xfId="31780"/>
    <cellStyle name="40% - Accent3 2 5 5 2 3 2" xfId="31781"/>
    <cellStyle name="40% - Accent3 2 5 5 2 4" xfId="31782"/>
    <cellStyle name="40% - Accent3 2 5 5 3" xfId="31783"/>
    <cellStyle name="40% - Accent3 2 5 5 3 2" xfId="31784"/>
    <cellStyle name="40% - Accent3 2 5 5 3 2 2" xfId="31785"/>
    <cellStyle name="40% - Accent3 2 5 5 3 3" xfId="31786"/>
    <cellStyle name="40% - Accent3 2 5 5 4" xfId="31787"/>
    <cellStyle name="40% - Accent3 2 5 5 4 2" xfId="31788"/>
    <cellStyle name="40% - Accent3 2 5 5 5" xfId="31789"/>
    <cellStyle name="40% - Accent3 2 5 6" xfId="31790"/>
    <cellStyle name="40% - Accent3 2 5 6 2" xfId="31791"/>
    <cellStyle name="40% - Accent3 2 5 6 2 2" xfId="31792"/>
    <cellStyle name="40% - Accent3 2 5 6 2 2 2" xfId="31793"/>
    <cellStyle name="40% - Accent3 2 5 6 2 2 2 2" xfId="31794"/>
    <cellStyle name="40% - Accent3 2 5 6 2 2 3" xfId="31795"/>
    <cellStyle name="40% - Accent3 2 5 6 2 3" xfId="31796"/>
    <cellStyle name="40% - Accent3 2 5 6 2 3 2" xfId="31797"/>
    <cellStyle name="40% - Accent3 2 5 6 2 4" xfId="31798"/>
    <cellStyle name="40% - Accent3 2 5 6 3" xfId="31799"/>
    <cellStyle name="40% - Accent3 2 5 6 3 2" xfId="31800"/>
    <cellStyle name="40% - Accent3 2 5 6 3 2 2" xfId="31801"/>
    <cellStyle name="40% - Accent3 2 5 6 3 3" xfId="31802"/>
    <cellStyle name="40% - Accent3 2 5 6 4" xfId="31803"/>
    <cellStyle name="40% - Accent3 2 5 6 4 2" xfId="31804"/>
    <cellStyle name="40% - Accent3 2 5 6 5" xfId="31805"/>
    <cellStyle name="40% - Accent3 2 5 7" xfId="31806"/>
    <cellStyle name="40% - Accent3 2 5 7 2" xfId="31807"/>
    <cellStyle name="40% - Accent3 2 5 7 2 2" xfId="31808"/>
    <cellStyle name="40% - Accent3 2 5 7 2 2 2" xfId="31809"/>
    <cellStyle name="40% - Accent3 2 5 7 2 2 2 2" xfId="31810"/>
    <cellStyle name="40% - Accent3 2 5 7 2 2 3" xfId="31811"/>
    <cellStyle name="40% - Accent3 2 5 7 2 3" xfId="31812"/>
    <cellStyle name="40% - Accent3 2 5 7 2 3 2" xfId="31813"/>
    <cellStyle name="40% - Accent3 2 5 7 2 4" xfId="31814"/>
    <cellStyle name="40% - Accent3 2 5 7 3" xfId="31815"/>
    <cellStyle name="40% - Accent3 2 5 7 3 2" xfId="31816"/>
    <cellStyle name="40% - Accent3 2 5 7 3 2 2" xfId="31817"/>
    <cellStyle name="40% - Accent3 2 5 7 3 3" xfId="31818"/>
    <cellStyle name="40% - Accent3 2 5 7 4" xfId="31819"/>
    <cellStyle name="40% - Accent3 2 5 7 4 2" xfId="31820"/>
    <cellStyle name="40% - Accent3 2 5 7 5" xfId="31821"/>
    <cellStyle name="40% - Accent3 2 5 8" xfId="31822"/>
    <cellStyle name="40% - Accent3 2 5 8 2" xfId="31823"/>
    <cellStyle name="40% - Accent3 2 5 8 2 2" xfId="31824"/>
    <cellStyle name="40% - Accent3 2 5 8 2 2 2" xfId="31825"/>
    <cellStyle name="40% - Accent3 2 5 8 2 3" xfId="31826"/>
    <cellStyle name="40% - Accent3 2 5 8 3" xfId="31827"/>
    <cellStyle name="40% - Accent3 2 5 8 3 2" xfId="31828"/>
    <cellStyle name="40% - Accent3 2 5 8 4" xfId="31829"/>
    <cellStyle name="40% - Accent3 2 5 9" xfId="31830"/>
    <cellStyle name="40% - Accent3 2 5 9 2" xfId="31831"/>
    <cellStyle name="40% - Accent3 2 5 9 2 2" xfId="31832"/>
    <cellStyle name="40% - Accent3 2 5 9 3" xfId="31833"/>
    <cellStyle name="40% - Accent3 2 6" xfId="31834"/>
    <cellStyle name="40% - Accent3 2 6 10" xfId="31835"/>
    <cellStyle name="40% - Accent3 2 6 10 2" xfId="31836"/>
    <cellStyle name="40% - Accent3 2 6 11" xfId="31837"/>
    <cellStyle name="40% - Accent3 2 6 2" xfId="31838"/>
    <cellStyle name="40% - Accent3 2 6 2 10" xfId="31839"/>
    <cellStyle name="40% - Accent3 2 6 2 2" xfId="31840"/>
    <cellStyle name="40% - Accent3 2 6 2 2 2" xfId="31841"/>
    <cellStyle name="40% - Accent3 2 6 2 2 2 2" xfId="31842"/>
    <cellStyle name="40% - Accent3 2 6 2 2 2 2 2" xfId="31843"/>
    <cellStyle name="40% - Accent3 2 6 2 2 2 2 2 2" xfId="31844"/>
    <cellStyle name="40% - Accent3 2 6 2 2 2 2 3" xfId="31845"/>
    <cellStyle name="40% - Accent3 2 6 2 2 2 3" xfId="31846"/>
    <cellStyle name="40% - Accent3 2 6 2 2 2 3 2" xfId="31847"/>
    <cellStyle name="40% - Accent3 2 6 2 2 2 4" xfId="31848"/>
    <cellStyle name="40% - Accent3 2 6 2 2 3" xfId="31849"/>
    <cellStyle name="40% - Accent3 2 6 2 2 3 2" xfId="31850"/>
    <cellStyle name="40% - Accent3 2 6 2 2 3 2 2" xfId="31851"/>
    <cellStyle name="40% - Accent3 2 6 2 2 3 3" xfId="31852"/>
    <cellStyle name="40% - Accent3 2 6 2 2 4" xfId="31853"/>
    <cellStyle name="40% - Accent3 2 6 2 2 4 2" xfId="31854"/>
    <cellStyle name="40% - Accent3 2 6 2 2 5" xfId="31855"/>
    <cellStyle name="40% - Accent3 2 6 2 3" xfId="31856"/>
    <cellStyle name="40% - Accent3 2 6 2 3 2" xfId="31857"/>
    <cellStyle name="40% - Accent3 2 6 2 3 2 2" xfId="31858"/>
    <cellStyle name="40% - Accent3 2 6 2 3 2 2 2" xfId="31859"/>
    <cellStyle name="40% - Accent3 2 6 2 3 2 2 2 2" xfId="31860"/>
    <cellStyle name="40% - Accent3 2 6 2 3 2 2 3" xfId="31861"/>
    <cellStyle name="40% - Accent3 2 6 2 3 2 3" xfId="31862"/>
    <cellStyle name="40% - Accent3 2 6 2 3 2 3 2" xfId="31863"/>
    <cellStyle name="40% - Accent3 2 6 2 3 2 4" xfId="31864"/>
    <cellStyle name="40% - Accent3 2 6 2 3 3" xfId="31865"/>
    <cellStyle name="40% - Accent3 2 6 2 3 3 2" xfId="31866"/>
    <cellStyle name="40% - Accent3 2 6 2 3 3 2 2" xfId="31867"/>
    <cellStyle name="40% - Accent3 2 6 2 3 3 3" xfId="31868"/>
    <cellStyle name="40% - Accent3 2 6 2 3 4" xfId="31869"/>
    <cellStyle name="40% - Accent3 2 6 2 3 4 2" xfId="31870"/>
    <cellStyle name="40% - Accent3 2 6 2 3 5" xfId="31871"/>
    <cellStyle name="40% - Accent3 2 6 2 4" xfId="31872"/>
    <cellStyle name="40% - Accent3 2 6 2 4 2" xfId="31873"/>
    <cellStyle name="40% - Accent3 2 6 2 4 2 2" xfId="31874"/>
    <cellStyle name="40% - Accent3 2 6 2 4 2 2 2" xfId="31875"/>
    <cellStyle name="40% - Accent3 2 6 2 4 2 2 2 2" xfId="31876"/>
    <cellStyle name="40% - Accent3 2 6 2 4 2 2 3" xfId="31877"/>
    <cellStyle name="40% - Accent3 2 6 2 4 2 3" xfId="31878"/>
    <cellStyle name="40% - Accent3 2 6 2 4 2 3 2" xfId="31879"/>
    <cellStyle name="40% - Accent3 2 6 2 4 2 4" xfId="31880"/>
    <cellStyle name="40% - Accent3 2 6 2 4 3" xfId="31881"/>
    <cellStyle name="40% - Accent3 2 6 2 4 3 2" xfId="31882"/>
    <cellStyle name="40% - Accent3 2 6 2 4 3 2 2" xfId="31883"/>
    <cellStyle name="40% - Accent3 2 6 2 4 3 3" xfId="31884"/>
    <cellStyle name="40% - Accent3 2 6 2 4 4" xfId="31885"/>
    <cellStyle name="40% - Accent3 2 6 2 4 4 2" xfId="31886"/>
    <cellStyle name="40% - Accent3 2 6 2 4 5" xfId="31887"/>
    <cellStyle name="40% - Accent3 2 6 2 5" xfId="31888"/>
    <cellStyle name="40% - Accent3 2 6 2 5 2" xfId="31889"/>
    <cellStyle name="40% - Accent3 2 6 2 5 2 2" xfId="31890"/>
    <cellStyle name="40% - Accent3 2 6 2 5 2 2 2" xfId="31891"/>
    <cellStyle name="40% - Accent3 2 6 2 5 2 2 2 2" xfId="31892"/>
    <cellStyle name="40% - Accent3 2 6 2 5 2 2 3" xfId="31893"/>
    <cellStyle name="40% - Accent3 2 6 2 5 2 3" xfId="31894"/>
    <cellStyle name="40% - Accent3 2 6 2 5 2 3 2" xfId="31895"/>
    <cellStyle name="40% - Accent3 2 6 2 5 2 4" xfId="31896"/>
    <cellStyle name="40% - Accent3 2 6 2 5 3" xfId="31897"/>
    <cellStyle name="40% - Accent3 2 6 2 5 3 2" xfId="31898"/>
    <cellStyle name="40% - Accent3 2 6 2 5 3 2 2" xfId="31899"/>
    <cellStyle name="40% - Accent3 2 6 2 5 3 3" xfId="31900"/>
    <cellStyle name="40% - Accent3 2 6 2 5 4" xfId="31901"/>
    <cellStyle name="40% - Accent3 2 6 2 5 4 2" xfId="31902"/>
    <cellStyle name="40% - Accent3 2 6 2 5 5" xfId="31903"/>
    <cellStyle name="40% - Accent3 2 6 2 6" xfId="31904"/>
    <cellStyle name="40% - Accent3 2 6 2 6 2" xfId="31905"/>
    <cellStyle name="40% - Accent3 2 6 2 6 2 2" xfId="31906"/>
    <cellStyle name="40% - Accent3 2 6 2 6 2 2 2" xfId="31907"/>
    <cellStyle name="40% - Accent3 2 6 2 6 2 2 2 2" xfId="31908"/>
    <cellStyle name="40% - Accent3 2 6 2 6 2 2 3" xfId="31909"/>
    <cellStyle name="40% - Accent3 2 6 2 6 2 3" xfId="31910"/>
    <cellStyle name="40% - Accent3 2 6 2 6 2 3 2" xfId="31911"/>
    <cellStyle name="40% - Accent3 2 6 2 6 2 4" xfId="31912"/>
    <cellStyle name="40% - Accent3 2 6 2 6 3" xfId="31913"/>
    <cellStyle name="40% - Accent3 2 6 2 6 3 2" xfId="31914"/>
    <cellStyle name="40% - Accent3 2 6 2 6 3 2 2" xfId="31915"/>
    <cellStyle name="40% - Accent3 2 6 2 6 3 3" xfId="31916"/>
    <cellStyle name="40% - Accent3 2 6 2 6 4" xfId="31917"/>
    <cellStyle name="40% - Accent3 2 6 2 6 4 2" xfId="31918"/>
    <cellStyle name="40% - Accent3 2 6 2 6 5" xfId="31919"/>
    <cellStyle name="40% - Accent3 2 6 2 7" xfId="31920"/>
    <cellStyle name="40% - Accent3 2 6 2 7 2" xfId="31921"/>
    <cellStyle name="40% - Accent3 2 6 2 7 2 2" xfId="31922"/>
    <cellStyle name="40% - Accent3 2 6 2 7 2 2 2" xfId="31923"/>
    <cellStyle name="40% - Accent3 2 6 2 7 2 3" xfId="31924"/>
    <cellStyle name="40% - Accent3 2 6 2 7 3" xfId="31925"/>
    <cellStyle name="40% - Accent3 2 6 2 7 3 2" xfId="31926"/>
    <cellStyle name="40% - Accent3 2 6 2 7 4" xfId="31927"/>
    <cellStyle name="40% - Accent3 2 6 2 8" xfId="31928"/>
    <cellStyle name="40% - Accent3 2 6 2 8 2" xfId="31929"/>
    <cellStyle name="40% - Accent3 2 6 2 8 2 2" xfId="31930"/>
    <cellStyle name="40% - Accent3 2 6 2 8 3" xfId="31931"/>
    <cellStyle name="40% - Accent3 2 6 2 9" xfId="31932"/>
    <cellStyle name="40% - Accent3 2 6 2 9 2" xfId="31933"/>
    <cellStyle name="40% - Accent3 2 6 3" xfId="31934"/>
    <cellStyle name="40% - Accent3 2 6 3 2" xfId="31935"/>
    <cellStyle name="40% - Accent3 2 6 3 2 2" xfId="31936"/>
    <cellStyle name="40% - Accent3 2 6 3 2 2 2" xfId="31937"/>
    <cellStyle name="40% - Accent3 2 6 3 2 2 2 2" xfId="31938"/>
    <cellStyle name="40% - Accent3 2 6 3 2 2 3" xfId="31939"/>
    <cellStyle name="40% - Accent3 2 6 3 2 3" xfId="31940"/>
    <cellStyle name="40% - Accent3 2 6 3 2 3 2" xfId="31941"/>
    <cellStyle name="40% - Accent3 2 6 3 2 4" xfId="31942"/>
    <cellStyle name="40% - Accent3 2 6 3 3" xfId="31943"/>
    <cellStyle name="40% - Accent3 2 6 3 3 2" xfId="31944"/>
    <cellStyle name="40% - Accent3 2 6 3 3 2 2" xfId="31945"/>
    <cellStyle name="40% - Accent3 2 6 3 3 3" xfId="31946"/>
    <cellStyle name="40% - Accent3 2 6 3 4" xfId="31947"/>
    <cellStyle name="40% - Accent3 2 6 3 4 2" xfId="31948"/>
    <cellStyle name="40% - Accent3 2 6 3 5" xfId="31949"/>
    <cellStyle name="40% - Accent3 2 6 4" xfId="31950"/>
    <cellStyle name="40% - Accent3 2 6 4 2" xfId="31951"/>
    <cellStyle name="40% - Accent3 2 6 4 2 2" xfId="31952"/>
    <cellStyle name="40% - Accent3 2 6 4 2 2 2" xfId="31953"/>
    <cellStyle name="40% - Accent3 2 6 4 2 2 2 2" xfId="31954"/>
    <cellStyle name="40% - Accent3 2 6 4 2 2 3" xfId="31955"/>
    <cellStyle name="40% - Accent3 2 6 4 2 3" xfId="31956"/>
    <cellStyle name="40% - Accent3 2 6 4 2 3 2" xfId="31957"/>
    <cellStyle name="40% - Accent3 2 6 4 2 4" xfId="31958"/>
    <cellStyle name="40% - Accent3 2 6 4 3" xfId="31959"/>
    <cellStyle name="40% - Accent3 2 6 4 3 2" xfId="31960"/>
    <cellStyle name="40% - Accent3 2 6 4 3 2 2" xfId="31961"/>
    <cellStyle name="40% - Accent3 2 6 4 3 3" xfId="31962"/>
    <cellStyle name="40% - Accent3 2 6 4 4" xfId="31963"/>
    <cellStyle name="40% - Accent3 2 6 4 4 2" xfId="31964"/>
    <cellStyle name="40% - Accent3 2 6 4 5" xfId="31965"/>
    <cellStyle name="40% - Accent3 2 6 5" xfId="31966"/>
    <cellStyle name="40% - Accent3 2 6 5 2" xfId="31967"/>
    <cellStyle name="40% - Accent3 2 6 5 2 2" xfId="31968"/>
    <cellStyle name="40% - Accent3 2 6 5 2 2 2" xfId="31969"/>
    <cellStyle name="40% - Accent3 2 6 5 2 2 2 2" xfId="31970"/>
    <cellStyle name="40% - Accent3 2 6 5 2 2 3" xfId="31971"/>
    <cellStyle name="40% - Accent3 2 6 5 2 3" xfId="31972"/>
    <cellStyle name="40% - Accent3 2 6 5 2 3 2" xfId="31973"/>
    <cellStyle name="40% - Accent3 2 6 5 2 4" xfId="31974"/>
    <cellStyle name="40% - Accent3 2 6 5 3" xfId="31975"/>
    <cellStyle name="40% - Accent3 2 6 5 3 2" xfId="31976"/>
    <cellStyle name="40% - Accent3 2 6 5 3 2 2" xfId="31977"/>
    <cellStyle name="40% - Accent3 2 6 5 3 3" xfId="31978"/>
    <cellStyle name="40% - Accent3 2 6 5 4" xfId="31979"/>
    <cellStyle name="40% - Accent3 2 6 5 4 2" xfId="31980"/>
    <cellStyle name="40% - Accent3 2 6 5 5" xfId="31981"/>
    <cellStyle name="40% - Accent3 2 6 6" xfId="31982"/>
    <cellStyle name="40% - Accent3 2 6 6 2" xfId="31983"/>
    <cellStyle name="40% - Accent3 2 6 6 2 2" xfId="31984"/>
    <cellStyle name="40% - Accent3 2 6 6 2 2 2" xfId="31985"/>
    <cellStyle name="40% - Accent3 2 6 6 2 2 2 2" xfId="31986"/>
    <cellStyle name="40% - Accent3 2 6 6 2 2 3" xfId="31987"/>
    <cellStyle name="40% - Accent3 2 6 6 2 3" xfId="31988"/>
    <cellStyle name="40% - Accent3 2 6 6 2 3 2" xfId="31989"/>
    <cellStyle name="40% - Accent3 2 6 6 2 4" xfId="31990"/>
    <cellStyle name="40% - Accent3 2 6 6 3" xfId="31991"/>
    <cellStyle name="40% - Accent3 2 6 6 3 2" xfId="31992"/>
    <cellStyle name="40% - Accent3 2 6 6 3 2 2" xfId="31993"/>
    <cellStyle name="40% - Accent3 2 6 6 3 3" xfId="31994"/>
    <cellStyle name="40% - Accent3 2 6 6 4" xfId="31995"/>
    <cellStyle name="40% - Accent3 2 6 6 4 2" xfId="31996"/>
    <cellStyle name="40% - Accent3 2 6 6 5" xfId="31997"/>
    <cellStyle name="40% - Accent3 2 6 7" xfId="31998"/>
    <cellStyle name="40% - Accent3 2 6 7 2" xfId="31999"/>
    <cellStyle name="40% - Accent3 2 6 7 2 2" xfId="32000"/>
    <cellStyle name="40% - Accent3 2 6 7 2 2 2" xfId="32001"/>
    <cellStyle name="40% - Accent3 2 6 7 2 2 2 2" xfId="32002"/>
    <cellStyle name="40% - Accent3 2 6 7 2 2 3" xfId="32003"/>
    <cellStyle name="40% - Accent3 2 6 7 2 3" xfId="32004"/>
    <cellStyle name="40% - Accent3 2 6 7 2 3 2" xfId="32005"/>
    <cellStyle name="40% - Accent3 2 6 7 2 4" xfId="32006"/>
    <cellStyle name="40% - Accent3 2 6 7 3" xfId="32007"/>
    <cellStyle name="40% - Accent3 2 6 7 3 2" xfId="32008"/>
    <cellStyle name="40% - Accent3 2 6 7 3 2 2" xfId="32009"/>
    <cellStyle name="40% - Accent3 2 6 7 3 3" xfId="32010"/>
    <cellStyle name="40% - Accent3 2 6 7 4" xfId="32011"/>
    <cellStyle name="40% - Accent3 2 6 7 4 2" xfId="32012"/>
    <cellStyle name="40% - Accent3 2 6 7 5" xfId="32013"/>
    <cellStyle name="40% - Accent3 2 6 8" xfId="32014"/>
    <cellStyle name="40% - Accent3 2 6 8 2" xfId="32015"/>
    <cellStyle name="40% - Accent3 2 6 8 2 2" xfId="32016"/>
    <cellStyle name="40% - Accent3 2 6 8 2 2 2" xfId="32017"/>
    <cellStyle name="40% - Accent3 2 6 8 2 3" xfId="32018"/>
    <cellStyle name="40% - Accent3 2 6 8 3" xfId="32019"/>
    <cellStyle name="40% - Accent3 2 6 8 3 2" xfId="32020"/>
    <cellStyle name="40% - Accent3 2 6 8 4" xfId="32021"/>
    <cellStyle name="40% - Accent3 2 6 9" xfId="32022"/>
    <cellStyle name="40% - Accent3 2 6 9 2" xfId="32023"/>
    <cellStyle name="40% - Accent3 2 6 9 2 2" xfId="32024"/>
    <cellStyle name="40% - Accent3 2 6 9 3" xfId="32025"/>
    <cellStyle name="40% - Accent3 2 7" xfId="32026"/>
    <cellStyle name="40% - Accent3 2 7 10" xfId="32027"/>
    <cellStyle name="40% - Accent3 2 7 10 2" xfId="32028"/>
    <cellStyle name="40% - Accent3 2 7 11" xfId="32029"/>
    <cellStyle name="40% - Accent3 2 7 2" xfId="32030"/>
    <cellStyle name="40% - Accent3 2 7 2 10" xfId="32031"/>
    <cellStyle name="40% - Accent3 2 7 2 2" xfId="32032"/>
    <cellStyle name="40% - Accent3 2 7 2 2 2" xfId="32033"/>
    <cellStyle name="40% - Accent3 2 7 2 2 2 2" xfId="32034"/>
    <cellStyle name="40% - Accent3 2 7 2 2 2 2 2" xfId="32035"/>
    <cellStyle name="40% - Accent3 2 7 2 2 2 2 2 2" xfId="32036"/>
    <cellStyle name="40% - Accent3 2 7 2 2 2 2 3" xfId="32037"/>
    <cellStyle name="40% - Accent3 2 7 2 2 2 3" xfId="32038"/>
    <cellStyle name="40% - Accent3 2 7 2 2 2 3 2" xfId="32039"/>
    <cellStyle name="40% - Accent3 2 7 2 2 2 4" xfId="32040"/>
    <cellStyle name="40% - Accent3 2 7 2 2 3" xfId="32041"/>
    <cellStyle name="40% - Accent3 2 7 2 2 3 2" xfId="32042"/>
    <cellStyle name="40% - Accent3 2 7 2 2 3 2 2" xfId="32043"/>
    <cellStyle name="40% - Accent3 2 7 2 2 3 3" xfId="32044"/>
    <cellStyle name="40% - Accent3 2 7 2 2 4" xfId="32045"/>
    <cellStyle name="40% - Accent3 2 7 2 2 4 2" xfId="32046"/>
    <cellStyle name="40% - Accent3 2 7 2 2 5" xfId="32047"/>
    <cellStyle name="40% - Accent3 2 7 2 3" xfId="32048"/>
    <cellStyle name="40% - Accent3 2 7 2 3 2" xfId="32049"/>
    <cellStyle name="40% - Accent3 2 7 2 3 2 2" xfId="32050"/>
    <cellStyle name="40% - Accent3 2 7 2 3 2 2 2" xfId="32051"/>
    <cellStyle name="40% - Accent3 2 7 2 3 2 2 2 2" xfId="32052"/>
    <cellStyle name="40% - Accent3 2 7 2 3 2 2 3" xfId="32053"/>
    <cellStyle name="40% - Accent3 2 7 2 3 2 3" xfId="32054"/>
    <cellStyle name="40% - Accent3 2 7 2 3 2 3 2" xfId="32055"/>
    <cellStyle name="40% - Accent3 2 7 2 3 2 4" xfId="32056"/>
    <cellStyle name="40% - Accent3 2 7 2 3 3" xfId="32057"/>
    <cellStyle name="40% - Accent3 2 7 2 3 3 2" xfId="32058"/>
    <cellStyle name="40% - Accent3 2 7 2 3 3 2 2" xfId="32059"/>
    <cellStyle name="40% - Accent3 2 7 2 3 3 3" xfId="32060"/>
    <cellStyle name="40% - Accent3 2 7 2 3 4" xfId="32061"/>
    <cellStyle name="40% - Accent3 2 7 2 3 4 2" xfId="32062"/>
    <cellStyle name="40% - Accent3 2 7 2 3 5" xfId="32063"/>
    <cellStyle name="40% - Accent3 2 7 2 4" xfId="32064"/>
    <cellStyle name="40% - Accent3 2 7 2 4 2" xfId="32065"/>
    <cellStyle name="40% - Accent3 2 7 2 4 2 2" xfId="32066"/>
    <cellStyle name="40% - Accent3 2 7 2 4 2 2 2" xfId="32067"/>
    <cellStyle name="40% - Accent3 2 7 2 4 2 2 2 2" xfId="32068"/>
    <cellStyle name="40% - Accent3 2 7 2 4 2 2 3" xfId="32069"/>
    <cellStyle name="40% - Accent3 2 7 2 4 2 3" xfId="32070"/>
    <cellStyle name="40% - Accent3 2 7 2 4 2 3 2" xfId="32071"/>
    <cellStyle name="40% - Accent3 2 7 2 4 2 4" xfId="32072"/>
    <cellStyle name="40% - Accent3 2 7 2 4 3" xfId="32073"/>
    <cellStyle name="40% - Accent3 2 7 2 4 3 2" xfId="32074"/>
    <cellStyle name="40% - Accent3 2 7 2 4 3 2 2" xfId="32075"/>
    <cellStyle name="40% - Accent3 2 7 2 4 3 3" xfId="32076"/>
    <cellStyle name="40% - Accent3 2 7 2 4 4" xfId="32077"/>
    <cellStyle name="40% - Accent3 2 7 2 4 4 2" xfId="32078"/>
    <cellStyle name="40% - Accent3 2 7 2 4 5" xfId="32079"/>
    <cellStyle name="40% - Accent3 2 7 2 5" xfId="32080"/>
    <cellStyle name="40% - Accent3 2 7 2 5 2" xfId="32081"/>
    <cellStyle name="40% - Accent3 2 7 2 5 2 2" xfId="32082"/>
    <cellStyle name="40% - Accent3 2 7 2 5 2 2 2" xfId="32083"/>
    <cellStyle name="40% - Accent3 2 7 2 5 2 2 2 2" xfId="32084"/>
    <cellStyle name="40% - Accent3 2 7 2 5 2 2 3" xfId="32085"/>
    <cellStyle name="40% - Accent3 2 7 2 5 2 3" xfId="32086"/>
    <cellStyle name="40% - Accent3 2 7 2 5 2 3 2" xfId="32087"/>
    <cellStyle name="40% - Accent3 2 7 2 5 2 4" xfId="32088"/>
    <cellStyle name="40% - Accent3 2 7 2 5 3" xfId="32089"/>
    <cellStyle name="40% - Accent3 2 7 2 5 3 2" xfId="32090"/>
    <cellStyle name="40% - Accent3 2 7 2 5 3 2 2" xfId="32091"/>
    <cellStyle name="40% - Accent3 2 7 2 5 3 3" xfId="32092"/>
    <cellStyle name="40% - Accent3 2 7 2 5 4" xfId="32093"/>
    <cellStyle name="40% - Accent3 2 7 2 5 4 2" xfId="32094"/>
    <cellStyle name="40% - Accent3 2 7 2 5 5" xfId="32095"/>
    <cellStyle name="40% - Accent3 2 7 2 6" xfId="32096"/>
    <cellStyle name="40% - Accent3 2 7 2 6 2" xfId="32097"/>
    <cellStyle name="40% - Accent3 2 7 2 6 2 2" xfId="32098"/>
    <cellStyle name="40% - Accent3 2 7 2 6 2 2 2" xfId="32099"/>
    <cellStyle name="40% - Accent3 2 7 2 6 2 2 2 2" xfId="32100"/>
    <cellStyle name="40% - Accent3 2 7 2 6 2 2 3" xfId="32101"/>
    <cellStyle name="40% - Accent3 2 7 2 6 2 3" xfId="32102"/>
    <cellStyle name="40% - Accent3 2 7 2 6 2 3 2" xfId="32103"/>
    <cellStyle name="40% - Accent3 2 7 2 6 2 4" xfId="32104"/>
    <cellStyle name="40% - Accent3 2 7 2 6 3" xfId="32105"/>
    <cellStyle name="40% - Accent3 2 7 2 6 3 2" xfId="32106"/>
    <cellStyle name="40% - Accent3 2 7 2 6 3 2 2" xfId="32107"/>
    <cellStyle name="40% - Accent3 2 7 2 6 3 3" xfId="32108"/>
    <cellStyle name="40% - Accent3 2 7 2 6 4" xfId="32109"/>
    <cellStyle name="40% - Accent3 2 7 2 6 4 2" xfId="32110"/>
    <cellStyle name="40% - Accent3 2 7 2 6 5" xfId="32111"/>
    <cellStyle name="40% - Accent3 2 7 2 7" xfId="32112"/>
    <cellStyle name="40% - Accent3 2 7 2 7 2" xfId="32113"/>
    <cellStyle name="40% - Accent3 2 7 2 7 2 2" xfId="32114"/>
    <cellStyle name="40% - Accent3 2 7 2 7 2 2 2" xfId="32115"/>
    <cellStyle name="40% - Accent3 2 7 2 7 2 3" xfId="32116"/>
    <cellStyle name="40% - Accent3 2 7 2 7 3" xfId="32117"/>
    <cellStyle name="40% - Accent3 2 7 2 7 3 2" xfId="32118"/>
    <cellStyle name="40% - Accent3 2 7 2 7 4" xfId="32119"/>
    <cellStyle name="40% - Accent3 2 7 2 8" xfId="32120"/>
    <cellStyle name="40% - Accent3 2 7 2 8 2" xfId="32121"/>
    <cellStyle name="40% - Accent3 2 7 2 8 2 2" xfId="32122"/>
    <cellStyle name="40% - Accent3 2 7 2 8 3" xfId="32123"/>
    <cellStyle name="40% - Accent3 2 7 2 9" xfId="32124"/>
    <cellStyle name="40% - Accent3 2 7 2 9 2" xfId="32125"/>
    <cellStyle name="40% - Accent3 2 7 3" xfId="32126"/>
    <cellStyle name="40% - Accent3 2 7 3 2" xfId="32127"/>
    <cellStyle name="40% - Accent3 2 7 3 2 2" xfId="32128"/>
    <cellStyle name="40% - Accent3 2 7 3 2 2 2" xfId="32129"/>
    <cellStyle name="40% - Accent3 2 7 3 2 2 2 2" xfId="32130"/>
    <cellStyle name="40% - Accent3 2 7 3 2 2 3" xfId="32131"/>
    <cellStyle name="40% - Accent3 2 7 3 2 3" xfId="32132"/>
    <cellStyle name="40% - Accent3 2 7 3 2 3 2" xfId="32133"/>
    <cellStyle name="40% - Accent3 2 7 3 2 4" xfId="32134"/>
    <cellStyle name="40% - Accent3 2 7 3 3" xfId="32135"/>
    <cellStyle name="40% - Accent3 2 7 3 3 2" xfId="32136"/>
    <cellStyle name="40% - Accent3 2 7 3 3 2 2" xfId="32137"/>
    <cellStyle name="40% - Accent3 2 7 3 3 3" xfId="32138"/>
    <cellStyle name="40% - Accent3 2 7 3 4" xfId="32139"/>
    <cellStyle name="40% - Accent3 2 7 3 4 2" xfId="32140"/>
    <cellStyle name="40% - Accent3 2 7 3 5" xfId="32141"/>
    <cellStyle name="40% - Accent3 2 7 4" xfId="32142"/>
    <cellStyle name="40% - Accent3 2 7 4 2" xfId="32143"/>
    <cellStyle name="40% - Accent3 2 7 4 2 2" xfId="32144"/>
    <cellStyle name="40% - Accent3 2 7 4 2 2 2" xfId="32145"/>
    <cellStyle name="40% - Accent3 2 7 4 2 2 2 2" xfId="32146"/>
    <cellStyle name="40% - Accent3 2 7 4 2 2 3" xfId="32147"/>
    <cellStyle name="40% - Accent3 2 7 4 2 3" xfId="32148"/>
    <cellStyle name="40% - Accent3 2 7 4 2 3 2" xfId="32149"/>
    <cellStyle name="40% - Accent3 2 7 4 2 4" xfId="32150"/>
    <cellStyle name="40% - Accent3 2 7 4 3" xfId="32151"/>
    <cellStyle name="40% - Accent3 2 7 4 3 2" xfId="32152"/>
    <cellStyle name="40% - Accent3 2 7 4 3 2 2" xfId="32153"/>
    <cellStyle name="40% - Accent3 2 7 4 3 3" xfId="32154"/>
    <cellStyle name="40% - Accent3 2 7 4 4" xfId="32155"/>
    <cellStyle name="40% - Accent3 2 7 4 4 2" xfId="32156"/>
    <cellStyle name="40% - Accent3 2 7 4 5" xfId="32157"/>
    <cellStyle name="40% - Accent3 2 7 5" xfId="32158"/>
    <cellStyle name="40% - Accent3 2 7 5 2" xfId="32159"/>
    <cellStyle name="40% - Accent3 2 7 5 2 2" xfId="32160"/>
    <cellStyle name="40% - Accent3 2 7 5 2 2 2" xfId="32161"/>
    <cellStyle name="40% - Accent3 2 7 5 2 2 2 2" xfId="32162"/>
    <cellStyle name="40% - Accent3 2 7 5 2 2 3" xfId="32163"/>
    <cellStyle name="40% - Accent3 2 7 5 2 3" xfId="32164"/>
    <cellStyle name="40% - Accent3 2 7 5 2 3 2" xfId="32165"/>
    <cellStyle name="40% - Accent3 2 7 5 2 4" xfId="32166"/>
    <cellStyle name="40% - Accent3 2 7 5 3" xfId="32167"/>
    <cellStyle name="40% - Accent3 2 7 5 3 2" xfId="32168"/>
    <cellStyle name="40% - Accent3 2 7 5 3 2 2" xfId="32169"/>
    <cellStyle name="40% - Accent3 2 7 5 3 3" xfId="32170"/>
    <cellStyle name="40% - Accent3 2 7 5 4" xfId="32171"/>
    <cellStyle name="40% - Accent3 2 7 5 4 2" xfId="32172"/>
    <cellStyle name="40% - Accent3 2 7 5 5" xfId="32173"/>
    <cellStyle name="40% - Accent3 2 7 6" xfId="32174"/>
    <cellStyle name="40% - Accent3 2 7 6 2" xfId="32175"/>
    <cellStyle name="40% - Accent3 2 7 6 2 2" xfId="32176"/>
    <cellStyle name="40% - Accent3 2 7 6 2 2 2" xfId="32177"/>
    <cellStyle name="40% - Accent3 2 7 6 2 2 2 2" xfId="32178"/>
    <cellStyle name="40% - Accent3 2 7 6 2 2 3" xfId="32179"/>
    <cellStyle name="40% - Accent3 2 7 6 2 3" xfId="32180"/>
    <cellStyle name="40% - Accent3 2 7 6 2 3 2" xfId="32181"/>
    <cellStyle name="40% - Accent3 2 7 6 2 4" xfId="32182"/>
    <cellStyle name="40% - Accent3 2 7 6 3" xfId="32183"/>
    <cellStyle name="40% - Accent3 2 7 6 3 2" xfId="32184"/>
    <cellStyle name="40% - Accent3 2 7 6 3 2 2" xfId="32185"/>
    <cellStyle name="40% - Accent3 2 7 6 3 3" xfId="32186"/>
    <cellStyle name="40% - Accent3 2 7 6 4" xfId="32187"/>
    <cellStyle name="40% - Accent3 2 7 6 4 2" xfId="32188"/>
    <cellStyle name="40% - Accent3 2 7 6 5" xfId="32189"/>
    <cellStyle name="40% - Accent3 2 7 7" xfId="32190"/>
    <cellStyle name="40% - Accent3 2 7 7 2" xfId="32191"/>
    <cellStyle name="40% - Accent3 2 7 7 2 2" xfId="32192"/>
    <cellStyle name="40% - Accent3 2 7 7 2 2 2" xfId="32193"/>
    <cellStyle name="40% - Accent3 2 7 7 2 2 2 2" xfId="32194"/>
    <cellStyle name="40% - Accent3 2 7 7 2 2 3" xfId="32195"/>
    <cellStyle name="40% - Accent3 2 7 7 2 3" xfId="32196"/>
    <cellStyle name="40% - Accent3 2 7 7 2 3 2" xfId="32197"/>
    <cellStyle name="40% - Accent3 2 7 7 2 4" xfId="32198"/>
    <cellStyle name="40% - Accent3 2 7 7 3" xfId="32199"/>
    <cellStyle name="40% - Accent3 2 7 7 3 2" xfId="32200"/>
    <cellStyle name="40% - Accent3 2 7 7 3 2 2" xfId="32201"/>
    <cellStyle name="40% - Accent3 2 7 7 3 3" xfId="32202"/>
    <cellStyle name="40% - Accent3 2 7 7 4" xfId="32203"/>
    <cellStyle name="40% - Accent3 2 7 7 4 2" xfId="32204"/>
    <cellStyle name="40% - Accent3 2 7 7 5" xfId="32205"/>
    <cellStyle name="40% - Accent3 2 7 8" xfId="32206"/>
    <cellStyle name="40% - Accent3 2 7 8 2" xfId="32207"/>
    <cellStyle name="40% - Accent3 2 7 8 2 2" xfId="32208"/>
    <cellStyle name="40% - Accent3 2 7 8 2 2 2" xfId="32209"/>
    <cellStyle name="40% - Accent3 2 7 8 2 3" xfId="32210"/>
    <cellStyle name="40% - Accent3 2 7 8 3" xfId="32211"/>
    <cellStyle name="40% - Accent3 2 7 8 3 2" xfId="32212"/>
    <cellStyle name="40% - Accent3 2 7 8 4" xfId="32213"/>
    <cellStyle name="40% - Accent3 2 7 9" xfId="32214"/>
    <cellStyle name="40% - Accent3 2 7 9 2" xfId="32215"/>
    <cellStyle name="40% - Accent3 2 7 9 2 2" xfId="32216"/>
    <cellStyle name="40% - Accent3 2 7 9 3" xfId="32217"/>
    <cellStyle name="40% - Accent3 2 8" xfId="32218"/>
    <cellStyle name="40% - Accent3 2 8 10" xfId="32219"/>
    <cellStyle name="40% - Accent3 2 8 10 2" xfId="32220"/>
    <cellStyle name="40% - Accent3 2 8 11" xfId="32221"/>
    <cellStyle name="40% - Accent3 2 8 2" xfId="32222"/>
    <cellStyle name="40% - Accent3 2 8 2 10" xfId="32223"/>
    <cellStyle name="40% - Accent3 2 8 2 2" xfId="32224"/>
    <cellStyle name="40% - Accent3 2 8 2 2 2" xfId="32225"/>
    <cellStyle name="40% - Accent3 2 8 2 2 2 2" xfId="32226"/>
    <cellStyle name="40% - Accent3 2 8 2 2 2 2 2" xfId="32227"/>
    <cellStyle name="40% - Accent3 2 8 2 2 2 2 2 2" xfId="32228"/>
    <cellStyle name="40% - Accent3 2 8 2 2 2 2 3" xfId="32229"/>
    <cellStyle name="40% - Accent3 2 8 2 2 2 3" xfId="32230"/>
    <cellStyle name="40% - Accent3 2 8 2 2 2 3 2" xfId="32231"/>
    <cellStyle name="40% - Accent3 2 8 2 2 2 4" xfId="32232"/>
    <cellStyle name="40% - Accent3 2 8 2 2 3" xfId="32233"/>
    <cellStyle name="40% - Accent3 2 8 2 2 3 2" xfId="32234"/>
    <cellStyle name="40% - Accent3 2 8 2 2 3 2 2" xfId="32235"/>
    <cellStyle name="40% - Accent3 2 8 2 2 3 3" xfId="32236"/>
    <cellStyle name="40% - Accent3 2 8 2 2 4" xfId="32237"/>
    <cellStyle name="40% - Accent3 2 8 2 2 4 2" xfId="32238"/>
    <cellStyle name="40% - Accent3 2 8 2 2 5" xfId="32239"/>
    <cellStyle name="40% - Accent3 2 8 2 3" xfId="32240"/>
    <cellStyle name="40% - Accent3 2 8 2 3 2" xfId="32241"/>
    <cellStyle name="40% - Accent3 2 8 2 3 2 2" xfId="32242"/>
    <cellStyle name="40% - Accent3 2 8 2 3 2 2 2" xfId="32243"/>
    <cellStyle name="40% - Accent3 2 8 2 3 2 2 2 2" xfId="32244"/>
    <cellStyle name="40% - Accent3 2 8 2 3 2 2 3" xfId="32245"/>
    <cellStyle name="40% - Accent3 2 8 2 3 2 3" xfId="32246"/>
    <cellStyle name="40% - Accent3 2 8 2 3 2 3 2" xfId="32247"/>
    <cellStyle name="40% - Accent3 2 8 2 3 2 4" xfId="32248"/>
    <cellStyle name="40% - Accent3 2 8 2 3 3" xfId="32249"/>
    <cellStyle name="40% - Accent3 2 8 2 3 3 2" xfId="32250"/>
    <cellStyle name="40% - Accent3 2 8 2 3 3 2 2" xfId="32251"/>
    <cellStyle name="40% - Accent3 2 8 2 3 3 3" xfId="32252"/>
    <cellStyle name="40% - Accent3 2 8 2 3 4" xfId="32253"/>
    <cellStyle name="40% - Accent3 2 8 2 3 4 2" xfId="32254"/>
    <cellStyle name="40% - Accent3 2 8 2 3 5" xfId="32255"/>
    <cellStyle name="40% - Accent3 2 8 2 4" xfId="32256"/>
    <cellStyle name="40% - Accent3 2 8 2 4 2" xfId="32257"/>
    <cellStyle name="40% - Accent3 2 8 2 4 2 2" xfId="32258"/>
    <cellStyle name="40% - Accent3 2 8 2 4 2 2 2" xfId="32259"/>
    <cellStyle name="40% - Accent3 2 8 2 4 2 2 2 2" xfId="32260"/>
    <cellStyle name="40% - Accent3 2 8 2 4 2 2 3" xfId="32261"/>
    <cellStyle name="40% - Accent3 2 8 2 4 2 3" xfId="32262"/>
    <cellStyle name="40% - Accent3 2 8 2 4 2 3 2" xfId="32263"/>
    <cellStyle name="40% - Accent3 2 8 2 4 2 4" xfId="32264"/>
    <cellStyle name="40% - Accent3 2 8 2 4 3" xfId="32265"/>
    <cellStyle name="40% - Accent3 2 8 2 4 3 2" xfId="32266"/>
    <cellStyle name="40% - Accent3 2 8 2 4 3 2 2" xfId="32267"/>
    <cellStyle name="40% - Accent3 2 8 2 4 3 3" xfId="32268"/>
    <cellStyle name="40% - Accent3 2 8 2 4 4" xfId="32269"/>
    <cellStyle name="40% - Accent3 2 8 2 4 4 2" xfId="32270"/>
    <cellStyle name="40% - Accent3 2 8 2 4 5" xfId="32271"/>
    <cellStyle name="40% - Accent3 2 8 2 5" xfId="32272"/>
    <cellStyle name="40% - Accent3 2 8 2 5 2" xfId="32273"/>
    <cellStyle name="40% - Accent3 2 8 2 5 2 2" xfId="32274"/>
    <cellStyle name="40% - Accent3 2 8 2 5 2 2 2" xfId="32275"/>
    <cellStyle name="40% - Accent3 2 8 2 5 2 2 2 2" xfId="32276"/>
    <cellStyle name="40% - Accent3 2 8 2 5 2 2 3" xfId="32277"/>
    <cellStyle name="40% - Accent3 2 8 2 5 2 3" xfId="32278"/>
    <cellStyle name="40% - Accent3 2 8 2 5 2 3 2" xfId="32279"/>
    <cellStyle name="40% - Accent3 2 8 2 5 2 4" xfId="32280"/>
    <cellStyle name="40% - Accent3 2 8 2 5 3" xfId="32281"/>
    <cellStyle name="40% - Accent3 2 8 2 5 3 2" xfId="32282"/>
    <cellStyle name="40% - Accent3 2 8 2 5 3 2 2" xfId="32283"/>
    <cellStyle name="40% - Accent3 2 8 2 5 3 3" xfId="32284"/>
    <cellStyle name="40% - Accent3 2 8 2 5 4" xfId="32285"/>
    <cellStyle name="40% - Accent3 2 8 2 5 4 2" xfId="32286"/>
    <cellStyle name="40% - Accent3 2 8 2 5 5" xfId="32287"/>
    <cellStyle name="40% - Accent3 2 8 2 6" xfId="32288"/>
    <cellStyle name="40% - Accent3 2 8 2 6 2" xfId="32289"/>
    <cellStyle name="40% - Accent3 2 8 2 6 2 2" xfId="32290"/>
    <cellStyle name="40% - Accent3 2 8 2 6 2 2 2" xfId="32291"/>
    <cellStyle name="40% - Accent3 2 8 2 6 2 2 2 2" xfId="32292"/>
    <cellStyle name="40% - Accent3 2 8 2 6 2 2 3" xfId="32293"/>
    <cellStyle name="40% - Accent3 2 8 2 6 2 3" xfId="32294"/>
    <cellStyle name="40% - Accent3 2 8 2 6 2 3 2" xfId="32295"/>
    <cellStyle name="40% - Accent3 2 8 2 6 2 4" xfId="32296"/>
    <cellStyle name="40% - Accent3 2 8 2 6 3" xfId="32297"/>
    <cellStyle name="40% - Accent3 2 8 2 6 3 2" xfId="32298"/>
    <cellStyle name="40% - Accent3 2 8 2 6 3 2 2" xfId="32299"/>
    <cellStyle name="40% - Accent3 2 8 2 6 3 3" xfId="32300"/>
    <cellStyle name="40% - Accent3 2 8 2 6 4" xfId="32301"/>
    <cellStyle name="40% - Accent3 2 8 2 6 4 2" xfId="32302"/>
    <cellStyle name="40% - Accent3 2 8 2 6 5" xfId="32303"/>
    <cellStyle name="40% - Accent3 2 8 2 7" xfId="32304"/>
    <cellStyle name="40% - Accent3 2 8 2 7 2" xfId="32305"/>
    <cellStyle name="40% - Accent3 2 8 2 7 2 2" xfId="32306"/>
    <cellStyle name="40% - Accent3 2 8 2 7 2 2 2" xfId="32307"/>
    <cellStyle name="40% - Accent3 2 8 2 7 2 3" xfId="32308"/>
    <cellStyle name="40% - Accent3 2 8 2 7 3" xfId="32309"/>
    <cellStyle name="40% - Accent3 2 8 2 7 3 2" xfId="32310"/>
    <cellStyle name="40% - Accent3 2 8 2 7 4" xfId="32311"/>
    <cellStyle name="40% - Accent3 2 8 2 8" xfId="32312"/>
    <cellStyle name="40% - Accent3 2 8 2 8 2" xfId="32313"/>
    <cellStyle name="40% - Accent3 2 8 2 8 2 2" xfId="32314"/>
    <cellStyle name="40% - Accent3 2 8 2 8 3" xfId="32315"/>
    <cellStyle name="40% - Accent3 2 8 2 9" xfId="32316"/>
    <cellStyle name="40% - Accent3 2 8 2 9 2" xfId="32317"/>
    <cellStyle name="40% - Accent3 2 8 3" xfId="32318"/>
    <cellStyle name="40% - Accent3 2 8 3 2" xfId="32319"/>
    <cellStyle name="40% - Accent3 2 8 3 2 2" xfId="32320"/>
    <cellStyle name="40% - Accent3 2 8 3 2 2 2" xfId="32321"/>
    <cellStyle name="40% - Accent3 2 8 3 2 2 2 2" xfId="32322"/>
    <cellStyle name="40% - Accent3 2 8 3 2 2 3" xfId="32323"/>
    <cellStyle name="40% - Accent3 2 8 3 2 3" xfId="32324"/>
    <cellStyle name="40% - Accent3 2 8 3 2 3 2" xfId="32325"/>
    <cellStyle name="40% - Accent3 2 8 3 2 4" xfId="32326"/>
    <cellStyle name="40% - Accent3 2 8 3 3" xfId="32327"/>
    <cellStyle name="40% - Accent3 2 8 3 3 2" xfId="32328"/>
    <cellStyle name="40% - Accent3 2 8 3 3 2 2" xfId="32329"/>
    <cellStyle name="40% - Accent3 2 8 3 3 3" xfId="32330"/>
    <cellStyle name="40% - Accent3 2 8 3 4" xfId="32331"/>
    <cellStyle name="40% - Accent3 2 8 3 4 2" xfId="32332"/>
    <cellStyle name="40% - Accent3 2 8 3 5" xfId="32333"/>
    <cellStyle name="40% - Accent3 2 8 4" xfId="32334"/>
    <cellStyle name="40% - Accent3 2 8 4 2" xfId="32335"/>
    <cellStyle name="40% - Accent3 2 8 4 2 2" xfId="32336"/>
    <cellStyle name="40% - Accent3 2 8 4 2 2 2" xfId="32337"/>
    <cellStyle name="40% - Accent3 2 8 4 2 2 2 2" xfId="32338"/>
    <cellStyle name="40% - Accent3 2 8 4 2 2 3" xfId="32339"/>
    <cellStyle name="40% - Accent3 2 8 4 2 3" xfId="32340"/>
    <cellStyle name="40% - Accent3 2 8 4 2 3 2" xfId="32341"/>
    <cellStyle name="40% - Accent3 2 8 4 2 4" xfId="32342"/>
    <cellStyle name="40% - Accent3 2 8 4 3" xfId="32343"/>
    <cellStyle name="40% - Accent3 2 8 4 3 2" xfId="32344"/>
    <cellStyle name="40% - Accent3 2 8 4 3 2 2" xfId="32345"/>
    <cellStyle name="40% - Accent3 2 8 4 3 3" xfId="32346"/>
    <cellStyle name="40% - Accent3 2 8 4 4" xfId="32347"/>
    <cellStyle name="40% - Accent3 2 8 4 4 2" xfId="32348"/>
    <cellStyle name="40% - Accent3 2 8 4 5" xfId="32349"/>
    <cellStyle name="40% - Accent3 2 8 5" xfId="32350"/>
    <cellStyle name="40% - Accent3 2 8 5 2" xfId="32351"/>
    <cellStyle name="40% - Accent3 2 8 5 2 2" xfId="32352"/>
    <cellStyle name="40% - Accent3 2 8 5 2 2 2" xfId="32353"/>
    <cellStyle name="40% - Accent3 2 8 5 2 2 2 2" xfId="32354"/>
    <cellStyle name="40% - Accent3 2 8 5 2 2 3" xfId="32355"/>
    <cellStyle name="40% - Accent3 2 8 5 2 3" xfId="32356"/>
    <cellStyle name="40% - Accent3 2 8 5 2 3 2" xfId="32357"/>
    <cellStyle name="40% - Accent3 2 8 5 2 4" xfId="32358"/>
    <cellStyle name="40% - Accent3 2 8 5 3" xfId="32359"/>
    <cellStyle name="40% - Accent3 2 8 5 3 2" xfId="32360"/>
    <cellStyle name="40% - Accent3 2 8 5 3 2 2" xfId="32361"/>
    <cellStyle name="40% - Accent3 2 8 5 3 3" xfId="32362"/>
    <cellStyle name="40% - Accent3 2 8 5 4" xfId="32363"/>
    <cellStyle name="40% - Accent3 2 8 5 4 2" xfId="32364"/>
    <cellStyle name="40% - Accent3 2 8 5 5" xfId="32365"/>
    <cellStyle name="40% - Accent3 2 8 6" xfId="32366"/>
    <cellStyle name="40% - Accent3 2 8 6 2" xfId="32367"/>
    <cellStyle name="40% - Accent3 2 8 6 2 2" xfId="32368"/>
    <cellStyle name="40% - Accent3 2 8 6 2 2 2" xfId="32369"/>
    <cellStyle name="40% - Accent3 2 8 6 2 2 2 2" xfId="32370"/>
    <cellStyle name="40% - Accent3 2 8 6 2 2 3" xfId="32371"/>
    <cellStyle name="40% - Accent3 2 8 6 2 3" xfId="32372"/>
    <cellStyle name="40% - Accent3 2 8 6 2 3 2" xfId="32373"/>
    <cellStyle name="40% - Accent3 2 8 6 2 4" xfId="32374"/>
    <cellStyle name="40% - Accent3 2 8 6 3" xfId="32375"/>
    <cellStyle name="40% - Accent3 2 8 6 3 2" xfId="32376"/>
    <cellStyle name="40% - Accent3 2 8 6 3 2 2" xfId="32377"/>
    <cellStyle name="40% - Accent3 2 8 6 3 3" xfId="32378"/>
    <cellStyle name="40% - Accent3 2 8 6 4" xfId="32379"/>
    <cellStyle name="40% - Accent3 2 8 6 4 2" xfId="32380"/>
    <cellStyle name="40% - Accent3 2 8 6 5" xfId="32381"/>
    <cellStyle name="40% - Accent3 2 8 7" xfId="32382"/>
    <cellStyle name="40% - Accent3 2 8 7 2" xfId="32383"/>
    <cellStyle name="40% - Accent3 2 8 7 2 2" xfId="32384"/>
    <cellStyle name="40% - Accent3 2 8 7 2 2 2" xfId="32385"/>
    <cellStyle name="40% - Accent3 2 8 7 2 2 2 2" xfId="32386"/>
    <cellStyle name="40% - Accent3 2 8 7 2 2 3" xfId="32387"/>
    <cellStyle name="40% - Accent3 2 8 7 2 3" xfId="32388"/>
    <cellStyle name="40% - Accent3 2 8 7 2 3 2" xfId="32389"/>
    <cellStyle name="40% - Accent3 2 8 7 2 4" xfId="32390"/>
    <cellStyle name="40% - Accent3 2 8 7 3" xfId="32391"/>
    <cellStyle name="40% - Accent3 2 8 7 3 2" xfId="32392"/>
    <cellStyle name="40% - Accent3 2 8 7 3 2 2" xfId="32393"/>
    <cellStyle name="40% - Accent3 2 8 7 3 3" xfId="32394"/>
    <cellStyle name="40% - Accent3 2 8 7 4" xfId="32395"/>
    <cellStyle name="40% - Accent3 2 8 7 4 2" xfId="32396"/>
    <cellStyle name="40% - Accent3 2 8 7 5" xfId="32397"/>
    <cellStyle name="40% - Accent3 2 8 8" xfId="32398"/>
    <cellStyle name="40% - Accent3 2 8 8 2" xfId="32399"/>
    <cellStyle name="40% - Accent3 2 8 8 2 2" xfId="32400"/>
    <cellStyle name="40% - Accent3 2 8 8 2 2 2" xfId="32401"/>
    <cellStyle name="40% - Accent3 2 8 8 2 3" xfId="32402"/>
    <cellStyle name="40% - Accent3 2 8 8 3" xfId="32403"/>
    <cellStyle name="40% - Accent3 2 8 8 3 2" xfId="32404"/>
    <cellStyle name="40% - Accent3 2 8 8 4" xfId="32405"/>
    <cellStyle name="40% - Accent3 2 8 9" xfId="32406"/>
    <cellStyle name="40% - Accent3 2 8 9 2" xfId="32407"/>
    <cellStyle name="40% - Accent3 2 8 9 2 2" xfId="32408"/>
    <cellStyle name="40% - Accent3 2 8 9 3" xfId="32409"/>
    <cellStyle name="40% - Accent3 2 9" xfId="32410"/>
    <cellStyle name="40% - Accent3 2 9 10" xfId="32411"/>
    <cellStyle name="40% - Accent3 2 9 10 2" xfId="32412"/>
    <cellStyle name="40% - Accent3 2 9 11" xfId="32413"/>
    <cellStyle name="40% - Accent3 2 9 2" xfId="32414"/>
    <cellStyle name="40% - Accent3 2 9 2 10" xfId="32415"/>
    <cellStyle name="40% - Accent3 2 9 2 2" xfId="32416"/>
    <cellStyle name="40% - Accent3 2 9 2 2 2" xfId="32417"/>
    <cellStyle name="40% - Accent3 2 9 2 2 2 2" xfId="32418"/>
    <cellStyle name="40% - Accent3 2 9 2 2 2 2 2" xfId="32419"/>
    <cellStyle name="40% - Accent3 2 9 2 2 2 2 2 2" xfId="32420"/>
    <cellStyle name="40% - Accent3 2 9 2 2 2 2 3" xfId="32421"/>
    <cellStyle name="40% - Accent3 2 9 2 2 2 3" xfId="32422"/>
    <cellStyle name="40% - Accent3 2 9 2 2 2 3 2" xfId="32423"/>
    <cellStyle name="40% - Accent3 2 9 2 2 2 4" xfId="32424"/>
    <cellStyle name="40% - Accent3 2 9 2 2 3" xfId="32425"/>
    <cellStyle name="40% - Accent3 2 9 2 2 3 2" xfId="32426"/>
    <cellStyle name="40% - Accent3 2 9 2 2 3 2 2" xfId="32427"/>
    <cellStyle name="40% - Accent3 2 9 2 2 3 3" xfId="32428"/>
    <cellStyle name="40% - Accent3 2 9 2 2 4" xfId="32429"/>
    <cellStyle name="40% - Accent3 2 9 2 2 4 2" xfId="32430"/>
    <cellStyle name="40% - Accent3 2 9 2 2 5" xfId="32431"/>
    <cellStyle name="40% - Accent3 2 9 2 3" xfId="32432"/>
    <cellStyle name="40% - Accent3 2 9 2 3 2" xfId="32433"/>
    <cellStyle name="40% - Accent3 2 9 2 3 2 2" xfId="32434"/>
    <cellStyle name="40% - Accent3 2 9 2 3 2 2 2" xfId="32435"/>
    <cellStyle name="40% - Accent3 2 9 2 3 2 2 2 2" xfId="32436"/>
    <cellStyle name="40% - Accent3 2 9 2 3 2 2 3" xfId="32437"/>
    <cellStyle name="40% - Accent3 2 9 2 3 2 3" xfId="32438"/>
    <cellStyle name="40% - Accent3 2 9 2 3 2 3 2" xfId="32439"/>
    <cellStyle name="40% - Accent3 2 9 2 3 2 4" xfId="32440"/>
    <cellStyle name="40% - Accent3 2 9 2 3 3" xfId="32441"/>
    <cellStyle name="40% - Accent3 2 9 2 3 3 2" xfId="32442"/>
    <cellStyle name="40% - Accent3 2 9 2 3 3 2 2" xfId="32443"/>
    <cellStyle name="40% - Accent3 2 9 2 3 3 3" xfId="32444"/>
    <cellStyle name="40% - Accent3 2 9 2 3 4" xfId="32445"/>
    <cellStyle name="40% - Accent3 2 9 2 3 4 2" xfId="32446"/>
    <cellStyle name="40% - Accent3 2 9 2 3 5" xfId="32447"/>
    <cellStyle name="40% - Accent3 2 9 2 4" xfId="32448"/>
    <cellStyle name="40% - Accent3 2 9 2 4 2" xfId="32449"/>
    <cellStyle name="40% - Accent3 2 9 2 4 2 2" xfId="32450"/>
    <cellStyle name="40% - Accent3 2 9 2 4 2 2 2" xfId="32451"/>
    <cellStyle name="40% - Accent3 2 9 2 4 2 2 2 2" xfId="32452"/>
    <cellStyle name="40% - Accent3 2 9 2 4 2 2 3" xfId="32453"/>
    <cellStyle name="40% - Accent3 2 9 2 4 2 3" xfId="32454"/>
    <cellStyle name="40% - Accent3 2 9 2 4 2 3 2" xfId="32455"/>
    <cellStyle name="40% - Accent3 2 9 2 4 2 4" xfId="32456"/>
    <cellStyle name="40% - Accent3 2 9 2 4 3" xfId="32457"/>
    <cellStyle name="40% - Accent3 2 9 2 4 3 2" xfId="32458"/>
    <cellStyle name="40% - Accent3 2 9 2 4 3 2 2" xfId="32459"/>
    <cellStyle name="40% - Accent3 2 9 2 4 3 3" xfId="32460"/>
    <cellStyle name="40% - Accent3 2 9 2 4 4" xfId="32461"/>
    <cellStyle name="40% - Accent3 2 9 2 4 4 2" xfId="32462"/>
    <cellStyle name="40% - Accent3 2 9 2 4 5" xfId="32463"/>
    <cellStyle name="40% - Accent3 2 9 2 5" xfId="32464"/>
    <cellStyle name="40% - Accent3 2 9 2 5 2" xfId="32465"/>
    <cellStyle name="40% - Accent3 2 9 2 5 2 2" xfId="32466"/>
    <cellStyle name="40% - Accent3 2 9 2 5 2 2 2" xfId="32467"/>
    <cellStyle name="40% - Accent3 2 9 2 5 2 2 2 2" xfId="32468"/>
    <cellStyle name="40% - Accent3 2 9 2 5 2 2 3" xfId="32469"/>
    <cellStyle name="40% - Accent3 2 9 2 5 2 3" xfId="32470"/>
    <cellStyle name="40% - Accent3 2 9 2 5 2 3 2" xfId="32471"/>
    <cellStyle name="40% - Accent3 2 9 2 5 2 4" xfId="32472"/>
    <cellStyle name="40% - Accent3 2 9 2 5 3" xfId="32473"/>
    <cellStyle name="40% - Accent3 2 9 2 5 3 2" xfId="32474"/>
    <cellStyle name="40% - Accent3 2 9 2 5 3 2 2" xfId="32475"/>
    <cellStyle name="40% - Accent3 2 9 2 5 3 3" xfId="32476"/>
    <cellStyle name="40% - Accent3 2 9 2 5 4" xfId="32477"/>
    <cellStyle name="40% - Accent3 2 9 2 5 4 2" xfId="32478"/>
    <cellStyle name="40% - Accent3 2 9 2 5 5" xfId="32479"/>
    <cellStyle name="40% - Accent3 2 9 2 6" xfId="32480"/>
    <cellStyle name="40% - Accent3 2 9 2 6 2" xfId="32481"/>
    <cellStyle name="40% - Accent3 2 9 2 6 2 2" xfId="32482"/>
    <cellStyle name="40% - Accent3 2 9 2 6 2 2 2" xfId="32483"/>
    <cellStyle name="40% - Accent3 2 9 2 6 2 2 2 2" xfId="32484"/>
    <cellStyle name="40% - Accent3 2 9 2 6 2 2 3" xfId="32485"/>
    <cellStyle name="40% - Accent3 2 9 2 6 2 3" xfId="32486"/>
    <cellStyle name="40% - Accent3 2 9 2 6 2 3 2" xfId="32487"/>
    <cellStyle name="40% - Accent3 2 9 2 6 2 4" xfId="32488"/>
    <cellStyle name="40% - Accent3 2 9 2 6 3" xfId="32489"/>
    <cellStyle name="40% - Accent3 2 9 2 6 3 2" xfId="32490"/>
    <cellStyle name="40% - Accent3 2 9 2 6 3 2 2" xfId="32491"/>
    <cellStyle name="40% - Accent3 2 9 2 6 3 3" xfId="32492"/>
    <cellStyle name="40% - Accent3 2 9 2 6 4" xfId="32493"/>
    <cellStyle name="40% - Accent3 2 9 2 6 4 2" xfId="32494"/>
    <cellStyle name="40% - Accent3 2 9 2 6 5" xfId="32495"/>
    <cellStyle name="40% - Accent3 2 9 2 7" xfId="32496"/>
    <cellStyle name="40% - Accent3 2 9 2 7 2" xfId="32497"/>
    <cellStyle name="40% - Accent3 2 9 2 7 2 2" xfId="32498"/>
    <cellStyle name="40% - Accent3 2 9 2 7 2 2 2" xfId="32499"/>
    <cellStyle name="40% - Accent3 2 9 2 7 2 3" xfId="32500"/>
    <cellStyle name="40% - Accent3 2 9 2 7 3" xfId="32501"/>
    <cellStyle name="40% - Accent3 2 9 2 7 3 2" xfId="32502"/>
    <cellStyle name="40% - Accent3 2 9 2 7 4" xfId="32503"/>
    <cellStyle name="40% - Accent3 2 9 2 8" xfId="32504"/>
    <cellStyle name="40% - Accent3 2 9 2 8 2" xfId="32505"/>
    <cellStyle name="40% - Accent3 2 9 2 8 2 2" xfId="32506"/>
    <cellStyle name="40% - Accent3 2 9 2 8 3" xfId="32507"/>
    <cellStyle name="40% - Accent3 2 9 2 9" xfId="32508"/>
    <cellStyle name="40% - Accent3 2 9 2 9 2" xfId="32509"/>
    <cellStyle name="40% - Accent3 2 9 3" xfId="32510"/>
    <cellStyle name="40% - Accent3 2 9 3 2" xfId="32511"/>
    <cellStyle name="40% - Accent3 2 9 3 2 2" xfId="32512"/>
    <cellStyle name="40% - Accent3 2 9 3 2 2 2" xfId="32513"/>
    <cellStyle name="40% - Accent3 2 9 3 2 2 2 2" xfId="32514"/>
    <cellStyle name="40% - Accent3 2 9 3 2 2 3" xfId="32515"/>
    <cellStyle name="40% - Accent3 2 9 3 2 3" xfId="32516"/>
    <cellStyle name="40% - Accent3 2 9 3 2 3 2" xfId="32517"/>
    <cellStyle name="40% - Accent3 2 9 3 2 4" xfId="32518"/>
    <cellStyle name="40% - Accent3 2 9 3 3" xfId="32519"/>
    <cellStyle name="40% - Accent3 2 9 3 3 2" xfId="32520"/>
    <cellStyle name="40% - Accent3 2 9 3 3 2 2" xfId="32521"/>
    <cellStyle name="40% - Accent3 2 9 3 3 3" xfId="32522"/>
    <cellStyle name="40% - Accent3 2 9 3 4" xfId="32523"/>
    <cellStyle name="40% - Accent3 2 9 3 4 2" xfId="32524"/>
    <cellStyle name="40% - Accent3 2 9 3 5" xfId="32525"/>
    <cellStyle name="40% - Accent3 2 9 4" xfId="32526"/>
    <cellStyle name="40% - Accent3 2 9 4 2" xfId="32527"/>
    <cellStyle name="40% - Accent3 2 9 4 2 2" xfId="32528"/>
    <cellStyle name="40% - Accent3 2 9 4 2 2 2" xfId="32529"/>
    <cellStyle name="40% - Accent3 2 9 4 2 2 2 2" xfId="32530"/>
    <cellStyle name="40% - Accent3 2 9 4 2 2 3" xfId="32531"/>
    <cellStyle name="40% - Accent3 2 9 4 2 3" xfId="32532"/>
    <cellStyle name="40% - Accent3 2 9 4 2 3 2" xfId="32533"/>
    <cellStyle name="40% - Accent3 2 9 4 2 4" xfId="32534"/>
    <cellStyle name="40% - Accent3 2 9 4 3" xfId="32535"/>
    <cellStyle name="40% - Accent3 2 9 4 3 2" xfId="32536"/>
    <cellStyle name="40% - Accent3 2 9 4 3 2 2" xfId="32537"/>
    <cellStyle name="40% - Accent3 2 9 4 3 3" xfId="32538"/>
    <cellStyle name="40% - Accent3 2 9 4 4" xfId="32539"/>
    <cellStyle name="40% - Accent3 2 9 4 4 2" xfId="32540"/>
    <cellStyle name="40% - Accent3 2 9 4 5" xfId="32541"/>
    <cellStyle name="40% - Accent3 2 9 5" xfId="32542"/>
    <cellStyle name="40% - Accent3 2 9 5 2" xfId="32543"/>
    <cellStyle name="40% - Accent3 2 9 5 2 2" xfId="32544"/>
    <cellStyle name="40% - Accent3 2 9 5 2 2 2" xfId="32545"/>
    <cellStyle name="40% - Accent3 2 9 5 2 2 2 2" xfId="32546"/>
    <cellStyle name="40% - Accent3 2 9 5 2 2 3" xfId="32547"/>
    <cellStyle name="40% - Accent3 2 9 5 2 3" xfId="32548"/>
    <cellStyle name="40% - Accent3 2 9 5 2 3 2" xfId="32549"/>
    <cellStyle name="40% - Accent3 2 9 5 2 4" xfId="32550"/>
    <cellStyle name="40% - Accent3 2 9 5 3" xfId="32551"/>
    <cellStyle name="40% - Accent3 2 9 5 3 2" xfId="32552"/>
    <cellStyle name="40% - Accent3 2 9 5 3 2 2" xfId="32553"/>
    <cellStyle name="40% - Accent3 2 9 5 3 3" xfId="32554"/>
    <cellStyle name="40% - Accent3 2 9 5 4" xfId="32555"/>
    <cellStyle name="40% - Accent3 2 9 5 4 2" xfId="32556"/>
    <cellStyle name="40% - Accent3 2 9 5 5" xfId="32557"/>
    <cellStyle name="40% - Accent3 2 9 6" xfId="32558"/>
    <cellStyle name="40% - Accent3 2 9 6 2" xfId="32559"/>
    <cellStyle name="40% - Accent3 2 9 6 2 2" xfId="32560"/>
    <cellStyle name="40% - Accent3 2 9 6 2 2 2" xfId="32561"/>
    <cellStyle name="40% - Accent3 2 9 6 2 2 2 2" xfId="32562"/>
    <cellStyle name="40% - Accent3 2 9 6 2 2 3" xfId="32563"/>
    <cellStyle name="40% - Accent3 2 9 6 2 3" xfId="32564"/>
    <cellStyle name="40% - Accent3 2 9 6 2 3 2" xfId="32565"/>
    <cellStyle name="40% - Accent3 2 9 6 2 4" xfId="32566"/>
    <cellStyle name="40% - Accent3 2 9 6 3" xfId="32567"/>
    <cellStyle name="40% - Accent3 2 9 6 3 2" xfId="32568"/>
    <cellStyle name="40% - Accent3 2 9 6 3 2 2" xfId="32569"/>
    <cellStyle name="40% - Accent3 2 9 6 3 3" xfId="32570"/>
    <cellStyle name="40% - Accent3 2 9 6 4" xfId="32571"/>
    <cellStyle name="40% - Accent3 2 9 6 4 2" xfId="32572"/>
    <cellStyle name="40% - Accent3 2 9 6 5" xfId="32573"/>
    <cellStyle name="40% - Accent3 2 9 7" xfId="32574"/>
    <cellStyle name="40% - Accent3 2 9 7 2" xfId="32575"/>
    <cellStyle name="40% - Accent3 2 9 7 2 2" xfId="32576"/>
    <cellStyle name="40% - Accent3 2 9 7 2 2 2" xfId="32577"/>
    <cellStyle name="40% - Accent3 2 9 7 2 2 2 2" xfId="32578"/>
    <cellStyle name="40% - Accent3 2 9 7 2 2 3" xfId="32579"/>
    <cellStyle name="40% - Accent3 2 9 7 2 3" xfId="32580"/>
    <cellStyle name="40% - Accent3 2 9 7 2 3 2" xfId="32581"/>
    <cellStyle name="40% - Accent3 2 9 7 2 4" xfId="32582"/>
    <cellStyle name="40% - Accent3 2 9 7 3" xfId="32583"/>
    <cellStyle name="40% - Accent3 2 9 7 3 2" xfId="32584"/>
    <cellStyle name="40% - Accent3 2 9 7 3 2 2" xfId="32585"/>
    <cellStyle name="40% - Accent3 2 9 7 3 3" xfId="32586"/>
    <cellStyle name="40% - Accent3 2 9 7 4" xfId="32587"/>
    <cellStyle name="40% - Accent3 2 9 7 4 2" xfId="32588"/>
    <cellStyle name="40% - Accent3 2 9 7 5" xfId="32589"/>
    <cellStyle name="40% - Accent3 2 9 8" xfId="32590"/>
    <cellStyle name="40% - Accent3 2 9 8 2" xfId="32591"/>
    <cellStyle name="40% - Accent3 2 9 8 2 2" xfId="32592"/>
    <cellStyle name="40% - Accent3 2 9 8 2 2 2" xfId="32593"/>
    <cellStyle name="40% - Accent3 2 9 8 2 3" xfId="32594"/>
    <cellStyle name="40% - Accent3 2 9 8 3" xfId="32595"/>
    <cellStyle name="40% - Accent3 2 9 8 3 2" xfId="32596"/>
    <cellStyle name="40% - Accent3 2 9 8 4" xfId="32597"/>
    <cellStyle name="40% - Accent3 2 9 9" xfId="32598"/>
    <cellStyle name="40% - Accent3 2 9 9 2" xfId="32599"/>
    <cellStyle name="40% - Accent3 2 9 9 2 2" xfId="32600"/>
    <cellStyle name="40% - Accent3 2 9 9 3" xfId="32601"/>
    <cellStyle name="40% - Accent3 20" xfId="32602"/>
    <cellStyle name="40% - Accent3 20 2" xfId="32603"/>
    <cellStyle name="40% - Accent3 20 2 2" xfId="32604"/>
    <cellStyle name="40% - Accent3 20 2 2 2" xfId="32605"/>
    <cellStyle name="40% - Accent3 20 2 2 2 2" xfId="32606"/>
    <cellStyle name="40% - Accent3 20 2 2 3" xfId="32607"/>
    <cellStyle name="40% - Accent3 20 2 3" xfId="32608"/>
    <cellStyle name="40% - Accent3 20 2 3 2" xfId="32609"/>
    <cellStyle name="40% - Accent3 20 2 4" xfId="32610"/>
    <cellStyle name="40% - Accent3 20 3" xfId="32611"/>
    <cellStyle name="40% - Accent3 20 3 2" xfId="32612"/>
    <cellStyle name="40% - Accent3 20 3 2 2" xfId="32613"/>
    <cellStyle name="40% - Accent3 20 3 3" xfId="32614"/>
    <cellStyle name="40% - Accent3 20 4" xfId="32615"/>
    <cellStyle name="40% - Accent3 20 4 2" xfId="32616"/>
    <cellStyle name="40% - Accent3 20 5" xfId="32617"/>
    <cellStyle name="40% - Accent3 21" xfId="32618"/>
    <cellStyle name="40% - Accent3 21 2" xfId="32619"/>
    <cellStyle name="40% - Accent3 21 2 2" xfId="32620"/>
    <cellStyle name="40% - Accent3 21 2 2 2" xfId="32621"/>
    <cellStyle name="40% - Accent3 21 2 3" xfId="32622"/>
    <cellStyle name="40% - Accent3 21 3" xfId="32623"/>
    <cellStyle name="40% - Accent3 21 3 2" xfId="32624"/>
    <cellStyle name="40% - Accent3 21 4" xfId="32625"/>
    <cellStyle name="40% - Accent3 22" xfId="32626"/>
    <cellStyle name="40% - Accent3 22 2" xfId="32627"/>
    <cellStyle name="40% - Accent3 22 2 2" xfId="32628"/>
    <cellStyle name="40% - Accent3 22 3" xfId="32629"/>
    <cellStyle name="40% - Accent3 23" xfId="32630"/>
    <cellStyle name="40% - Accent3 23 2" xfId="32631"/>
    <cellStyle name="40% - Accent3 24" xfId="32632"/>
    <cellStyle name="40% - Accent3 3" xfId="32633"/>
    <cellStyle name="40% - Accent3 3 10" xfId="32634"/>
    <cellStyle name="40% - Accent3 3 10 2" xfId="32635"/>
    <cellStyle name="40% - Accent3 3 11" xfId="32636"/>
    <cellStyle name="40% - Accent3 3 2" xfId="32637"/>
    <cellStyle name="40% - Accent3 3 2 10" xfId="32638"/>
    <cellStyle name="40% - Accent3 3 2 2" xfId="32639"/>
    <cellStyle name="40% - Accent3 3 2 2 2" xfId="32640"/>
    <cellStyle name="40% - Accent3 3 2 2 2 2" xfId="32641"/>
    <cellStyle name="40% - Accent3 3 2 2 2 2 2" xfId="32642"/>
    <cellStyle name="40% - Accent3 3 2 2 2 2 2 2" xfId="32643"/>
    <cellStyle name="40% - Accent3 3 2 2 2 2 3" xfId="32644"/>
    <cellStyle name="40% - Accent3 3 2 2 2 3" xfId="32645"/>
    <cellStyle name="40% - Accent3 3 2 2 2 3 2" xfId="32646"/>
    <cellStyle name="40% - Accent3 3 2 2 2 4" xfId="32647"/>
    <cellStyle name="40% - Accent3 3 2 2 3" xfId="32648"/>
    <cellStyle name="40% - Accent3 3 2 2 3 2" xfId="32649"/>
    <cellStyle name="40% - Accent3 3 2 2 3 2 2" xfId="32650"/>
    <cellStyle name="40% - Accent3 3 2 2 3 3" xfId="32651"/>
    <cellStyle name="40% - Accent3 3 2 2 4" xfId="32652"/>
    <cellStyle name="40% - Accent3 3 2 2 4 2" xfId="32653"/>
    <cellStyle name="40% - Accent3 3 2 2 5" xfId="32654"/>
    <cellStyle name="40% - Accent3 3 2 3" xfId="32655"/>
    <cellStyle name="40% - Accent3 3 2 3 2" xfId="32656"/>
    <cellStyle name="40% - Accent3 3 2 3 2 2" xfId="32657"/>
    <cellStyle name="40% - Accent3 3 2 3 2 2 2" xfId="32658"/>
    <cellStyle name="40% - Accent3 3 2 3 2 2 2 2" xfId="32659"/>
    <cellStyle name="40% - Accent3 3 2 3 2 2 3" xfId="32660"/>
    <cellStyle name="40% - Accent3 3 2 3 2 3" xfId="32661"/>
    <cellStyle name="40% - Accent3 3 2 3 2 3 2" xfId="32662"/>
    <cellStyle name="40% - Accent3 3 2 3 2 4" xfId="32663"/>
    <cellStyle name="40% - Accent3 3 2 3 3" xfId="32664"/>
    <cellStyle name="40% - Accent3 3 2 3 3 2" xfId="32665"/>
    <cellStyle name="40% - Accent3 3 2 3 3 2 2" xfId="32666"/>
    <cellStyle name="40% - Accent3 3 2 3 3 3" xfId="32667"/>
    <cellStyle name="40% - Accent3 3 2 3 4" xfId="32668"/>
    <cellStyle name="40% - Accent3 3 2 3 4 2" xfId="32669"/>
    <cellStyle name="40% - Accent3 3 2 3 5" xfId="32670"/>
    <cellStyle name="40% - Accent3 3 2 4" xfId="32671"/>
    <cellStyle name="40% - Accent3 3 2 4 2" xfId="32672"/>
    <cellStyle name="40% - Accent3 3 2 4 2 2" xfId="32673"/>
    <cellStyle name="40% - Accent3 3 2 4 2 2 2" xfId="32674"/>
    <cellStyle name="40% - Accent3 3 2 4 2 2 2 2" xfId="32675"/>
    <cellStyle name="40% - Accent3 3 2 4 2 2 3" xfId="32676"/>
    <cellStyle name="40% - Accent3 3 2 4 2 3" xfId="32677"/>
    <cellStyle name="40% - Accent3 3 2 4 2 3 2" xfId="32678"/>
    <cellStyle name="40% - Accent3 3 2 4 2 4" xfId="32679"/>
    <cellStyle name="40% - Accent3 3 2 4 3" xfId="32680"/>
    <cellStyle name="40% - Accent3 3 2 4 3 2" xfId="32681"/>
    <cellStyle name="40% - Accent3 3 2 4 3 2 2" xfId="32682"/>
    <cellStyle name="40% - Accent3 3 2 4 3 3" xfId="32683"/>
    <cellStyle name="40% - Accent3 3 2 4 4" xfId="32684"/>
    <cellStyle name="40% - Accent3 3 2 4 4 2" xfId="32685"/>
    <cellStyle name="40% - Accent3 3 2 4 5" xfId="32686"/>
    <cellStyle name="40% - Accent3 3 2 5" xfId="32687"/>
    <cellStyle name="40% - Accent3 3 2 5 2" xfId="32688"/>
    <cellStyle name="40% - Accent3 3 2 5 2 2" xfId="32689"/>
    <cellStyle name="40% - Accent3 3 2 5 2 2 2" xfId="32690"/>
    <cellStyle name="40% - Accent3 3 2 5 2 2 2 2" xfId="32691"/>
    <cellStyle name="40% - Accent3 3 2 5 2 2 3" xfId="32692"/>
    <cellStyle name="40% - Accent3 3 2 5 2 3" xfId="32693"/>
    <cellStyle name="40% - Accent3 3 2 5 2 3 2" xfId="32694"/>
    <cellStyle name="40% - Accent3 3 2 5 2 4" xfId="32695"/>
    <cellStyle name="40% - Accent3 3 2 5 3" xfId="32696"/>
    <cellStyle name="40% - Accent3 3 2 5 3 2" xfId="32697"/>
    <cellStyle name="40% - Accent3 3 2 5 3 2 2" xfId="32698"/>
    <cellStyle name="40% - Accent3 3 2 5 3 3" xfId="32699"/>
    <cellStyle name="40% - Accent3 3 2 5 4" xfId="32700"/>
    <cellStyle name="40% - Accent3 3 2 5 4 2" xfId="32701"/>
    <cellStyle name="40% - Accent3 3 2 5 5" xfId="32702"/>
    <cellStyle name="40% - Accent3 3 2 6" xfId="32703"/>
    <cellStyle name="40% - Accent3 3 2 6 2" xfId="32704"/>
    <cellStyle name="40% - Accent3 3 2 6 2 2" xfId="32705"/>
    <cellStyle name="40% - Accent3 3 2 6 2 2 2" xfId="32706"/>
    <cellStyle name="40% - Accent3 3 2 6 2 2 2 2" xfId="32707"/>
    <cellStyle name="40% - Accent3 3 2 6 2 2 3" xfId="32708"/>
    <cellStyle name="40% - Accent3 3 2 6 2 3" xfId="32709"/>
    <cellStyle name="40% - Accent3 3 2 6 2 3 2" xfId="32710"/>
    <cellStyle name="40% - Accent3 3 2 6 2 4" xfId="32711"/>
    <cellStyle name="40% - Accent3 3 2 6 3" xfId="32712"/>
    <cellStyle name="40% - Accent3 3 2 6 3 2" xfId="32713"/>
    <cellStyle name="40% - Accent3 3 2 6 3 2 2" xfId="32714"/>
    <cellStyle name="40% - Accent3 3 2 6 3 3" xfId="32715"/>
    <cellStyle name="40% - Accent3 3 2 6 4" xfId="32716"/>
    <cellStyle name="40% - Accent3 3 2 6 4 2" xfId="32717"/>
    <cellStyle name="40% - Accent3 3 2 6 5" xfId="32718"/>
    <cellStyle name="40% - Accent3 3 2 7" xfId="32719"/>
    <cellStyle name="40% - Accent3 3 2 7 2" xfId="32720"/>
    <cellStyle name="40% - Accent3 3 2 7 2 2" xfId="32721"/>
    <cellStyle name="40% - Accent3 3 2 7 2 2 2" xfId="32722"/>
    <cellStyle name="40% - Accent3 3 2 7 2 3" xfId="32723"/>
    <cellStyle name="40% - Accent3 3 2 7 3" xfId="32724"/>
    <cellStyle name="40% - Accent3 3 2 7 3 2" xfId="32725"/>
    <cellStyle name="40% - Accent3 3 2 7 4" xfId="32726"/>
    <cellStyle name="40% - Accent3 3 2 8" xfId="32727"/>
    <cellStyle name="40% - Accent3 3 2 8 2" xfId="32728"/>
    <cellStyle name="40% - Accent3 3 2 8 2 2" xfId="32729"/>
    <cellStyle name="40% - Accent3 3 2 8 3" xfId="32730"/>
    <cellStyle name="40% - Accent3 3 2 9" xfId="32731"/>
    <cellStyle name="40% - Accent3 3 2 9 2" xfId="32732"/>
    <cellStyle name="40% - Accent3 3 3" xfId="32733"/>
    <cellStyle name="40% - Accent3 3 3 2" xfId="32734"/>
    <cellStyle name="40% - Accent3 3 3 2 2" xfId="32735"/>
    <cellStyle name="40% - Accent3 3 3 2 2 2" xfId="32736"/>
    <cellStyle name="40% - Accent3 3 3 2 2 2 2" xfId="32737"/>
    <cellStyle name="40% - Accent3 3 3 2 2 3" xfId="32738"/>
    <cellStyle name="40% - Accent3 3 3 2 3" xfId="32739"/>
    <cellStyle name="40% - Accent3 3 3 2 3 2" xfId="32740"/>
    <cellStyle name="40% - Accent3 3 3 2 4" xfId="32741"/>
    <cellStyle name="40% - Accent3 3 3 3" xfId="32742"/>
    <cellStyle name="40% - Accent3 3 3 3 2" xfId="32743"/>
    <cellStyle name="40% - Accent3 3 3 3 2 2" xfId="32744"/>
    <cellStyle name="40% - Accent3 3 3 3 3" xfId="32745"/>
    <cellStyle name="40% - Accent3 3 3 4" xfId="32746"/>
    <cellStyle name="40% - Accent3 3 3 4 2" xfId="32747"/>
    <cellStyle name="40% - Accent3 3 3 5" xfId="32748"/>
    <cellStyle name="40% - Accent3 3 4" xfId="32749"/>
    <cellStyle name="40% - Accent3 3 4 2" xfId="32750"/>
    <cellStyle name="40% - Accent3 3 4 2 2" xfId="32751"/>
    <cellStyle name="40% - Accent3 3 4 2 2 2" xfId="32752"/>
    <cellStyle name="40% - Accent3 3 4 2 2 2 2" xfId="32753"/>
    <cellStyle name="40% - Accent3 3 4 2 2 3" xfId="32754"/>
    <cellStyle name="40% - Accent3 3 4 2 3" xfId="32755"/>
    <cellStyle name="40% - Accent3 3 4 2 3 2" xfId="32756"/>
    <cellStyle name="40% - Accent3 3 4 2 4" xfId="32757"/>
    <cellStyle name="40% - Accent3 3 4 3" xfId="32758"/>
    <cellStyle name="40% - Accent3 3 4 3 2" xfId="32759"/>
    <cellStyle name="40% - Accent3 3 4 3 2 2" xfId="32760"/>
    <cellStyle name="40% - Accent3 3 4 3 3" xfId="32761"/>
    <cellStyle name="40% - Accent3 3 4 4" xfId="32762"/>
    <cellStyle name="40% - Accent3 3 4 4 2" xfId="32763"/>
    <cellStyle name="40% - Accent3 3 4 5" xfId="32764"/>
    <cellStyle name="40% - Accent3 3 5" xfId="32765"/>
    <cellStyle name="40% - Accent3 3 5 2" xfId="32766"/>
    <cellStyle name="40% - Accent3 3 5 2 2" xfId="32767"/>
    <cellStyle name="40% - Accent3 3 5 2 2 2" xfId="32768"/>
    <cellStyle name="40% - Accent3 3 5 2 2 2 2" xfId="32769"/>
    <cellStyle name="40% - Accent3 3 5 2 2 3" xfId="32770"/>
    <cellStyle name="40% - Accent3 3 5 2 3" xfId="32771"/>
    <cellStyle name="40% - Accent3 3 5 2 3 2" xfId="32772"/>
    <cellStyle name="40% - Accent3 3 5 2 4" xfId="32773"/>
    <cellStyle name="40% - Accent3 3 5 3" xfId="32774"/>
    <cellStyle name="40% - Accent3 3 5 3 2" xfId="32775"/>
    <cellStyle name="40% - Accent3 3 5 3 2 2" xfId="32776"/>
    <cellStyle name="40% - Accent3 3 5 3 3" xfId="32777"/>
    <cellStyle name="40% - Accent3 3 5 4" xfId="32778"/>
    <cellStyle name="40% - Accent3 3 5 4 2" xfId="32779"/>
    <cellStyle name="40% - Accent3 3 5 5" xfId="32780"/>
    <cellStyle name="40% - Accent3 3 6" xfId="32781"/>
    <cellStyle name="40% - Accent3 3 6 2" xfId="32782"/>
    <cellStyle name="40% - Accent3 3 6 2 2" xfId="32783"/>
    <cellStyle name="40% - Accent3 3 6 2 2 2" xfId="32784"/>
    <cellStyle name="40% - Accent3 3 6 2 2 2 2" xfId="32785"/>
    <cellStyle name="40% - Accent3 3 6 2 2 3" xfId="32786"/>
    <cellStyle name="40% - Accent3 3 6 2 3" xfId="32787"/>
    <cellStyle name="40% - Accent3 3 6 2 3 2" xfId="32788"/>
    <cellStyle name="40% - Accent3 3 6 2 4" xfId="32789"/>
    <cellStyle name="40% - Accent3 3 6 3" xfId="32790"/>
    <cellStyle name="40% - Accent3 3 6 3 2" xfId="32791"/>
    <cellStyle name="40% - Accent3 3 6 3 2 2" xfId="32792"/>
    <cellStyle name="40% - Accent3 3 6 3 3" xfId="32793"/>
    <cellStyle name="40% - Accent3 3 6 4" xfId="32794"/>
    <cellStyle name="40% - Accent3 3 6 4 2" xfId="32795"/>
    <cellStyle name="40% - Accent3 3 6 5" xfId="32796"/>
    <cellStyle name="40% - Accent3 3 7" xfId="32797"/>
    <cellStyle name="40% - Accent3 3 7 2" xfId="32798"/>
    <cellStyle name="40% - Accent3 3 7 2 2" xfId="32799"/>
    <cellStyle name="40% - Accent3 3 7 2 2 2" xfId="32800"/>
    <cellStyle name="40% - Accent3 3 7 2 2 2 2" xfId="32801"/>
    <cellStyle name="40% - Accent3 3 7 2 2 3" xfId="32802"/>
    <cellStyle name="40% - Accent3 3 7 2 3" xfId="32803"/>
    <cellStyle name="40% - Accent3 3 7 2 3 2" xfId="32804"/>
    <cellStyle name="40% - Accent3 3 7 2 4" xfId="32805"/>
    <cellStyle name="40% - Accent3 3 7 3" xfId="32806"/>
    <cellStyle name="40% - Accent3 3 7 3 2" xfId="32807"/>
    <cellStyle name="40% - Accent3 3 7 3 2 2" xfId="32808"/>
    <cellStyle name="40% - Accent3 3 7 3 3" xfId="32809"/>
    <cellStyle name="40% - Accent3 3 7 4" xfId="32810"/>
    <cellStyle name="40% - Accent3 3 7 4 2" xfId="32811"/>
    <cellStyle name="40% - Accent3 3 7 5" xfId="32812"/>
    <cellStyle name="40% - Accent3 3 8" xfId="32813"/>
    <cellStyle name="40% - Accent3 3 8 2" xfId="32814"/>
    <cellStyle name="40% - Accent3 3 8 2 2" xfId="32815"/>
    <cellStyle name="40% - Accent3 3 8 2 2 2" xfId="32816"/>
    <cellStyle name="40% - Accent3 3 8 2 3" xfId="32817"/>
    <cellStyle name="40% - Accent3 3 8 3" xfId="32818"/>
    <cellStyle name="40% - Accent3 3 8 3 2" xfId="32819"/>
    <cellStyle name="40% - Accent3 3 8 4" xfId="32820"/>
    <cellStyle name="40% - Accent3 3 9" xfId="32821"/>
    <cellStyle name="40% - Accent3 3 9 2" xfId="32822"/>
    <cellStyle name="40% - Accent3 3 9 2 2" xfId="32823"/>
    <cellStyle name="40% - Accent3 3 9 3" xfId="32824"/>
    <cellStyle name="40% - Accent3 4" xfId="32825"/>
    <cellStyle name="40% - Accent3 4 10" xfId="32826"/>
    <cellStyle name="40% - Accent3 4 10 2" xfId="32827"/>
    <cellStyle name="40% - Accent3 4 11" xfId="32828"/>
    <cellStyle name="40% - Accent3 4 2" xfId="32829"/>
    <cellStyle name="40% - Accent3 4 2 10" xfId="32830"/>
    <cellStyle name="40% - Accent3 4 2 2" xfId="32831"/>
    <cellStyle name="40% - Accent3 4 2 2 2" xfId="32832"/>
    <cellStyle name="40% - Accent3 4 2 2 2 2" xfId="32833"/>
    <cellStyle name="40% - Accent3 4 2 2 2 2 2" xfId="32834"/>
    <cellStyle name="40% - Accent3 4 2 2 2 2 2 2" xfId="32835"/>
    <cellStyle name="40% - Accent3 4 2 2 2 2 3" xfId="32836"/>
    <cellStyle name="40% - Accent3 4 2 2 2 3" xfId="32837"/>
    <cellStyle name="40% - Accent3 4 2 2 2 3 2" xfId="32838"/>
    <cellStyle name="40% - Accent3 4 2 2 2 4" xfId="32839"/>
    <cellStyle name="40% - Accent3 4 2 2 3" xfId="32840"/>
    <cellStyle name="40% - Accent3 4 2 2 3 2" xfId="32841"/>
    <cellStyle name="40% - Accent3 4 2 2 3 2 2" xfId="32842"/>
    <cellStyle name="40% - Accent3 4 2 2 3 3" xfId="32843"/>
    <cellStyle name="40% - Accent3 4 2 2 4" xfId="32844"/>
    <cellStyle name="40% - Accent3 4 2 2 4 2" xfId="32845"/>
    <cellStyle name="40% - Accent3 4 2 2 5" xfId="32846"/>
    <cellStyle name="40% - Accent3 4 2 3" xfId="32847"/>
    <cellStyle name="40% - Accent3 4 2 3 2" xfId="32848"/>
    <cellStyle name="40% - Accent3 4 2 3 2 2" xfId="32849"/>
    <cellStyle name="40% - Accent3 4 2 3 2 2 2" xfId="32850"/>
    <cellStyle name="40% - Accent3 4 2 3 2 2 2 2" xfId="32851"/>
    <cellStyle name="40% - Accent3 4 2 3 2 2 3" xfId="32852"/>
    <cellStyle name="40% - Accent3 4 2 3 2 3" xfId="32853"/>
    <cellStyle name="40% - Accent3 4 2 3 2 3 2" xfId="32854"/>
    <cellStyle name="40% - Accent3 4 2 3 2 4" xfId="32855"/>
    <cellStyle name="40% - Accent3 4 2 3 3" xfId="32856"/>
    <cellStyle name="40% - Accent3 4 2 3 3 2" xfId="32857"/>
    <cellStyle name="40% - Accent3 4 2 3 3 2 2" xfId="32858"/>
    <cellStyle name="40% - Accent3 4 2 3 3 3" xfId="32859"/>
    <cellStyle name="40% - Accent3 4 2 3 4" xfId="32860"/>
    <cellStyle name="40% - Accent3 4 2 3 4 2" xfId="32861"/>
    <cellStyle name="40% - Accent3 4 2 3 5" xfId="32862"/>
    <cellStyle name="40% - Accent3 4 2 4" xfId="32863"/>
    <cellStyle name="40% - Accent3 4 2 4 2" xfId="32864"/>
    <cellStyle name="40% - Accent3 4 2 4 2 2" xfId="32865"/>
    <cellStyle name="40% - Accent3 4 2 4 2 2 2" xfId="32866"/>
    <cellStyle name="40% - Accent3 4 2 4 2 2 2 2" xfId="32867"/>
    <cellStyle name="40% - Accent3 4 2 4 2 2 3" xfId="32868"/>
    <cellStyle name="40% - Accent3 4 2 4 2 3" xfId="32869"/>
    <cellStyle name="40% - Accent3 4 2 4 2 3 2" xfId="32870"/>
    <cellStyle name="40% - Accent3 4 2 4 2 4" xfId="32871"/>
    <cellStyle name="40% - Accent3 4 2 4 3" xfId="32872"/>
    <cellStyle name="40% - Accent3 4 2 4 3 2" xfId="32873"/>
    <cellStyle name="40% - Accent3 4 2 4 3 2 2" xfId="32874"/>
    <cellStyle name="40% - Accent3 4 2 4 3 3" xfId="32875"/>
    <cellStyle name="40% - Accent3 4 2 4 4" xfId="32876"/>
    <cellStyle name="40% - Accent3 4 2 4 4 2" xfId="32877"/>
    <cellStyle name="40% - Accent3 4 2 4 5" xfId="32878"/>
    <cellStyle name="40% - Accent3 4 2 5" xfId="32879"/>
    <cellStyle name="40% - Accent3 4 2 5 2" xfId="32880"/>
    <cellStyle name="40% - Accent3 4 2 5 2 2" xfId="32881"/>
    <cellStyle name="40% - Accent3 4 2 5 2 2 2" xfId="32882"/>
    <cellStyle name="40% - Accent3 4 2 5 2 2 2 2" xfId="32883"/>
    <cellStyle name="40% - Accent3 4 2 5 2 2 3" xfId="32884"/>
    <cellStyle name="40% - Accent3 4 2 5 2 3" xfId="32885"/>
    <cellStyle name="40% - Accent3 4 2 5 2 3 2" xfId="32886"/>
    <cellStyle name="40% - Accent3 4 2 5 2 4" xfId="32887"/>
    <cellStyle name="40% - Accent3 4 2 5 3" xfId="32888"/>
    <cellStyle name="40% - Accent3 4 2 5 3 2" xfId="32889"/>
    <cellStyle name="40% - Accent3 4 2 5 3 2 2" xfId="32890"/>
    <cellStyle name="40% - Accent3 4 2 5 3 3" xfId="32891"/>
    <cellStyle name="40% - Accent3 4 2 5 4" xfId="32892"/>
    <cellStyle name="40% - Accent3 4 2 5 4 2" xfId="32893"/>
    <cellStyle name="40% - Accent3 4 2 5 5" xfId="32894"/>
    <cellStyle name="40% - Accent3 4 2 6" xfId="32895"/>
    <cellStyle name="40% - Accent3 4 2 6 2" xfId="32896"/>
    <cellStyle name="40% - Accent3 4 2 6 2 2" xfId="32897"/>
    <cellStyle name="40% - Accent3 4 2 6 2 2 2" xfId="32898"/>
    <cellStyle name="40% - Accent3 4 2 6 2 2 2 2" xfId="32899"/>
    <cellStyle name="40% - Accent3 4 2 6 2 2 3" xfId="32900"/>
    <cellStyle name="40% - Accent3 4 2 6 2 3" xfId="32901"/>
    <cellStyle name="40% - Accent3 4 2 6 2 3 2" xfId="32902"/>
    <cellStyle name="40% - Accent3 4 2 6 2 4" xfId="32903"/>
    <cellStyle name="40% - Accent3 4 2 6 3" xfId="32904"/>
    <cellStyle name="40% - Accent3 4 2 6 3 2" xfId="32905"/>
    <cellStyle name="40% - Accent3 4 2 6 3 2 2" xfId="32906"/>
    <cellStyle name="40% - Accent3 4 2 6 3 3" xfId="32907"/>
    <cellStyle name="40% - Accent3 4 2 6 4" xfId="32908"/>
    <cellStyle name="40% - Accent3 4 2 6 4 2" xfId="32909"/>
    <cellStyle name="40% - Accent3 4 2 6 5" xfId="32910"/>
    <cellStyle name="40% - Accent3 4 2 7" xfId="32911"/>
    <cellStyle name="40% - Accent3 4 2 7 2" xfId="32912"/>
    <cellStyle name="40% - Accent3 4 2 7 2 2" xfId="32913"/>
    <cellStyle name="40% - Accent3 4 2 7 2 2 2" xfId="32914"/>
    <cellStyle name="40% - Accent3 4 2 7 2 3" xfId="32915"/>
    <cellStyle name="40% - Accent3 4 2 7 3" xfId="32916"/>
    <cellStyle name="40% - Accent3 4 2 7 3 2" xfId="32917"/>
    <cellStyle name="40% - Accent3 4 2 7 4" xfId="32918"/>
    <cellStyle name="40% - Accent3 4 2 8" xfId="32919"/>
    <cellStyle name="40% - Accent3 4 2 8 2" xfId="32920"/>
    <cellStyle name="40% - Accent3 4 2 8 2 2" xfId="32921"/>
    <cellStyle name="40% - Accent3 4 2 8 3" xfId="32922"/>
    <cellStyle name="40% - Accent3 4 2 9" xfId="32923"/>
    <cellStyle name="40% - Accent3 4 2 9 2" xfId="32924"/>
    <cellStyle name="40% - Accent3 4 3" xfId="32925"/>
    <cellStyle name="40% - Accent3 4 3 2" xfId="32926"/>
    <cellStyle name="40% - Accent3 4 3 2 2" xfId="32927"/>
    <cellStyle name="40% - Accent3 4 3 2 2 2" xfId="32928"/>
    <cellStyle name="40% - Accent3 4 3 2 2 2 2" xfId="32929"/>
    <cellStyle name="40% - Accent3 4 3 2 2 3" xfId="32930"/>
    <cellStyle name="40% - Accent3 4 3 2 3" xfId="32931"/>
    <cellStyle name="40% - Accent3 4 3 2 3 2" xfId="32932"/>
    <cellStyle name="40% - Accent3 4 3 2 4" xfId="32933"/>
    <cellStyle name="40% - Accent3 4 3 3" xfId="32934"/>
    <cellStyle name="40% - Accent3 4 3 3 2" xfId="32935"/>
    <cellStyle name="40% - Accent3 4 3 3 2 2" xfId="32936"/>
    <cellStyle name="40% - Accent3 4 3 3 3" xfId="32937"/>
    <cellStyle name="40% - Accent3 4 3 4" xfId="32938"/>
    <cellStyle name="40% - Accent3 4 3 4 2" xfId="32939"/>
    <cellStyle name="40% - Accent3 4 3 5" xfId="32940"/>
    <cellStyle name="40% - Accent3 4 4" xfId="32941"/>
    <cellStyle name="40% - Accent3 4 4 2" xfId="32942"/>
    <cellStyle name="40% - Accent3 4 4 2 2" xfId="32943"/>
    <cellStyle name="40% - Accent3 4 4 2 2 2" xfId="32944"/>
    <cellStyle name="40% - Accent3 4 4 2 2 2 2" xfId="32945"/>
    <cellStyle name="40% - Accent3 4 4 2 2 3" xfId="32946"/>
    <cellStyle name="40% - Accent3 4 4 2 3" xfId="32947"/>
    <cellStyle name="40% - Accent3 4 4 2 3 2" xfId="32948"/>
    <cellStyle name="40% - Accent3 4 4 2 4" xfId="32949"/>
    <cellStyle name="40% - Accent3 4 4 3" xfId="32950"/>
    <cellStyle name="40% - Accent3 4 4 3 2" xfId="32951"/>
    <cellStyle name="40% - Accent3 4 4 3 2 2" xfId="32952"/>
    <cellStyle name="40% - Accent3 4 4 3 3" xfId="32953"/>
    <cellStyle name="40% - Accent3 4 4 4" xfId="32954"/>
    <cellStyle name="40% - Accent3 4 4 4 2" xfId="32955"/>
    <cellStyle name="40% - Accent3 4 4 5" xfId="32956"/>
    <cellStyle name="40% - Accent3 4 5" xfId="32957"/>
    <cellStyle name="40% - Accent3 4 5 2" xfId="32958"/>
    <cellStyle name="40% - Accent3 4 5 2 2" xfId="32959"/>
    <cellStyle name="40% - Accent3 4 5 2 2 2" xfId="32960"/>
    <cellStyle name="40% - Accent3 4 5 2 2 2 2" xfId="32961"/>
    <cellStyle name="40% - Accent3 4 5 2 2 3" xfId="32962"/>
    <cellStyle name="40% - Accent3 4 5 2 3" xfId="32963"/>
    <cellStyle name="40% - Accent3 4 5 2 3 2" xfId="32964"/>
    <cellStyle name="40% - Accent3 4 5 2 4" xfId="32965"/>
    <cellStyle name="40% - Accent3 4 5 3" xfId="32966"/>
    <cellStyle name="40% - Accent3 4 5 3 2" xfId="32967"/>
    <cellStyle name="40% - Accent3 4 5 3 2 2" xfId="32968"/>
    <cellStyle name="40% - Accent3 4 5 3 3" xfId="32969"/>
    <cellStyle name="40% - Accent3 4 5 4" xfId="32970"/>
    <cellStyle name="40% - Accent3 4 5 4 2" xfId="32971"/>
    <cellStyle name="40% - Accent3 4 5 5" xfId="32972"/>
    <cellStyle name="40% - Accent3 4 6" xfId="32973"/>
    <cellStyle name="40% - Accent3 4 6 2" xfId="32974"/>
    <cellStyle name="40% - Accent3 4 6 2 2" xfId="32975"/>
    <cellStyle name="40% - Accent3 4 6 2 2 2" xfId="32976"/>
    <cellStyle name="40% - Accent3 4 6 2 2 2 2" xfId="32977"/>
    <cellStyle name="40% - Accent3 4 6 2 2 3" xfId="32978"/>
    <cellStyle name="40% - Accent3 4 6 2 3" xfId="32979"/>
    <cellStyle name="40% - Accent3 4 6 2 3 2" xfId="32980"/>
    <cellStyle name="40% - Accent3 4 6 2 4" xfId="32981"/>
    <cellStyle name="40% - Accent3 4 6 3" xfId="32982"/>
    <cellStyle name="40% - Accent3 4 6 3 2" xfId="32983"/>
    <cellStyle name="40% - Accent3 4 6 3 2 2" xfId="32984"/>
    <cellStyle name="40% - Accent3 4 6 3 3" xfId="32985"/>
    <cellStyle name="40% - Accent3 4 6 4" xfId="32986"/>
    <cellStyle name="40% - Accent3 4 6 4 2" xfId="32987"/>
    <cellStyle name="40% - Accent3 4 6 5" xfId="32988"/>
    <cellStyle name="40% - Accent3 4 7" xfId="32989"/>
    <cellStyle name="40% - Accent3 4 7 2" xfId="32990"/>
    <cellStyle name="40% - Accent3 4 7 2 2" xfId="32991"/>
    <cellStyle name="40% - Accent3 4 7 2 2 2" xfId="32992"/>
    <cellStyle name="40% - Accent3 4 7 2 2 2 2" xfId="32993"/>
    <cellStyle name="40% - Accent3 4 7 2 2 3" xfId="32994"/>
    <cellStyle name="40% - Accent3 4 7 2 3" xfId="32995"/>
    <cellStyle name="40% - Accent3 4 7 2 3 2" xfId="32996"/>
    <cellStyle name="40% - Accent3 4 7 2 4" xfId="32997"/>
    <cellStyle name="40% - Accent3 4 7 3" xfId="32998"/>
    <cellStyle name="40% - Accent3 4 7 3 2" xfId="32999"/>
    <cellStyle name="40% - Accent3 4 7 3 2 2" xfId="33000"/>
    <cellStyle name="40% - Accent3 4 7 3 3" xfId="33001"/>
    <cellStyle name="40% - Accent3 4 7 4" xfId="33002"/>
    <cellStyle name="40% - Accent3 4 7 4 2" xfId="33003"/>
    <cellStyle name="40% - Accent3 4 7 5" xfId="33004"/>
    <cellStyle name="40% - Accent3 4 8" xfId="33005"/>
    <cellStyle name="40% - Accent3 4 8 2" xfId="33006"/>
    <cellStyle name="40% - Accent3 4 8 2 2" xfId="33007"/>
    <cellStyle name="40% - Accent3 4 8 2 2 2" xfId="33008"/>
    <cellStyle name="40% - Accent3 4 8 2 3" xfId="33009"/>
    <cellStyle name="40% - Accent3 4 8 3" xfId="33010"/>
    <cellStyle name="40% - Accent3 4 8 3 2" xfId="33011"/>
    <cellStyle name="40% - Accent3 4 8 4" xfId="33012"/>
    <cellStyle name="40% - Accent3 4 9" xfId="33013"/>
    <cellStyle name="40% - Accent3 4 9 2" xfId="33014"/>
    <cellStyle name="40% - Accent3 4 9 2 2" xfId="33015"/>
    <cellStyle name="40% - Accent3 4 9 3" xfId="33016"/>
    <cellStyle name="40% - Accent3 5" xfId="33017"/>
    <cellStyle name="40% - Accent3 5 10" xfId="33018"/>
    <cellStyle name="40% - Accent3 5 10 2" xfId="33019"/>
    <cellStyle name="40% - Accent3 5 11" xfId="33020"/>
    <cellStyle name="40% - Accent3 5 2" xfId="33021"/>
    <cellStyle name="40% - Accent3 5 2 10" xfId="33022"/>
    <cellStyle name="40% - Accent3 5 2 2" xfId="33023"/>
    <cellStyle name="40% - Accent3 5 2 2 2" xfId="33024"/>
    <cellStyle name="40% - Accent3 5 2 2 2 2" xfId="33025"/>
    <cellStyle name="40% - Accent3 5 2 2 2 2 2" xfId="33026"/>
    <cellStyle name="40% - Accent3 5 2 2 2 2 2 2" xfId="33027"/>
    <cellStyle name="40% - Accent3 5 2 2 2 2 3" xfId="33028"/>
    <cellStyle name="40% - Accent3 5 2 2 2 3" xfId="33029"/>
    <cellStyle name="40% - Accent3 5 2 2 2 3 2" xfId="33030"/>
    <cellStyle name="40% - Accent3 5 2 2 2 4" xfId="33031"/>
    <cellStyle name="40% - Accent3 5 2 2 3" xfId="33032"/>
    <cellStyle name="40% - Accent3 5 2 2 3 2" xfId="33033"/>
    <cellStyle name="40% - Accent3 5 2 2 3 2 2" xfId="33034"/>
    <cellStyle name="40% - Accent3 5 2 2 3 3" xfId="33035"/>
    <cellStyle name="40% - Accent3 5 2 2 4" xfId="33036"/>
    <cellStyle name="40% - Accent3 5 2 2 4 2" xfId="33037"/>
    <cellStyle name="40% - Accent3 5 2 2 5" xfId="33038"/>
    <cellStyle name="40% - Accent3 5 2 3" xfId="33039"/>
    <cellStyle name="40% - Accent3 5 2 3 2" xfId="33040"/>
    <cellStyle name="40% - Accent3 5 2 3 2 2" xfId="33041"/>
    <cellStyle name="40% - Accent3 5 2 3 2 2 2" xfId="33042"/>
    <cellStyle name="40% - Accent3 5 2 3 2 2 2 2" xfId="33043"/>
    <cellStyle name="40% - Accent3 5 2 3 2 2 3" xfId="33044"/>
    <cellStyle name="40% - Accent3 5 2 3 2 3" xfId="33045"/>
    <cellStyle name="40% - Accent3 5 2 3 2 3 2" xfId="33046"/>
    <cellStyle name="40% - Accent3 5 2 3 2 4" xfId="33047"/>
    <cellStyle name="40% - Accent3 5 2 3 3" xfId="33048"/>
    <cellStyle name="40% - Accent3 5 2 3 3 2" xfId="33049"/>
    <cellStyle name="40% - Accent3 5 2 3 3 2 2" xfId="33050"/>
    <cellStyle name="40% - Accent3 5 2 3 3 3" xfId="33051"/>
    <cellStyle name="40% - Accent3 5 2 3 4" xfId="33052"/>
    <cellStyle name="40% - Accent3 5 2 3 4 2" xfId="33053"/>
    <cellStyle name="40% - Accent3 5 2 3 5" xfId="33054"/>
    <cellStyle name="40% - Accent3 5 2 4" xfId="33055"/>
    <cellStyle name="40% - Accent3 5 2 4 2" xfId="33056"/>
    <cellStyle name="40% - Accent3 5 2 4 2 2" xfId="33057"/>
    <cellStyle name="40% - Accent3 5 2 4 2 2 2" xfId="33058"/>
    <cellStyle name="40% - Accent3 5 2 4 2 2 2 2" xfId="33059"/>
    <cellStyle name="40% - Accent3 5 2 4 2 2 3" xfId="33060"/>
    <cellStyle name="40% - Accent3 5 2 4 2 3" xfId="33061"/>
    <cellStyle name="40% - Accent3 5 2 4 2 3 2" xfId="33062"/>
    <cellStyle name="40% - Accent3 5 2 4 2 4" xfId="33063"/>
    <cellStyle name="40% - Accent3 5 2 4 3" xfId="33064"/>
    <cellStyle name="40% - Accent3 5 2 4 3 2" xfId="33065"/>
    <cellStyle name="40% - Accent3 5 2 4 3 2 2" xfId="33066"/>
    <cellStyle name="40% - Accent3 5 2 4 3 3" xfId="33067"/>
    <cellStyle name="40% - Accent3 5 2 4 4" xfId="33068"/>
    <cellStyle name="40% - Accent3 5 2 4 4 2" xfId="33069"/>
    <cellStyle name="40% - Accent3 5 2 4 5" xfId="33070"/>
    <cellStyle name="40% - Accent3 5 2 5" xfId="33071"/>
    <cellStyle name="40% - Accent3 5 2 5 2" xfId="33072"/>
    <cellStyle name="40% - Accent3 5 2 5 2 2" xfId="33073"/>
    <cellStyle name="40% - Accent3 5 2 5 2 2 2" xfId="33074"/>
    <cellStyle name="40% - Accent3 5 2 5 2 2 2 2" xfId="33075"/>
    <cellStyle name="40% - Accent3 5 2 5 2 2 3" xfId="33076"/>
    <cellStyle name="40% - Accent3 5 2 5 2 3" xfId="33077"/>
    <cellStyle name="40% - Accent3 5 2 5 2 3 2" xfId="33078"/>
    <cellStyle name="40% - Accent3 5 2 5 2 4" xfId="33079"/>
    <cellStyle name="40% - Accent3 5 2 5 3" xfId="33080"/>
    <cellStyle name="40% - Accent3 5 2 5 3 2" xfId="33081"/>
    <cellStyle name="40% - Accent3 5 2 5 3 2 2" xfId="33082"/>
    <cellStyle name="40% - Accent3 5 2 5 3 3" xfId="33083"/>
    <cellStyle name="40% - Accent3 5 2 5 4" xfId="33084"/>
    <cellStyle name="40% - Accent3 5 2 5 4 2" xfId="33085"/>
    <cellStyle name="40% - Accent3 5 2 5 5" xfId="33086"/>
    <cellStyle name="40% - Accent3 5 2 6" xfId="33087"/>
    <cellStyle name="40% - Accent3 5 2 6 2" xfId="33088"/>
    <cellStyle name="40% - Accent3 5 2 6 2 2" xfId="33089"/>
    <cellStyle name="40% - Accent3 5 2 6 2 2 2" xfId="33090"/>
    <cellStyle name="40% - Accent3 5 2 6 2 2 2 2" xfId="33091"/>
    <cellStyle name="40% - Accent3 5 2 6 2 2 3" xfId="33092"/>
    <cellStyle name="40% - Accent3 5 2 6 2 3" xfId="33093"/>
    <cellStyle name="40% - Accent3 5 2 6 2 3 2" xfId="33094"/>
    <cellStyle name="40% - Accent3 5 2 6 2 4" xfId="33095"/>
    <cellStyle name="40% - Accent3 5 2 6 3" xfId="33096"/>
    <cellStyle name="40% - Accent3 5 2 6 3 2" xfId="33097"/>
    <cellStyle name="40% - Accent3 5 2 6 3 2 2" xfId="33098"/>
    <cellStyle name="40% - Accent3 5 2 6 3 3" xfId="33099"/>
    <cellStyle name="40% - Accent3 5 2 6 4" xfId="33100"/>
    <cellStyle name="40% - Accent3 5 2 6 4 2" xfId="33101"/>
    <cellStyle name="40% - Accent3 5 2 6 5" xfId="33102"/>
    <cellStyle name="40% - Accent3 5 2 7" xfId="33103"/>
    <cellStyle name="40% - Accent3 5 2 7 2" xfId="33104"/>
    <cellStyle name="40% - Accent3 5 2 7 2 2" xfId="33105"/>
    <cellStyle name="40% - Accent3 5 2 7 2 2 2" xfId="33106"/>
    <cellStyle name="40% - Accent3 5 2 7 2 3" xfId="33107"/>
    <cellStyle name="40% - Accent3 5 2 7 3" xfId="33108"/>
    <cellStyle name="40% - Accent3 5 2 7 3 2" xfId="33109"/>
    <cellStyle name="40% - Accent3 5 2 7 4" xfId="33110"/>
    <cellStyle name="40% - Accent3 5 2 8" xfId="33111"/>
    <cellStyle name="40% - Accent3 5 2 8 2" xfId="33112"/>
    <cellStyle name="40% - Accent3 5 2 8 2 2" xfId="33113"/>
    <cellStyle name="40% - Accent3 5 2 8 3" xfId="33114"/>
    <cellStyle name="40% - Accent3 5 2 9" xfId="33115"/>
    <cellStyle name="40% - Accent3 5 2 9 2" xfId="33116"/>
    <cellStyle name="40% - Accent3 5 3" xfId="33117"/>
    <cellStyle name="40% - Accent3 5 3 2" xfId="33118"/>
    <cellStyle name="40% - Accent3 5 3 2 2" xfId="33119"/>
    <cellStyle name="40% - Accent3 5 3 2 2 2" xfId="33120"/>
    <cellStyle name="40% - Accent3 5 3 2 2 2 2" xfId="33121"/>
    <cellStyle name="40% - Accent3 5 3 2 2 3" xfId="33122"/>
    <cellStyle name="40% - Accent3 5 3 2 3" xfId="33123"/>
    <cellStyle name="40% - Accent3 5 3 2 3 2" xfId="33124"/>
    <cellStyle name="40% - Accent3 5 3 2 4" xfId="33125"/>
    <cellStyle name="40% - Accent3 5 3 3" xfId="33126"/>
    <cellStyle name="40% - Accent3 5 3 3 2" xfId="33127"/>
    <cellStyle name="40% - Accent3 5 3 3 2 2" xfId="33128"/>
    <cellStyle name="40% - Accent3 5 3 3 3" xfId="33129"/>
    <cellStyle name="40% - Accent3 5 3 4" xfId="33130"/>
    <cellStyle name="40% - Accent3 5 3 4 2" xfId="33131"/>
    <cellStyle name="40% - Accent3 5 3 5" xfId="33132"/>
    <cellStyle name="40% - Accent3 5 4" xfId="33133"/>
    <cellStyle name="40% - Accent3 5 4 2" xfId="33134"/>
    <cellStyle name="40% - Accent3 5 4 2 2" xfId="33135"/>
    <cellStyle name="40% - Accent3 5 4 2 2 2" xfId="33136"/>
    <cellStyle name="40% - Accent3 5 4 2 2 2 2" xfId="33137"/>
    <cellStyle name="40% - Accent3 5 4 2 2 3" xfId="33138"/>
    <cellStyle name="40% - Accent3 5 4 2 3" xfId="33139"/>
    <cellStyle name="40% - Accent3 5 4 2 3 2" xfId="33140"/>
    <cellStyle name="40% - Accent3 5 4 2 4" xfId="33141"/>
    <cellStyle name="40% - Accent3 5 4 3" xfId="33142"/>
    <cellStyle name="40% - Accent3 5 4 3 2" xfId="33143"/>
    <cellStyle name="40% - Accent3 5 4 3 2 2" xfId="33144"/>
    <cellStyle name="40% - Accent3 5 4 3 3" xfId="33145"/>
    <cellStyle name="40% - Accent3 5 4 4" xfId="33146"/>
    <cellStyle name="40% - Accent3 5 4 4 2" xfId="33147"/>
    <cellStyle name="40% - Accent3 5 4 5" xfId="33148"/>
    <cellStyle name="40% - Accent3 5 5" xfId="33149"/>
    <cellStyle name="40% - Accent3 5 5 2" xfId="33150"/>
    <cellStyle name="40% - Accent3 5 5 2 2" xfId="33151"/>
    <cellStyle name="40% - Accent3 5 5 2 2 2" xfId="33152"/>
    <cellStyle name="40% - Accent3 5 5 2 2 2 2" xfId="33153"/>
    <cellStyle name="40% - Accent3 5 5 2 2 3" xfId="33154"/>
    <cellStyle name="40% - Accent3 5 5 2 3" xfId="33155"/>
    <cellStyle name="40% - Accent3 5 5 2 3 2" xfId="33156"/>
    <cellStyle name="40% - Accent3 5 5 2 4" xfId="33157"/>
    <cellStyle name="40% - Accent3 5 5 3" xfId="33158"/>
    <cellStyle name="40% - Accent3 5 5 3 2" xfId="33159"/>
    <cellStyle name="40% - Accent3 5 5 3 2 2" xfId="33160"/>
    <cellStyle name="40% - Accent3 5 5 3 3" xfId="33161"/>
    <cellStyle name="40% - Accent3 5 5 4" xfId="33162"/>
    <cellStyle name="40% - Accent3 5 5 4 2" xfId="33163"/>
    <cellStyle name="40% - Accent3 5 5 5" xfId="33164"/>
    <cellStyle name="40% - Accent3 5 6" xfId="33165"/>
    <cellStyle name="40% - Accent3 5 6 2" xfId="33166"/>
    <cellStyle name="40% - Accent3 5 6 2 2" xfId="33167"/>
    <cellStyle name="40% - Accent3 5 6 2 2 2" xfId="33168"/>
    <cellStyle name="40% - Accent3 5 6 2 2 2 2" xfId="33169"/>
    <cellStyle name="40% - Accent3 5 6 2 2 3" xfId="33170"/>
    <cellStyle name="40% - Accent3 5 6 2 3" xfId="33171"/>
    <cellStyle name="40% - Accent3 5 6 2 3 2" xfId="33172"/>
    <cellStyle name="40% - Accent3 5 6 2 4" xfId="33173"/>
    <cellStyle name="40% - Accent3 5 6 3" xfId="33174"/>
    <cellStyle name="40% - Accent3 5 6 3 2" xfId="33175"/>
    <cellStyle name="40% - Accent3 5 6 3 2 2" xfId="33176"/>
    <cellStyle name="40% - Accent3 5 6 3 3" xfId="33177"/>
    <cellStyle name="40% - Accent3 5 6 4" xfId="33178"/>
    <cellStyle name="40% - Accent3 5 6 4 2" xfId="33179"/>
    <cellStyle name="40% - Accent3 5 6 5" xfId="33180"/>
    <cellStyle name="40% - Accent3 5 7" xfId="33181"/>
    <cellStyle name="40% - Accent3 5 7 2" xfId="33182"/>
    <cellStyle name="40% - Accent3 5 7 2 2" xfId="33183"/>
    <cellStyle name="40% - Accent3 5 7 2 2 2" xfId="33184"/>
    <cellStyle name="40% - Accent3 5 7 2 2 2 2" xfId="33185"/>
    <cellStyle name="40% - Accent3 5 7 2 2 3" xfId="33186"/>
    <cellStyle name="40% - Accent3 5 7 2 3" xfId="33187"/>
    <cellStyle name="40% - Accent3 5 7 2 3 2" xfId="33188"/>
    <cellStyle name="40% - Accent3 5 7 2 4" xfId="33189"/>
    <cellStyle name="40% - Accent3 5 7 3" xfId="33190"/>
    <cellStyle name="40% - Accent3 5 7 3 2" xfId="33191"/>
    <cellStyle name="40% - Accent3 5 7 3 2 2" xfId="33192"/>
    <cellStyle name="40% - Accent3 5 7 3 3" xfId="33193"/>
    <cellStyle name="40% - Accent3 5 7 4" xfId="33194"/>
    <cellStyle name="40% - Accent3 5 7 4 2" xfId="33195"/>
    <cellStyle name="40% - Accent3 5 7 5" xfId="33196"/>
    <cellStyle name="40% - Accent3 5 8" xfId="33197"/>
    <cellStyle name="40% - Accent3 5 8 2" xfId="33198"/>
    <cellStyle name="40% - Accent3 5 8 2 2" xfId="33199"/>
    <cellStyle name="40% - Accent3 5 8 2 2 2" xfId="33200"/>
    <cellStyle name="40% - Accent3 5 8 2 3" xfId="33201"/>
    <cellStyle name="40% - Accent3 5 8 3" xfId="33202"/>
    <cellStyle name="40% - Accent3 5 8 3 2" xfId="33203"/>
    <cellStyle name="40% - Accent3 5 8 4" xfId="33204"/>
    <cellStyle name="40% - Accent3 5 9" xfId="33205"/>
    <cellStyle name="40% - Accent3 5 9 2" xfId="33206"/>
    <cellStyle name="40% - Accent3 5 9 2 2" xfId="33207"/>
    <cellStyle name="40% - Accent3 5 9 3" xfId="33208"/>
    <cellStyle name="40% - Accent3 6" xfId="33209"/>
    <cellStyle name="40% - Accent3 6 10" xfId="33210"/>
    <cellStyle name="40% - Accent3 6 10 2" xfId="33211"/>
    <cellStyle name="40% - Accent3 6 11" xfId="33212"/>
    <cellStyle name="40% - Accent3 6 2" xfId="33213"/>
    <cellStyle name="40% - Accent3 6 2 10" xfId="33214"/>
    <cellStyle name="40% - Accent3 6 2 2" xfId="33215"/>
    <cellStyle name="40% - Accent3 6 2 2 2" xfId="33216"/>
    <cellStyle name="40% - Accent3 6 2 2 2 2" xfId="33217"/>
    <cellStyle name="40% - Accent3 6 2 2 2 2 2" xfId="33218"/>
    <cellStyle name="40% - Accent3 6 2 2 2 2 2 2" xfId="33219"/>
    <cellStyle name="40% - Accent3 6 2 2 2 2 3" xfId="33220"/>
    <cellStyle name="40% - Accent3 6 2 2 2 3" xfId="33221"/>
    <cellStyle name="40% - Accent3 6 2 2 2 3 2" xfId="33222"/>
    <cellStyle name="40% - Accent3 6 2 2 2 4" xfId="33223"/>
    <cellStyle name="40% - Accent3 6 2 2 3" xfId="33224"/>
    <cellStyle name="40% - Accent3 6 2 2 3 2" xfId="33225"/>
    <cellStyle name="40% - Accent3 6 2 2 3 2 2" xfId="33226"/>
    <cellStyle name="40% - Accent3 6 2 2 3 3" xfId="33227"/>
    <cellStyle name="40% - Accent3 6 2 2 4" xfId="33228"/>
    <cellStyle name="40% - Accent3 6 2 2 4 2" xfId="33229"/>
    <cellStyle name="40% - Accent3 6 2 2 5" xfId="33230"/>
    <cellStyle name="40% - Accent3 6 2 3" xfId="33231"/>
    <cellStyle name="40% - Accent3 6 2 3 2" xfId="33232"/>
    <cellStyle name="40% - Accent3 6 2 3 2 2" xfId="33233"/>
    <cellStyle name="40% - Accent3 6 2 3 2 2 2" xfId="33234"/>
    <cellStyle name="40% - Accent3 6 2 3 2 2 2 2" xfId="33235"/>
    <cellStyle name="40% - Accent3 6 2 3 2 2 3" xfId="33236"/>
    <cellStyle name="40% - Accent3 6 2 3 2 3" xfId="33237"/>
    <cellStyle name="40% - Accent3 6 2 3 2 3 2" xfId="33238"/>
    <cellStyle name="40% - Accent3 6 2 3 2 4" xfId="33239"/>
    <cellStyle name="40% - Accent3 6 2 3 3" xfId="33240"/>
    <cellStyle name="40% - Accent3 6 2 3 3 2" xfId="33241"/>
    <cellStyle name="40% - Accent3 6 2 3 3 2 2" xfId="33242"/>
    <cellStyle name="40% - Accent3 6 2 3 3 3" xfId="33243"/>
    <cellStyle name="40% - Accent3 6 2 3 4" xfId="33244"/>
    <cellStyle name="40% - Accent3 6 2 3 4 2" xfId="33245"/>
    <cellStyle name="40% - Accent3 6 2 3 5" xfId="33246"/>
    <cellStyle name="40% - Accent3 6 2 4" xfId="33247"/>
    <cellStyle name="40% - Accent3 6 2 4 2" xfId="33248"/>
    <cellStyle name="40% - Accent3 6 2 4 2 2" xfId="33249"/>
    <cellStyle name="40% - Accent3 6 2 4 2 2 2" xfId="33250"/>
    <cellStyle name="40% - Accent3 6 2 4 2 2 2 2" xfId="33251"/>
    <cellStyle name="40% - Accent3 6 2 4 2 2 3" xfId="33252"/>
    <cellStyle name="40% - Accent3 6 2 4 2 3" xfId="33253"/>
    <cellStyle name="40% - Accent3 6 2 4 2 3 2" xfId="33254"/>
    <cellStyle name="40% - Accent3 6 2 4 2 4" xfId="33255"/>
    <cellStyle name="40% - Accent3 6 2 4 3" xfId="33256"/>
    <cellStyle name="40% - Accent3 6 2 4 3 2" xfId="33257"/>
    <cellStyle name="40% - Accent3 6 2 4 3 2 2" xfId="33258"/>
    <cellStyle name="40% - Accent3 6 2 4 3 3" xfId="33259"/>
    <cellStyle name="40% - Accent3 6 2 4 4" xfId="33260"/>
    <cellStyle name="40% - Accent3 6 2 4 4 2" xfId="33261"/>
    <cellStyle name="40% - Accent3 6 2 4 5" xfId="33262"/>
    <cellStyle name="40% - Accent3 6 2 5" xfId="33263"/>
    <cellStyle name="40% - Accent3 6 2 5 2" xfId="33264"/>
    <cellStyle name="40% - Accent3 6 2 5 2 2" xfId="33265"/>
    <cellStyle name="40% - Accent3 6 2 5 2 2 2" xfId="33266"/>
    <cellStyle name="40% - Accent3 6 2 5 2 2 2 2" xfId="33267"/>
    <cellStyle name="40% - Accent3 6 2 5 2 2 3" xfId="33268"/>
    <cellStyle name="40% - Accent3 6 2 5 2 3" xfId="33269"/>
    <cellStyle name="40% - Accent3 6 2 5 2 3 2" xfId="33270"/>
    <cellStyle name="40% - Accent3 6 2 5 2 4" xfId="33271"/>
    <cellStyle name="40% - Accent3 6 2 5 3" xfId="33272"/>
    <cellStyle name="40% - Accent3 6 2 5 3 2" xfId="33273"/>
    <cellStyle name="40% - Accent3 6 2 5 3 2 2" xfId="33274"/>
    <cellStyle name="40% - Accent3 6 2 5 3 3" xfId="33275"/>
    <cellStyle name="40% - Accent3 6 2 5 4" xfId="33276"/>
    <cellStyle name="40% - Accent3 6 2 5 4 2" xfId="33277"/>
    <cellStyle name="40% - Accent3 6 2 5 5" xfId="33278"/>
    <cellStyle name="40% - Accent3 6 2 6" xfId="33279"/>
    <cellStyle name="40% - Accent3 6 2 6 2" xfId="33280"/>
    <cellStyle name="40% - Accent3 6 2 6 2 2" xfId="33281"/>
    <cellStyle name="40% - Accent3 6 2 6 2 2 2" xfId="33282"/>
    <cellStyle name="40% - Accent3 6 2 6 2 2 2 2" xfId="33283"/>
    <cellStyle name="40% - Accent3 6 2 6 2 2 3" xfId="33284"/>
    <cellStyle name="40% - Accent3 6 2 6 2 3" xfId="33285"/>
    <cellStyle name="40% - Accent3 6 2 6 2 3 2" xfId="33286"/>
    <cellStyle name="40% - Accent3 6 2 6 2 4" xfId="33287"/>
    <cellStyle name="40% - Accent3 6 2 6 3" xfId="33288"/>
    <cellStyle name="40% - Accent3 6 2 6 3 2" xfId="33289"/>
    <cellStyle name="40% - Accent3 6 2 6 3 2 2" xfId="33290"/>
    <cellStyle name="40% - Accent3 6 2 6 3 3" xfId="33291"/>
    <cellStyle name="40% - Accent3 6 2 6 4" xfId="33292"/>
    <cellStyle name="40% - Accent3 6 2 6 4 2" xfId="33293"/>
    <cellStyle name="40% - Accent3 6 2 6 5" xfId="33294"/>
    <cellStyle name="40% - Accent3 6 2 7" xfId="33295"/>
    <cellStyle name="40% - Accent3 6 2 7 2" xfId="33296"/>
    <cellStyle name="40% - Accent3 6 2 7 2 2" xfId="33297"/>
    <cellStyle name="40% - Accent3 6 2 7 2 2 2" xfId="33298"/>
    <cellStyle name="40% - Accent3 6 2 7 2 3" xfId="33299"/>
    <cellStyle name="40% - Accent3 6 2 7 3" xfId="33300"/>
    <cellStyle name="40% - Accent3 6 2 7 3 2" xfId="33301"/>
    <cellStyle name="40% - Accent3 6 2 7 4" xfId="33302"/>
    <cellStyle name="40% - Accent3 6 2 8" xfId="33303"/>
    <cellStyle name="40% - Accent3 6 2 8 2" xfId="33304"/>
    <cellStyle name="40% - Accent3 6 2 8 2 2" xfId="33305"/>
    <cellStyle name="40% - Accent3 6 2 8 3" xfId="33306"/>
    <cellStyle name="40% - Accent3 6 2 9" xfId="33307"/>
    <cellStyle name="40% - Accent3 6 2 9 2" xfId="33308"/>
    <cellStyle name="40% - Accent3 6 3" xfId="33309"/>
    <cellStyle name="40% - Accent3 6 3 2" xfId="33310"/>
    <cellStyle name="40% - Accent3 6 3 2 2" xfId="33311"/>
    <cellStyle name="40% - Accent3 6 3 2 2 2" xfId="33312"/>
    <cellStyle name="40% - Accent3 6 3 2 2 2 2" xfId="33313"/>
    <cellStyle name="40% - Accent3 6 3 2 2 3" xfId="33314"/>
    <cellStyle name="40% - Accent3 6 3 2 3" xfId="33315"/>
    <cellStyle name="40% - Accent3 6 3 2 3 2" xfId="33316"/>
    <cellStyle name="40% - Accent3 6 3 2 4" xfId="33317"/>
    <cellStyle name="40% - Accent3 6 3 3" xfId="33318"/>
    <cellStyle name="40% - Accent3 6 3 3 2" xfId="33319"/>
    <cellStyle name="40% - Accent3 6 3 3 2 2" xfId="33320"/>
    <cellStyle name="40% - Accent3 6 3 3 3" xfId="33321"/>
    <cellStyle name="40% - Accent3 6 3 4" xfId="33322"/>
    <cellStyle name="40% - Accent3 6 3 4 2" xfId="33323"/>
    <cellStyle name="40% - Accent3 6 3 5" xfId="33324"/>
    <cellStyle name="40% - Accent3 6 4" xfId="33325"/>
    <cellStyle name="40% - Accent3 6 4 2" xfId="33326"/>
    <cellStyle name="40% - Accent3 6 4 2 2" xfId="33327"/>
    <cellStyle name="40% - Accent3 6 4 2 2 2" xfId="33328"/>
    <cellStyle name="40% - Accent3 6 4 2 2 2 2" xfId="33329"/>
    <cellStyle name="40% - Accent3 6 4 2 2 3" xfId="33330"/>
    <cellStyle name="40% - Accent3 6 4 2 3" xfId="33331"/>
    <cellStyle name="40% - Accent3 6 4 2 3 2" xfId="33332"/>
    <cellStyle name="40% - Accent3 6 4 2 4" xfId="33333"/>
    <cellStyle name="40% - Accent3 6 4 3" xfId="33334"/>
    <cellStyle name="40% - Accent3 6 4 3 2" xfId="33335"/>
    <cellStyle name="40% - Accent3 6 4 3 2 2" xfId="33336"/>
    <cellStyle name="40% - Accent3 6 4 3 3" xfId="33337"/>
    <cellStyle name="40% - Accent3 6 4 4" xfId="33338"/>
    <cellStyle name="40% - Accent3 6 4 4 2" xfId="33339"/>
    <cellStyle name="40% - Accent3 6 4 5" xfId="33340"/>
    <cellStyle name="40% - Accent3 6 5" xfId="33341"/>
    <cellStyle name="40% - Accent3 6 5 2" xfId="33342"/>
    <cellStyle name="40% - Accent3 6 5 2 2" xfId="33343"/>
    <cellStyle name="40% - Accent3 6 5 2 2 2" xfId="33344"/>
    <cellStyle name="40% - Accent3 6 5 2 2 2 2" xfId="33345"/>
    <cellStyle name="40% - Accent3 6 5 2 2 3" xfId="33346"/>
    <cellStyle name="40% - Accent3 6 5 2 3" xfId="33347"/>
    <cellStyle name="40% - Accent3 6 5 2 3 2" xfId="33348"/>
    <cellStyle name="40% - Accent3 6 5 2 4" xfId="33349"/>
    <cellStyle name="40% - Accent3 6 5 3" xfId="33350"/>
    <cellStyle name="40% - Accent3 6 5 3 2" xfId="33351"/>
    <cellStyle name="40% - Accent3 6 5 3 2 2" xfId="33352"/>
    <cellStyle name="40% - Accent3 6 5 3 3" xfId="33353"/>
    <cellStyle name="40% - Accent3 6 5 4" xfId="33354"/>
    <cellStyle name="40% - Accent3 6 5 4 2" xfId="33355"/>
    <cellStyle name="40% - Accent3 6 5 5" xfId="33356"/>
    <cellStyle name="40% - Accent3 6 6" xfId="33357"/>
    <cellStyle name="40% - Accent3 6 6 2" xfId="33358"/>
    <cellStyle name="40% - Accent3 6 6 2 2" xfId="33359"/>
    <cellStyle name="40% - Accent3 6 6 2 2 2" xfId="33360"/>
    <cellStyle name="40% - Accent3 6 6 2 2 2 2" xfId="33361"/>
    <cellStyle name="40% - Accent3 6 6 2 2 3" xfId="33362"/>
    <cellStyle name="40% - Accent3 6 6 2 3" xfId="33363"/>
    <cellStyle name="40% - Accent3 6 6 2 3 2" xfId="33364"/>
    <cellStyle name="40% - Accent3 6 6 2 4" xfId="33365"/>
    <cellStyle name="40% - Accent3 6 6 3" xfId="33366"/>
    <cellStyle name="40% - Accent3 6 6 3 2" xfId="33367"/>
    <cellStyle name="40% - Accent3 6 6 3 2 2" xfId="33368"/>
    <cellStyle name="40% - Accent3 6 6 3 3" xfId="33369"/>
    <cellStyle name="40% - Accent3 6 6 4" xfId="33370"/>
    <cellStyle name="40% - Accent3 6 6 4 2" xfId="33371"/>
    <cellStyle name="40% - Accent3 6 6 5" xfId="33372"/>
    <cellStyle name="40% - Accent3 6 7" xfId="33373"/>
    <cellStyle name="40% - Accent3 6 7 2" xfId="33374"/>
    <cellStyle name="40% - Accent3 6 7 2 2" xfId="33375"/>
    <cellStyle name="40% - Accent3 6 7 2 2 2" xfId="33376"/>
    <cellStyle name="40% - Accent3 6 7 2 2 2 2" xfId="33377"/>
    <cellStyle name="40% - Accent3 6 7 2 2 3" xfId="33378"/>
    <cellStyle name="40% - Accent3 6 7 2 3" xfId="33379"/>
    <cellStyle name="40% - Accent3 6 7 2 3 2" xfId="33380"/>
    <cellStyle name="40% - Accent3 6 7 2 4" xfId="33381"/>
    <cellStyle name="40% - Accent3 6 7 3" xfId="33382"/>
    <cellStyle name="40% - Accent3 6 7 3 2" xfId="33383"/>
    <cellStyle name="40% - Accent3 6 7 3 2 2" xfId="33384"/>
    <cellStyle name="40% - Accent3 6 7 3 3" xfId="33385"/>
    <cellStyle name="40% - Accent3 6 7 4" xfId="33386"/>
    <cellStyle name="40% - Accent3 6 7 4 2" xfId="33387"/>
    <cellStyle name="40% - Accent3 6 7 5" xfId="33388"/>
    <cellStyle name="40% - Accent3 6 8" xfId="33389"/>
    <cellStyle name="40% - Accent3 6 8 2" xfId="33390"/>
    <cellStyle name="40% - Accent3 6 8 2 2" xfId="33391"/>
    <cellStyle name="40% - Accent3 6 8 2 2 2" xfId="33392"/>
    <cellStyle name="40% - Accent3 6 8 2 3" xfId="33393"/>
    <cellStyle name="40% - Accent3 6 8 3" xfId="33394"/>
    <cellStyle name="40% - Accent3 6 8 3 2" xfId="33395"/>
    <cellStyle name="40% - Accent3 6 8 4" xfId="33396"/>
    <cellStyle name="40% - Accent3 6 9" xfId="33397"/>
    <cellStyle name="40% - Accent3 6 9 2" xfId="33398"/>
    <cellStyle name="40% - Accent3 6 9 2 2" xfId="33399"/>
    <cellStyle name="40% - Accent3 6 9 3" xfId="33400"/>
    <cellStyle name="40% - Accent3 7" xfId="33401"/>
    <cellStyle name="40% - Accent3 7 10" xfId="33402"/>
    <cellStyle name="40% - Accent3 7 10 2" xfId="33403"/>
    <cellStyle name="40% - Accent3 7 11" xfId="33404"/>
    <cellStyle name="40% - Accent3 7 2" xfId="33405"/>
    <cellStyle name="40% - Accent3 7 2 10" xfId="33406"/>
    <cellStyle name="40% - Accent3 7 2 2" xfId="33407"/>
    <cellStyle name="40% - Accent3 7 2 2 2" xfId="33408"/>
    <cellStyle name="40% - Accent3 7 2 2 2 2" xfId="33409"/>
    <cellStyle name="40% - Accent3 7 2 2 2 2 2" xfId="33410"/>
    <cellStyle name="40% - Accent3 7 2 2 2 2 2 2" xfId="33411"/>
    <cellStyle name="40% - Accent3 7 2 2 2 2 3" xfId="33412"/>
    <cellStyle name="40% - Accent3 7 2 2 2 3" xfId="33413"/>
    <cellStyle name="40% - Accent3 7 2 2 2 3 2" xfId="33414"/>
    <cellStyle name="40% - Accent3 7 2 2 2 4" xfId="33415"/>
    <cellStyle name="40% - Accent3 7 2 2 3" xfId="33416"/>
    <cellStyle name="40% - Accent3 7 2 2 3 2" xfId="33417"/>
    <cellStyle name="40% - Accent3 7 2 2 3 2 2" xfId="33418"/>
    <cellStyle name="40% - Accent3 7 2 2 3 3" xfId="33419"/>
    <cellStyle name="40% - Accent3 7 2 2 4" xfId="33420"/>
    <cellStyle name="40% - Accent3 7 2 2 4 2" xfId="33421"/>
    <cellStyle name="40% - Accent3 7 2 2 5" xfId="33422"/>
    <cellStyle name="40% - Accent3 7 2 3" xfId="33423"/>
    <cellStyle name="40% - Accent3 7 2 3 2" xfId="33424"/>
    <cellStyle name="40% - Accent3 7 2 3 2 2" xfId="33425"/>
    <cellStyle name="40% - Accent3 7 2 3 2 2 2" xfId="33426"/>
    <cellStyle name="40% - Accent3 7 2 3 2 2 2 2" xfId="33427"/>
    <cellStyle name="40% - Accent3 7 2 3 2 2 3" xfId="33428"/>
    <cellStyle name="40% - Accent3 7 2 3 2 3" xfId="33429"/>
    <cellStyle name="40% - Accent3 7 2 3 2 3 2" xfId="33430"/>
    <cellStyle name="40% - Accent3 7 2 3 2 4" xfId="33431"/>
    <cellStyle name="40% - Accent3 7 2 3 3" xfId="33432"/>
    <cellStyle name="40% - Accent3 7 2 3 3 2" xfId="33433"/>
    <cellStyle name="40% - Accent3 7 2 3 3 2 2" xfId="33434"/>
    <cellStyle name="40% - Accent3 7 2 3 3 3" xfId="33435"/>
    <cellStyle name="40% - Accent3 7 2 3 4" xfId="33436"/>
    <cellStyle name="40% - Accent3 7 2 3 4 2" xfId="33437"/>
    <cellStyle name="40% - Accent3 7 2 3 5" xfId="33438"/>
    <cellStyle name="40% - Accent3 7 2 4" xfId="33439"/>
    <cellStyle name="40% - Accent3 7 2 4 2" xfId="33440"/>
    <cellStyle name="40% - Accent3 7 2 4 2 2" xfId="33441"/>
    <cellStyle name="40% - Accent3 7 2 4 2 2 2" xfId="33442"/>
    <cellStyle name="40% - Accent3 7 2 4 2 2 2 2" xfId="33443"/>
    <cellStyle name="40% - Accent3 7 2 4 2 2 3" xfId="33444"/>
    <cellStyle name="40% - Accent3 7 2 4 2 3" xfId="33445"/>
    <cellStyle name="40% - Accent3 7 2 4 2 3 2" xfId="33446"/>
    <cellStyle name="40% - Accent3 7 2 4 2 4" xfId="33447"/>
    <cellStyle name="40% - Accent3 7 2 4 3" xfId="33448"/>
    <cellStyle name="40% - Accent3 7 2 4 3 2" xfId="33449"/>
    <cellStyle name="40% - Accent3 7 2 4 3 2 2" xfId="33450"/>
    <cellStyle name="40% - Accent3 7 2 4 3 3" xfId="33451"/>
    <cellStyle name="40% - Accent3 7 2 4 4" xfId="33452"/>
    <cellStyle name="40% - Accent3 7 2 4 4 2" xfId="33453"/>
    <cellStyle name="40% - Accent3 7 2 4 5" xfId="33454"/>
    <cellStyle name="40% - Accent3 7 2 5" xfId="33455"/>
    <cellStyle name="40% - Accent3 7 2 5 2" xfId="33456"/>
    <cellStyle name="40% - Accent3 7 2 5 2 2" xfId="33457"/>
    <cellStyle name="40% - Accent3 7 2 5 2 2 2" xfId="33458"/>
    <cellStyle name="40% - Accent3 7 2 5 2 2 2 2" xfId="33459"/>
    <cellStyle name="40% - Accent3 7 2 5 2 2 3" xfId="33460"/>
    <cellStyle name="40% - Accent3 7 2 5 2 3" xfId="33461"/>
    <cellStyle name="40% - Accent3 7 2 5 2 3 2" xfId="33462"/>
    <cellStyle name="40% - Accent3 7 2 5 2 4" xfId="33463"/>
    <cellStyle name="40% - Accent3 7 2 5 3" xfId="33464"/>
    <cellStyle name="40% - Accent3 7 2 5 3 2" xfId="33465"/>
    <cellStyle name="40% - Accent3 7 2 5 3 2 2" xfId="33466"/>
    <cellStyle name="40% - Accent3 7 2 5 3 3" xfId="33467"/>
    <cellStyle name="40% - Accent3 7 2 5 4" xfId="33468"/>
    <cellStyle name="40% - Accent3 7 2 5 4 2" xfId="33469"/>
    <cellStyle name="40% - Accent3 7 2 5 5" xfId="33470"/>
    <cellStyle name="40% - Accent3 7 2 6" xfId="33471"/>
    <cellStyle name="40% - Accent3 7 2 6 2" xfId="33472"/>
    <cellStyle name="40% - Accent3 7 2 6 2 2" xfId="33473"/>
    <cellStyle name="40% - Accent3 7 2 6 2 2 2" xfId="33474"/>
    <cellStyle name="40% - Accent3 7 2 6 2 2 2 2" xfId="33475"/>
    <cellStyle name="40% - Accent3 7 2 6 2 2 3" xfId="33476"/>
    <cellStyle name="40% - Accent3 7 2 6 2 3" xfId="33477"/>
    <cellStyle name="40% - Accent3 7 2 6 2 3 2" xfId="33478"/>
    <cellStyle name="40% - Accent3 7 2 6 2 4" xfId="33479"/>
    <cellStyle name="40% - Accent3 7 2 6 3" xfId="33480"/>
    <cellStyle name="40% - Accent3 7 2 6 3 2" xfId="33481"/>
    <cellStyle name="40% - Accent3 7 2 6 3 2 2" xfId="33482"/>
    <cellStyle name="40% - Accent3 7 2 6 3 3" xfId="33483"/>
    <cellStyle name="40% - Accent3 7 2 6 4" xfId="33484"/>
    <cellStyle name="40% - Accent3 7 2 6 4 2" xfId="33485"/>
    <cellStyle name="40% - Accent3 7 2 6 5" xfId="33486"/>
    <cellStyle name="40% - Accent3 7 2 7" xfId="33487"/>
    <cellStyle name="40% - Accent3 7 2 7 2" xfId="33488"/>
    <cellStyle name="40% - Accent3 7 2 7 2 2" xfId="33489"/>
    <cellStyle name="40% - Accent3 7 2 7 2 2 2" xfId="33490"/>
    <cellStyle name="40% - Accent3 7 2 7 2 3" xfId="33491"/>
    <cellStyle name="40% - Accent3 7 2 7 3" xfId="33492"/>
    <cellStyle name="40% - Accent3 7 2 7 3 2" xfId="33493"/>
    <cellStyle name="40% - Accent3 7 2 7 4" xfId="33494"/>
    <cellStyle name="40% - Accent3 7 2 8" xfId="33495"/>
    <cellStyle name="40% - Accent3 7 2 8 2" xfId="33496"/>
    <cellStyle name="40% - Accent3 7 2 8 2 2" xfId="33497"/>
    <cellStyle name="40% - Accent3 7 2 8 3" xfId="33498"/>
    <cellStyle name="40% - Accent3 7 2 9" xfId="33499"/>
    <cellStyle name="40% - Accent3 7 2 9 2" xfId="33500"/>
    <cellStyle name="40% - Accent3 7 3" xfId="33501"/>
    <cellStyle name="40% - Accent3 7 3 2" xfId="33502"/>
    <cellStyle name="40% - Accent3 7 3 2 2" xfId="33503"/>
    <cellStyle name="40% - Accent3 7 3 2 2 2" xfId="33504"/>
    <cellStyle name="40% - Accent3 7 3 2 2 2 2" xfId="33505"/>
    <cellStyle name="40% - Accent3 7 3 2 2 3" xfId="33506"/>
    <cellStyle name="40% - Accent3 7 3 2 3" xfId="33507"/>
    <cellStyle name="40% - Accent3 7 3 2 3 2" xfId="33508"/>
    <cellStyle name="40% - Accent3 7 3 2 4" xfId="33509"/>
    <cellStyle name="40% - Accent3 7 3 3" xfId="33510"/>
    <cellStyle name="40% - Accent3 7 3 3 2" xfId="33511"/>
    <cellStyle name="40% - Accent3 7 3 3 2 2" xfId="33512"/>
    <cellStyle name="40% - Accent3 7 3 3 3" xfId="33513"/>
    <cellStyle name="40% - Accent3 7 3 4" xfId="33514"/>
    <cellStyle name="40% - Accent3 7 3 4 2" xfId="33515"/>
    <cellStyle name="40% - Accent3 7 3 5" xfId="33516"/>
    <cellStyle name="40% - Accent3 7 4" xfId="33517"/>
    <cellStyle name="40% - Accent3 7 4 2" xfId="33518"/>
    <cellStyle name="40% - Accent3 7 4 2 2" xfId="33519"/>
    <cellStyle name="40% - Accent3 7 4 2 2 2" xfId="33520"/>
    <cellStyle name="40% - Accent3 7 4 2 2 2 2" xfId="33521"/>
    <cellStyle name="40% - Accent3 7 4 2 2 3" xfId="33522"/>
    <cellStyle name="40% - Accent3 7 4 2 3" xfId="33523"/>
    <cellStyle name="40% - Accent3 7 4 2 3 2" xfId="33524"/>
    <cellStyle name="40% - Accent3 7 4 2 4" xfId="33525"/>
    <cellStyle name="40% - Accent3 7 4 3" xfId="33526"/>
    <cellStyle name="40% - Accent3 7 4 3 2" xfId="33527"/>
    <cellStyle name="40% - Accent3 7 4 3 2 2" xfId="33528"/>
    <cellStyle name="40% - Accent3 7 4 3 3" xfId="33529"/>
    <cellStyle name="40% - Accent3 7 4 4" xfId="33530"/>
    <cellStyle name="40% - Accent3 7 4 4 2" xfId="33531"/>
    <cellStyle name="40% - Accent3 7 4 5" xfId="33532"/>
    <cellStyle name="40% - Accent3 7 5" xfId="33533"/>
    <cellStyle name="40% - Accent3 7 5 2" xfId="33534"/>
    <cellStyle name="40% - Accent3 7 5 2 2" xfId="33535"/>
    <cellStyle name="40% - Accent3 7 5 2 2 2" xfId="33536"/>
    <cellStyle name="40% - Accent3 7 5 2 2 2 2" xfId="33537"/>
    <cellStyle name="40% - Accent3 7 5 2 2 3" xfId="33538"/>
    <cellStyle name="40% - Accent3 7 5 2 3" xfId="33539"/>
    <cellStyle name="40% - Accent3 7 5 2 3 2" xfId="33540"/>
    <cellStyle name="40% - Accent3 7 5 2 4" xfId="33541"/>
    <cellStyle name="40% - Accent3 7 5 3" xfId="33542"/>
    <cellStyle name="40% - Accent3 7 5 3 2" xfId="33543"/>
    <cellStyle name="40% - Accent3 7 5 3 2 2" xfId="33544"/>
    <cellStyle name="40% - Accent3 7 5 3 3" xfId="33545"/>
    <cellStyle name="40% - Accent3 7 5 4" xfId="33546"/>
    <cellStyle name="40% - Accent3 7 5 4 2" xfId="33547"/>
    <cellStyle name="40% - Accent3 7 5 5" xfId="33548"/>
    <cellStyle name="40% - Accent3 7 6" xfId="33549"/>
    <cellStyle name="40% - Accent3 7 6 2" xfId="33550"/>
    <cellStyle name="40% - Accent3 7 6 2 2" xfId="33551"/>
    <cellStyle name="40% - Accent3 7 6 2 2 2" xfId="33552"/>
    <cellStyle name="40% - Accent3 7 6 2 2 2 2" xfId="33553"/>
    <cellStyle name="40% - Accent3 7 6 2 2 3" xfId="33554"/>
    <cellStyle name="40% - Accent3 7 6 2 3" xfId="33555"/>
    <cellStyle name="40% - Accent3 7 6 2 3 2" xfId="33556"/>
    <cellStyle name="40% - Accent3 7 6 2 4" xfId="33557"/>
    <cellStyle name="40% - Accent3 7 6 3" xfId="33558"/>
    <cellStyle name="40% - Accent3 7 6 3 2" xfId="33559"/>
    <cellStyle name="40% - Accent3 7 6 3 2 2" xfId="33560"/>
    <cellStyle name="40% - Accent3 7 6 3 3" xfId="33561"/>
    <cellStyle name="40% - Accent3 7 6 4" xfId="33562"/>
    <cellStyle name="40% - Accent3 7 6 4 2" xfId="33563"/>
    <cellStyle name="40% - Accent3 7 6 5" xfId="33564"/>
    <cellStyle name="40% - Accent3 7 7" xfId="33565"/>
    <cellStyle name="40% - Accent3 7 7 2" xfId="33566"/>
    <cellStyle name="40% - Accent3 7 7 2 2" xfId="33567"/>
    <cellStyle name="40% - Accent3 7 7 2 2 2" xfId="33568"/>
    <cellStyle name="40% - Accent3 7 7 2 2 2 2" xfId="33569"/>
    <cellStyle name="40% - Accent3 7 7 2 2 3" xfId="33570"/>
    <cellStyle name="40% - Accent3 7 7 2 3" xfId="33571"/>
    <cellStyle name="40% - Accent3 7 7 2 3 2" xfId="33572"/>
    <cellStyle name="40% - Accent3 7 7 2 4" xfId="33573"/>
    <cellStyle name="40% - Accent3 7 7 3" xfId="33574"/>
    <cellStyle name="40% - Accent3 7 7 3 2" xfId="33575"/>
    <cellStyle name="40% - Accent3 7 7 3 2 2" xfId="33576"/>
    <cellStyle name="40% - Accent3 7 7 3 3" xfId="33577"/>
    <cellStyle name="40% - Accent3 7 7 4" xfId="33578"/>
    <cellStyle name="40% - Accent3 7 7 4 2" xfId="33579"/>
    <cellStyle name="40% - Accent3 7 7 5" xfId="33580"/>
    <cellStyle name="40% - Accent3 7 8" xfId="33581"/>
    <cellStyle name="40% - Accent3 7 8 2" xfId="33582"/>
    <cellStyle name="40% - Accent3 7 8 2 2" xfId="33583"/>
    <cellStyle name="40% - Accent3 7 8 2 2 2" xfId="33584"/>
    <cellStyle name="40% - Accent3 7 8 2 3" xfId="33585"/>
    <cellStyle name="40% - Accent3 7 8 3" xfId="33586"/>
    <cellStyle name="40% - Accent3 7 8 3 2" xfId="33587"/>
    <cellStyle name="40% - Accent3 7 8 4" xfId="33588"/>
    <cellStyle name="40% - Accent3 7 9" xfId="33589"/>
    <cellStyle name="40% - Accent3 7 9 2" xfId="33590"/>
    <cellStyle name="40% - Accent3 7 9 2 2" xfId="33591"/>
    <cellStyle name="40% - Accent3 7 9 3" xfId="33592"/>
    <cellStyle name="40% - Accent3 8" xfId="33593"/>
    <cellStyle name="40% - Accent3 8 10" xfId="33594"/>
    <cellStyle name="40% - Accent3 8 10 2" xfId="33595"/>
    <cellStyle name="40% - Accent3 8 11" xfId="33596"/>
    <cellStyle name="40% - Accent3 8 2" xfId="33597"/>
    <cellStyle name="40% - Accent3 8 2 10" xfId="33598"/>
    <cellStyle name="40% - Accent3 8 2 2" xfId="33599"/>
    <cellStyle name="40% - Accent3 8 2 2 2" xfId="33600"/>
    <cellStyle name="40% - Accent3 8 2 2 2 2" xfId="33601"/>
    <cellStyle name="40% - Accent3 8 2 2 2 2 2" xfId="33602"/>
    <cellStyle name="40% - Accent3 8 2 2 2 2 2 2" xfId="33603"/>
    <cellStyle name="40% - Accent3 8 2 2 2 2 3" xfId="33604"/>
    <cellStyle name="40% - Accent3 8 2 2 2 3" xfId="33605"/>
    <cellStyle name="40% - Accent3 8 2 2 2 3 2" xfId="33606"/>
    <cellStyle name="40% - Accent3 8 2 2 2 4" xfId="33607"/>
    <cellStyle name="40% - Accent3 8 2 2 3" xfId="33608"/>
    <cellStyle name="40% - Accent3 8 2 2 3 2" xfId="33609"/>
    <cellStyle name="40% - Accent3 8 2 2 3 2 2" xfId="33610"/>
    <cellStyle name="40% - Accent3 8 2 2 3 3" xfId="33611"/>
    <cellStyle name="40% - Accent3 8 2 2 4" xfId="33612"/>
    <cellStyle name="40% - Accent3 8 2 2 4 2" xfId="33613"/>
    <cellStyle name="40% - Accent3 8 2 2 5" xfId="33614"/>
    <cellStyle name="40% - Accent3 8 2 3" xfId="33615"/>
    <cellStyle name="40% - Accent3 8 2 3 2" xfId="33616"/>
    <cellStyle name="40% - Accent3 8 2 3 2 2" xfId="33617"/>
    <cellStyle name="40% - Accent3 8 2 3 2 2 2" xfId="33618"/>
    <cellStyle name="40% - Accent3 8 2 3 2 2 2 2" xfId="33619"/>
    <cellStyle name="40% - Accent3 8 2 3 2 2 3" xfId="33620"/>
    <cellStyle name="40% - Accent3 8 2 3 2 3" xfId="33621"/>
    <cellStyle name="40% - Accent3 8 2 3 2 3 2" xfId="33622"/>
    <cellStyle name="40% - Accent3 8 2 3 2 4" xfId="33623"/>
    <cellStyle name="40% - Accent3 8 2 3 3" xfId="33624"/>
    <cellStyle name="40% - Accent3 8 2 3 3 2" xfId="33625"/>
    <cellStyle name="40% - Accent3 8 2 3 3 2 2" xfId="33626"/>
    <cellStyle name="40% - Accent3 8 2 3 3 3" xfId="33627"/>
    <cellStyle name="40% - Accent3 8 2 3 4" xfId="33628"/>
    <cellStyle name="40% - Accent3 8 2 3 4 2" xfId="33629"/>
    <cellStyle name="40% - Accent3 8 2 3 5" xfId="33630"/>
    <cellStyle name="40% - Accent3 8 2 4" xfId="33631"/>
    <cellStyle name="40% - Accent3 8 2 4 2" xfId="33632"/>
    <cellStyle name="40% - Accent3 8 2 4 2 2" xfId="33633"/>
    <cellStyle name="40% - Accent3 8 2 4 2 2 2" xfId="33634"/>
    <cellStyle name="40% - Accent3 8 2 4 2 2 2 2" xfId="33635"/>
    <cellStyle name="40% - Accent3 8 2 4 2 2 3" xfId="33636"/>
    <cellStyle name="40% - Accent3 8 2 4 2 3" xfId="33637"/>
    <cellStyle name="40% - Accent3 8 2 4 2 3 2" xfId="33638"/>
    <cellStyle name="40% - Accent3 8 2 4 2 4" xfId="33639"/>
    <cellStyle name="40% - Accent3 8 2 4 3" xfId="33640"/>
    <cellStyle name="40% - Accent3 8 2 4 3 2" xfId="33641"/>
    <cellStyle name="40% - Accent3 8 2 4 3 2 2" xfId="33642"/>
    <cellStyle name="40% - Accent3 8 2 4 3 3" xfId="33643"/>
    <cellStyle name="40% - Accent3 8 2 4 4" xfId="33644"/>
    <cellStyle name="40% - Accent3 8 2 4 4 2" xfId="33645"/>
    <cellStyle name="40% - Accent3 8 2 4 5" xfId="33646"/>
    <cellStyle name="40% - Accent3 8 2 5" xfId="33647"/>
    <cellStyle name="40% - Accent3 8 2 5 2" xfId="33648"/>
    <cellStyle name="40% - Accent3 8 2 5 2 2" xfId="33649"/>
    <cellStyle name="40% - Accent3 8 2 5 2 2 2" xfId="33650"/>
    <cellStyle name="40% - Accent3 8 2 5 2 2 2 2" xfId="33651"/>
    <cellStyle name="40% - Accent3 8 2 5 2 2 3" xfId="33652"/>
    <cellStyle name="40% - Accent3 8 2 5 2 3" xfId="33653"/>
    <cellStyle name="40% - Accent3 8 2 5 2 3 2" xfId="33654"/>
    <cellStyle name="40% - Accent3 8 2 5 2 4" xfId="33655"/>
    <cellStyle name="40% - Accent3 8 2 5 3" xfId="33656"/>
    <cellStyle name="40% - Accent3 8 2 5 3 2" xfId="33657"/>
    <cellStyle name="40% - Accent3 8 2 5 3 2 2" xfId="33658"/>
    <cellStyle name="40% - Accent3 8 2 5 3 3" xfId="33659"/>
    <cellStyle name="40% - Accent3 8 2 5 4" xfId="33660"/>
    <cellStyle name="40% - Accent3 8 2 5 4 2" xfId="33661"/>
    <cellStyle name="40% - Accent3 8 2 5 5" xfId="33662"/>
    <cellStyle name="40% - Accent3 8 2 6" xfId="33663"/>
    <cellStyle name="40% - Accent3 8 2 6 2" xfId="33664"/>
    <cellStyle name="40% - Accent3 8 2 6 2 2" xfId="33665"/>
    <cellStyle name="40% - Accent3 8 2 6 2 2 2" xfId="33666"/>
    <cellStyle name="40% - Accent3 8 2 6 2 2 2 2" xfId="33667"/>
    <cellStyle name="40% - Accent3 8 2 6 2 2 3" xfId="33668"/>
    <cellStyle name="40% - Accent3 8 2 6 2 3" xfId="33669"/>
    <cellStyle name="40% - Accent3 8 2 6 2 3 2" xfId="33670"/>
    <cellStyle name="40% - Accent3 8 2 6 2 4" xfId="33671"/>
    <cellStyle name="40% - Accent3 8 2 6 3" xfId="33672"/>
    <cellStyle name="40% - Accent3 8 2 6 3 2" xfId="33673"/>
    <cellStyle name="40% - Accent3 8 2 6 3 2 2" xfId="33674"/>
    <cellStyle name="40% - Accent3 8 2 6 3 3" xfId="33675"/>
    <cellStyle name="40% - Accent3 8 2 6 4" xfId="33676"/>
    <cellStyle name="40% - Accent3 8 2 6 4 2" xfId="33677"/>
    <cellStyle name="40% - Accent3 8 2 6 5" xfId="33678"/>
    <cellStyle name="40% - Accent3 8 2 7" xfId="33679"/>
    <cellStyle name="40% - Accent3 8 2 7 2" xfId="33680"/>
    <cellStyle name="40% - Accent3 8 2 7 2 2" xfId="33681"/>
    <cellStyle name="40% - Accent3 8 2 7 2 2 2" xfId="33682"/>
    <cellStyle name="40% - Accent3 8 2 7 2 3" xfId="33683"/>
    <cellStyle name="40% - Accent3 8 2 7 3" xfId="33684"/>
    <cellStyle name="40% - Accent3 8 2 7 3 2" xfId="33685"/>
    <cellStyle name="40% - Accent3 8 2 7 4" xfId="33686"/>
    <cellStyle name="40% - Accent3 8 2 8" xfId="33687"/>
    <cellStyle name="40% - Accent3 8 2 8 2" xfId="33688"/>
    <cellStyle name="40% - Accent3 8 2 8 2 2" xfId="33689"/>
    <cellStyle name="40% - Accent3 8 2 8 3" xfId="33690"/>
    <cellStyle name="40% - Accent3 8 2 9" xfId="33691"/>
    <cellStyle name="40% - Accent3 8 2 9 2" xfId="33692"/>
    <cellStyle name="40% - Accent3 8 3" xfId="33693"/>
    <cellStyle name="40% - Accent3 8 3 2" xfId="33694"/>
    <cellStyle name="40% - Accent3 8 3 2 2" xfId="33695"/>
    <cellStyle name="40% - Accent3 8 3 2 2 2" xfId="33696"/>
    <cellStyle name="40% - Accent3 8 3 2 2 2 2" xfId="33697"/>
    <cellStyle name="40% - Accent3 8 3 2 2 3" xfId="33698"/>
    <cellStyle name="40% - Accent3 8 3 2 3" xfId="33699"/>
    <cellStyle name="40% - Accent3 8 3 2 3 2" xfId="33700"/>
    <cellStyle name="40% - Accent3 8 3 2 4" xfId="33701"/>
    <cellStyle name="40% - Accent3 8 3 3" xfId="33702"/>
    <cellStyle name="40% - Accent3 8 3 3 2" xfId="33703"/>
    <cellStyle name="40% - Accent3 8 3 3 2 2" xfId="33704"/>
    <cellStyle name="40% - Accent3 8 3 3 3" xfId="33705"/>
    <cellStyle name="40% - Accent3 8 3 4" xfId="33706"/>
    <cellStyle name="40% - Accent3 8 3 4 2" xfId="33707"/>
    <cellStyle name="40% - Accent3 8 3 5" xfId="33708"/>
    <cellStyle name="40% - Accent3 8 4" xfId="33709"/>
    <cellStyle name="40% - Accent3 8 4 2" xfId="33710"/>
    <cellStyle name="40% - Accent3 8 4 2 2" xfId="33711"/>
    <cellStyle name="40% - Accent3 8 4 2 2 2" xfId="33712"/>
    <cellStyle name="40% - Accent3 8 4 2 2 2 2" xfId="33713"/>
    <cellStyle name="40% - Accent3 8 4 2 2 3" xfId="33714"/>
    <cellStyle name="40% - Accent3 8 4 2 3" xfId="33715"/>
    <cellStyle name="40% - Accent3 8 4 2 3 2" xfId="33716"/>
    <cellStyle name="40% - Accent3 8 4 2 4" xfId="33717"/>
    <cellStyle name="40% - Accent3 8 4 3" xfId="33718"/>
    <cellStyle name="40% - Accent3 8 4 3 2" xfId="33719"/>
    <cellStyle name="40% - Accent3 8 4 3 2 2" xfId="33720"/>
    <cellStyle name="40% - Accent3 8 4 3 3" xfId="33721"/>
    <cellStyle name="40% - Accent3 8 4 4" xfId="33722"/>
    <cellStyle name="40% - Accent3 8 4 4 2" xfId="33723"/>
    <cellStyle name="40% - Accent3 8 4 5" xfId="33724"/>
    <cellStyle name="40% - Accent3 8 5" xfId="33725"/>
    <cellStyle name="40% - Accent3 8 5 2" xfId="33726"/>
    <cellStyle name="40% - Accent3 8 5 2 2" xfId="33727"/>
    <cellStyle name="40% - Accent3 8 5 2 2 2" xfId="33728"/>
    <cellStyle name="40% - Accent3 8 5 2 2 2 2" xfId="33729"/>
    <cellStyle name="40% - Accent3 8 5 2 2 3" xfId="33730"/>
    <cellStyle name="40% - Accent3 8 5 2 3" xfId="33731"/>
    <cellStyle name="40% - Accent3 8 5 2 3 2" xfId="33732"/>
    <cellStyle name="40% - Accent3 8 5 2 4" xfId="33733"/>
    <cellStyle name="40% - Accent3 8 5 3" xfId="33734"/>
    <cellStyle name="40% - Accent3 8 5 3 2" xfId="33735"/>
    <cellStyle name="40% - Accent3 8 5 3 2 2" xfId="33736"/>
    <cellStyle name="40% - Accent3 8 5 3 3" xfId="33737"/>
    <cellStyle name="40% - Accent3 8 5 4" xfId="33738"/>
    <cellStyle name="40% - Accent3 8 5 4 2" xfId="33739"/>
    <cellStyle name="40% - Accent3 8 5 5" xfId="33740"/>
    <cellStyle name="40% - Accent3 8 6" xfId="33741"/>
    <cellStyle name="40% - Accent3 8 6 2" xfId="33742"/>
    <cellStyle name="40% - Accent3 8 6 2 2" xfId="33743"/>
    <cellStyle name="40% - Accent3 8 6 2 2 2" xfId="33744"/>
    <cellStyle name="40% - Accent3 8 6 2 2 2 2" xfId="33745"/>
    <cellStyle name="40% - Accent3 8 6 2 2 3" xfId="33746"/>
    <cellStyle name="40% - Accent3 8 6 2 3" xfId="33747"/>
    <cellStyle name="40% - Accent3 8 6 2 3 2" xfId="33748"/>
    <cellStyle name="40% - Accent3 8 6 2 4" xfId="33749"/>
    <cellStyle name="40% - Accent3 8 6 3" xfId="33750"/>
    <cellStyle name="40% - Accent3 8 6 3 2" xfId="33751"/>
    <cellStyle name="40% - Accent3 8 6 3 2 2" xfId="33752"/>
    <cellStyle name="40% - Accent3 8 6 3 3" xfId="33753"/>
    <cellStyle name="40% - Accent3 8 6 4" xfId="33754"/>
    <cellStyle name="40% - Accent3 8 6 4 2" xfId="33755"/>
    <cellStyle name="40% - Accent3 8 6 5" xfId="33756"/>
    <cellStyle name="40% - Accent3 8 7" xfId="33757"/>
    <cellStyle name="40% - Accent3 8 7 2" xfId="33758"/>
    <cellStyle name="40% - Accent3 8 7 2 2" xfId="33759"/>
    <cellStyle name="40% - Accent3 8 7 2 2 2" xfId="33760"/>
    <cellStyle name="40% - Accent3 8 7 2 2 2 2" xfId="33761"/>
    <cellStyle name="40% - Accent3 8 7 2 2 3" xfId="33762"/>
    <cellStyle name="40% - Accent3 8 7 2 3" xfId="33763"/>
    <cellStyle name="40% - Accent3 8 7 2 3 2" xfId="33764"/>
    <cellStyle name="40% - Accent3 8 7 2 4" xfId="33765"/>
    <cellStyle name="40% - Accent3 8 7 3" xfId="33766"/>
    <cellStyle name="40% - Accent3 8 7 3 2" xfId="33767"/>
    <cellStyle name="40% - Accent3 8 7 3 2 2" xfId="33768"/>
    <cellStyle name="40% - Accent3 8 7 3 3" xfId="33769"/>
    <cellStyle name="40% - Accent3 8 7 4" xfId="33770"/>
    <cellStyle name="40% - Accent3 8 7 4 2" xfId="33771"/>
    <cellStyle name="40% - Accent3 8 7 5" xfId="33772"/>
    <cellStyle name="40% - Accent3 8 8" xfId="33773"/>
    <cellStyle name="40% - Accent3 8 8 2" xfId="33774"/>
    <cellStyle name="40% - Accent3 8 8 2 2" xfId="33775"/>
    <cellStyle name="40% - Accent3 8 8 2 2 2" xfId="33776"/>
    <cellStyle name="40% - Accent3 8 8 2 3" xfId="33777"/>
    <cellStyle name="40% - Accent3 8 8 3" xfId="33778"/>
    <cellStyle name="40% - Accent3 8 8 3 2" xfId="33779"/>
    <cellStyle name="40% - Accent3 8 8 4" xfId="33780"/>
    <cellStyle name="40% - Accent3 8 9" xfId="33781"/>
    <cellStyle name="40% - Accent3 8 9 2" xfId="33782"/>
    <cellStyle name="40% - Accent3 8 9 2 2" xfId="33783"/>
    <cellStyle name="40% - Accent3 8 9 3" xfId="33784"/>
    <cellStyle name="40% - Accent3 9" xfId="33785"/>
    <cellStyle name="40% - Accent3 9 10" xfId="33786"/>
    <cellStyle name="40% - Accent3 9 10 2" xfId="33787"/>
    <cellStyle name="40% - Accent3 9 11" xfId="33788"/>
    <cellStyle name="40% - Accent3 9 2" xfId="33789"/>
    <cellStyle name="40% - Accent3 9 2 10" xfId="33790"/>
    <cellStyle name="40% - Accent3 9 2 2" xfId="33791"/>
    <cellStyle name="40% - Accent3 9 2 2 2" xfId="33792"/>
    <cellStyle name="40% - Accent3 9 2 2 2 2" xfId="33793"/>
    <cellStyle name="40% - Accent3 9 2 2 2 2 2" xfId="33794"/>
    <cellStyle name="40% - Accent3 9 2 2 2 2 2 2" xfId="33795"/>
    <cellStyle name="40% - Accent3 9 2 2 2 2 3" xfId="33796"/>
    <cellStyle name="40% - Accent3 9 2 2 2 3" xfId="33797"/>
    <cellStyle name="40% - Accent3 9 2 2 2 3 2" xfId="33798"/>
    <cellStyle name="40% - Accent3 9 2 2 2 4" xfId="33799"/>
    <cellStyle name="40% - Accent3 9 2 2 3" xfId="33800"/>
    <cellStyle name="40% - Accent3 9 2 2 3 2" xfId="33801"/>
    <cellStyle name="40% - Accent3 9 2 2 3 2 2" xfId="33802"/>
    <cellStyle name="40% - Accent3 9 2 2 3 3" xfId="33803"/>
    <cellStyle name="40% - Accent3 9 2 2 4" xfId="33804"/>
    <cellStyle name="40% - Accent3 9 2 2 4 2" xfId="33805"/>
    <cellStyle name="40% - Accent3 9 2 2 5" xfId="33806"/>
    <cellStyle name="40% - Accent3 9 2 3" xfId="33807"/>
    <cellStyle name="40% - Accent3 9 2 3 2" xfId="33808"/>
    <cellStyle name="40% - Accent3 9 2 3 2 2" xfId="33809"/>
    <cellStyle name="40% - Accent3 9 2 3 2 2 2" xfId="33810"/>
    <cellStyle name="40% - Accent3 9 2 3 2 2 2 2" xfId="33811"/>
    <cellStyle name="40% - Accent3 9 2 3 2 2 3" xfId="33812"/>
    <cellStyle name="40% - Accent3 9 2 3 2 3" xfId="33813"/>
    <cellStyle name="40% - Accent3 9 2 3 2 3 2" xfId="33814"/>
    <cellStyle name="40% - Accent3 9 2 3 2 4" xfId="33815"/>
    <cellStyle name="40% - Accent3 9 2 3 3" xfId="33816"/>
    <cellStyle name="40% - Accent3 9 2 3 3 2" xfId="33817"/>
    <cellStyle name="40% - Accent3 9 2 3 3 2 2" xfId="33818"/>
    <cellStyle name="40% - Accent3 9 2 3 3 3" xfId="33819"/>
    <cellStyle name="40% - Accent3 9 2 3 4" xfId="33820"/>
    <cellStyle name="40% - Accent3 9 2 3 4 2" xfId="33821"/>
    <cellStyle name="40% - Accent3 9 2 3 5" xfId="33822"/>
    <cellStyle name="40% - Accent3 9 2 4" xfId="33823"/>
    <cellStyle name="40% - Accent3 9 2 4 2" xfId="33824"/>
    <cellStyle name="40% - Accent3 9 2 4 2 2" xfId="33825"/>
    <cellStyle name="40% - Accent3 9 2 4 2 2 2" xfId="33826"/>
    <cellStyle name="40% - Accent3 9 2 4 2 2 2 2" xfId="33827"/>
    <cellStyle name="40% - Accent3 9 2 4 2 2 3" xfId="33828"/>
    <cellStyle name="40% - Accent3 9 2 4 2 3" xfId="33829"/>
    <cellStyle name="40% - Accent3 9 2 4 2 3 2" xfId="33830"/>
    <cellStyle name="40% - Accent3 9 2 4 2 4" xfId="33831"/>
    <cellStyle name="40% - Accent3 9 2 4 3" xfId="33832"/>
    <cellStyle name="40% - Accent3 9 2 4 3 2" xfId="33833"/>
    <cellStyle name="40% - Accent3 9 2 4 3 2 2" xfId="33834"/>
    <cellStyle name="40% - Accent3 9 2 4 3 3" xfId="33835"/>
    <cellStyle name="40% - Accent3 9 2 4 4" xfId="33836"/>
    <cellStyle name="40% - Accent3 9 2 4 4 2" xfId="33837"/>
    <cellStyle name="40% - Accent3 9 2 4 5" xfId="33838"/>
    <cellStyle name="40% - Accent3 9 2 5" xfId="33839"/>
    <cellStyle name="40% - Accent3 9 2 5 2" xfId="33840"/>
    <cellStyle name="40% - Accent3 9 2 5 2 2" xfId="33841"/>
    <cellStyle name="40% - Accent3 9 2 5 2 2 2" xfId="33842"/>
    <cellStyle name="40% - Accent3 9 2 5 2 2 2 2" xfId="33843"/>
    <cellStyle name="40% - Accent3 9 2 5 2 2 3" xfId="33844"/>
    <cellStyle name="40% - Accent3 9 2 5 2 3" xfId="33845"/>
    <cellStyle name="40% - Accent3 9 2 5 2 3 2" xfId="33846"/>
    <cellStyle name="40% - Accent3 9 2 5 2 4" xfId="33847"/>
    <cellStyle name="40% - Accent3 9 2 5 3" xfId="33848"/>
    <cellStyle name="40% - Accent3 9 2 5 3 2" xfId="33849"/>
    <cellStyle name="40% - Accent3 9 2 5 3 2 2" xfId="33850"/>
    <cellStyle name="40% - Accent3 9 2 5 3 3" xfId="33851"/>
    <cellStyle name="40% - Accent3 9 2 5 4" xfId="33852"/>
    <cellStyle name="40% - Accent3 9 2 5 4 2" xfId="33853"/>
    <cellStyle name="40% - Accent3 9 2 5 5" xfId="33854"/>
    <cellStyle name="40% - Accent3 9 2 6" xfId="33855"/>
    <cellStyle name="40% - Accent3 9 2 6 2" xfId="33856"/>
    <cellStyle name="40% - Accent3 9 2 6 2 2" xfId="33857"/>
    <cellStyle name="40% - Accent3 9 2 6 2 2 2" xfId="33858"/>
    <cellStyle name="40% - Accent3 9 2 6 2 2 2 2" xfId="33859"/>
    <cellStyle name="40% - Accent3 9 2 6 2 2 3" xfId="33860"/>
    <cellStyle name="40% - Accent3 9 2 6 2 3" xfId="33861"/>
    <cellStyle name="40% - Accent3 9 2 6 2 3 2" xfId="33862"/>
    <cellStyle name="40% - Accent3 9 2 6 2 4" xfId="33863"/>
    <cellStyle name="40% - Accent3 9 2 6 3" xfId="33864"/>
    <cellStyle name="40% - Accent3 9 2 6 3 2" xfId="33865"/>
    <cellStyle name="40% - Accent3 9 2 6 3 2 2" xfId="33866"/>
    <cellStyle name="40% - Accent3 9 2 6 3 3" xfId="33867"/>
    <cellStyle name="40% - Accent3 9 2 6 4" xfId="33868"/>
    <cellStyle name="40% - Accent3 9 2 6 4 2" xfId="33869"/>
    <cellStyle name="40% - Accent3 9 2 6 5" xfId="33870"/>
    <cellStyle name="40% - Accent3 9 2 7" xfId="33871"/>
    <cellStyle name="40% - Accent3 9 2 7 2" xfId="33872"/>
    <cellStyle name="40% - Accent3 9 2 7 2 2" xfId="33873"/>
    <cellStyle name="40% - Accent3 9 2 7 2 2 2" xfId="33874"/>
    <cellStyle name="40% - Accent3 9 2 7 2 3" xfId="33875"/>
    <cellStyle name="40% - Accent3 9 2 7 3" xfId="33876"/>
    <cellStyle name="40% - Accent3 9 2 7 3 2" xfId="33877"/>
    <cellStyle name="40% - Accent3 9 2 7 4" xfId="33878"/>
    <cellStyle name="40% - Accent3 9 2 8" xfId="33879"/>
    <cellStyle name="40% - Accent3 9 2 8 2" xfId="33880"/>
    <cellStyle name="40% - Accent3 9 2 8 2 2" xfId="33881"/>
    <cellStyle name="40% - Accent3 9 2 8 3" xfId="33882"/>
    <cellStyle name="40% - Accent3 9 2 9" xfId="33883"/>
    <cellStyle name="40% - Accent3 9 2 9 2" xfId="33884"/>
    <cellStyle name="40% - Accent3 9 3" xfId="33885"/>
    <cellStyle name="40% - Accent3 9 3 2" xfId="33886"/>
    <cellStyle name="40% - Accent3 9 3 2 2" xfId="33887"/>
    <cellStyle name="40% - Accent3 9 3 2 2 2" xfId="33888"/>
    <cellStyle name="40% - Accent3 9 3 2 2 2 2" xfId="33889"/>
    <cellStyle name="40% - Accent3 9 3 2 2 3" xfId="33890"/>
    <cellStyle name="40% - Accent3 9 3 2 3" xfId="33891"/>
    <cellStyle name="40% - Accent3 9 3 2 3 2" xfId="33892"/>
    <cellStyle name="40% - Accent3 9 3 2 4" xfId="33893"/>
    <cellStyle name="40% - Accent3 9 3 3" xfId="33894"/>
    <cellStyle name="40% - Accent3 9 3 3 2" xfId="33895"/>
    <cellStyle name="40% - Accent3 9 3 3 2 2" xfId="33896"/>
    <cellStyle name="40% - Accent3 9 3 3 3" xfId="33897"/>
    <cellStyle name="40% - Accent3 9 3 4" xfId="33898"/>
    <cellStyle name="40% - Accent3 9 3 4 2" xfId="33899"/>
    <cellStyle name="40% - Accent3 9 3 5" xfId="33900"/>
    <cellStyle name="40% - Accent3 9 4" xfId="33901"/>
    <cellStyle name="40% - Accent3 9 4 2" xfId="33902"/>
    <cellStyle name="40% - Accent3 9 4 2 2" xfId="33903"/>
    <cellStyle name="40% - Accent3 9 4 2 2 2" xfId="33904"/>
    <cellStyle name="40% - Accent3 9 4 2 2 2 2" xfId="33905"/>
    <cellStyle name="40% - Accent3 9 4 2 2 3" xfId="33906"/>
    <cellStyle name="40% - Accent3 9 4 2 3" xfId="33907"/>
    <cellStyle name="40% - Accent3 9 4 2 3 2" xfId="33908"/>
    <cellStyle name="40% - Accent3 9 4 2 4" xfId="33909"/>
    <cellStyle name="40% - Accent3 9 4 3" xfId="33910"/>
    <cellStyle name="40% - Accent3 9 4 3 2" xfId="33911"/>
    <cellStyle name="40% - Accent3 9 4 3 2 2" xfId="33912"/>
    <cellStyle name="40% - Accent3 9 4 3 3" xfId="33913"/>
    <cellStyle name="40% - Accent3 9 4 4" xfId="33914"/>
    <cellStyle name="40% - Accent3 9 4 4 2" xfId="33915"/>
    <cellStyle name="40% - Accent3 9 4 5" xfId="33916"/>
    <cellStyle name="40% - Accent3 9 5" xfId="33917"/>
    <cellStyle name="40% - Accent3 9 5 2" xfId="33918"/>
    <cellStyle name="40% - Accent3 9 5 2 2" xfId="33919"/>
    <cellStyle name="40% - Accent3 9 5 2 2 2" xfId="33920"/>
    <cellStyle name="40% - Accent3 9 5 2 2 2 2" xfId="33921"/>
    <cellStyle name="40% - Accent3 9 5 2 2 3" xfId="33922"/>
    <cellStyle name="40% - Accent3 9 5 2 3" xfId="33923"/>
    <cellStyle name="40% - Accent3 9 5 2 3 2" xfId="33924"/>
    <cellStyle name="40% - Accent3 9 5 2 4" xfId="33925"/>
    <cellStyle name="40% - Accent3 9 5 3" xfId="33926"/>
    <cellStyle name="40% - Accent3 9 5 3 2" xfId="33927"/>
    <cellStyle name="40% - Accent3 9 5 3 2 2" xfId="33928"/>
    <cellStyle name="40% - Accent3 9 5 3 3" xfId="33929"/>
    <cellStyle name="40% - Accent3 9 5 4" xfId="33930"/>
    <cellStyle name="40% - Accent3 9 5 4 2" xfId="33931"/>
    <cellStyle name="40% - Accent3 9 5 5" xfId="33932"/>
    <cellStyle name="40% - Accent3 9 6" xfId="33933"/>
    <cellStyle name="40% - Accent3 9 6 2" xfId="33934"/>
    <cellStyle name="40% - Accent3 9 6 2 2" xfId="33935"/>
    <cellStyle name="40% - Accent3 9 6 2 2 2" xfId="33936"/>
    <cellStyle name="40% - Accent3 9 6 2 2 2 2" xfId="33937"/>
    <cellStyle name="40% - Accent3 9 6 2 2 3" xfId="33938"/>
    <cellStyle name="40% - Accent3 9 6 2 3" xfId="33939"/>
    <cellStyle name="40% - Accent3 9 6 2 3 2" xfId="33940"/>
    <cellStyle name="40% - Accent3 9 6 2 4" xfId="33941"/>
    <cellStyle name="40% - Accent3 9 6 3" xfId="33942"/>
    <cellStyle name="40% - Accent3 9 6 3 2" xfId="33943"/>
    <cellStyle name="40% - Accent3 9 6 3 2 2" xfId="33944"/>
    <cellStyle name="40% - Accent3 9 6 3 3" xfId="33945"/>
    <cellStyle name="40% - Accent3 9 6 4" xfId="33946"/>
    <cellStyle name="40% - Accent3 9 6 4 2" xfId="33947"/>
    <cellStyle name="40% - Accent3 9 6 5" xfId="33948"/>
    <cellStyle name="40% - Accent3 9 7" xfId="33949"/>
    <cellStyle name="40% - Accent3 9 7 2" xfId="33950"/>
    <cellStyle name="40% - Accent3 9 7 2 2" xfId="33951"/>
    <cellStyle name="40% - Accent3 9 7 2 2 2" xfId="33952"/>
    <cellStyle name="40% - Accent3 9 7 2 2 2 2" xfId="33953"/>
    <cellStyle name="40% - Accent3 9 7 2 2 3" xfId="33954"/>
    <cellStyle name="40% - Accent3 9 7 2 3" xfId="33955"/>
    <cellStyle name="40% - Accent3 9 7 2 3 2" xfId="33956"/>
    <cellStyle name="40% - Accent3 9 7 2 4" xfId="33957"/>
    <cellStyle name="40% - Accent3 9 7 3" xfId="33958"/>
    <cellStyle name="40% - Accent3 9 7 3 2" xfId="33959"/>
    <cellStyle name="40% - Accent3 9 7 3 2 2" xfId="33960"/>
    <cellStyle name="40% - Accent3 9 7 3 3" xfId="33961"/>
    <cellStyle name="40% - Accent3 9 7 4" xfId="33962"/>
    <cellStyle name="40% - Accent3 9 7 4 2" xfId="33963"/>
    <cellStyle name="40% - Accent3 9 7 5" xfId="33964"/>
    <cellStyle name="40% - Accent3 9 8" xfId="33965"/>
    <cellStyle name="40% - Accent3 9 8 2" xfId="33966"/>
    <cellStyle name="40% - Accent3 9 8 2 2" xfId="33967"/>
    <cellStyle name="40% - Accent3 9 8 2 2 2" xfId="33968"/>
    <cellStyle name="40% - Accent3 9 8 2 3" xfId="33969"/>
    <cellStyle name="40% - Accent3 9 8 3" xfId="33970"/>
    <cellStyle name="40% - Accent3 9 8 3 2" xfId="33971"/>
    <cellStyle name="40% - Accent3 9 8 4" xfId="33972"/>
    <cellStyle name="40% - Accent3 9 9" xfId="33973"/>
    <cellStyle name="40% - Accent3 9 9 2" xfId="33974"/>
    <cellStyle name="40% - Accent3 9 9 2 2" xfId="33975"/>
    <cellStyle name="40% - Accent3 9 9 3" xfId="33976"/>
    <cellStyle name="40% - Accent4 10" xfId="33977"/>
    <cellStyle name="40% - Accent4 10 10" xfId="33978"/>
    <cellStyle name="40% - Accent4 10 10 2" xfId="33979"/>
    <cellStyle name="40% - Accent4 10 11" xfId="33980"/>
    <cellStyle name="40% - Accent4 10 2" xfId="33981"/>
    <cellStyle name="40% - Accent4 10 2 10" xfId="33982"/>
    <cellStyle name="40% - Accent4 10 2 2" xfId="33983"/>
    <cellStyle name="40% - Accent4 10 2 2 2" xfId="33984"/>
    <cellStyle name="40% - Accent4 10 2 2 2 2" xfId="33985"/>
    <cellStyle name="40% - Accent4 10 2 2 2 2 2" xfId="33986"/>
    <cellStyle name="40% - Accent4 10 2 2 2 2 2 2" xfId="33987"/>
    <cellStyle name="40% - Accent4 10 2 2 2 2 3" xfId="33988"/>
    <cellStyle name="40% - Accent4 10 2 2 2 3" xfId="33989"/>
    <cellStyle name="40% - Accent4 10 2 2 2 3 2" xfId="33990"/>
    <cellStyle name="40% - Accent4 10 2 2 2 4" xfId="33991"/>
    <cellStyle name="40% - Accent4 10 2 2 3" xfId="33992"/>
    <cellStyle name="40% - Accent4 10 2 2 3 2" xfId="33993"/>
    <cellStyle name="40% - Accent4 10 2 2 3 2 2" xfId="33994"/>
    <cellStyle name="40% - Accent4 10 2 2 3 3" xfId="33995"/>
    <cellStyle name="40% - Accent4 10 2 2 4" xfId="33996"/>
    <cellStyle name="40% - Accent4 10 2 2 4 2" xfId="33997"/>
    <cellStyle name="40% - Accent4 10 2 2 5" xfId="33998"/>
    <cellStyle name="40% - Accent4 10 2 3" xfId="33999"/>
    <cellStyle name="40% - Accent4 10 2 3 2" xfId="34000"/>
    <cellStyle name="40% - Accent4 10 2 3 2 2" xfId="34001"/>
    <cellStyle name="40% - Accent4 10 2 3 2 2 2" xfId="34002"/>
    <cellStyle name="40% - Accent4 10 2 3 2 2 2 2" xfId="34003"/>
    <cellStyle name="40% - Accent4 10 2 3 2 2 3" xfId="34004"/>
    <cellStyle name="40% - Accent4 10 2 3 2 3" xfId="34005"/>
    <cellStyle name="40% - Accent4 10 2 3 2 3 2" xfId="34006"/>
    <cellStyle name="40% - Accent4 10 2 3 2 4" xfId="34007"/>
    <cellStyle name="40% - Accent4 10 2 3 3" xfId="34008"/>
    <cellStyle name="40% - Accent4 10 2 3 3 2" xfId="34009"/>
    <cellStyle name="40% - Accent4 10 2 3 3 2 2" xfId="34010"/>
    <cellStyle name="40% - Accent4 10 2 3 3 3" xfId="34011"/>
    <cellStyle name="40% - Accent4 10 2 3 4" xfId="34012"/>
    <cellStyle name="40% - Accent4 10 2 3 4 2" xfId="34013"/>
    <cellStyle name="40% - Accent4 10 2 3 5" xfId="34014"/>
    <cellStyle name="40% - Accent4 10 2 4" xfId="34015"/>
    <cellStyle name="40% - Accent4 10 2 4 2" xfId="34016"/>
    <cellStyle name="40% - Accent4 10 2 4 2 2" xfId="34017"/>
    <cellStyle name="40% - Accent4 10 2 4 2 2 2" xfId="34018"/>
    <cellStyle name="40% - Accent4 10 2 4 2 2 2 2" xfId="34019"/>
    <cellStyle name="40% - Accent4 10 2 4 2 2 3" xfId="34020"/>
    <cellStyle name="40% - Accent4 10 2 4 2 3" xfId="34021"/>
    <cellStyle name="40% - Accent4 10 2 4 2 3 2" xfId="34022"/>
    <cellStyle name="40% - Accent4 10 2 4 2 4" xfId="34023"/>
    <cellStyle name="40% - Accent4 10 2 4 3" xfId="34024"/>
    <cellStyle name="40% - Accent4 10 2 4 3 2" xfId="34025"/>
    <cellStyle name="40% - Accent4 10 2 4 3 2 2" xfId="34026"/>
    <cellStyle name="40% - Accent4 10 2 4 3 3" xfId="34027"/>
    <cellStyle name="40% - Accent4 10 2 4 4" xfId="34028"/>
    <cellStyle name="40% - Accent4 10 2 4 4 2" xfId="34029"/>
    <cellStyle name="40% - Accent4 10 2 4 5" xfId="34030"/>
    <cellStyle name="40% - Accent4 10 2 5" xfId="34031"/>
    <cellStyle name="40% - Accent4 10 2 5 2" xfId="34032"/>
    <cellStyle name="40% - Accent4 10 2 5 2 2" xfId="34033"/>
    <cellStyle name="40% - Accent4 10 2 5 2 2 2" xfId="34034"/>
    <cellStyle name="40% - Accent4 10 2 5 2 2 2 2" xfId="34035"/>
    <cellStyle name="40% - Accent4 10 2 5 2 2 3" xfId="34036"/>
    <cellStyle name="40% - Accent4 10 2 5 2 3" xfId="34037"/>
    <cellStyle name="40% - Accent4 10 2 5 2 3 2" xfId="34038"/>
    <cellStyle name="40% - Accent4 10 2 5 2 4" xfId="34039"/>
    <cellStyle name="40% - Accent4 10 2 5 3" xfId="34040"/>
    <cellStyle name="40% - Accent4 10 2 5 3 2" xfId="34041"/>
    <cellStyle name="40% - Accent4 10 2 5 3 2 2" xfId="34042"/>
    <cellStyle name="40% - Accent4 10 2 5 3 3" xfId="34043"/>
    <cellStyle name="40% - Accent4 10 2 5 4" xfId="34044"/>
    <cellStyle name="40% - Accent4 10 2 5 4 2" xfId="34045"/>
    <cellStyle name="40% - Accent4 10 2 5 5" xfId="34046"/>
    <cellStyle name="40% - Accent4 10 2 6" xfId="34047"/>
    <cellStyle name="40% - Accent4 10 2 6 2" xfId="34048"/>
    <cellStyle name="40% - Accent4 10 2 6 2 2" xfId="34049"/>
    <cellStyle name="40% - Accent4 10 2 6 2 2 2" xfId="34050"/>
    <cellStyle name="40% - Accent4 10 2 6 2 2 2 2" xfId="34051"/>
    <cellStyle name="40% - Accent4 10 2 6 2 2 3" xfId="34052"/>
    <cellStyle name="40% - Accent4 10 2 6 2 3" xfId="34053"/>
    <cellStyle name="40% - Accent4 10 2 6 2 3 2" xfId="34054"/>
    <cellStyle name="40% - Accent4 10 2 6 2 4" xfId="34055"/>
    <cellStyle name="40% - Accent4 10 2 6 3" xfId="34056"/>
    <cellStyle name="40% - Accent4 10 2 6 3 2" xfId="34057"/>
    <cellStyle name="40% - Accent4 10 2 6 3 2 2" xfId="34058"/>
    <cellStyle name="40% - Accent4 10 2 6 3 3" xfId="34059"/>
    <cellStyle name="40% - Accent4 10 2 6 4" xfId="34060"/>
    <cellStyle name="40% - Accent4 10 2 6 4 2" xfId="34061"/>
    <cellStyle name="40% - Accent4 10 2 6 5" xfId="34062"/>
    <cellStyle name="40% - Accent4 10 2 7" xfId="34063"/>
    <cellStyle name="40% - Accent4 10 2 7 2" xfId="34064"/>
    <cellStyle name="40% - Accent4 10 2 7 2 2" xfId="34065"/>
    <cellStyle name="40% - Accent4 10 2 7 2 2 2" xfId="34066"/>
    <cellStyle name="40% - Accent4 10 2 7 2 3" xfId="34067"/>
    <cellStyle name="40% - Accent4 10 2 7 3" xfId="34068"/>
    <cellStyle name="40% - Accent4 10 2 7 3 2" xfId="34069"/>
    <cellStyle name="40% - Accent4 10 2 7 4" xfId="34070"/>
    <cellStyle name="40% - Accent4 10 2 8" xfId="34071"/>
    <cellStyle name="40% - Accent4 10 2 8 2" xfId="34072"/>
    <cellStyle name="40% - Accent4 10 2 8 2 2" xfId="34073"/>
    <cellStyle name="40% - Accent4 10 2 8 3" xfId="34074"/>
    <cellStyle name="40% - Accent4 10 2 9" xfId="34075"/>
    <cellStyle name="40% - Accent4 10 2 9 2" xfId="34076"/>
    <cellStyle name="40% - Accent4 10 3" xfId="34077"/>
    <cellStyle name="40% - Accent4 10 3 2" xfId="34078"/>
    <cellStyle name="40% - Accent4 10 3 2 2" xfId="34079"/>
    <cellStyle name="40% - Accent4 10 3 2 2 2" xfId="34080"/>
    <cellStyle name="40% - Accent4 10 3 2 2 2 2" xfId="34081"/>
    <cellStyle name="40% - Accent4 10 3 2 2 3" xfId="34082"/>
    <cellStyle name="40% - Accent4 10 3 2 3" xfId="34083"/>
    <cellStyle name="40% - Accent4 10 3 2 3 2" xfId="34084"/>
    <cellStyle name="40% - Accent4 10 3 2 4" xfId="34085"/>
    <cellStyle name="40% - Accent4 10 3 3" xfId="34086"/>
    <cellStyle name="40% - Accent4 10 3 3 2" xfId="34087"/>
    <cellStyle name="40% - Accent4 10 3 3 2 2" xfId="34088"/>
    <cellStyle name="40% - Accent4 10 3 3 3" xfId="34089"/>
    <cellStyle name="40% - Accent4 10 3 4" xfId="34090"/>
    <cellStyle name="40% - Accent4 10 3 4 2" xfId="34091"/>
    <cellStyle name="40% - Accent4 10 3 5" xfId="34092"/>
    <cellStyle name="40% - Accent4 10 4" xfId="34093"/>
    <cellStyle name="40% - Accent4 10 4 2" xfId="34094"/>
    <cellStyle name="40% - Accent4 10 4 2 2" xfId="34095"/>
    <cellStyle name="40% - Accent4 10 4 2 2 2" xfId="34096"/>
    <cellStyle name="40% - Accent4 10 4 2 2 2 2" xfId="34097"/>
    <cellStyle name="40% - Accent4 10 4 2 2 3" xfId="34098"/>
    <cellStyle name="40% - Accent4 10 4 2 3" xfId="34099"/>
    <cellStyle name="40% - Accent4 10 4 2 3 2" xfId="34100"/>
    <cellStyle name="40% - Accent4 10 4 2 4" xfId="34101"/>
    <cellStyle name="40% - Accent4 10 4 3" xfId="34102"/>
    <cellStyle name="40% - Accent4 10 4 3 2" xfId="34103"/>
    <cellStyle name="40% - Accent4 10 4 3 2 2" xfId="34104"/>
    <cellStyle name="40% - Accent4 10 4 3 3" xfId="34105"/>
    <cellStyle name="40% - Accent4 10 4 4" xfId="34106"/>
    <cellStyle name="40% - Accent4 10 4 4 2" xfId="34107"/>
    <cellStyle name="40% - Accent4 10 4 5" xfId="34108"/>
    <cellStyle name="40% - Accent4 10 5" xfId="34109"/>
    <cellStyle name="40% - Accent4 10 5 2" xfId="34110"/>
    <cellStyle name="40% - Accent4 10 5 2 2" xfId="34111"/>
    <cellStyle name="40% - Accent4 10 5 2 2 2" xfId="34112"/>
    <cellStyle name="40% - Accent4 10 5 2 2 2 2" xfId="34113"/>
    <cellStyle name="40% - Accent4 10 5 2 2 3" xfId="34114"/>
    <cellStyle name="40% - Accent4 10 5 2 3" xfId="34115"/>
    <cellStyle name="40% - Accent4 10 5 2 3 2" xfId="34116"/>
    <cellStyle name="40% - Accent4 10 5 2 4" xfId="34117"/>
    <cellStyle name="40% - Accent4 10 5 3" xfId="34118"/>
    <cellStyle name="40% - Accent4 10 5 3 2" xfId="34119"/>
    <cellStyle name="40% - Accent4 10 5 3 2 2" xfId="34120"/>
    <cellStyle name="40% - Accent4 10 5 3 3" xfId="34121"/>
    <cellStyle name="40% - Accent4 10 5 4" xfId="34122"/>
    <cellStyle name="40% - Accent4 10 5 4 2" xfId="34123"/>
    <cellStyle name="40% - Accent4 10 5 5" xfId="34124"/>
    <cellStyle name="40% - Accent4 10 6" xfId="34125"/>
    <cellStyle name="40% - Accent4 10 6 2" xfId="34126"/>
    <cellStyle name="40% - Accent4 10 6 2 2" xfId="34127"/>
    <cellStyle name="40% - Accent4 10 6 2 2 2" xfId="34128"/>
    <cellStyle name="40% - Accent4 10 6 2 2 2 2" xfId="34129"/>
    <cellStyle name="40% - Accent4 10 6 2 2 3" xfId="34130"/>
    <cellStyle name="40% - Accent4 10 6 2 3" xfId="34131"/>
    <cellStyle name="40% - Accent4 10 6 2 3 2" xfId="34132"/>
    <cellStyle name="40% - Accent4 10 6 2 4" xfId="34133"/>
    <cellStyle name="40% - Accent4 10 6 3" xfId="34134"/>
    <cellStyle name="40% - Accent4 10 6 3 2" xfId="34135"/>
    <cellStyle name="40% - Accent4 10 6 3 2 2" xfId="34136"/>
    <cellStyle name="40% - Accent4 10 6 3 3" xfId="34137"/>
    <cellStyle name="40% - Accent4 10 6 4" xfId="34138"/>
    <cellStyle name="40% - Accent4 10 6 4 2" xfId="34139"/>
    <cellStyle name="40% - Accent4 10 6 5" xfId="34140"/>
    <cellStyle name="40% - Accent4 10 7" xfId="34141"/>
    <cellStyle name="40% - Accent4 10 7 2" xfId="34142"/>
    <cellStyle name="40% - Accent4 10 7 2 2" xfId="34143"/>
    <cellStyle name="40% - Accent4 10 7 2 2 2" xfId="34144"/>
    <cellStyle name="40% - Accent4 10 7 2 2 2 2" xfId="34145"/>
    <cellStyle name="40% - Accent4 10 7 2 2 3" xfId="34146"/>
    <cellStyle name="40% - Accent4 10 7 2 3" xfId="34147"/>
    <cellStyle name="40% - Accent4 10 7 2 3 2" xfId="34148"/>
    <cellStyle name="40% - Accent4 10 7 2 4" xfId="34149"/>
    <cellStyle name="40% - Accent4 10 7 3" xfId="34150"/>
    <cellStyle name="40% - Accent4 10 7 3 2" xfId="34151"/>
    <cellStyle name="40% - Accent4 10 7 3 2 2" xfId="34152"/>
    <cellStyle name="40% - Accent4 10 7 3 3" xfId="34153"/>
    <cellStyle name="40% - Accent4 10 7 4" xfId="34154"/>
    <cellStyle name="40% - Accent4 10 7 4 2" xfId="34155"/>
    <cellStyle name="40% - Accent4 10 7 5" xfId="34156"/>
    <cellStyle name="40% - Accent4 10 8" xfId="34157"/>
    <cellStyle name="40% - Accent4 10 8 2" xfId="34158"/>
    <cellStyle name="40% - Accent4 10 8 2 2" xfId="34159"/>
    <cellStyle name="40% - Accent4 10 8 2 2 2" xfId="34160"/>
    <cellStyle name="40% - Accent4 10 8 2 3" xfId="34161"/>
    <cellStyle name="40% - Accent4 10 8 3" xfId="34162"/>
    <cellStyle name="40% - Accent4 10 8 3 2" xfId="34163"/>
    <cellStyle name="40% - Accent4 10 8 4" xfId="34164"/>
    <cellStyle name="40% - Accent4 10 9" xfId="34165"/>
    <cellStyle name="40% - Accent4 10 9 2" xfId="34166"/>
    <cellStyle name="40% - Accent4 10 9 2 2" xfId="34167"/>
    <cellStyle name="40% - Accent4 10 9 3" xfId="34168"/>
    <cellStyle name="40% - Accent4 11" xfId="34169"/>
    <cellStyle name="40% - Accent4 11 10" xfId="34170"/>
    <cellStyle name="40% - Accent4 11 10 2" xfId="34171"/>
    <cellStyle name="40% - Accent4 11 11" xfId="34172"/>
    <cellStyle name="40% - Accent4 11 2" xfId="34173"/>
    <cellStyle name="40% - Accent4 11 2 10" xfId="34174"/>
    <cellStyle name="40% - Accent4 11 2 2" xfId="34175"/>
    <cellStyle name="40% - Accent4 11 2 2 2" xfId="34176"/>
    <cellStyle name="40% - Accent4 11 2 2 2 2" xfId="34177"/>
    <cellStyle name="40% - Accent4 11 2 2 2 2 2" xfId="34178"/>
    <cellStyle name="40% - Accent4 11 2 2 2 2 2 2" xfId="34179"/>
    <cellStyle name="40% - Accent4 11 2 2 2 2 3" xfId="34180"/>
    <cellStyle name="40% - Accent4 11 2 2 2 3" xfId="34181"/>
    <cellStyle name="40% - Accent4 11 2 2 2 3 2" xfId="34182"/>
    <cellStyle name="40% - Accent4 11 2 2 2 4" xfId="34183"/>
    <cellStyle name="40% - Accent4 11 2 2 3" xfId="34184"/>
    <cellStyle name="40% - Accent4 11 2 2 3 2" xfId="34185"/>
    <cellStyle name="40% - Accent4 11 2 2 3 2 2" xfId="34186"/>
    <cellStyle name="40% - Accent4 11 2 2 3 3" xfId="34187"/>
    <cellStyle name="40% - Accent4 11 2 2 4" xfId="34188"/>
    <cellStyle name="40% - Accent4 11 2 2 4 2" xfId="34189"/>
    <cellStyle name="40% - Accent4 11 2 2 5" xfId="34190"/>
    <cellStyle name="40% - Accent4 11 2 3" xfId="34191"/>
    <cellStyle name="40% - Accent4 11 2 3 2" xfId="34192"/>
    <cellStyle name="40% - Accent4 11 2 3 2 2" xfId="34193"/>
    <cellStyle name="40% - Accent4 11 2 3 2 2 2" xfId="34194"/>
    <cellStyle name="40% - Accent4 11 2 3 2 2 2 2" xfId="34195"/>
    <cellStyle name="40% - Accent4 11 2 3 2 2 3" xfId="34196"/>
    <cellStyle name="40% - Accent4 11 2 3 2 3" xfId="34197"/>
    <cellStyle name="40% - Accent4 11 2 3 2 3 2" xfId="34198"/>
    <cellStyle name="40% - Accent4 11 2 3 2 4" xfId="34199"/>
    <cellStyle name="40% - Accent4 11 2 3 3" xfId="34200"/>
    <cellStyle name="40% - Accent4 11 2 3 3 2" xfId="34201"/>
    <cellStyle name="40% - Accent4 11 2 3 3 2 2" xfId="34202"/>
    <cellStyle name="40% - Accent4 11 2 3 3 3" xfId="34203"/>
    <cellStyle name="40% - Accent4 11 2 3 4" xfId="34204"/>
    <cellStyle name="40% - Accent4 11 2 3 4 2" xfId="34205"/>
    <cellStyle name="40% - Accent4 11 2 3 5" xfId="34206"/>
    <cellStyle name="40% - Accent4 11 2 4" xfId="34207"/>
    <cellStyle name="40% - Accent4 11 2 4 2" xfId="34208"/>
    <cellStyle name="40% - Accent4 11 2 4 2 2" xfId="34209"/>
    <cellStyle name="40% - Accent4 11 2 4 2 2 2" xfId="34210"/>
    <cellStyle name="40% - Accent4 11 2 4 2 2 2 2" xfId="34211"/>
    <cellStyle name="40% - Accent4 11 2 4 2 2 3" xfId="34212"/>
    <cellStyle name="40% - Accent4 11 2 4 2 3" xfId="34213"/>
    <cellStyle name="40% - Accent4 11 2 4 2 3 2" xfId="34214"/>
    <cellStyle name="40% - Accent4 11 2 4 2 4" xfId="34215"/>
    <cellStyle name="40% - Accent4 11 2 4 3" xfId="34216"/>
    <cellStyle name="40% - Accent4 11 2 4 3 2" xfId="34217"/>
    <cellStyle name="40% - Accent4 11 2 4 3 2 2" xfId="34218"/>
    <cellStyle name="40% - Accent4 11 2 4 3 3" xfId="34219"/>
    <cellStyle name="40% - Accent4 11 2 4 4" xfId="34220"/>
    <cellStyle name="40% - Accent4 11 2 4 4 2" xfId="34221"/>
    <cellStyle name="40% - Accent4 11 2 4 5" xfId="34222"/>
    <cellStyle name="40% - Accent4 11 2 5" xfId="34223"/>
    <cellStyle name="40% - Accent4 11 2 5 2" xfId="34224"/>
    <cellStyle name="40% - Accent4 11 2 5 2 2" xfId="34225"/>
    <cellStyle name="40% - Accent4 11 2 5 2 2 2" xfId="34226"/>
    <cellStyle name="40% - Accent4 11 2 5 2 2 2 2" xfId="34227"/>
    <cellStyle name="40% - Accent4 11 2 5 2 2 3" xfId="34228"/>
    <cellStyle name="40% - Accent4 11 2 5 2 3" xfId="34229"/>
    <cellStyle name="40% - Accent4 11 2 5 2 3 2" xfId="34230"/>
    <cellStyle name="40% - Accent4 11 2 5 2 4" xfId="34231"/>
    <cellStyle name="40% - Accent4 11 2 5 3" xfId="34232"/>
    <cellStyle name="40% - Accent4 11 2 5 3 2" xfId="34233"/>
    <cellStyle name="40% - Accent4 11 2 5 3 2 2" xfId="34234"/>
    <cellStyle name="40% - Accent4 11 2 5 3 3" xfId="34235"/>
    <cellStyle name="40% - Accent4 11 2 5 4" xfId="34236"/>
    <cellStyle name="40% - Accent4 11 2 5 4 2" xfId="34237"/>
    <cellStyle name="40% - Accent4 11 2 5 5" xfId="34238"/>
    <cellStyle name="40% - Accent4 11 2 6" xfId="34239"/>
    <cellStyle name="40% - Accent4 11 2 6 2" xfId="34240"/>
    <cellStyle name="40% - Accent4 11 2 6 2 2" xfId="34241"/>
    <cellStyle name="40% - Accent4 11 2 6 2 2 2" xfId="34242"/>
    <cellStyle name="40% - Accent4 11 2 6 2 2 2 2" xfId="34243"/>
    <cellStyle name="40% - Accent4 11 2 6 2 2 3" xfId="34244"/>
    <cellStyle name="40% - Accent4 11 2 6 2 3" xfId="34245"/>
    <cellStyle name="40% - Accent4 11 2 6 2 3 2" xfId="34246"/>
    <cellStyle name="40% - Accent4 11 2 6 2 4" xfId="34247"/>
    <cellStyle name="40% - Accent4 11 2 6 3" xfId="34248"/>
    <cellStyle name="40% - Accent4 11 2 6 3 2" xfId="34249"/>
    <cellStyle name="40% - Accent4 11 2 6 3 2 2" xfId="34250"/>
    <cellStyle name="40% - Accent4 11 2 6 3 3" xfId="34251"/>
    <cellStyle name="40% - Accent4 11 2 6 4" xfId="34252"/>
    <cellStyle name="40% - Accent4 11 2 6 4 2" xfId="34253"/>
    <cellStyle name="40% - Accent4 11 2 6 5" xfId="34254"/>
    <cellStyle name="40% - Accent4 11 2 7" xfId="34255"/>
    <cellStyle name="40% - Accent4 11 2 7 2" xfId="34256"/>
    <cellStyle name="40% - Accent4 11 2 7 2 2" xfId="34257"/>
    <cellStyle name="40% - Accent4 11 2 7 2 2 2" xfId="34258"/>
    <cellStyle name="40% - Accent4 11 2 7 2 3" xfId="34259"/>
    <cellStyle name="40% - Accent4 11 2 7 3" xfId="34260"/>
    <cellStyle name="40% - Accent4 11 2 7 3 2" xfId="34261"/>
    <cellStyle name="40% - Accent4 11 2 7 4" xfId="34262"/>
    <cellStyle name="40% - Accent4 11 2 8" xfId="34263"/>
    <cellStyle name="40% - Accent4 11 2 8 2" xfId="34264"/>
    <cellStyle name="40% - Accent4 11 2 8 2 2" xfId="34265"/>
    <cellStyle name="40% - Accent4 11 2 8 3" xfId="34266"/>
    <cellStyle name="40% - Accent4 11 2 9" xfId="34267"/>
    <cellStyle name="40% - Accent4 11 2 9 2" xfId="34268"/>
    <cellStyle name="40% - Accent4 11 3" xfId="34269"/>
    <cellStyle name="40% - Accent4 11 3 2" xfId="34270"/>
    <cellStyle name="40% - Accent4 11 3 2 2" xfId="34271"/>
    <cellStyle name="40% - Accent4 11 3 2 2 2" xfId="34272"/>
    <cellStyle name="40% - Accent4 11 3 2 2 2 2" xfId="34273"/>
    <cellStyle name="40% - Accent4 11 3 2 2 3" xfId="34274"/>
    <cellStyle name="40% - Accent4 11 3 2 3" xfId="34275"/>
    <cellStyle name="40% - Accent4 11 3 2 3 2" xfId="34276"/>
    <cellStyle name="40% - Accent4 11 3 2 4" xfId="34277"/>
    <cellStyle name="40% - Accent4 11 3 3" xfId="34278"/>
    <cellStyle name="40% - Accent4 11 3 3 2" xfId="34279"/>
    <cellStyle name="40% - Accent4 11 3 3 2 2" xfId="34280"/>
    <cellStyle name="40% - Accent4 11 3 3 3" xfId="34281"/>
    <cellStyle name="40% - Accent4 11 3 4" xfId="34282"/>
    <cellStyle name="40% - Accent4 11 3 4 2" xfId="34283"/>
    <cellStyle name="40% - Accent4 11 3 5" xfId="34284"/>
    <cellStyle name="40% - Accent4 11 4" xfId="34285"/>
    <cellStyle name="40% - Accent4 11 4 2" xfId="34286"/>
    <cellStyle name="40% - Accent4 11 4 2 2" xfId="34287"/>
    <cellStyle name="40% - Accent4 11 4 2 2 2" xfId="34288"/>
    <cellStyle name="40% - Accent4 11 4 2 2 2 2" xfId="34289"/>
    <cellStyle name="40% - Accent4 11 4 2 2 3" xfId="34290"/>
    <cellStyle name="40% - Accent4 11 4 2 3" xfId="34291"/>
    <cellStyle name="40% - Accent4 11 4 2 3 2" xfId="34292"/>
    <cellStyle name="40% - Accent4 11 4 2 4" xfId="34293"/>
    <cellStyle name="40% - Accent4 11 4 3" xfId="34294"/>
    <cellStyle name="40% - Accent4 11 4 3 2" xfId="34295"/>
    <cellStyle name="40% - Accent4 11 4 3 2 2" xfId="34296"/>
    <cellStyle name="40% - Accent4 11 4 3 3" xfId="34297"/>
    <cellStyle name="40% - Accent4 11 4 4" xfId="34298"/>
    <cellStyle name="40% - Accent4 11 4 4 2" xfId="34299"/>
    <cellStyle name="40% - Accent4 11 4 5" xfId="34300"/>
    <cellStyle name="40% - Accent4 11 5" xfId="34301"/>
    <cellStyle name="40% - Accent4 11 5 2" xfId="34302"/>
    <cellStyle name="40% - Accent4 11 5 2 2" xfId="34303"/>
    <cellStyle name="40% - Accent4 11 5 2 2 2" xfId="34304"/>
    <cellStyle name="40% - Accent4 11 5 2 2 2 2" xfId="34305"/>
    <cellStyle name="40% - Accent4 11 5 2 2 3" xfId="34306"/>
    <cellStyle name="40% - Accent4 11 5 2 3" xfId="34307"/>
    <cellStyle name="40% - Accent4 11 5 2 3 2" xfId="34308"/>
    <cellStyle name="40% - Accent4 11 5 2 4" xfId="34309"/>
    <cellStyle name="40% - Accent4 11 5 3" xfId="34310"/>
    <cellStyle name="40% - Accent4 11 5 3 2" xfId="34311"/>
    <cellStyle name="40% - Accent4 11 5 3 2 2" xfId="34312"/>
    <cellStyle name="40% - Accent4 11 5 3 3" xfId="34313"/>
    <cellStyle name="40% - Accent4 11 5 4" xfId="34314"/>
    <cellStyle name="40% - Accent4 11 5 4 2" xfId="34315"/>
    <cellStyle name="40% - Accent4 11 5 5" xfId="34316"/>
    <cellStyle name="40% - Accent4 11 6" xfId="34317"/>
    <cellStyle name="40% - Accent4 11 6 2" xfId="34318"/>
    <cellStyle name="40% - Accent4 11 6 2 2" xfId="34319"/>
    <cellStyle name="40% - Accent4 11 6 2 2 2" xfId="34320"/>
    <cellStyle name="40% - Accent4 11 6 2 2 2 2" xfId="34321"/>
    <cellStyle name="40% - Accent4 11 6 2 2 3" xfId="34322"/>
    <cellStyle name="40% - Accent4 11 6 2 3" xfId="34323"/>
    <cellStyle name="40% - Accent4 11 6 2 3 2" xfId="34324"/>
    <cellStyle name="40% - Accent4 11 6 2 4" xfId="34325"/>
    <cellStyle name="40% - Accent4 11 6 3" xfId="34326"/>
    <cellStyle name="40% - Accent4 11 6 3 2" xfId="34327"/>
    <cellStyle name="40% - Accent4 11 6 3 2 2" xfId="34328"/>
    <cellStyle name="40% - Accent4 11 6 3 3" xfId="34329"/>
    <cellStyle name="40% - Accent4 11 6 4" xfId="34330"/>
    <cellStyle name="40% - Accent4 11 6 4 2" xfId="34331"/>
    <cellStyle name="40% - Accent4 11 6 5" xfId="34332"/>
    <cellStyle name="40% - Accent4 11 7" xfId="34333"/>
    <cellStyle name="40% - Accent4 11 7 2" xfId="34334"/>
    <cellStyle name="40% - Accent4 11 7 2 2" xfId="34335"/>
    <cellStyle name="40% - Accent4 11 7 2 2 2" xfId="34336"/>
    <cellStyle name="40% - Accent4 11 7 2 2 2 2" xfId="34337"/>
    <cellStyle name="40% - Accent4 11 7 2 2 3" xfId="34338"/>
    <cellStyle name="40% - Accent4 11 7 2 3" xfId="34339"/>
    <cellStyle name="40% - Accent4 11 7 2 3 2" xfId="34340"/>
    <cellStyle name="40% - Accent4 11 7 2 4" xfId="34341"/>
    <cellStyle name="40% - Accent4 11 7 3" xfId="34342"/>
    <cellStyle name="40% - Accent4 11 7 3 2" xfId="34343"/>
    <cellStyle name="40% - Accent4 11 7 3 2 2" xfId="34344"/>
    <cellStyle name="40% - Accent4 11 7 3 3" xfId="34345"/>
    <cellStyle name="40% - Accent4 11 7 4" xfId="34346"/>
    <cellStyle name="40% - Accent4 11 7 4 2" xfId="34347"/>
    <cellStyle name="40% - Accent4 11 7 5" xfId="34348"/>
    <cellStyle name="40% - Accent4 11 8" xfId="34349"/>
    <cellStyle name="40% - Accent4 11 8 2" xfId="34350"/>
    <cellStyle name="40% - Accent4 11 8 2 2" xfId="34351"/>
    <cellStyle name="40% - Accent4 11 8 2 2 2" xfId="34352"/>
    <cellStyle name="40% - Accent4 11 8 2 3" xfId="34353"/>
    <cellStyle name="40% - Accent4 11 8 3" xfId="34354"/>
    <cellStyle name="40% - Accent4 11 8 3 2" xfId="34355"/>
    <cellStyle name="40% - Accent4 11 8 4" xfId="34356"/>
    <cellStyle name="40% - Accent4 11 9" xfId="34357"/>
    <cellStyle name="40% - Accent4 11 9 2" xfId="34358"/>
    <cellStyle name="40% - Accent4 11 9 2 2" xfId="34359"/>
    <cellStyle name="40% - Accent4 11 9 3" xfId="34360"/>
    <cellStyle name="40% - Accent4 12" xfId="34361"/>
    <cellStyle name="40% - Accent4 12 10" xfId="34362"/>
    <cellStyle name="40% - Accent4 12 2" xfId="34363"/>
    <cellStyle name="40% - Accent4 12 2 2" xfId="34364"/>
    <cellStyle name="40% - Accent4 12 2 2 2" xfId="34365"/>
    <cellStyle name="40% - Accent4 12 2 2 2 2" xfId="34366"/>
    <cellStyle name="40% - Accent4 12 2 2 2 2 2" xfId="34367"/>
    <cellStyle name="40% - Accent4 12 2 2 2 3" xfId="34368"/>
    <cellStyle name="40% - Accent4 12 2 2 3" xfId="34369"/>
    <cellStyle name="40% - Accent4 12 2 2 3 2" xfId="34370"/>
    <cellStyle name="40% - Accent4 12 2 2 4" xfId="34371"/>
    <cellStyle name="40% - Accent4 12 2 3" xfId="34372"/>
    <cellStyle name="40% - Accent4 12 2 3 2" xfId="34373"/>
    <cellStyle name="40% - Accent4 12 2 3 2 2" xfId="34374"/>
    <cellStyle name="40% - Accent4 12 2 3 3" xfId="34375"/>
    <cellStyle name="40% - Accent4 12 2 4" xfId="34376"/>
    <cellStyle name="40% - Accent4 12 2 4 2" xfId="34377"/>
    <cellStyle name="40% - Accent4 12 2 5" xfId="34378"/>
    <cellStyle name="40% - Accent4 12 3" xfId="34379"/>
    <cellStyle name="40% - Accent4 12 3 2" xfId="34380"/>
    <cellStyle name="40% - Accent4 12 3 2 2" xfId="34381"/>
    <cellStyle name="40% - Accent4 12 3 2 2 2" xfId="34382"/>
    <cellStyle name="40% - Accent4 12 3 2 2 2 2" xfId="34383"/>
    <cellStyle name="40% - Accent4 12 3 2 2 3" xfId="34384"/>
    <cellStyle name="40% - Accent4 12 3 2 3" xfId="34385"/>
    <cellStyle name="40% - Accent4 12 3 2 3 2" xfId="34386"/>
    <cellStyle name="40% - Accent4 12 3 2 4" xfId="34387"/>
    <cellStyle name="40% - Accent4 12 3 3" xfId="34388"/>
    <cellStyle name="40% - Accent4 12 3 3 2" xfId="34389"/>
    <cellStyle name="40% - Accent4 12 3 3 2 2" xfId="34390"/>
    <cellStyle name="40% - Accent4 12 3 3 3" xfId="34391"/>
    <cellStyle name="40% - Accent4 12 3 4" xfId="34392"/>
    <cellStyle name="40% - Accent4 12 3 4 2" xfId="34393"/>
    <cellStyle name="40% - Accent4 12 3 5" xfId="34394"/>
    <cellStyle name="40% - Accent4 12 4" xfId="34395"/>
    <cellStyle name="40% - Accent4 12 4 2" xfId="34396"/>
    <cellStyle name="40% - Accent4 12 4 2 2" xfId="34397"/>
    <cellStyle name="40% - Accent4 12 4 2 2 2" xfId="34398"/>
    <cellStyle name="40% - Accent4 12 4 2 2 2 2" xfId="34399"/>
    <cellStyle name="40% - Accent4 12 4 2 2 3" xfId="34400"/>
    <cellStyle name="40% - Accent4 12 4 2 3" xfId="34401"/>
    <cellStyle name="40% - Accent4 12 4 2 3 2" xfId="34402"/>
    <cellStyle name="40% - Accent4 12 4 2 4" xfId="34403"/>
    <cellStyle name="40% - Accent4 12 4 3" xfId="34404"/>
    <cellStyle name="40% - Accent4 12 4 3 2" xfId="34405"/>
    <cellStyle name="40% - Accent4 12 4 3 2 2" xfId="34406"/>
    <cellStyle name="40% - Accent4 12 4 3 3" xfId="34407"/>
    <cellStyle name="40% - Accent4 12 4 4" xfId="34408"/>
    <cellStyle name="40% - Accent4 12 4 4 2" xfId="34409"/>
    <cellStyle name="40% - Accent4 12 4 5" xfId="34410"/>
    <cellStyle name="40% - Accent4 12 5" xfId="34411"/>
    <cellStyle name="40% - Accent4 12 5 2" xfId="34412"/>
    <cellStyle name="40% - Accent4 12 5 2 2" xfId="34413"/>
    <cellStyle name="40% - Accent4 12 5 2 2 2" xfId="34414"/>
    <cellStyle name="40% - Accent4 12 5 2 2 2 2" xfId="34415"/>
    <cellStyle name="40% - Accent4 12 5 2 2 3" xfId="34416"/>
    <cellStyle name="40% - Accent4 12 5 2 3" xfId="34417"/>
    <cellStyle name="40% - Accent4 12 5 2 3 2" xfId="34418"/>
    <cellStyle name="40% - Accent4 12 5 2 4" xfId="34419"/>
    <cellStyle name="40% - Accent4 12 5 3" xfId="34420"/>
    <cellStyle name="40% - Accent4 12 5 3 2" xfId="34421"/>
    <cellStyle name="40% - Accent4 12 5 3 2 2" xfId="34422"/>
    <cellStyle name="40% - Accent4 12 5 3 3" xfId="34423"/>
    <cellStyle name="40% - Accent4 12 5 4" xfId="34424"/>
    <cellStyle name="40% - Accent4 12 5 4 2" xfId="34425"/>
    <cellStyle name="40% - Accent4 12 5 5" xfId="34426"/>
    <cellStyle name="40% - Accent4 12 6" xfId="34427"/>
    <cellStyle name="40% - Accent4 12 6 2" xfId="34428"/>
    <cellStyle name="40% - Accent4 12 6 2 2" xfId="34429"/>
    <cellStyle name="40% - Accent4 12 6 2 2 2" xfId="34430"/>
    <cellStyle name="40% - Accent4 12 6 2 2 2 2" xfId="34431"/>
    <cellStyle name="40% - Accent4 12 6 2 2 3" xfId="34432"/>
    <cellStyle name="40% - Accent4 12 6 2 3" xfId="34433"/>
    <cellStyle name="40% - Accent4 12 6 2 3 2" xfId="34434"/>
    <cellStyle name="40% - Accent4 12 6 2 4" xfId="34435"/>
    <cellStyle name="40% - Accent4 12 6 3" xfId="34436"/>
    <cellStyle name="40% - Accent4 12 6 3 2" xfId="34437"/>
    <cellStyle name="40% - Accent4 12 6 3 2 2" xfId="34438"/>
    <cellStyle name="40% - Accent4 12 6 3 3" xfId="34439"/>
    <cellStyle name="40% - Accent4 12 6 4" xfId="34440"/>
    <cellStyle name="40% - Accent4 12 6 4 2" xfId="34441"/>
    <cellStyle name="40% - Accent4 12 6 5" xfId="34442"/>
    <cellStyle name="40% - Accent4 12 7" xfId="34443"/>
    <cellStyle name="40% - Accent4 12 7 2" xfId="34444"/>
    <cellStyle name="40% - Accent4 12 7 2 2" xfId="34445"/>
    <cellStyle name="40% - Accent4 12 7 2 2 2" xfId="34446"/>
    <cellStyle name="40% - Accent4 12 7 2 3" xfId="34447"/>
    <cellStyle name="40% - Accent4 12 7 3" xfId="34448"/>
    <cellStyle name="40% - Accent4 12 7 3 2" xfId="34449"/>
    <cellStyle name="40% - Accent4 12 7 4" xfId="34450"/>
    <cellStyle name="40% - Accent4 12 8" xfId="34451"/>
    <cellStyle name="40% - Accent4 12 8 2" xfId="34452"/>
    <cellStyle name="40% - Accent4 12 8 2 2" xfId="34453"/>
    <cellStyle name="40% - Accent4 12 8 3" xfId="34454"/>
    <cellStyle name="40% - Accent4 12 9" xfId="34455"/>
    <cellStyle name="40% - Accent4 12 9 2" xfId="34456"/>
    <cellStyle name="40% - Accent4 13" xfId="34457"/>
    <cellStyle name="40% - Accent4 13 10" xfId="34458"/>
    <cellStyle name="40% - Accent4 13 2" xfId="34459"/>
    <cellStyle name="40% - Accent4 13 2 2" xfId="34460"/>
    <cellStyle name="40% - Accent4 13 2 2 2" xfId="34461"/>
    <cellStyle name="40% - Accent4 13 2 2 2 2" xfId="34462"/>
    <cellStyle name="40% - Accent4 13 2 2 2 2 2" xfId="34463"/>
    <cellStyle name="40% - Accent4 13 2 2 2 3" xfId="34464"/>
    <cellStyle name="40% - Accent4 13 2 2 3" xfId="34465"/>
    <cellStyle name="40% - Accent4 13 2 2 3 2" xfId="34466"/>
    <cellStyle name="40% - Accent4 13 2 2 4" xfId="34467"/>
    <cellStyle name="40% - Accent4 13 2 3" xfId="34468"/>
    <cellStyle name="40% - Accent4 13 2 3 2" xfId="34469"/>
    <cellStyle name="40% - Accent4 13 2 3 2 2" xfId="34470"/>
    <cellStyle name="40% - Accent4 13 2 3 3" xfId="34471"/>
    <cellStyle name="40% - Accent4 13 2 4" xfId="34472"/>
    <cellStyle name="40% - Accent4 13 2 4 2" xfId="34473"/>
    <cellStyle name="40% - Accent4 13 2 5" xfId="34474"/>
    <cellStyle name="40% - Accent4 13 3" xfId="34475"/>
    <cellStyle name="40% - Accent4 13 3 2" xfId="34476"/>
    <cellStyle name="40% - Accent4 13 3 2 2" xfId="34477"/>
    <cellStyle name="40% - Accent4 13 3 2 2 2" xfId="34478"/>
    <cellStyle name="40% - Accent4 13 3 2 2 2 2" xfId="34479"/>
    <cellStyle name="40% - Accent4 13 3 2 2 3" xfId="34480"/>
    <cellStyle name="40% - Accent4 13 3 2 3" xfId="34481"/>
    <cellStyle name="40% - Accent4 13 3 2 3 2" xfId="34482"/>
    <cellStyle name="40% - Accent4 13 3 2 4" xfId="34483"/>
    <cellStyle name="40% - Accent4 13 3 3" xfId="34484"/>
    <cellStyle name="40% - Accent4 13 3 3 2" xfId="34485"/>
    <cellStyle name="40% - Accent4 13 3 3 2 2" xfId="34486"/>
    <cellStyle name="40% - Accent4 13 3 3 3" xfId="34487"/>
    <cellStyle name="40% - Accent4 13 3 4" xfId="34488"/>
    <cellStyle name="40% - Accent4 13 3 4 2" xfId="34489"/>
    <cellStyle name="40% - Accent4 13 3 5" xfId="34490"/>
    <cellStyle name="40% - Accent4 13 4" xfId="34491"/>
    <cellStyle name="40% - Accent4 13 4 2" xfId="34492"/>
    <cellStyle name="40% - Accent4 13 4 2 2" xfId="34493"/>
    <cellStyle name="40% - Accent4 13 4 2 2 2" xfId="34494"/>
    <cellStyle name="40% - Accent4 13 4 2 2 2 2" xfId="34495"/>
    <cellStyle name="40% - Accent4 13 4 2 2 3" xfId="34496"/>
    <cellStyle name="40% - Accent4 13 4 2 3" xfId="34497"/>
    <cellStyle name="40% - Accent4 13 4 2 3 2" xfId="34498"/>
    <cellStyle name="40% - Accent4 13 4 2 4" xfId="34499"/>
    <cellStyle name="40% - Accent4 13 4 3" xfId="34500"/>
    <cellStyle name="40% - Accent4 13 4 3 2" xfId="34501"/>
    <cellStyle name="40% - Accent4 13 4 3 2 2" xfId="34502"/>
    <cellStyle name="40% - Accent4 13 4 3 3" xfId="34503"/>
    <cellStyle name="40% - Accent4 13 4 4" xfId="34504"/>
    <cellStyle name="40% - Accent4 13 4 4 2" xfId="34505"/>
    <cellStyle name="40% - Accent4 13 4 5" xfId="34506"/>
    <cellStyle name="40% - Accent4 13 5" xfId="34507"/>
    <cellStyle name="40% - Accent4 13 5 2" xfId="34508"/>
    <cellStyle name="40% - Accent4 13 5 2 2" xfId="34509"/>
    <cellStyle name="40% - Accent4 13 5 2 2 2" xfId="34510"/>
    <cellStyle name="40% - Accent4 13 5 2 2 2 2" xfId="34511"/>
    <cellStyle name="40% - Accent4 13 5 2 2 3" xfId="34512"/>
    <cellStyle name="40% - Accent4 13 5 2 3" xfId="34513"/>
    <cellStyle name="40% - Accent4 13 5 2 3 2" xfId="34514"/>
    <cellStyle name="40% - Accent4 13 5 2 4" xfId="34515"/>
    <cellStyle name="40% - Accent4 13 5 3" xfId="34516"/>
    <cellStyle name="40% - Accent4 13 5 3 2" xfId="34517"/>
    <cellStyle name="40% - Accent4 13 5 3 2 2" xfId="34518"/>
    <cellStyle name="40% - Accent4 13 5 3 3" xfId="34519"/>
    <cellStyle name="40% - Accent4 13 5 4" xfId="34520"/>
    <cellStyle name="40% - Accent4 13 5 4 2" xfId="34521"/>
    <cellStyle name="40% - Accent4 13 5 5" xfId="34522"/>
    <cellStyle name="40% - Accent4 13 6" xfId="34523"/>
    <cellStyle name="40% - Accent4 13 6 2" xfId="34524"/>
    <cellStyle name="40% - Accent4 13 6 2 2" xfId="34525"/>
    <cellStyle name="40% - Accent4 13 6 2 2 2" xfId="34526"/>
    <cellStyle name="40% - Accent4 13 6 2 2 2 2" xfId="34527"/>
    <cellStyle name="40% - Accent4 13 6 2 2 3" xfId="34528"/>
    <cellStyle name="40% - Accent4 13 6 2 3" xfId="34529"/>
    <cellStyle name="40% - Accent4 13 6 2 3 2" xfId="34530"/>
    <cellStyle name="40% - Accent4 13 6 2 4" xfId="34531"/>
    <cellStyle name="40% - Accent4 13 6 3" xfId="34532"/>
    <cellStyle name="40% - Accent4 13 6 3 2" xfId="34533"/>
    <cellStyle name="40% - Accent4 13 6 3 2 2" xfId="34534"/>
    <cellStyle name="40% - Accent4 13 6 3 3" xfId="34535"/>
    <cellStyle name="40% - Accent4 13 6 4" xfId="34536"/>
    <cellStyle name="40% - Accent4 13 6 4 2" xfId="34537"/>
    <cellStyle name="40% - Accent4 13 6 5" xfId="34538"/>
    <cellStyle name="40% - Accent4 13 7" xfId="34539"/>
    <cellStyle name="40% - Accent4 13 7 2" xfId="34540"/>
    <cellStyle name="40% - Accent4 13 7 2 2" xfId="34541"/>
    <cellStyle name="40% - Accent4 13 7 2 2 2" xfId="34542"/>
    <cellStyle name="40% - Accent4 13 7 2 3" xfId="34543"/>
    <cellStyle name="40% - Accent4 13 7 3" xfId="34544"/>
    <cellStyle name="40% - Accent4 13 7 3 2" xfId="34545"/>
    <cellStyle name="40% - Accent4 13 7 4" xfId="34546"/>
    <cellStyle name="40% - Accent4 13 8" xfId="34547"/>
    <cellStyle name="40% - Accent4 13 8 2" xfId="34548"/>
    <cellStyle name="40% - Accent4 13 8 2 2" xfId="34549"/>
    <cellStyle name="40% - Accent4 13 8 3" xfId="34550"/>
    <cellStyle name="40% - Accent4 13 9" xfId="34551"/>
    <cellStyle name="40% - Accent4 13 9 2" xfId="34552"/>
    <cellStyle name="40% - Accent4 14" xfId="34553"/>
    <cellStyle name="40% - Accent4 14 2" xfId="34554"/>
    <cellStyle name="40% - Accent4 14 2 2" xfId="34555"/>
    <cellStyle name="40% - Accent4 14 2 2 2" xfId="34556"/>
    <cellStyle name="40% - Accent4 14 2 2 2 2" xfId="34557"/>
    <cellStyle name="40% - Accent4 14 2 2 3" xfId="34558"/>
    <cellStyle name="40% - Accent4 14 2 3" xfId="34559"/>
    <cellStyle name="40% - Accent4 14 2 3 2" xfId="34560"/>
    <cellStyle name="40% - Accent4 14 2 4" xfId="34561"/>
    <cellStyle name="40% - Accent4 14 3" xfId="34562"/>
    <cellStyle name="40% - Accent4 14 3 2" xfId="34563"/>
    <cellStyle name="40% - Accent4 14 3 2 2" xfId="34564"/>
    <cellStyle name="40% - Accent4 14 3 3" xfId="34565"/>
    <cellStyle name="40% - Accent4 14 4" xfId="34566"/>
    <cellStyle name="40% - Accent4 14 4 2" xfId="34567"/>
    <cellStyle name="40% - Accent4 14 5" xfId="34568"/>
    <cellStyle name="40% - Accent4 15" xfId="34569"/>
    <cellStyle name="40% - Accent4 15 2" xfId="34570"/>
    <cellStyle name="40% - Accent4 15 2 2" xfId="34571"/>
    <cellStyle name="40% - Accent4 15 2 2 2" xfId="34572"/>
    <cellStyle name="40% - Accent4 15 2 2 2 2" xfId="34573"/>
    <cellStyle name="40% - Accent4 15 2 2 3" xfId="34574"/>
    <cellStyle name="40% - Accent4 15 2 3" xfId="34575"/>
    <cellStyle name="40% - Accent4 15 2 3 2" xfId="34576"/>
    <cellStyle name="40% - Accent4 15 2 4" xfId="34577"/>
    <cellStyle name="40% - Accent4 15 3" xfId="34578"/>
    <cellStyle name="40% - Accent4 15 3 2" xfId="34579"/>
    <cellStyle name="40% - Accent4 15 3 2 2" xfId="34580"/>
    <cellStyle name="40% - Accent4 15 3 3" xfId="34581"/>
    <cellStyle name="40% - Accent4 15 4" xfId="34582"/>
    <cellStyle name="40% - Accent4 15 4 2" xfId="34583"/>
    <cellStyle name="40% - Accent4 15 5" xfId="34584"/>
    <cellStyle name="40% - Accent4 16" xfId="34585"/>
    <cellStyle name="40% - Accent4 16 2" xfId="34586"/>
    <cellStyle name="40% - Accent4 16 2 2" xfId="34587"/>
    <cellStyle name="40% - Accent4 16 2 2 2" xfId="34588"/>
    <cellStyle name="40% - Accent4 16 2 2 2 2" xfId="34589"/>
    <cellStyle name="40% - Accent4 16 2 2 3" xfId="34590"/>
    <cellStyle name="40% - Accent4 16 2 3" xfId="34591"/>
    <cellStyle name="40% - Accent4 16 2 3 2" xfId="34592"/>
    <cellStyle name="40% - Accent4 16 2 4" xfId="34593"/>
    <cellStyle name="40% - Accent4 16 3" xfId="34594"/>
    <cellStyle name="40% - Accent4 16 3 2" xfId="34595"/>
    <cellStyle name="40% - Accent4 16 3 2 2" xfId="34596"/>
    <cellStyle name="40% - Accent4 16 3 3" xfId="34597"/>
    <cellStyle name="40% - Accent4 16 4" xfId="34598"/>
    <cellStyle name="40% - Accent4 16 4 2" xfId="34599"/>
    <cellStyle name="40% - Accent4 16 5" xfId="34600"/>
    <cellStyle name="40% - Accent4 17" xfId="34601"/>
    <cellStyle name="40% - Accent4 17 2" xfId="34602"/>
    <cellStyle name="40% - Accent4 17 2 2" xfId="34603"/>
    <cellStyle name="40% - Accent4 17 2 2 2" xfId="34604"/>
    <cellStyle name="40% - Accent4 17 2 2 2 2" xfId="34605"/>
    <cellStyle name="40% - Accent4 17 2 2 3" xfId="34606"/>
    <cellStyle name="40% - Accent4 17 2 3" xfId="34607"/>
    <cellStyle name="40% - Accent4 17 2 3 2" xfId="34608"/>
    <cellStyle name="40% - Accent4 17 2 4" xfId="34609"/>
    <cellStyle name="40% - Accent4 17 3" xfId="34610"/>
    <cellStyle name="40% - Accent4 17 3 2" xfId="34611"/>
    <cellStyle name="40% - Accent4 17 3 2 2" xfId="34612"/>
    <cellStyle name="40% - Accent4 17 3 3" xfId="34613"/>
    <cellStyle name="40% - Accent4 17 4" xfId="34614"/>
    <cellStyle name="40% - Accent4 17 4 2" xfId="34615"/>
    <cellStyle name="40% - Accent4 17 5" xfId="34616"/>
    <cellStyle name="40% - Accent4 18" xfId="34617"/>
    <cellStyle name="40% - Accent4 18 2" xfId="34618"/>
    <cellStyle name="40% - Accent4 18 2 2" xfId="34619"/>
    <cellStyle name="40% - Accent4 18 2 2 2" xfId="34620"/>
    <cellStyle name="40% - Accent4 18 2 2 2 2" xfId="34621"/>
    <cellStyle name="40% - Accent4 18 2 2 3" xfId="34622"/>
    <cellStyle name="40% - Accent4 18 2 3" xfId="34623"/>
    <cellStyle name="40% - Accent4 18 2 3 2" xfId="34624"/>
    <cellStyle name="40% - Accent4 18 2 4" xfId="34625"/>
    <cellStyle name="40% - Accent4 18 3" xfId="34626"/>
    <cellStyle name="40% - Accent4 18 3 2" xfId="34627"/>
    <cellStyle name="40% - Accent4 18 3 2 2" xfId="34628"/>
    <cellStyle name="40% - Accent4 18 3 3" xfId="34629"/>
    <cellStyle name="40% - Accent4 18 4" xfId="34630"/>
    <cellStyle name="40% - Accent4 18 4 2" xfId="34631"/>
    <cellStyle name="40% - Accent4 18 5" xfId="34632"/>
    <cellStyle name="40% - Accent4 19" xfId="34633"/>
    <cellStyle name="40% - Accent4 19 2" xfId="34634"/>
    <cellStyle name="40% - Accent4 19 2 2" xfId="34635"/>
    <cellStyle name="40% - Accent4 19 2 2 2" xfId="34636"/>
    <cellStyle name="40% - Accent4 19 2 2 2 2" xfId="34637"/>
    <cellStyle name="40% - Accent4 19 2 2 3" xfId="34638"/>
    <cellStyle name="40% - Accent4 19 2 3" xfId="34639"/>
    <cellStyle name="40% - Accent4 19 2 3 2" xfId="34640"/>
    <cellStyle name="40% - Accent4 19 2 4" xfId="34641"/>
    <cellStyle name="40% - Accent4 19 3" xfId="34642"/>
    <cellStyle name="40% - Accent4 19 3 2" xfId="34643"/>
    <cellStyle name="40% - Accent4 19 3 2 2" xfId="34644"/>
    <cellStyle name="40% - Accent4 19 3 3" xfId="34645"/>
    <cellStyle name="40% - Accent4 19 4" xfId="34646"/>
    <cellStyle name="40% - Accent4 19 4 2" xfId="34647"/>
    <cellStyle name="40% - Accent4 19 5" xfId="34648"/>
    <cellStyle name="40% - Accent4 2" xfId="34649"/>
    <cellStyle name="40% - Accent4 2 10" xfId="34650"/>
    <cellStyle name="40% - Accent4 2 10 10" xfId="34651"/>
    <cellStyle name="40% - Accent4 2 10 2" xfId="34652"/>
    <cellStyle name="40% - Accent4 2 10 2 2" xfId="34653"/>
    <cellStyle name="40% - Accent4 2 10 2 2 2" xfId="34654"/>
    <cellStyle name="40% - Accent4 2 10 2 2 2 2" xfId="34655"/>
    <cellStyle name="40% - Accent4 2 10 2 2 2 2 2" xfId="34656"/>
    <cellStyle name="40% - Accent4 2 10 2 2 2 3" xfId="34657"/>
    <cellStyle name="40% - Accent4 2 10 2 2 3" xfId="34658"/>
    <cellStyle name="40% - Accent4 2 10 2 2 3 2" xfId="34659"/>
    <cellStyle name="40% - Accent4 2 10 2 2 4" xfId="34660"/>
    <cellStyle name="40% - Accent4 2 10 2 3" xfId="34661"/>
    <cellStyle name="40% - Accent4 2 10 2 3 2" xfId="34662"/>
    <cellStyle name="40% - Accent4 2 10 2 3 2 2" xfId="34663"/>
    <cellStyle name="40% - Accent4 2 10 2 3 3" xfId="34664"/>
    <cellStyle name="40% - Accent4 2 10 2 4" xfId="34665"/>
    <cellStyle name="40% - Accent4 2 10 2 4 2" xfId="34666"/>
    <cellStyle name="40% - Accent4 2 10 2 5" xfId="34667"/>
    <cellStyle name="40% - Accent4 2 10 3" xfId="34668"/>
    <cellStyle name="40% - Accent4 2 10 3 2" xfId="34669"/>
    <cellStyle name="40% - Accent4 2 10 3 2 2" xfId="34670"/>
    <cellStyle name="40% - Accent4 2 10 3 2 2 2" xfId="34671"/>
    <cellStyle name="40% - Accent4 2 10 3 2 2 2 2" xfId="34672"/>
    <cellStyle name="40% - Accent4 2 10 3 2 2 3" xfId="34673"/>
    <cellStyle name="40% - Accent4 2 10 3 2 3" xfId="34674"/>
    <cellStyle name="40% - Accent4 2 10 3 2 3 2" xfId="34675"/>
    <cellStyle name="40% - Accent4 2 10 3 2 4" xfId="34676"/>
    <cellStyle name="40% - Accent4 2 10 3 3" xfId="34677"/>
    <cellStyle name="40% - Accent4 2 10 3 3 2" xfId="34678"/>
    <cellStyle name="40% - Accent4 2 10 3 3 2 2" xfId="34679"/>
    <cellStyle name="40% - Accent4 2 10 3 3 3" xfId="34680"/>
    <cellStyle name="40% - Accent4 2 10 3 4" xfId="34681"/>
    <cellStyle name="40% - Accent4 2 10 3 4 2" xfId="34682"/>
    <cellStyle name="40% - Accent4 2 10 3 5" xfId="34683"/>
    <cellStyle name="40% - Accent4 2 10 4" xfId="34684"/>
    <cellStyle name="40% - Accent4 2 10 4 2" xfId="34685"/>
    <cellStyle name="40% - Accent4 2 10 4 2 2" xfId="34686"/>
    <cellStyle name="40% - Accent4 2 10 4 2 2 2" xfId="34687"/>
    <cellStyle name="40% - Accent4 2 10 4 2 2 2 2" xfId="34688"/>
    <cellStyle name="40% - Accent4 2 10 4 2 2 3" xfId="34689"/>
    <cellStyle name="40% - Accent4 2 10 4 2 3" xfId="34690"/>
    <cellStyle name="40% - Accent4 2 10 4 2 3 2" xfId="34691"/>
    <cellStyle name="40% - Accent4 2 10 4 2 4" xfId="34692"/>
    <cellStyle name="40% - Accent4 2 10 4 3" xfId="34693"/>
    <cellStyle name="40% - Accent4 2 10 4 3 2" xfId="34694"/>
    <cellStyle name="40% - Accent4 2 10 4 3 2 2" xfId="34695"/>
    <cellStyle name="40% - Accent4 2 10 4 3 3" xfId="34696"/>
    <cellStyle name="40% - Accent4 2 10 4 4" xfId="34697"/>
    <cellStyle name="40% - Accent4 2 10 4 4 2" xfId="34698"/>
    <cellStyle name="40% - Accent4 2 10 4 5" xfId="34699"/>
    <cellStyle name="40% - Accent4 2 10 5" xfId="34700"/>
    <cellStyle name="40% - Accent4 2 10 5 2" xfId="34701"/>
    <cellStyle name="40% - Accent4 2 10 5 2 2" xfId="34702"/>
    <cellStyle name="40% - Accent4 2 10 5 2 2 2" xfId="34703"/>
    <cellStyle name="40% - Accent4 2 10 5 2 2 2 2" xfId="34704"/>
    <cellStyle name="40% - Accent4 2 10 5 2 2 3" xfId="34705"/>
    <cellStyle name="40% - Accent4 2 10 5 2 3" xfId="34706"/>
    <cellStyle name="40% - Accent4 2 10 5 2 3 2" xfId="34707"/>
    <cellStyle name="40% - Accent4 2 10 5 2 4" xfId="34708"/>
    <cellStyle name="40% - Accent4 2 10 5 3" xfId="34709"/>
    <cellStyle name="40% - Accent4 2 10 5 3 2" xfId="34710"/>
    <cellStyle name="40% - Accent4 2 10 5 3 2 2" xfId="34711"/>
    <cellStyle name="40% - Accent4 2 10 5 3 3" xfId="34712"/>
    <cellStyle name="40% - Accent4 2 10 5 4" xfId="34713"/>
    <cellStyle name="40% - Accent4 2 10 5 4 2" xfId="34714"/>
    <cellStyle name="40% - Accent4 2 10 5 5" xfId="34715"/>
    <cellStyle name="40% - Accent4 2 10 6" xfId="34716"/>
    <cellStyle name="40% - Accent4 2 10 6 2" xfId="34717"/>
    <cellStyle name="40% - Accent4 2 10 6 2 2" xfId="34718"/>
    <cellStyle name="40% - Accent4 2 10 6 2 2 2" xfId="34719"/>
    <cellStyle name="40% - Accent4 2 10 6 2 2 2 2" xfId="34720"/>
    <cellStyle name="40% - Accent4 2 10 6 2 2 3" xfId="34721"/>
    <cellStyle name="40% - Accent4 2 10 6 2 3" xfId="34722"/>
    <cellStyle name="40% - Accent4 2 10 6 2 3 2" xfId="34723"/>
    <cellStyle name="40% - Accent4 2 10 6 2 4" xfId="34724"/>
    <cellStyle name="40% - Accent4 2 10 6 3" xfId="34725"/>
    <cellStyle name="40% - Accent4 2 10 6 3 2" xfId="34726"/>
    <cellStyle name="40% - Accent4 2 10 6 3 2 2" xfId="34727"/>
    <cellStyle name="40% - Accent4 2 10 6 3 3" xfId="34728"/>
    <cellStyle name="40% - Accent4 2 10 6 4" xfId="34729"/>
    <cellStyle name="40% - Accent4 2 10 6 4 2" xfId="34730"/>
    <cellStyle name="40% - Accent4 2 10 6 5" xfId="34731"/>
    <cellStyle name="40% - Accent4 2 10 7" xfId="34732"/>
    <cellStyle name="40% - Accent4 2 10 7 2" xfId="34733"/>
    <cellStyle name="40% - Accent4 2 10 7 2 2" xfId="34734"/>
    <cellStyle name="40% - Accent4 2 10 7 2 2 2" xfId="34735"/>
    <cellStyle name="40% - Accent4 2 10 7 2 3" xfId="34736"/>
    <cellStyle name="40% - Accent4 2 10 7 3" xfId="34737"/>
    <cellStyle name="40% - Accent4 2 10 7 3 2" xfId="34738"/>
    <cellStyle name="40% - Accent4 2 10 7 4" xfId="34739"/>
    <cellStyle name="40% - Accent4 2 10 8" xfId="34740"/>
    <cellStyle name="40% - Accent4 2 10 8 2" xfId="34741"/>
    <cellStyle name="40% - Accent4 2 10 8 2 2" xfId="34742"/>
    <cellStyle name="40% - Accent4 2 10 8 3" xfId="34743"/>
    <cellStyle name="40% - Accent4 2 10 9" xfId="34744"/>
    <cellStyle name="40% - Accent4 2 10 9 2" xfId="34745"/>
    <cellStyle name="40% - Accent4 2 11" xfId="34746"/>
    <cellStyle name="40% - Accent4 2 11 2" xfId="34747"/>
    <cellStyle name="40% - Accent4 2 11 2 2" xfId="34748"/>
    <cellStyle name="40% - Accent4 2 11 2 2 2" xfId="34749"/>
    <cellStyle name="40% - Accent4 2 11 2 2 2 2" xfId="34750"/>
    <cellStyle name="40% - Accent4 2 11 2 2 3" xfId="34751"/>
    <cellStyle name="40% - Accent4 2 11 2 3" xfId="34752"/>
    <cellStyle name="40% - Accent4 2 11 2 3 2" xfId="34753"/>
    <cellStyle name="40% - Accent4 2 11 2 4" xfId="34754"/>
    <cellStyle name="40% - Accent4 2 11 3" xfId="34755"/>
    <cellStyle name="40% - Accent4 2 11 3 2" xfId="34756"/>
    <cellStyle name="40% - Accent4 2 11 3 2 2" xfId="34757"/>
    <cellStyle name="40% - Accent4 2 11 3 3" xfId="34758"/>
    <cellStyle name="40% - Accent4 2 11 4" xfId="34759"/>
    <cellStyle name="40% - Accent4 2 11 4 2" xfId="34760"/>
    <cellStyle name="40% - Accent4 2 11 5" xfId="34761"/>
    <cellStyle name="40% - Accent4 2 12" xfId="34762"/>
    <cellStyle name="40% - Accent4 2 12 2" xfId="34763"/>
    <cellStyle name="40% - Accent4 2 12 2 2" xfId="34764"/>
    <cellStyle name="40% - Accent4 2 12 2 2 2" xfId="34765"/>
    <cellStyle name="40% - Accent4 2 12 2 2 2 2" xfId="34766"/>
    <cellStyle name="40% - Accent4 2 12 2 2 3" xfId="34767"/>
    <cellStyle name="40% - Accent4 2 12 2 3" xfId="34768"/>
    <cellStyle name="40% - Accent4 2 12 2 3 2" xfId="34769"/>
    <cellStyle name="40% - Accent4 2 12 2 4" xfId="34770"/>
    <cellStyle name="40% - Accent4 2 12 3" xfId="34771"/>
    <cellStyle name="40% - Accent4 2 12 3 2" xfId="34772"/>
    <cellStyle name="40% - Accent4 2 12 3 2 2" xfId="34773"/>
    <cellStyle name="40% - Accent4 2 12 3 3" xfId="34774"/>
    <cellStyle name="40% - Accent4 2 12 4" xfId="34775"/>
    <cellStyle name="40% - Accent4 2 12 4 2" xfId="34776"/>
    <cellStyle name="40% - Accent4 2 12 5" xfId="34777"/>
    <cellStyle name="40% - Accent4 2 13" xfId="34778"/>
    <cellStyle name="40% - Accent4 2 13 2" xfId="34779"/>
    <cellStyle name="40% - Accent4 2 13 2 2" xfId="34780"/>
    <cellStyle name="40% - Accent4 2 13 2 2 2" xfId="34781"/>
    <cellStyle name="40% - Accent4 2 13 2 2 2 2" xfId="34782"/>
    <cellStyle name="40% - Accent4 2 13 2 2 3" xfId="34783"/>
    <cellStyle name="40% - Accent4 2 13 2 3" xfId="34784"/>
    <cellStyle name="40% - Accent4 2 13 2 3 2" xfId="34785"/>
    <cellStyle name="40% - Accent4 2 13 2 4" xfId="34786"/>
    <cellStyle name="40% - Accent4 2 13 3" xfId="34787"/>
    <cellStyle name="40% - Accent4 2 13 3 2" xfId="34788"/>
    <cellStyle name="40% - Accent4 2 13 3 2 2" xfId="34789"/>
    <cellStyle name="40% - Accent4 2 13 3 3" xfId="34790"/>
    <cellStyle name="40% - Accent4 2 13 4" xfId="34791"/>
    <cellStyle name="40% - Accent4 2 13 4 2" xfId="34792"/>
    <cellStyle name="40% - Accent4 2 13 5" xfId="34793"/>
    <cellStyle name="40% - Accent4 2 14" xfId="34794"/>
    <cellStyle name="40% - Accent4 2 14 2" xfId="34795"/>
    <cellStyle name="40% - Accent4 2 14 2 2" xfId="34796"/>
    <cellStyle name="40% - Accent4 2 14 2 2 2" xfId="34797"/>
    <cellStyle name="40% - Accent4 2 14 2 2 2 2" xfId="34798"/>
    <cellStyle name="40% - Accent4 2 14 2 2 3" xfId="34799"/>
    <cellStyle name="40% - Accent4 2 14 2 3" xfId="34800"/>
    <cellStyle name="40% - Accent4 2 14 2 3 2" xfId="34801"/>
    <cellStyle name="40% - Accent4 2 14 2 4" xfId="34802"/>
    <cellStyle name="40% - Accent4 2 14 3" xfId="34803"/>
    <cellStyle name="40% - Accent4 2 14 3 2" xfId="34804"/>
    <cellStyle name="40% - Accent4 2 14 3 2 2" xfId="34805"/>
    <cellStyle name="40% - Accent4 2 14 3 3" xfId="34806"/>
    <cellStyle name="40% - Accent4 2 14 4" xfId="34807"/>
    <cellStyle name="40% - Accent4 2 14 4 2" xfId="34808"/>
    <cellStyle name="40% - Accent4 2 14 5" xfId="34809"/>
    <cellStyle name="40% - Accent4 2 15" xfId="34810"/>
    <cellStyle name="40% - Accent4 2 15 2" xfId="34811"/>
    <cellStyle name="40% - Accent4 2 15 2 2" xfId="34812"/>
    <cellStyle name="40% - Accent4 2 15 2 2 2" xfId="34813"/>
    <cellStyle name="40% - Accent4 2 15 2 2 2 2" xfId="34814"/>
    <cellStyle name="40% - Accent4 2 15 2 2 3" xfId="34815"/>
    <cellStyle name="40% - Accent4 2 15 2 3" xfId="34816"/>
    <cellStyle name="40% - Accent4 2 15 2 3 2" xfId="34817"/>
    <cellStyle name="40% - Accent4 2 15 2 4" xfId="34818"/>
    <cellStyle name="40% - Accent4 2 15 3" xfId="34819"/>
    <cellStyle name="40% - Accent4 2 15 3 2" xfId="34820"/>
    <cellStyle name="40% - Accent4 2 15 3 2 2" xfId="34821"/>
    <cellStyle name="40% - Accent4 2 15 3 3" xfId="34822"/>
    <cellStyle name="40% - Accent4 2 15 4" xfId="34823"/>
    <cellStyle name="40% - Accent4 2 15 4 2" xfId="34824"/>
    <cellStyle name="40% - Accent4 2 15 5" xfId="34825"/>
    <cellStyle name="40% - Accent4 2 16" xfId="34826"/>
    <cellStyle name="40% - Accent4 2 16 2" xfId="34827"/>
    <cellStyle name="40% - Accent4 2 16 2 2" xfId="34828"/>
    <cellStyle name="40% - Accent4 2 16 2 2 2" xfId="34829"/>
    <cellStyle name="40% - Accent4 2 16 2 3" xfId="34830"/>
    <cellStyle name="40% - Accent4 2 16 3" xfId="34831"/>
    <cellStyle name="40% - Accent4 2 16 3 2" xfId="34832"/>
    <cellStyle name="40% - Accent4 2 16 4" xfId="34833"/>
    <cellStyle name="40% - Accent4 2 17" xfId="34834"/>
    <cellStyle name="40% - Accent4 2 17 2" xfId="34835"/>
    <cellStyle name="40% - Accent4 2 17 2 2" xfId="34836"/>
    <cellStyle name="40% - Accent4 2 17 3" xfId="34837"/>
    <cellStyle name="40% - Accent4 2 18" xfId="34838"/>
    <cellStyle name="40% - Accent4 2 18 2" xfId="34839"/>
    <cellStyle name="40% - Accent4 2 19" xfId="34840"/>
    <cellStyle name="40% - Accent4 2 2" xfId="34841"/>
    <cellStyle name="40% - Accent4 2 2 10" xfId="34842"/>
    <cellStyle name="40% - Accent4 2 2 10 2" xfId="34843"/>
    <cellStyle name="40% - Accent4 2 2 11" xfId="34844"/>
    <cellStyle name="40% - Accent4 2 2 2" xfId="34845"/>
    <cellStyle name="40% - Accent4 2 2 2 10" xfId="34846"/>
    <cellStyle name="40% - Accent4 2 2 2 2" xfId="34847"/>
    <cellStyle name="40% - Accent4 2 2 2 2 2" xfId="34848"/>
    <cellStyle name="40% - Accent4 2 2 2 2 2 2" xfId="34849"/>
    <cellStyle name="40% - Accent4 2 2 2 2 2 2 2" xfId="34850"/>
    <cellStyle name="40% - Accent4 2 2 2 2 2 2 2 2" xfId="34851"/>
    <cellStyle name="40% - Accent4 2 2 2 2 2 2 3" xfId="34852"/>
    <cellStyle name="40% - Accent4 2 2 2 2 2 3" xfId="34853"/>
    <cellStyle name="40% - Accent4 2 2 2 2 2 3 2" xfId="34854"/>
    <cellStyle name="40% - Accent4 2 2 2 2 2 4" xfId="34855"/>
    <cellStyle name="40% - Accent4 2 2 2 2 3" xfId="34856"/>
    <cellStyle name="40% - Accent4 2 2 2 2 3 2" xfId="34857"/>
    <cellStyle name="40% - Accent4 2 2 2 2 3 2 2" xfId="34858"/>
    <cellStyle name="40% - Accent4 2 2 2 2 3 3" xfId="34859"/>
    <cellStyle name="40% - Accent4 2 2 2 2 4" xfId="34860"/>
    <cellStyle name="40% - Accent4 2 2 2 2 4 2" xfId="34861"/>
    <cellStyle name="40% - Accent4 2 2 2 2 5" xfId="34862"/>
    <cellStyle name="40% - Accent4 2 2 2 3" xfId="34863"/>
    <cellStyle name="40% - Accent4 2 2 2 3 2" xfId="34864"/>
    <cellStyle name="40% - Accent4 2 2 2 3 2 2" xfId="34865"/>
    <cellStyle name="40% - Accent4 2 2 2 3 2 2 2" xfId="34866"/>
    <cellStyle name="40% - Accent4 2 2 2 3 2 2 2 2" xfId="34867"/>
    <cellStyle name="40% - Accent4 2 2 2 3 2 2 3" xfId="34868"/>
    <cellStyle name="40% - Accent4 2 2 2 3 2 3" xfId="34869"/>
    <cellStyle name="40% - Accent4 2 2 2 3 2 3 2" xfId="34870"/>
    <cellStyle name="40% - Accent4 2 2 2 3 2 4" xfId="34871"/>
    <cellStyle name="40% - Accent4 2 2 2 3 3" xfId="34872"/>
    <cellStyle name="40% - Accent4 2 2 2 3 3 2" xfId="34873"/>
    <cellStyle name="40% - Accent4 2 2 2 3 3 2 2" xfId="34874"/>
    <cellStyle name="40% - Accent4 2 2 2 3 3 3" xfId="34875"/>
    <cellStyle name="40% - Accent4 2 2 2 3 4" xfId="34876"/>
    <cellStyle name="40% - Accent4 2 2 2 3 4 2" xfId="34877"/>
    <cellStyle name="40% - Accent4 2 2 2 3 5" xfId="34878"/>
    <cellStyle name="40% - Accent4 2 2 2 4" xfId="34879"/>
    <cellStyle name="40% - Accent4 2 2 2 4 2" xfId="34880"/>
    <cellStyle name="40% - Accent4 2 2 2 4 2 2" xfId="34881"/>
    <cellStyle name="40% - Accent4 2 2 2 4 2 2 2" xfId="34882"/>
    <cellStyle name="40% - Accent4 2 2 2 4 2 2 2 2" xfId="34883"/>
    <cellStyle name="40% - Accent4 2 2 2 4 2 2 3" xfId="34884"/>
    <cellStyle name="40% - Accent4 2 2 2 4 2 3" xfId="34885"/>
    <cellStyle name="40% - Accent4 2 2 2 4 2 3 2" xfId="34886"/>
    <cellStyle name="40% - Accent4 2 2 2 4 2 4" xfId="34887"/>
    <cellStyle name="40% - Accent4 2 2 2 4 3" xfId="34888"/>
    <cellStyle name="40% - Accent4 2 2 2 4 3 2" xfId="34889"/>
    <cellStyle name="40% - Accent4 2 2 2 4 3 2 2" xfId="34890"/>
    <cellStyle name="40% - Accent4 2 2 2 4 3 3" xfId="34891"/>
    <cellStyle name="40% - Accent4 2 2 2 4 4" xfId="34892"/>
    <cellStyle name="40% - Accent4 2 2 2 4 4 2" xfId="34893"/>
    <cellStyle name="40% - Accent4 2 2 2 4 5" xfId="34894"/>
    <cellStyle name="40% - Accent4 2 2 2 5" xfId="34895"/>
    <cellStyle name="40% - Accent4 2 2 2 5 2" xfId="34896"/>
    <cellStyle name="40% - Accent4 2 2 2 5 2 2" xfId="34897"/>
    <cellStyle name="40% - Accent4 2 2 2 5 2 2 2" xfId="34898"/>
    <cellStyle name="40% - Accent4 2 2 2 5 2 2 2 2" xfId="34899"/>
    <cellStyle name="40% - Accent4 2 2 2 5 2 2 3" xfId="34900"/>
    <cellStyle name="40% - Accent4 2 2 2 5 2 3" xfId="34901"/>
    <cellStyle name="40% - Accent4 2 2 2 5 2 3 2" xfId="34902"/>
    <cellStyle name="40% - Accent4 2 2 2 5 2 4" xfId="34903"/>
    <cellStyle name="40% - Accent4 2 2 2 5 3" xfId="34904"/>
    <cellStyle name="40% - Accent4 2 2 2 5 3 2" xfId="34905"/>
    <cellStyle name="40% - Accent4 2 2 2 5 3 2 2" xfId="34906"/>
    <cellStyle name="40% - Accent4 2 2 2 5 3 3" xfId="34907"/>
    <cellStyle name="40% - Accent4 2 2 2 5 4" xfId="34908"/>
    <cellStyle name="40% - Accent4 2 2 2 5 4 2" xfId="34909"/>
    <cellStyle name="40% - Accent4 2 2 2 5 5" xfId="34910"/>
    <cellStyle name="40% - Accent4 2 2 2 6" xfId="34911"/>
    <cellStyle name="40% - Accent4 2 2 2 6 2" xfId="34912"/>
    <cellStyle name="40% - Accent4 2 2 2 6 2 2" xfId="34913"/>
    <cellStyle name="40% - Accent4 2 2 2 6 2 2 2" xfId="34914"/>
    <cellStyle name="40% - Accent4 2 2 2 6 2 2 2 2" xfId="34915"/>
    <cellStyle name="40% - Accent4 2 2 2 6 2 2 3" xfId="34916"/>
    <cellStyle name="40% - Accent4 2 2 2 6 2 3" xfId="34917"/>
    <cellStyle name="40% - Accent4 2 2 2 6 2 3 2" xfId="34918"/>
    <cellStyle name="40% - Accent4 2 2 2 6 2 4" xfId="34919"/>
    <cellStyle name="40% - Accent4 2 2 2 6 3" xfId="34920"/>
    <cellStyle name="40% - Accent4 2 2 2 6 3 2" xfId="34921"/>
    <cellStyle name="40% - Accent4 2 2 2 6 3 2 2" xfId="34922"/>
    <cellStyle name="40% - Accent4 2 2 2 6 3 3" xfId="34923"/>
    <cellStyle name="40% - Accent4 2 2 2 6 4" xfId="34924"/>
    <cellStyle name="40% - Accent4 2 2 2 6 4 2" xfId="34925"/>
    <cellStyle name="40% - Accent4 2 2 2 6 5" xfId="34926"/>
    <cellStyle name="40% - Accent4 2 2 2 7" xfId="34927"/>
    <cellStyle name="40% - Accent4 2 2 2 7 2" xfId="34928"/>
    <cellStyle name="40% - Accent4 2 2 2 7 2 2" xfId="34929"/>
    <cellStyle name="40% - Accent4 2 2 2 7 2 2 2" xfId="34930"/>
    <cellStyle name="40% - Accent4 2 2 2 7 2 3" xfId="34931"/>
    <cellStyle name="40% - Accent4 2 2 2 7 3" xfId="34932"/>
    <cellStyle name="40% - Accent4 2 2 2 7 3 2" xfId="34933"/>
    <cellStyle name="40% - Accent4 2 2 2 7 4" xfId="34934"/>
    <cellStyle name="40% - Accent4 2 2 2 8" xfId="34935"/>
    <cellStyle name="40% - Accent4 2 2 2 8 2" xfId="34936"/>
    <cellStyle name="40% - Accent4 2 2 2 8 2 2" xfId="34937"/>
    <cellStyle name="40% - Accent4 2 2 2 8 3" xfId="34938"/>
    <cellStyle name="40% - Accent4 2 2 2 9" xfId="34939"/>
    <cellStyle name="40% - Accent4 2 2 2 9 2" xfId="34940"/>
    <cellStyle name="40% - Accent4 2 2 3" xfId="34941"/>
    <cellStyle name="40% - Accent4 2 2 3 2" xfId="34942"/>
    <cellStyle name="40% - Accent4 2 2 3 2 2" xfId="34943"/>
    <cellStyle name="40% - Accent4 2 2 3 2 2 2" xfId="34944"/>
    <cellStyle name="40% - Accent4 2 2 3 2 2 2 2" xfId="34945"/>
    <cellStyle name="40% - Accent4 2 2 3 2 2 3" xfId="34946"/>
    <cellStyle name="40% - Accent4 2 2 3 2 3" xfId="34947"/>
    <cellStyle name="40% - Accent4 2 2 3 2 3 2" xfId="34948"/>
    <cellStyle name="40% - Accent4 2 2 3 2 4" xfId="34949"/>
    <cellStyle name="40% - Accent4 2 2 3 3" xfId="34950"/>
    <cellStyle name="40% - Accent4 2 2 3 3 2" xfId="34951"/>
    <cellStyle name="40% - Accent4 2 2 3 3 2 2" xfId="34952"/>
    <cellStyle name="40% - Accent4 2 2 3 3 3" xfId="34953"/>
    <cellStyle name="40% - Accent4 2 2 3 4" xfId="34954"/>
    <cellStyle name="40% - Accent4 2 2 3 4 2" xfId="34955"/>
    <cellStyle name="40% - Accent4 2 2 3 5" xfId="34956"/>
    <cellStyle name="40% - Accent4 2 2 4" xfId="34957"/>
    <cellStyle name="40% - Accent4 2 2 4 2" xfId="34958"/>
    <cellStyle name="40% - Accent4 2 2 4 2 2" xfId="34959"/>
    <cellStyle name="40% - Accent4 2 2 4 2 2 2" xfId="34960"/>
    <cellStyle name="40% - Accent4 2 2 4 2 2 2 2" xfId="34961"/>
    <cellStyle name="40% - Accent4 2 2 4 2 2 3" xfId="34962"/>
    <cellStyle name="40% - Accent4 2 2 4 2 3" xfId="34963"/>
    <cellStyle name="40% - Accent4 2 2 4 2 3 2" xfId="34964"/>
    <cellStyle name="40% - Accent4 2 2 4 2 4" xfId="34965"/>
    <cellStyle name="40% - Accent4 2 2 4 3" xfId="34966"/>
    <cellStyle name="40% - Accent4 2 2 4 3 2" xfId="34967"/>
    <cellStyle name="40% - Accent4 2 2 4 3 2 2" xfId="34968"/>
    <cellStyle name="40% - Accent4 2 2 4 3 3" xfId="34969"/>
    <cellStyle name="40% - Accent4 2 2 4 4" xfId="34970"/>
    <cellStyle name="40% - Accent4 2 2 4 4 2" xfId="34971"/>
    <cellStyle name="40% - Accent4 2 2 4 5" xfId="34972"/>
    <cellStyle name="40% - Accent4 2 2 5" xfId="34973"/>
    <cellStyle name="40% - Accent4 2 2 5 2" xfId="34974"/>
    <cellStyle name="40% - Accent4 2 2 5 2 2" xfId="34975"/>
    <cellStyle name="40% - Accent4 2 2 5 2 2 2" xfId="34976"/>
    <cellStyle name="40% - Accent4 2 2 5 2 2 2 2" xfId="34977"/>
    <cellStyle name="40% - Accent4 2 2 5 2 2 3" xfId="34978"/>
    <cellStyle name="40% - Accent4 2 2 5 2 3" xfId="34979"/>
    <cellStyle name="40% - Accent4 2 2 5 2 3 2" xfId="34980"/>
    <cellStyle name="40% - Accent4 2 2 5 2 4" xfId="34981"/>
    <cellStyle name="40% - Accent4 2 2 5 3" xfId="34982"/>
    <cellStyle name="40% - Accent4 2 2 5 3 2" xfId="34983"/>
    <cellStyle name="40% - Accent4 2 2 5 3 2 2" xfId="34984"/>
    <cellStyle name="40% - Accent4 2 2 5 3 3" xfId="34985"/>
    <cellStyle name="40% - Accent4 2 2 5 4" xfId="34986"/>
    <cellStyle name="40% - Accent4 2 2 5 4 2" xfId="34987"/>
    <cellStyle name="40% - Accent4 2 2 5 5" xfId="34988"/>
    <cellStyle name="40% - Accent4 2 2 6" xfId="34989"/>
    <cellStyle name="40% - Accent4 2 2 6 2" xfId="34990"/>
    <cellStyle name="40% - Accent4 2 2 6 2 2" xfId="34991"/>
    <cellStyle name="40% - Accent4 2 2 6 2 2 2" xfId="34992"/>
    <cellStyle name="40% - Accent4 2 2 6 2 2 2 2" xfId="34993"/>
    <cellStyle name="40% - Accent4 2 2 6 2 2 3" xfId="34994"/>
    <cellStyle name="40% - Accent4 2 2 6 2 3" xfId="34995"/>
    <cellStyle name="40% - Accent4 2 2 6 2 3 2" xfId="34996"/>
    <cellStyle name="40% - Accent4 2 2 6 2 4" xfId="34997"/>
    <cellStyle name="40% - Accent4 2 2 6 3" xfId="34998"/>
    <cellStyle name="40% - Accent4 2 2 6 3 2" xfId="34999"/>
    <cellStyle name="40% - Accent4 2 2 6 3 2 2" xfId="35000"/>
    <cellStyle name="40% - Accent4 2 2 6 3 3" xfId="35001"/>
    <cellStyle name="40% - Accent4 2 2 6 4" xfId="35002"/>
    <cellStyle name="40% - Accent4 2 2 6 4 2" xfId="35003"/>
    <cellStyle name="40% - Accent4 2 2 6 5" xfId="35004"/>
    <cellStyle name="40% - Accent4 2 2 7" xfId="35005"/>
    <cellStyle name="40% - Accent4 2 2 7 2" xfId="35006"/>
    <cellStyle name="40% - Accent4 2 2 7 2 2" xfId="35007"/>
    <cellStyle name="40% - Accent4 2 2 7 2 2 2" xfId="35008"/>
    <cellStyle name="40% - Accent4 2 2 7 2 2 2 2" xfId="35009"/>
    <cellStyle name="40% - Accent4 2 2 7 2 2 3" xfId="35010"/>
    <cellStyle name="40% - Accent4 2 2 7 2 3" xfId="35011"/>
    <cellStyle name="40% - Accent4 2 2 7 2 3 2" xfId="35012"/>
    <cellStyle name="40% - Accent4 2 2 7 2 4" xfId="35013"/>
    <cellStyle name="40% - Accent4 2 2 7 3" xfId="35014"/>
    <cellStyle name="40% - Accent4 2 2 7 3 2" xfId="35015"/>
    <cellStyle name="40% - Accent4 2 2 7 3 2 2" xfId="35016"/>
    <cellStyle name="40% - Accent4 2 2 7 3 3" xfId="35017"/>
    <cellStyle name="40% - Accent4 2 2 7 4" xfId="35018"/>
    <cellStyle name="40% - Accent4 2 2 7 4 2" xfId="35019"/>
    <cellStyle name="40% - Accent4 2 2 7 5" xfId="35020"/>
    <cellStyle name="40% - Accent4 2 2 8" xfId="35021"/>
    <cellStyle name="40% - Accent4 2 2 8 2" xfId="35022"/>
    <cellStyle name="40% - Accent4 2 2 8 2 2" xfId="35023"/>
    <cellStyle name="40% - Accent4 2 2 8 2 2 2" xfId="35024"/>
    <cellStyle name="40% - Accent4 2 2 8 2 3" xfId="35025"/>
    <cellStyle name="40% - Accent4 2 2 8 3" xfId="35026"/>
    <cellStyle name="40% - Accent4 2 2 8 3 2" xfId="35027"/>
    <cellStyle name="40% - Accent4 2 2 8 4" xfId="35028"/>
    <cellStyle name="40% - Accent4 2 2 9" xfId="35029"/>
    <cellStyle name="40% - Accent4 2 2 9 2" xfId="35030"/>
    <cellStyle name="40% - Accent4 2 2 9 2 2" xfId="35031"/>
    <cellStyle name="40% - Accent4 2 2 9 3" xfId="35032"/>
    <cellStyle name="40% - Accent4 2 3" xfId="35033"/>
    <cellStyle name="40% - Accent4 2 3 10" xfId="35034"/>
    <cellStyle name="40% - Accent4 2 3 10 2" xfId="35035"/>
    <cellStyle name="40% - Accent4 2 3 11" xfId="35036"/>
    <cellStyle name="40% - Accent4 2 3 2" xfId="35037"/>
    <cellStyle name="40% - Accent4 2 3 2 10" xfId="35038"/>
    <cellStyle name="40% - Accent4 2 3 2 2" xfId="35039"/>
    <cellStyle name="40% - Accent4 2 3 2 2 2" xfId="35040"/>
    <cellStyle name="40% - Accent4 2 3 2 2 2 2" xfId="35041"/>
    <cellStyle name="40% - Accent4 2 3 2 2 2 2 2" xfId="35042"/>
    <cellStyle name="40% - Accent4 2 3 2 2 2 2 2 2" xfId="35043"/>
    <cellStyle name="40% - Accent4 2 3 2 2 2 2 3" xfId="35044"/>
    <cellStyle name="40% - Accent4 2 3 2 2 2 3" xfId="35045"/>
    <cellStyle name="40% - Accent4 2 3 2 2 2 3 2" xfId="35046"/>
    <cellStyle name="40% - Accent4 2 3 2 2 2 4" xfId="35047"/>
    <cellStyle name="40% - Accent4 2 3 2 2 3" xfId="35048"/>
    <cellStyle name="40% - Accent4 2 3 2 2 3 2" xfId="35049"/>
    <cellStyle name="40% - Accent4 2 3 2 2 3 2 2" xfId="35050"/>
    <cellStyle name="40% - Accent4 2 3 2 2 3 3" xfId="35051"/>
    <cellStyle name="40% - Accent4 2 3 2 2 4" xfId="35052"/>
    <cellStyle name="40% - Accent4 2 3 2 2 4 2" xfId="35053"/>
    <cellStyle name="40% - Accent4 2 3 2 2 5" xfId="35054"/>
    <cellStyle name="40% - Accent4 2 3 2 3" xfId="35055"/>
    <cellStyle name="40% - Accent4 2 3 2 3 2" xfId="35056"/>
    <cellStyle name="40% - Accent4 2 3 2 3 2 2" xfId="35057"/>
    <cellStyle name="40% - Accent4 2 3 2 3 2 2 2" xfId="35058"/>
    <cellStyle name="40% - Accent4 2 3 2 3 2 2 2 2" xfId="35059"/>
    <cellStyle name="40% - Accent4 2 3 2 3 2 2 3" xfId="35060"/>
    <cellStyle name="40% - Accent4 2 3 2 3 2 3" xfId="35061"/>
    <cellStyle name="40% - Accent4 2 3 2 3 2 3 2" xfId="35062"/>
    <cellStyle name="40% - Accent4 2 3 2 3 2 4" xfId="35063"/>
    <cellStyle name="40% - Accent4 2 3 2 3 3" xfId="35064"/>
    <cellStyle name="40% - Accent4 2 3 2 3 3 2" xfId="35065"/>
    <cellStyle name="40% - Accent4 2 3 2 3 3 2 2" xfId="35066"/>
    <cellStyle name="40% - Accent4 2 3 2 3 3 3" xfId="35067"/>
    <cellStyle name="40% - Accent4 2 3 2 3 4" xfId="35068"/>
    <cellStyle name="40% - Accent4 2 3 2 3 4 2" xfId="35069"/>
    <cellStyle name="40% - Accent4 2 3 2 3 5" xfId="35070"/>
    <cellStyle name="40% - Accent4 2 3 2 4" xfId="35071"/>
    <cellStyle name="40% - Accent4 2 3 2 4 2" xfId="35072"/>
    <cellStyle name="40% - Accent4 2 3 2 4 2 2" xfId="35073"/>
    <cellStyle name="40% - Accent4 2 3 2 4 2 2 2" xfId="35074"/>
    <cellStyle name="40% - Accent4 2 3 2 4 2 2 2 2" xfId="35075"/>
    <cellStyle name="40% - Accent4 2 3 2 4 2 2 3" xfId="35076"/>
    <cellStyle name="40% - Accent4 2 3 2 4 2 3" xfId="35077"/>
    <cellStyle name="40% - Accent4 2 3 2 4 2 3 2" xfId="35078"/>
    <cellStyle name="40% - Accent4 2 3 2 4 2 4" xfId="35079"/>
    <cellStyle name="40% - Accent4 2 3 2 4 3" xfId="35080"/>
    <cellStyle name="40% - Accent4 2 3 2 4 3 2" xfId="35081"/>
    <cellStyle name="40% - Accent4 2 3 2 4 3 2 2" xfId="35082"/>
    <cellStyle name="40% - Accent4 2 3 2 4 3 3" xfId="35083"/>
    <cellStyle name="40% - Accent4 2 3 2 4 4" xfId="35084"/>
    <cellStyle name="40% - Accent4 2 3 2 4 4 2" xfId="35085"/>
    <cellStyle name="40% - Accent4 2 3 2 4 5" xfId="35086"/>
    <cellStyle name="40% - Accent4 2 3 2 5" xfId="35087"/>
    <cellStyle name="40% - Accent4 2 3 2 5 2" xfId="35088"/>
    <cellStyle name="40% - Accent4 2 3 2 5 2 2" xfId="35089"/>
    <cellStyle name="40% - Accent4 2 3 2 5 2 2 2" xfId="35090"/>
    <cellStyle name="40% - Accent4 2 3 2 5 2 2 2 2" xfId="35091"/>
    <cellStyle name="40% - Accent4 2 3 2 5 2 2 3" xfId="35092"/>
    <cellStyle name="40% - Accent4 2 3 2 5 2 3" xfId="35093"/>
    <cellStyle name="40% - Accent4 2 3 2 5 2 3 2" xfId="35094"/>
    <cellStyle name="40% - Accent4 2 3 2 5 2 4" xfId="35095"/>
    <cellStyle name="40% - Accent4 2 3 2 5 3" xfId="35096"/>
    <cellStyle name="40% - Accent4 2 3 2 5 3 2" xfId="35097"/>
    <cellStyle name="40% - Accent4 2 3 2 5 3 2 2" xfId="35098"/>
    <cellStyle name="40% - Accent4 2 3 2 5 3 3" xfId="35099"/>
    <cellStyle name="40% - Accent4 2 3 2 5 4" xfId="35100"/>
    <cellStyle name="40% - Accent4 2 3 2 5 4 2" xfId="35101"/>
    <cellStyle name="40% - Accent4 2 3 2 5 5" xfId="35102"/>
    <cellStyle name="40% - Accent4 2 3 2 6" xfId="35103"/>
    <cellStyle name="40% - Accent4 2 3 2 6 2" xfId="35104"/>
    <cellStyle name="40% - Accent4 2 3 2 6 2 2" xfId="35105"/>
    <cellStyle name="40% - Accent4 2 3 2 6 2 2 2" xfId="35106"/>
    <cellStyle name="40% - Accent4 2 3 2 6 2 2 2 2" xfId="35107"/>
    <cellStyle name="40% - Accent4 2 3 2 6 2 2 3" xfId="35108"/>
    <cellStyle name="40% - Accent4 2 3 2 6 2 3" xfId="35109"/>
    <cellStyle name="40% - Accent4 2 3 2 6 2 3 2" xfId="35110"/>
    <cellStyle name="40% - Accent4 2 3 2 6 2 4" xfId="35111"/>
    <cellStyle name="40% - Accent4 2 3 2 6 3" xfId="35112"/>
    <cellStyle name="40% - Accent4 2 3 2 6 3 2" xfId="35113"/>
    <cellStyle name="40% - Accent4 2 3 2 6 3 2 2" xfId="35114"/>
    <cellStyle name="40% - Accent4 2 3 2 6 3 3" xfId="35115"/>
    <cellStyle name="40% - Accent4 2 3 2 6 4" xfId="35116"/>
    <cellStyle name="40% - Accent4 2 3 2 6 4 2" xfId="35117"/>
    <cellStyle name="40% - Accent4 2 3 2 6 5" xfId="35118"/>
    <cellStyle name="40% - Accent4 2 3 2 7" xfId="35119"/>
    <cellStyle name="40% - Accent4 2 3 2 7 2" xfId="35120"/>
    <cellStyle name="40% - Accent4 2 3 2 7 2 2" xfId="35121"/>
    <cellStyle name="40% - Accent4 2 3 2 7 2 2 2" xfId="35122"/>
    <cellStyle name="40% - Accent4 2 3 2 7 2 3" xfId="35123"/>
    <cellStyle name="40% - Accent4 2 3 2 7 3" xfId="35124"/>
    <cellStyle name="40% - Accent4 2 3 2 7 3 2" xfId="35125"/>
    <cellStyle name="40% - Accent4 2 3 2 7 4" xfId="35126"/>
    <cellStyle name="40% - Accent4 2 3 2 8" xfId="35127"/>
    <cellStyle name="40% - Accent4 2 3 2 8 2" xfId="35128"/>
    <cellStyle name="40% - Accent4 2 3 2 8 2 2" xfId="35129"/>
    <cellStyle name="40% - Accent4 2 3 2 8 3" xfId="35130"/>
    <cellStyle name="40% - Accent4 2 3 2 9" xfId="35131"/>
    <cellStyle name="40% - Accent4 2 3 2 9 2" xfId="35132"/>
    <cellStyle name="40% - Accent4 2 3 3" xfId="35133"/>
    <cellStyle name="40% - Accent4 2 3 3 2" xfId="35134"/>
    <cellStyle name="40% - Accent4 2 3 3 2 2" xfId="35135"/>
    <cellStyle name="40% - Accent4 2 3 3 2 2 2" xfId="35136"/>
    <cellStyle name="40% - Accent4 2 3 3 2 2 2 2" xfId="35137"/>
    <cellStyle name="40% - Accent4 2 3 3 2 2 3" xfId="35138"/>
    <cellStyle name="40% - Accent4 2 3 3 2 3" xfId="35139"/>
    <cellStyle name="40% - Accent4 2 3 3 2 3 2" xfId="35140"/>
    <cellStyle name="40% - Accent4 2 3 3 2 4" xfId="35141"/>
    <cellStyle name="40% - Accent4 2 3 3 3" xfId="35142"/>
    <cellStyle name="40% - Accent4 2 3 3 3 2" xfId="35143"/>
    <cellStyle name="40% - Accent4 2 3 3 3 2 2" xfId="35144"/>
    <cellStyle name="40% - Accent4 2 3 3 3 3" xfId="35145"/>
    <cellStyle name="40% - Accent4 2 3 3 4" xfId="35146"/>
    <cellStyle name="40% - Accent4 2 3 3 4 2" xfId="35147"/>
    <cellStyle name="40% - Accent4 2 3 3 5" xfId="35148"/>
    <cellStyle name="40% - Accent4 2 3 4" xfId="35149"/>
    <cellStyle name="40% - Accent4 2 3 4 2" xfId="35150"/>
    <cellStyle name="40% - Accent4 2 3 4 2 2" xfId="35151"/>
    <cellStyle name="40% - Accent4 2 3 4 2 2 2" xfId="35152"/>
    <cellStyle name="40% - Accent4 2 3 4 2 2 2 2" xfId="35153"/>
    <cellStyle name="40% - Accent4 2 3 4 2 2 3" xfId="35154"/>
    <cellStyle name="40% - Accent4 2 3 4 2 3" xfId="35155"/>
    <cellStyle name="40% - Accent4 2 3 4 2 3 2" xfId="35156"/>
    <cellStyle name="40% - Accent4 2 3 4 2 4" xfId="35157"/>
    <cellStyle name="40% - Accent4 2 3 4 3" xfId="35158"/>
    <cellStyle name="40% - Accent4 2 3 4 3 2" xfId="35159"/>
    <cellStyle name="40% - Accent4 2 3 4 3 2 2" xfId="35160"/>
    <cellStyle name="40% - Accent4 2 3 4 3 3" xfId="35161"/>
    <cellStyle name="40% - Accent4 2 3 4 4" xfId="35162"/>
    <cellStyle name="40% - Accent4 2 3 4 4 2" xfId="35163"/>
    <cellStyle name="40% - Accent4 2 3 4 5" xfId="35164"/>
    <cellStyle name="40% - Accent4 2 3 5" xfId="35165"/>
    <cellStyle name="40% - Accent4 2 3 5 2" xfId="35166"/>
    <cellStyle name="40% - Accent4 2 3 5 2 2" xfId="35167"/>
    <cellStyle name="40% - Accent4 2 3 5 2 2 2" xfId="35168"/>
    <cellStyle name="40% - Accent4 2 3 5 2 2 2 2" xfId="35169"/>
    <cellStyle name="40% - Accent4 2 3 5 2 2 3" xfId="35170"/>
    <cellStyle name="40% - Accent4 2 3 5 2 3" xfId="35171"/>
    <cellStyle name="40% - Accent4 2 3 5 2 3 2" xfId="35172"/>
    <cellStyle name="40% - Accent4 2 3 5 2 4" xfId="35173"/>
    <cellStyle name="40% - Accent4 2 3 5 3" xfId="35174"/>
    <cellStyle name="40% - Accent4 2 3 5 3 2" xfId="35175"/>
    <cellStyle name="40% - Accent4 2 3 5 3 2 2" xfId="35176"/>
    <cellStyle name="40% - Accent4 2 3 5 3 3" xfId="35177"/>
    <cellStyle name="40% - Accent4 2 3 5 4" xfId="35178"/>
    <cellStyle name="40% - Accent4 2 3 5 4 2" xfId="35179"/>
    <cellStyle name="40% - Accent4 2 3 5 5" xfId="35180"/>
    <cellStyle name="40% - Accent4 2 3 6" xfId="35181"/>
    <cellStyle name="40% - Accent4 2 3 6 2" xfId="35182"/>
    <cellStyle name="40% - Accent4 2 3 6 2 2" xfId="35183"/>
    <cellStyle name="40% - Accent4 2 3 6 2 2 2" xfId="35184"/>
    <cellStyle name="40% - Accent4 2 3 6 2 2 2 2" xfId="35185"/>
    <cellStyle name="40% - Accent4 2 3 6 2 2 3" xfId="35186"/>
    <cellStyle name="40% - Accent4 2 3 6 2 3" xfId="35187"/>
    <cellStyle name="40% - Accent4 2 3 6 2 3 2" xfId="35188"/>
    <cellStyle name="40% - Accent4 2 3 6 2 4" xfId="35189"/>
    <cellStyle name="40% - Accent4 2 3 6 3" xfId="35190"/>
    <cellStyle name="40% - Accent4 2 3 6 3 2" xfId="35191"/>
    <cellStyle name="40% - Accent4 2 3 6 3 2 2" xfId="35192"/>
    <cellStyle name="40% - Accent4 2 3 6 3 3" xfId="35193"/>
    <cellStyle name="40% - Accent4 2 3 6 4" xfId="35194"/>
    <cellStyle name="40% - Accent4 2 3 6 4 2" xfId="35195"/>
    <cellStyle name="40% - Accent4 2 3 6 5" xfId="35196"/>
    <cellStyle name="40% - Accent4 2 3 7" xfId="35197"/>
    <cellStyle name="40% - Accent4 2 3 7 2" xfId="35198"/>
    <cellStyle name="40% - Accent4 2 3 7 2 2" xfId="35199"/>
    <cellStyle name="40% - Accent4 2 3 7 2 2 2" xfId="35200"/>
    <cellStyle name="40% - Accent4 2 3 7 2 2 2 2" xfId="35201"/>
    <cellStyle name="40% - Accent4 2 3 7 2 2 3" xfId="35202"/>
    <cellStyle name="40% - Accent4 2 3 7 2 3" xfId="35203"/>
    <cellStyle name="40% - Accent4 2 3 7 2 3 2" xfId="35204"/>
    <cellStyle name="40% - Accent4 2 3 7 2 4" xfId="35205"/>
    <cellStyle name="40% - Accent4 2 3 7 3" xfId="35206"/>
    <cellStyle name="40% - Accent4 2 3 7 3 2" xfId="35207"/>
    <cellStyle name="40% - Accent4 2 3 7 3 2 2" xfId="35208"/>
    <cellStyle name="40% - Accent4 2 3 7 3 3" xfId="35209"/>
    <cellStyle name="40% - Accent4 2 3 7 4" xfId="35210"/>
    <cellStyle name="40% - Accent4 2 3 7 4 2" xfId="35211"/>
    <cellStyle name="40% - Accent4 2 3 7 5" xfId="35212"/>
    <cellStyle name="40% - Accent4 2 3 8" xfId="35213"/>
    <cellStyle name="40% - Accent4 2 3 8 2" xfId="35214"/>
    <cellStyle name="40% - Accent4 2 3 8 2 2" xfId="35215"/>
    <cellStyle name="40% - Accent4 2 3 8 2 2 2" xfId="35216"/>
    <cellStyle name="40% - Accent4 2 3 8 2 3" xfId="35217"/>
    <cellStyle name="40% - Accent4 2 3 8 3" xfId="35218"/>
    <cellStyle name="40% - Accent4 2 3 8 3 2" xfId="35219"/>
    <cellStyle name="40% - Accent4 2 3 8 4" xfId="35220"/>
    <cellStyle name="40% - Accent4 2 3 9" xfId="35221"/>
    <cellStyle name="40% - Accent4 2 3 9 2" xfId="35222"/>
    <cellStyle name="40% - Accent4 2 3 9 2 2" xfId="35223"/>
    <cellStyle name="40% - Accent4 2 3 9 3" xfId="35224"/>
    <cellStyle name="40% - Accent4 2 4" xfId="35225"/>
    <cellStyle name="40% - Accent4 2 4 10" xfId="35226"/>
    <cellStyle name="40% - Accent4 2 4 10 2" xfId="35227"/>
    <cellStyle name="40% - Accent4 2 4 11" xfId="35228"/>
    <cellStyle name="40% - Accent4 2 4 2" xfId="35229"/>
    <cellStyle name="40% - Accent4 2 4 2 10" xfId="35230"/>
    <cellStyle name="40% - Accent4 2 4 2 2" xfId="35231"/>
    <cellStyle name="40% - Accent4 2 4 2 2 2" xfId="35232"/>
    <cellStyle name="40% - Accent4 2 4 2 2 2 2" xfId="35233"/>
    <cellStyle name="40% - Accent4 2 4 2 2 2 2 2" xfId="35234"/>
    <cellStyle name="40% - Accent4 2 4 2 2 2 2 2 2" xfId="35235"/>
    <cellStyle name="40% - Accent4 2 4 2 2 2 2 3" xfId="35236"/>
    <cellStyle name="40% - Accent4 2 4 2 2 2 3" xfId="35237"/>
    <cellStyle name="40% - Accent4 2 4 2 2 2 3 2" xfId="35238"/>
    <cellStyle name="40% - Accent4 2 4 2 2 2 4" xfId="35239"/>
    <cellStyle name="40% - Accent4 2 4 2 2 3" xfId="35240"/>
    <cellStyle name="40% - Accent4 2 4 2 2 3 2" xfId="35241"/>
    <cellStyle name="40% - Accent4 2 4 2 2 3 2 2" xfId="35242"/>
    <cellStyle name="40% - Accent4 2 4 2 2 3 3" xfId="35243"/>
    <cellStyle name="40% - Accent4 2 4 2 2 4" xfId="35244"/>
    <cellStyle name="40% - Accent4 2 4 2 2 4 2" xfId="35245"/>
    <cellStyle name="40% - Accent4 2 4 2 2 5" xfId="35246"/>
    <cellStyle name="40% - Accent4 2 4 2 3" xfId="35247"/>
    <cellStyle name="40% - Accent4 2 4 2 3 2" xfId="35248"/>
    <cellStyle name="40% - Accent4 2 4 2 3 2 2" xfId="35249"/>
    <cellStyle name="40% - Accent4 2 4 2 3 2 2 2" xfId="35250"/>
    <cellStyle name="40% - Accent4 2 4 2 3 2 2 2 2" xfId="35251"/>
    <cellStyle name="40% - Accent4 2 4 2 3 2 2 3" xfId="35252"/>
    <cellStyle name="40% - Accent4 2 4 2 3 2 3" xfId="35253"/>
    <cellStyle name="40% - Accent4 2 4 2 3 2 3 2" xfId="35254"/>
    <cellStyle name="40% - Accent4 2 4 2 3 2 4" xfId="35255"/>
    <cellStyle name="40% - Accent4 2 4 2 3 3" xfId="35256"/>
    <cellStyle name="40% - Accent4 2 4 2 3 3 2" xfId="35257"/>
    <cellStyle name="40% - Accent4 2 4 2 3 3 2 2" xfId="35258"/>
    <cellStyle name="40% - Accent4 2 4 2 3 3 3" xfId="35259"/>
    <cellStyle name="40% - Accent4 2 4 2 3 4" xfId="35260"/>
    <cellStyle name="40% - Accent4 2 4 2 3 4 2" xfId="35261"/>
    <cellStyle name="40% - Accent4 2 4 2 3 5" xfId="35262"/>
    <cellStyle name="40% - Accent4 2 4 2 4" xfId="35263"/>
    <cellStyle name="40% - Accent4 2 4 2 4 2" xfId="35264"/>
    <cellStyle name="40% - Accent4 2 4 2 4 2 2" xfId="35265"/>
    <cellStyle name="40% - Accent4 2 4 2 4 2 2 2" xfId="35266"/>
    <cellStyle name="40% - Accent4 2 4 2 4 2 2 2 2" xfId="35267"/>
    <cellStyle name="40% - Accent4 2 4 2 4 2 2 3" xfId="35268"/>
    <cellStyle name="40% - Accent4 2 4 2 4 2 3" xfId="35269"/>
    <cellStyle name="40% - Accent4 2 4 2 4 2 3 2" xfId="35270"/>
    <cellStyle name="40% - Accent4 2 4 2 4 2 4" xfId="35271"/>
    <cellStyle name="40% - Accent4 2 4 2 4 3" xfId="35272"/>
    <cellStyle name="40% - Accent4 2 4 2 4 3 2" xfId="35273"/>
    <cellStyle name="40% - Accent4 2 4 2 4 3 2 2" xfId="35274"/>
    <cellStyle name="40% - Accent4 2 4 2 4 3 3" xfId="35275"/>
    <cellStyle name="40% - Accent4 2 4 2 4 4" xfId="35276"/>
    <cellStyle name="40% - Accent4 2 4 2 4 4 2" xfId="35277"/>
    <cellStyle name="40% - Accent4 2 4 2 4 5" xfId="35278"/>
    <cellStyle name="40% - Accent4 2 4 2 5" xfId="35279"/>
    <cellStyle name="40% - Accent4 2 4 2 5 2" xfId="35280"/>
    <cellStyle name="40% - Accent4 2 4 2 5 2 2" xfId="35281"/>
    <cellStyle name="40% - Accent4 2 4 2 5 2 2 2" xfId="35282"/>
    <cellStyle name="40% - Accent4 2 4 2 5 2 2 2 2" xfId="35283"/>
    <cellStyle name="40% - Accent4 2 4 2 5 2 2 3" xfId="35284"/>
    <cellStyle name="40% - Accent4 2 4 2 5 2 3" xfId="35285"/>
    <cellStyle name="40% - Accent4 2 4 2 5 2 3 2" xfId="35286"/>
    <cellStyle name="40% - Accent4 2 4 2 5 2 4" xfId="35287"/>
    <cellStyle name="40% - Accent4 2 4 2 5 3" xfId="35288"/>
    <cellStyle name="40% - Accent4 2 4 2 5 3 2" xfId="35289"/>
    <cellStyle name="40% - Accent4 2 4 2 5 3 2 2" xfId="35290"/>
    <cellStyle name="40% - Accent4 2 4 2 5 3 3" xfId="35291"/>
    <cellStyle name="40% - Accent4 2 4 2 5 4" xfId="35292"/>
    <cellStyle name="40% - Accent4 2 4 2 5 4 2" xfId="35293"/>
    <cellStyle name="40% - Accent4 2 4 2 5 5" xfId="35294"/>
    <cellStyle name="40% - Accent4 2 4 2 6" xfId="35295"/>
    <cellStyle name="40% - Accent4 2 4 2 6 2" xfId="35296"/>
    <cellStyle name="40% - Accent4 2 4 2 6 2 2" xfId="35297"/>
    <cellStyle name="40% - Accent4 2 4 2 6 2 2 2" xfId="35298"/>
    <cellStyle name="40% - Accent4 2 4 2 6 2 2 2 2" xfId="35299"/>
    <cellStyle name="40% - Accent4 2 4 2 6 2 2 3" xfId="35300"/>
    <cellStyle name="40% - Accent4 2 4 2 6 2 3" xfId="35301"/>
    <cellStyle name="40% - Accent4 2 4 2 6 2 3 2" xfId="35302"/>
    <cellStyle name="40% - Accent4 2 4 2 6 2 4" xfId="35303"/>
    <cellStyle name="40% - Accent4 2 4 2 6 3" xfId="35304"/>
    <cellStyle name="40% - Accent4 2 4 2 6 3 2" xfId="35305"/>
    <cellStyle name="40% - Accent4 2 4 2 6 3 2 2" xfId="35306"/>
    <cellStyle name="40% - Accent4 2 4 2 6 3 3" xfId="35307"/>
    <cellStyle name="40% - Accent4 2 4 2 6 4" xfId="35308"/>
    <cellStyle name="40% - Accent4 2 4 2 6 4 2" xfId="35309"/>
    <cellStyle name="40% - Accent4 2 4 2 6 5" xfId="35310"/>
    <cellStyle name="40% - Accent4 2 4 2 7" xfId="35311"/>
    <cellStyle name="40% - Accent4 2 4 2 7 2" xfId="35312"/>
    <cellStyle name="40% - Accent4 2 4 2 7 2 2" xfId="35313"/>
    <cellStyle name="40% - Accent4 2 4 2 7 2 2 2" xfId="35314"/>
    <cellStyle name="40% - Accent4 2 4 2 7 2 3" xfId="35315"/>
    <cellStyle name="40% - Accent4 2 4 2 7 3" xfId="35316"/>
    <cellStyle name="40% - Accent4 2 4 2 7 3 2" xfId="35317"/>
    <cellStyle name="40% - Accent4 2 4 2 7 4" xfId="35318"/>
    <cellStyle name="40% - Accent4 2 4 2 8" xfId="35319"/>
    <cellStyle name="40% - Accent4 2 4 2 8 2" xfId="35320"/>
    <cellStyle name="40% - Accent4 2 4 2 8 2 2" xfId="35321"/>
    <cellStyle name="40% - Accent4 2 4 2 8 3" xfId="35322"/>
    <cellStyle name="40% - Accent4 2 4 2 9" xfId="35323"/>
    <cellStyle name="40% - Accent4 2 4 2 9 2" xfId="35324"/>
    <cellStyle name="40% - Accent4 2 4 3" xfId="35325"/>
    <cellStyle name="40% - Accent4 2 4 3 2" xfId="35326"/>
    <cellStyle name="40% - Accent4 2 4 3 2 2" xfId="35327"/>
    <cellStyle name="40% - Accent4 2 4 3 2 2 2" xfId="35328"/>
    <cellStyle name="40% - Accent4 2 4 3 2 2 2 2" xfId="35329"/>
    <cellStyle name="40% - Accent4 2 4 3 2 2 3" xfId="35330"/>
    <cellStyle name="40% - Accent4 2 4 3 2 3" xfId="35331"/>
    <cellStyle name="40% - Accent4 2 4 3 2 3 2" xfId="35332"/>
    <cellStyle name="40% - Accent4 2 4 3 2 4" xfId="35333"/>
    <cellStyle name="40% - Accent4 2 4 3 3" xfId="35334"/>
    <cellStyle name="40% - Accent4 2 4 3 3 2" xfId="35335"/>
    <cellStyle name="40% - Accent4 2 4 3 3 2 2" xfId="35336"/>
    <cellStyle name="40% - Accent4 2 4 3 3 3" xfId="35337"/>
    <cellStyle name="40% - Accent4 2 4 3 4" xfId="35338"/>
    <cellStyle name="40% - Accent4 2 4 3 4 2" xfId="35339"/>
    <cellStyle name="40% - Accent4 2 4 3 5" xfId="35340"/>
    <cellStyle name="40% - Accent4 2 4 4" xfId="35341"/>
    <cellStyle name="40% - Accent4 2 4 4 2" xfId="35342"/>
    <cellStyle name="40% - Accent4 2 4 4 2 2" xfId="35343"/>
    <cellStyle name="40% - Accent4 2 4 4 2 2 2" xfId="35344"/>
    <cellStyle name="40% - Accent4 2 4 4 2 2 2 2" xfId="35345"/>
    <cellStyle name="40% - Accent4 2 4 4 2 2 3" xfId="35346"/>
    <cellStyle name="40% - Accent4 2 4 4 2 3" xfId="35347"/>
    <cellStyle name="40% - Accent4 2 4 4 2 3 2" xfId="35348"/>
    <cellStyle name="40% - Accent4 2 4 4 2 4" xfId="35349"/>
    <cellStyle name="40% - Accent4 2 4 4 3" xfId="35350"/>
    <cellStyle name="40% - Accent4 2 4 4 3 2" xfId="35351"/>
    <cellStyle name="40% - Accent4 2 4 4 3 2 2" xfId="35352"/>
    <cellStyle name="40% - Accent4 2 4 4 3 3" xfId="35353"/>
    <cellStyle name="40% - Accent4 2 4 4 4" xfId="35354"/>
    <cellStyle name="40% - Accent4 2 4 4 4 2" xfId="35355"/>
    <cellStyle name="40% - Accent4 2 4 4 5" xfId="35356"/>
    <cellStyle name="40% - Accent4 2 4 5" xfId="35357"/>
    <cellStyle name="40% - Accent4 2 4 5 2" xfId="35358"/>
    <cellStyle name="40% - Accent4 2 4 5 2 2" xfId="35359"/>
    <cellStyle name="40% - Accent4 2 4 5 2 2 2" xfId="35360"/>
    <cellStyle name="40% - Accent4 2 4 5 2 2 2 2" xfId="35361"/>
    <cellStyle name="40% - Accent4 2 4 5 2 2 3" xfId="35362"/>
    <cellStyle name="40% - Accent4 2 4 5 2 3" xfId="35363"/>
    <cellStyle name="40% - Accent4 2 4 5 2 3 2" xfId="35364"/>
    <cellStyle name="40% - Accent4 2 4 5 2 4" xfId="35365"/>
    <cellStyle name="40% - Accent4 2 4 5 3" xfId="35366"/>
    <cellStyle name="40% - Accent4 2 4 5 3 2" xfId="35367"/>
    <cellStyle name="40% - Accent4 2 4 5 3 2 2" xfId="35368"/>
    <cellStyle name="40% - Accent4 2 4 5 3 3" xfId="35369"/>
    <cellStyle name="40% - Accent4 2 4 5 4" xfId="35370"/>
    <cellStyle name="40% - Accent4 2 4 5 4 2" xfId="35371"/>
    <cellStyle name="40% - Accent4 2 4 5 5" xfId="35372"/>
    <cellStyle name="40% - Accent4 2 4 6" xfId="35373"/>
    <cellStyle name="40% - Accent4 2 4 6 2" xfId="35374"/>
    <cellStyle name="40% - Accent4 2 4 6 2 2" xfId="35375"/>
    <cellStyle name="40% - Accent4 2 4 6 2 2 2" xfId="35376"/>
    <cellStyle name="40% - Accent4 2 4 6 2 2 2 2" xfId="35377"/>
    <cellStyle name="40% - Accent4 2 4 6 2 2 3" xfId="35378"/>
    <cellStyle name="40% - Accent4 2 4 6 2 3" xfId="35379"/>
    <cellStyle name="40% - Accent4 2 4 6 2 3 2" xfId="35380"/>
    <cellStyle name="40% - Accent4 2 4 6 2 4" xfId="35381"/>
    <cellStyle name="40% - Accent4 2 4 6 3" xfId="35382"/>
    <cellStyle name="40% - Accent4 2 4 6 3 2" xfId="35383"/>
    <cellStyle name="40% - Accent4 2 4 6 3 2 2" xfId="35384"/>
    <cellStyle name="40% - Accent4 2 4 6 3 3" xfId="35385"/>
    <cellStyle name="40% - Accent4 2 4 6 4" xfId="35386"/>
    <cellStyle name="40% - Accent4 2 4 6 4 2" xfId="35387"/>
    <cellStyle name="40% - Accent4 2 4 6 5" xfId="35388"/>
    <cellStyle name="40% - Accent4 2 4 7" xfId="35389"/>
    <cellStyle name="40% - Accent4 2 4 7 2" xfId="35390"/>
    <cellStyle name="40% - Accent4 2 4 7 2 2" xfId="35391"/>
    <cellStyle name="40% - Accent4 2 4 7 2 2 2" xfId="35392"/>
    <cellStyle name="40% - Accent4 2 4 7 2 2 2 2" xfId="35393"/>
    <cellStyle name="40% - Accent4 2 4 7 2 2 3" xfId="35394"/>
    <cellStyle name="40% - Accent4 2 4 7 2 3" xfId="35395"/>
    <cellStyle name="40% - Accent4 2 4 7 2 3 2" xfId="35396"/>
    <cellStyle name="40% - Accent4 2 4 7 2 4" xfId="35397"/>
    <cellStyle name="40% - Accent4 2 4 7 3" xfId="35398"/>
    <cellStyle name="40% - Accent4 2 4 7 3 2" xfId="35399"/>
    <cellStyle name="40% - Accent4 2 4 7 3 2 2" xfId="35400"/>
    <cellStyle name="40% - Accent4 2 4 7 3 3" xfId="35401"/>
    <cellStyle name="40% - Accent4 2 4 7 4" xfId="35402"/>
    <cellStyle name="40% - Accent4 2 4 7 4 2" xfId="35403"/>
    <cellStyle name="40% - Accent4 2 4 7 5" xfId="35404"/>
    <cellStyle name="40% - Accent4 2 4 8" xfId="35405"/>
    <cellStyle name="40% - Accent4 2 4 8 2" xfId="35406"/>
    <cellStyle name="40% - Accent4 2 4 8 2 2" xfId="35407"/>
    <cellStyle name="40% - Accent4 2 4 8 2 2 2" xfId="35408"/>
    <cellStyle name="40% - Accent4 2 4 8 2 3" xfId="35409"/>
    <cellStyle name="40% - Accent4 2 4 8 3" xfId="35410"/>
    <cellStyle name="40% - Accent4 2 4 8 3 2" xfId="35411"/>
    <cellStyle name="40% - Accent4 2 4 8 4" xfId="35412"/>
    <cellStyle name="40% - Accent4 2 4 9" xfId="35413"/>
    <cellStyle name="40% - Accent4 2 4 9 2" xfId="35414"/>
    <cellStyle name="40% - Accent4 2 4 9 2 2" xfId="35415"/>
    <cellStyle name="40% - Accent4 2 4 9 3" xfId="35416"/>
    <cellStyle name="40% - Accent4 2 5" xfId="35417"/>
    <cellStyle name="40% - Accent4 2 5 10" xfId="35418"/>
    <cellStyle name="40% - Accent4 2 5 10 2" xfId="35419"/>
    <cellStyle name="40% - Accent4 2 5 11" xfId="35420"/>
    <cellStyle name="40% - Accent4 2 5 2" xfId="35421"/>
    <cellStyle name="40% - Accent4 2 5 2 10" xfId="35422"/>
    <cellStyle name="40% - Accent4 2 5 2 2" xfId="35423"/>
    <cellStyle name="40% - Accent4 2 5 2 2 2" xfId="35424"/>
    <cellStyle name="40% - Accent4 2 5 2 2 2 2" xfId="35425"/>
    <cellStyle name="40% - Accent4 2 5 2 2 2 2 2" xfId="35426"/>
    <cellStyle name="40% - Accent4 2 5 2 2 2 2 2 2" xfId="35427"/>
    <cellStyle name="40% - Accent4 2 5 2 2 2 2 3" xfId="35428"/>
    <cellStyle name="40% - Accent4 2 5 2 2 2 3" xfId="35429"/>
    <cellStyle name="40% - Accent4 2 5 2 2 2 3 2" xfId="35430"/>
    <cellStyle name="40% - Accent4 2 5 2 2 2 4" xfId="35431"/>
    <cellStyle name="40% - Accent4 2 5 2 2 3" xfId="35432"/>
    <cellStyle name="40% - Accent4 2 5 2 2 3 2" xfId="35433"/>
    <cellStyle name="40% - Accent4 2 5 2 2 3 2 2" xfId="35434"/>
    <cellStyle name="40% - Accent4 2 5 2 2 3 3" xfId="35435"/>
    <cellStyle name="40% - Accent4 2 5 2 2 4" xfId="35436"/>
    <cellStyle name="40% - Accent4 2 5 2 2 4 2" xfId="35437"/>
    <cellStyle name="40% - Accent4 2 5 2 2 5" xfId="35438"/>
    <cellStyle name="40% - Accent4 2 5 2 3" xfId="35439"/>
    <cellStyle name="40% - Accent4 2 5 2 3 2" xfId="35440"/>
    <cellStyle name="40% - Accent4 2 5 2 3 2 2" xfId="35441"/>
    <cellStyle name="40% - Accent4 2 5 2 3 2 2 2" xfId="35442"/>
    <cellStyle name="40% - Accent4 2 5 2 3 2 2 2 2" xfId="35443"/>
    <cellStyle name="40% - Accent4 2 5 2 3 2 2 3" xfId="35444"/>
    <cellStyle name="40% - Accent4 2 5 2 3 2 3" xfId="35445"/>
    <cellStyle name="40% - Accent4 2 5 2 3 2 3 2" xfId="35446"/>
    <cellStyle name="40% - Accent4 2 5 2 3 2 4" xfId="35447"/>
    <cellStyle name="40% - Accent4 2 5 2 3 3" xfId="35448"/>
    <cellStyle name="40% - Accent4 2 5 2 3 3 2" xfId="35449"/>
    <cellStyle name="40% - Accent4 2 5 2 3 3 2 2" xfId="35450"/>
    <cellStyle name="40% - Accent4 2 5 2 3 3 3" xfId="35451"/>
    <cellStyle name="40% - Accent4 2 5 2 3 4" xfId="35452"/>
    <cellStyle name="40% - Accent4 2 5 2 3 4 2" xfId="35453"/>
    <cellStyle name="40% - Accent4 2 5 2 3 5" xfId="35454"/>
    <cellStyle name="40% - Accent4 2 5 2 4" xfId="35455"/>
    <cellStyle name="40% - Accent4 2 5 2 4 2" xfId="35456"/>
    <cellStyle name="40% - Accent4 2 5 2 4 2 2" xfId="35457"/>
    <cellStyle name="40% - Accent4 2 5 2 4 2 2 2" xfId="35458"/>
    <cellStyle name="40% - Accent4 2 5 2 4 2 2 2 2" xfId="35459"/>
    <cellStyle name="40% - Accent4 2 5 2 4 2 2 3" xfId="35460"/>
    <cellStyle name="40% - Accent4 2 5 2 4 2 3" xfId="35461"/>
    <cellStyle name="40% - Accent4 2 5 2 4 2 3 2" xfId="35462"/>
    <cellStyle name="40% - Accent4 2 5 2 4 2 4" xfId="35463"/>
    <cellStyle name="40% - Accent4 2 5 2 4 3" xfId="35464"/>
    <cellStyle name="40% - Accent4 2 5 2 4 3 2" xfId="35465"/>
    <cellStyle name="40% - Accent4 2 5 2 4 3 2 2" xfId="35466"/>
    <cellStyle name="40% - Accent4 2 5 2 4 3 3" xfId="35467"/>
    <cellStyle name="40% - Accent4 2 5 2 4 4" xfId="35468"/>
    <cellStyle name="40% - Accent4 2 5 2 4 4 2" xfId="35469"/>
    <cellStyle name="40% - Accent4 2 5 2 4 5" xfId="35470"/>
    <cellStyle name="40% - Accent4 2 5 2 5" xfId="35471"/>
    <cellStyle name="40% - Accent4 2 5 2 5 2" xfId="35472"/>
    <cellStyle name="40% - Accent4 2 5 2 5 2 2" xfId="35473"/>
    <cellStyle name="40% - Accent4 2 5 2 5 2 2 2" xfId="35474"/>
    <cellStyle name="40% - Accent4 2 5 2 5 2 2 2 2" xfId="35475"/>
    <cellStyle name="40% - Accent4 2 5 2 5 2 2 3" xfId="35476"/>
    <cellStyle name="40% - Accent4 2 5 2 5 2 3" xfId="35477"/>
    <cellStyle name="40% - Accent4 2 5 2 5 2 3 2" xfId="35478"/>
    <cellStyle name="40% - Accent4 2 5 2 5 2 4" xfId="35479"/>
    <cellStyle name="40% - Accent4 2 5 2 5 3" xfId="35480"/>
    <cellStyle name="40% - Accent4 2 5 2 5 3 2" xfId="35481"/>
    <cellStyle name="40% - Accent4 2 5 2 5 3 2 2" xfId="35482"/>
    <cellStyle name="40% - Accent4 2 5 2 5 3 3" xfId="35483"/>
    <cellStyle name="40% - Accent4 2 5 2 5 4" xfId="35484"/>
    <cellStyle name="40% - Accent4 2 5 2 5 4 2" xfId="35485"/>
    <cellStyle name="40% - Accent4 2 5 2 5 5" xfId="35486"/>
    <cellStyle name="40% - Accent4 2 5 2 6" xfId="35487"/>
    <cellStyle name="40% - Accent4 2 5 2 6 2" xfId="35488"/>
    <cellStyle name="40% - Accent4 2 5 2 6 2 2" xfId="35489"/>
    <cellStyle name="40% - Accent4 2 5 2 6 2 2 2" xfId="35490"/>
    <cellStyle name="40% - Accent4 2 5 2 6 2 2 2 2" xfId="35491"/>
    <cellStyle name="40% - Accent4 2 5 2 6 2 2 3" xfId="35492"/>
    <cellStyle name="40% - Accent4 2 5 2 6 2 3" xfId="35493"/>
    <cellStyle name="40% - Accent4 2 5 2 6 2 3 2" xfId="35494"/>
    <cellStyle name="40% - Accent4 2 5 2 6 2 4" xfId="35495"/>
    <cellStyle name="40% - Accent4 2 5 2 6 3" xfId="35496"/>
    <cellStyle name="40% - Accent4 2 5 2 6 3 2" xfId="35497"/>
    <cellStyle name="40% - Accent4 2 5 2 6 3 2 2" xfId="35498"/>
    <cellStyle name="40% - Accent4 2 5 2 6 3 3" xfId="35499"/>
    <cellStyle name="40% - Accent4 2 5 2 6 4" xfId="35500"/>
    <cellStyle name="40% - Accent4 2 5 2 6 4 2" xfId="35501"/>
    <cellStyle name="40% - Accent4 2 5 2 6 5" xfId="35502"/>
    <cellStyle name="40% - Accent4 2 5 2 7" xfId="35503"/>
    <cellStyle name="40% - Accent4 2 5 2 7 2" xfId="35504"/>
    <cellStyle name="40% - Accent4 2 5 2 7 2 2" xfId="35505"/>
    <cellStyle name="40% - Accent4 2 5 2 7 2 2 2" xfId="35506"/>
    <cellStyle name="40% - Accent4 2 5 2 7 2 3" xfId="35507"/>
    <cellStyle name="40% - Accent4 2 5 2 7 3" xfId="35508"/>
    <cellStyle name="40% - Accent4 2 5 2 7 3 2" xfId="35509"/>
    <cellStyle name="40% - Accent4 2 5 2 7 4" xfId="35510"/>
    <cellStyle name="40% - Accent4 2 5 2 8" xfId="35511"/>
    <cellStyle name="40% - Accent4 2 5 2 8 2" xfId="35512"/>
    <cellStyle name="40% - Accent4 2 5 2 8 2 2" xfId="35513"/>
    <cellStyle name="40% - Accent4 2 5 2 8 3" xfId="35514"/>
    <cellStyle name="40% - Accent4 2 5 2 9" xfId="35515"/>
    <cellStyle name="40% - Accent4 2 5 2 9 2" xfId="35516"/>
    <cellStyle name="40% - Accent4 2 5 3" xfId="35517"/>
    <cellStyle name="40% - Accent4 2 5 3 2" xfId="35518"/>
    <cellStyle name="40% - Accent4 2 5 3 2 2" xfId="35519"/>
    <cellStyle name="40% - Accent4 2 5 3 2 2 2" xfId="35520"/>
    <cellStyle name="40% - Accent4 2 5 3 2 2 2 2" xfId="35521"/>
    <cellStyle name="40% - Accent4 2 5 3 2 2 3" xfId="35522"/>
    <cellStyle name="40% - Accent4 2 5 3 2 3" xfId="35523"/>
    <cellStyle name="40% - Accent4 2 5 3 2 3 2" xfId="35524"/>
    <cellStyle name="40% - Accent4 2 5 3 2 4" xfId="35525"/>
    <cellStyle name="40% - Accent4 2 5 3 3" xfId="35526"/>
    <cellStyle name="40% - Accent4 2 5 3 3 2" xfId="35527"/>
    <cellStyle name="40% - Accent4 2 5 3 3 2 2" xfId="35528"/>
    <cellStyle name="40% - Accent4 2 5 3 3 3" xfId="35529"/>
    <cellStyle name="40% - Accent4 2 5 3 4" xfId="35530"/>
    <cellStyle name="40% - Accent4 2 5 3 4 2" xfId="35531"/>
    <cellStyle name="40% - Accent4 2 5 3 5" xfId="35532"/>
    <cellStyle name="40% - Accent4 2 5 4" xfId="35533"/>
    <cellStyle name="40% - Accent4 2 5 4 2" xfId="35534"/>
    <cellStyle name="40% - Accent4 2 5 4 2 2" xfId="35535"/>
    <cellStyle name="40% - Accent4 2 5 4 2 2 2" xfId="35536"/>
    <cellStyle name="40% - Accent4 2 5 4 2 2 2 2" xfId="35537"/>
    <cellStyle name="40% - Accent4 2 5 4 2 2 3" xfId="35538"/>
    <cellStyle name="40% - Accent4 2 5 4 2 3" xfId="35539"/>
    <cellStyle name="40% - Accent4 2 5 4 2 3 2" xfId="35540"/>
    <cellStyle name="40% - Accent4 2 5 4 2 4" xfId="35541"/>
    <cellStyle name="40% - Accent4 2 5 4 3" xfId="35542"/>
    <cellStyle name="40% - Accent4 2 5 4 3 2" xfId="35543"/>
    <cellStyle name="40% - Accent4 2 5 4 3 2 2" xfId="35544"/>
    <cellStyle name="40% - Accent4 2 5 4 3 3" xfId="35545"/>
    <cellStyle name="40% - Accent4 2 5 4 4" xfId="35546"/>
    <cellStyle name="40% - Accent4 2 5 4 4 2" xfId="35547"/>
    <cellStyle name="40% - Accent4 2 5 4 5" xfId="35548"/>
    <cellStyle name="40% - Accent4 2 5 5" xfId="35549"/>
    <cellStyle name="40% - Accent4 2 5 5 2" xfId="35550"/>
    <cellStyle name="40% - Accent4 2 5 5 2 2" xfId="35551"/>
    <cellStyle name="40% - Accent4 2 5 5 2 2 2" xfId="35552"/>
    <cellStyle name="40% - Accent4 2 5 5 2 2 2 2" xfId="35553"/>
    <cellStyle name="40% - Accent4 2 5 5 2 2 3" xfId="35554"/>
    <cellStyle name="40% - Accent4 2 5 5 2 3" xfId="35555"/>
    <cellStyle name="40% - Accent4 2 5 5 2 3 2" xfId="35556"/>
    <cellStyle name="40% - Accent4 2 5 5 2 4" xfId="35557"/>
    <cellStyle name="40% - Accent4 2 5 5 3" xfId="35558"/>
    <cellStyle name="40% - Accent4 2 5 5 3 2" xfId="35559"/>
    <cellStyle name="40% - Accent4 2 5 5 3 2 2" xfId="35560"/>
    <cellStyle name="40% - Accent4 2 5 5 3 3" xfId="35561"/>
    <cellStyle name="40% - Accent4 2 5 5 4" xfId="35562"/>
    <cellStyle name="40% - Accent4 2 5 5 4 2" xfId="35563"/>
    <cellStyle name="40% - Accent4 2 5 5 5" xfId="35564"/>
    <cellStyle name="40% - Accent4 2 5 6" xfId="35565"/>
    <cellStyle name="40% - Accent4 2 5 6 2" xfId="35566"/>
    <cellStyle name="40% - Accent4 2 5 6 2 2" xfId="35567"/>
    <cellStyle name="40% - Accent4 2 5 6 2 2 2" xfId="35568"/>
    <cellStyle name="40% - Accent4 2 5 6 2 2 2 2" xfId="35569"/>
    <cellStyle name="40% - Accent4 2 5 6 2 2 3" xfId="35570"/>
    <cellStyle name="40% - Accent4 2 5 6 2 3" xfId="35571"/>
    <cellStyle name="40% - Accent4 2 5 6 2 3 2" xfId="35572"/>
    <cellStyle name="40% - Accent4 2 5 6 2 4" xfId="35573"/>
    <cellStyle name="40% - Accent4 2 5 6 3" xfId="35574"/>
    <cellStyle name="40% - Accent4 2 5 6 3 2" xfId="35575"/>
    <cellStyle name="40% - Accent4 2 5 6 3 2 2" xfId="35576"/>
    <cellStyle name="40% - Accent4 2 5 6 3 3" xfId="35577"/>
    <cellStyle name="40% - Accent4 2 5 6 4" xfId="35578"/>
    <cellStyle name="40% - Accent4 2 5 6 4 2" xfId="35579"/>
    <cellStyle name="40% - Accent4 2 5 6 5" xfId="35580"/>
    <cellStyle name="40% - Accent4 2 5 7" xfId="35581"/>
    <cellStyle name="40% - Accent4 2 5 7 2" xfId="35582"/>
    <cellStyle name="40% - Accent4 2 5 7 2 2" xfId="35583"/>
    <cellStyle name="40% - Accent4 2 5 7 2 2 2" xfId="35584"/>
    <cellStyle name="40% - Accent4 2 5 7 2 2 2 2" xfId="35585"/>
    <cellStyle name="40% - Accent4 2 5 7 2 2 3" xfId="35586"/>
    <cellStyle name="40% - Accent4 2 5 7 2 3" xfId="35587"/>
    <cellStyle name="40% - Accent4 2 5 7 2 3 2" xfId="35588"/>
    <cellStyle name="40% - Accent4 2 5 7 2 4" xfId="35589"/>
    <cellStyle name="40% - Accent4 2 5 7 3" xfId="35590"/>
    <cellStyle name="40% - Accent4 2 5 7 3 2" xfId="35591"/>
    <cellStyle name="40% - Accent4 2 5 7 3 2 2" xfId="35592"/>
    <cellStyle name="40% - Accent4 2 5 7 3 3" xfId="35593"/>
    <cellStyle name="40% - Accent4 2 5 7 4" xfId="35594"/>
    <cellStyle name="40% - Accent4 2 5 7 4 2" xfId="35595"/>
    <cellStyle name="40% - Accent4 2 5 7 5" xfId="35596"/>
    <cellStyle name="40% - Accent4 2 5 8" xfId="35597"/>
    <cellStyle name="40% - Accent4 2 5 8 2" xfId="35598"/>
    <cellStyle name="40% - Accent4 2 5 8 2 2" xfId="35599"/>
    <cellStyle name="40% - Accent4 2 5 8 2 2 2" xfId="35600"/>
    <cellStyle name="40% - Accent4 2 5 8 2 3" xfId="35601"/>
    <cellStyle name="40% - Accent4 2 5 8 3" xfId="35602"/>
    <cellStyle name="40% - Accent4 2 5 8 3 2" xfId="35603"/>
    <cellStyle name="40% - Accent4 2 5 8 4" xfId="35604"/>
    <cellStyle name="40% - Accent4 2 5 9" xfId="35605"/>
    <cellStyle name="40% - Accent4 2 5 9 2" xfId="35606"/>
    <cellStyle name="40% - Accent4 2 5 9 2 2" xfId="35607"/>
    <cellStyle name="40% - Accent4 2 5 9 3" xfId="35608"/>
    <cellStyle name="40% - Accent4 2 6" xfId="35609"/>
    <cellStyle name="40% - Accent4 2 6 10" xfId="35610"/>
    <cellStyle name="40% - Accent4 2 6 10 2" xfId="35611"/>
    <cellStyle name="40% - Accent4 2 6 11" xfId="35612"/>
    <cellStyle name="40% - Accent4 2 6 2" xfId="35613"/>
    <cellStyle name="40% - Accent4 2 6 2 10" xfId="35614"/>
    <cellStyle name="40% - Accent4 2 6 2 2" xfId="35615"/>
    <cellStyle name="40% - Accent4 2 6 2 2 2" xfId="35616"/>
    <cellStyle name="40% - Accent4 2 6 2 2 2 2" xfId="35617"/>
    <cellStyle name="40% - Accent4 2 6 2 2 2 2 2" xfId="35618"/>
    <cellStyle name="40% - Accent4 2 6 2 2 2 2 2 2" xfId="35619"/>
    <cellStyle name="40% - Accent4 2 6 2 2 2 2 3" xfId="35620"/>
    <cellStyle name="40% - Accent4 2 6 2 2 2 3" xfId="35621"/>
    <cellStyle name="40% - Accent4 2 6 2 2 2 3 2" xfId="35622"/>
    <cellStyle name="40% - Accent4 2 6 2 2 2 4" xfId="35623"/>
    <cellStyle name="40% - Accent4 2 6 2 2 3" xfId="35624"/>
    <cellStyle name="40% - Accent4 2 6 2 2 3 2" xfId="35625"/>
    <cellStyle name="40% - Accent4 2 6 2 2 3 2 2" xfId="35626"/>
    <cellStyle name="40% - Accent4 2 6 2 2 3 3" xfId="35627"/>
    <cellStyle name="40% - Accent4 2 6 2 2 4" xfId="35628"/>
    <cellStyle name="40% - Accent4 2 6 2 2 4 2" xfId="35629"/>
    <cellStyle name="40% - Accent4 2 6 2 2 5" xfId="35630"/>
    <cellStyle name="40% - Accent4 2 6 2 3" xfId="35631"/>
    <cellStyle name="40% - Accent4 2 6 2 3 2" xfId="35632"/>
    <cellStyle name="40% - Accent4 2 6 2 3 2 2" xfId="35633"/>
    <cellStyle name="40% - Accent4 2 6 2 3 2 2 2" xfId="35634"/>
    <cellStyle name="40% - Accent4 2 6 2 3 2 2 2 2" xfId="35635"/>
    <cellStyle name="40% - Accent4 2 6 2 3 2 2 3" xfId="35636"/>
    <cellStyle name="40% - Accent4 2 6 2 3 2 3" xfId="35637"/>
    <cellStyle name="40% - Accent4 2 6 2 3 2 3 2" xfId="35638"/>
    <cellStyle name="40% - Accent4 2 6 2 3 2 4" xfId="35639"/>
    <cellStyle name="40% - Accent4 2 6 2 3 3" xfId="35640"/>
    <cellStyle name="40% - Accent4 2 6 2 3 3 2" xfId="35641"/>
    <cellStyle name="40% - Accent4 2 6 2 3 3 2 2" xfId="35642"/>
    <cellStyle name="40% - Accent4 2 6 2 3 3 3" xfId="35643"/>
    <cellStyle name="40% - Accent4 2 6 2 3 4" xfId="35644"/>
    <cellStyle name="40% - Accent4 2 6 2 3 4 2" xfId="35645"/>
    <cellStyle name="40% - Accent4 2 6 2 3 5" xfId="35646"/>
    <cellStyle name="40% - Accent4 2 6 2 4" xfId="35647"/>
    <cellStyle name="40% - Accent4 2 6 2 4 2" xfId="35648"/>
    <cellStyle name="40% - Accent4 2 6 2 4 2 2" xfId="35649"/>
    <cellStyle name="40% - Accent4 2 6 2 4 2 2 2" xfId="35650"/>
    <cellStyle name="40% - Accent4 2 6 2 4 2 2 2 2" xfId="35651"/>
    <cellStyle name="40% - Accent4 2 6 2 4 2 2 3" xfId="35652"/>
    <cellStyle name="40% - Accent4 2 6 2 4 2 3" xfId="35653"/>
    <cellStyle name="40% - Accent4 2 6 2 4 2 3 2" xfId="35654"/>
    <cellStyle name="40% - Accent4 2 6 2 4 2 4" xfId="35655"/>
    <cellStyle name="40% - Accent4 2 6 2 4 3" xfId="35656"/>
    <cellStyle name="40% - Accent4 2 6 2 4 3 2" xfId="35657"/>
    <cellStyle name="40% - Accent4 2 6 2 4 3 2 2" xfId="35658"/>
    <cellStyle name="40% - Accent4 2 6 2 4 3 3" xfId="35659"/>
    <cellStyle name="40% - Accent4 2 6 2 4 4" xfId="35660"/>
    <cellStyle name="40% - Accent4 2 6 2 4 4 2" xfId="35661"/>
    <cellStyle name="40% - Accent4 2 6 2 4 5" xfId="35662"/>
    <cellStyle name="40% - Accent4 2 6 2 5" xfId="35663"/>
    <cellStyle name="40% - Accent4 2 6 2 5 2" xfId="35664"/>
    <cellStyle name="40% - Accent4 2 6 2 5 2 2" xfId="35665"/>
    <cellStyle name="40% - Accent4 2 6 2 5 2 2 2" xfId="35666"/>
    <cellStyle name="40% - Accent4 2 6 2 5 2 2 2 2" xfId="35667"/>
    <cellStyle name="40% - Accent4 2 6 2 5 2 2 3" xfId="35668"/>
    <cellStyle name="40% - Accent4 2 6 2 5 2 3" xfId="35669"/>
    <cellStyle name="40% - Accent4 2 6 2 5 2 3 2" xfId="35670"/>
    <cellStyle name="40% - Accent4 2 6 2 5 2 4" xfId="35671"/>
    <cellStyle name="40% - Accent4 2 6 2 5 3" xfId="35672"/>
    <cellStyle name="40% - Accent4 2 6 2 5 3 2" xfId="35673"/>
    <cellStyle name="40% - Accent4 2 6 2 5 3 2 2" xfId="35674"/>
    <cellStyle name="40% - Accent4 2 6 2 5 3 3" xfId="35675"/>
    <cellStyle name="40% - Accent4 2 6 2 5 4" xfId="35676"/>
    <cellStyle name="40% - Accent4 2 6 2 5 4 2" xfId="35677"/>
    <cellStyle name="40% - Accent4 2 6 2 5 5" xfId="35678"/>
    <cellStyle name="40% - Accent4 2 6 2 6" xfId="35679"/>
    <cellStyle name="40% - Accent4 2 6 2 6 2" xfId="35680"/>
    <cellStyle name="40% - Accent4 2 6 2 6 2 2" xfId="35681"/>
    <cellStyle name="40% - Accent4 2 6 2 6 2 2 2" xfId="35682"/>
    <cellStyle name="40% - Accent4 2 6 2 6 2 2 2 2" xfId="35683"/>
    <cellStyle name="40% - Accent4 2 6 2 6 2 2 3" xfId="35684"/>
    <cellStyle name="40% - Accent4 2 6 2 6 2 3" xfId="35685"/>
    <cellStyle name="40% - Accent4 2 6 2 6 2 3 2" xfId="35686"/>
    <cellStyle name="40% - Accent4 2 6 2 6 2 4" xfId="35687"/>
    <cellStyle name="40% - Accent4 2 6 2 6 3" xfId="35688"/>
    <cellStyle name="40% - Accent4 2 6 2 6 3 2" xfId="35689"/>
    <cellStyle name="40% - Accent4 2 6 2 6 3 2 2" xfId="35690"/>
    <cellStyle name="40% - Accent4 2 6 2 6 3 3" xfId="35691"/>
    <cellStyle name="40% - Accent4 2 6 2 6 4" xfId="35692"/>
    <cellStyle name="40% - Accent4 2 6 2 6 4 2" xfId="35693"/>
    <cellStyle name="40% - Accent4 2 6 2 6 5" xfId="35694"/>
    <cellStyle name="40% - Accent4 2 6 2 7" xfId="35695"/>
    <cellStyle name="40% - Accent4 2 6 2 7 2" xfId="35696"/>
    <cellStyle name="40% - Accent4 2 6 2 7 2 2" xfId="35697"/>
    <cellStyle name="40% - Accent4 2 6 2 7 2 2 2" xfId="35698"/>
    <cellStyle name="40% - Accent4 2 6 2 7 2 3" xfId="35699"/>
    <cellStyle name="40% - Accent4 2 6 2 7 3" xfId="35700"/>
    <cellStyle name="40% - Accent4 2 6 2 7 3 2" xfId="35701"/>
    <cellStyle name="40% - Accent4 2 6 2 7 4" xfId="35702"/>
    <cellStyle name="40% - Accent4 2 6 2 8" xfId="35703"/>
    <cellStyle name="40% - Accent4 2 6 2 8 2" xfId="35704"/>
    <cellStyle name="40% - Accent4 2 6 2 8 2 2" xfId="35705"/>
    <cellStyle name="40% - Accent4 2 6 2 8 3" xfId="35706"/>
    <cellStyle name="40% - Accent4 2 6 2 9" xfId="35707"/>
    <cellStyle name="40% - Accent4 2 6 2 9 2" xfId="35708"/>
    <cellStyle name="40% - Accent4 2 6 3" xfId="35709"/>
    <cellStyle name="40% - Accent4 2 6 3 2" xfId="35710"/>
    <cellStyle name="40% - Accent4 2 6 3 2 2" xfId="35711"/>
    <cellStyle name="40% - Accent4 2 6 3 2 2 2" xfId="35712"/>
    <cellStyle name="40% - Accent4 2 6 3 2 2 2 2" xfId="35713"/>
    <cellStyle name="40% - Accent4 2 6 3 2 2 3" xfId="35714"/>
    <cellStyle name="40% - Accent4 2 6 3 2 3" xfId="35715"/>
    <cellStyle name="40% - Accent4 2 6 3 2 3 2" xfId="35716"/>
    <cellStyle name="40% - Accent4 2 6 3 2 4" xfId="35717"/>
    <cellStyle name="40% - Accent4 2 6 3 3" xfId="35718"/>
    <cellStyle name="40% - Accent4 2 6 3 3 2" xfId="35719"/>
    <cellStyle name="40% - Accent4 2 6 3 3 2 2" xfId="35720"/>
    <cellStyle name="40% - Accent4 2 6 3 3 3" xfId="35721"/>
    <cellStyle name="40% - Accent4 2 6 3 4" xfId="35722"/>
    <cellStyle name="40% - Accent4 2 6 3 4 2" xfId="35723"/>
    <cellStyle name="40% - Accent4 2 6 3 5" xfId="35724"/>
    <cellStyle name="40% - Accent4 2 6 4" xfId="35725"/>
    <cellStyle name="40% - Accent4 2 6 4 2" xfId="35726"/>
    <cellStyle name="40% - Accent4 2 6 4 2 2" xfId="35727"/>
    <cellStyle name="40% - Accent4 2 6 4 2 2 2" xfId="35728"/>
    <cellStyle name="40% - Accent4 2 6 4 2 2 2 2" xfId="35729"/>
    <cellStyle name="40% - Accent4 2 6 4 2 2 3" xfId="35730"/>
    <cellStyle name="40% - Accent4 2 6 4 2 3" xfId="35731"/>
    <cellStyle name="40% - Accent4 2 6 4 2 3 2" xfId="35732"/>
    <cellStyle name="40% - Accent4 2 6 4 2 4" xfId="35733"/>
    <cellStyle name="40% - Accent4 2 6 4 3" xfId="35734"/>
    <cellStyle name="40% - Accent4 2 6 4 3 2" xfId="35735"/>
    <cellStyle name="40% - Accent4 2 6 4 3 2 2" xfId="35736"/>
    <cellStyle name="40% - Accent4 2 6 4 3 3" xfId="35737"/>
    <cellStyle name="40% - Accent4 2 6 4 4" xfId="35738"/>
    <cellStyle name="40% - Accent4 2 6 4 4 2" xfId="35739"/>
    <cellStyle name="40% - Accent4 2 6 4 5" xfId="35740"/>
    <cellStyle name="40% - Accent4 2 6 5" xfId="35741"/>
    <cellStyle name="40% - Accent4 2 6 5 2" xfId="35742"/>
    <cellStyle name="40% - Accent4 2 6 5 2 2" xfId="35743"/>
    <cellStyle name="40% - Accent4 2 6 5 2 2 2" xfId="35744"/>
    <cellStyle name="40% - Accent4 2 6 5 2 2 2 2" xfId="35745"/>
    <cellStyle name="40% - Accent4 2 6 5 2 2 3" xfId="35746"/>
    <cellStyle name="40% - Accent4 2 6 5 2 3" xfId="35747"/>
    <cellStyle name="40% - Accent4 2 6 5 2 3 2" xfId="35748"/>
    <cellStyle name="40% - Accent4 2 6 5 2 4" xfId="35749"/>
    <cellStyle name="40% - Accent4 2 6 5 3" xfId="35750"/>
    <cellStyle name="40% - Accent4 2 6 5 3 2" xfId="35751"/>
    <cellStyle name="40% - Accent4 2 6 5 3 2 2" xfId="35752"/>
    <cellStyle name="40% - Accent4 2 6 5 3 3" xfId="35753"/>
    <cellStyle name="40% - Accent4 2 6 5 4" xfId="35754"/>
    <cellStyle name="40% - Accent4 2 6 5 4 2" xfId="35755"/>
    <cellStyle name="40% - Accent4 2 6 5 5" xfId="35756"/>
    <cellStyle name="40% - Accent4 2 6 6" xfId="35757"/>
    <cellStyle name="40% - Accent4 2 6 6 2" xfId="35758"/>
    <cellStyle name="40% - Accent4 2 6 6 2 2" xfId="35759"/>
    <cellStyle name="40% - Accent4 2 6 6 2 2 2" xfId="35760"/>
    <cellStyle name="40% - Accent4 2 6 6 2 2 2 2" xfId="35761"/>
    <cellStyle name="40% - Accent4 2 6 6 2 2 3" xfId="35762"/>
    <cellStyle name="40% - Accent4 2 6 6 2 3" xfId="35763"/>
    <cellStyle name="40% - Accent4 2 6 6 2 3 2" xfId="35764"/>
    <cellStyle name="40% - Accent4 2 6 6 2 4" xfId="35765"/>
    <cellStyle name="40% - Accent4 2 6 6 3" xfId="35766"/>
    <cellStyle name="40% - Accent4 2 6 6 3 2" xfId="35767"/>
    <cellStyle name="40% - Accent4 2 6 6 3 2 2" xfId="35768"/>
    <cellStyle name="40% - Accent4 2 6 6 3 3" xfId="35769"/>
    <cellStyle name="40% - Accent4 2 6 6 4" xfId="35770"/>
    <cellStyle name="40% - Accent4 2 6 6 4 2" xfId="35771"/>
    <cellStyle name="40% - Accent4 2 6 6 5" xfId="35772"/>
    <cellStyle name="40% - Accent4 2 6 7" xfId="35773"/>
    <cellStyle name="40% - Accent4 2 6 7 2" xfId="35774"/>
    <cellStyle name="40% - Accent4 2 6 7 2 2" xfId="35775"/>
    <cellStyle name="40% - Accent4 2 6 7 2 2 2" xfId="35776"/>
    <cellStyle name="40% - Accent4 2 6 7 2 2 2 2" xfId="35777"/>
    <cellStyle name="40% - Accent4 2 6 7 2 2 3" xfId="35778"/>
    <cellStyle name="40% - Accent4 2 6 7 2 3" xfId="35779"/>
    <cellStyle name="40% - Accent4 2 6 7 2 3 2" xfId="35780"/>
    <cellStyle name="40% - Accent4 2 6 7 2 4" xfId="35781"/>
    <cellStyle name="40% - Accent4 2 6 7 3" xfId="35782"/>
    <cellStyle name="40% - Accent4 2 6 7 3 2" xfId="35783"/>
    <cellStyle name="40% - Accent4 2 6 7 3 2 2" xfId="35784"/>
    <cellStyle name="40% - Accent4 2 6 7 3 3" xfId="35785"/>
    <cellStyle name="40% - Accent4 2 6 7 4" xfId="35786"/>
    <cellStyle name="40% - Accent4 2 6 7 4 2" xfId="35787"/>
    <cellStyle name="40% - Accent4 2 6 7 5" xfId="35788"/>
    <cellStyle name="40% - Accent4 2 6 8" xfId="35789"/>
    <cellStyle name="40% - Accent4 2 6 8 2" xfId="35790"/>
    <cellStyle name="40% - Accent4 2 6 8 2 2" xfId="35791"/>
    <cellStyle name="40% - Accent4 2 6 8 2 2 2" xfId="35792"/>
    <cellStyle name="40% - Accent4 2 6 8 2 3" xfId="35793"/>
    <cellStyle name="40% - Accent4 2 6 8 3" xfId="35794"/>
    <cellStyle name="40% - Accent4 2 6 8 3 2" xfId="35795"/>
    <cellStyle name="40% - Accent4 2 6 8 4" xfId="35796"/>
    <cellStyle name="40% - Accent4 2 6 9" xfId="35797"/>
    <cellStyle name="40% - Accent4 2 6 9 2" xfId="35798"/>
    <cellStyle name="40% - Accent4 2 6 9 2 2" xfId="35799"/>
    <cellStyle name="40% - Accent4 2 6 9 3" xfId="35800"/>
    <cellStyle name="40% - Accent4 2 7" xfId="35801"/>
    <cellStyle name="40% - Accent4 2 7 10" xfId="35802"/>
    <cellStyle name="40% - Accent4 2 7 10 2" xfId="35803"/>
    <cellStyle name="40% - Accent4 2 7 11" xfId="35804"/>
    <cellStyle name="40% - Accent4 2 7 2" xfId="35805"/>
    <cellStyle name="40% - Accent4 2 7 2 10" xfId="35806"/>
    <cellStyle name="40% - Accent4 2 7 2 2" xfId="35807"/>
    <cellStyle name="40% - Accent4 2 7 2 2 2" xfId="35808"/>
    <cellStyle name="40% - Accent4 2 7 2 2 2 2" xfId="35809"/>
    <cellStyle name="40% - Accent4 2 7 2 2 2 2 2" xfId="35810"/>
    <cellStyle name="40% - Accent4 2 7 2 2 2 2 2 2" xfId="35811"/>
    <cellStyle name="40% - Accent4 2 7 2 2 2 2 3" xfId="35812"/>
    <cellStyle name="40% - Accent4 2 7 2 2 2 3" xfId="35813"/>
    <cellStyle name="40% - Accent4 2 7 2 2 2 3 2" xfId="35814"/>
    <cellStyle name="40% - Accent4 2 7 2 2 2 4" xfId="35815"/>
    <cellStyle name="40% - Accent4 2 7 2 2 3" xfId="35816"/>
    <cellStyle name="40% - Accent4 2 7 2 2 3 2" xfId="35817"/>
    <cellStyle name="40% - Accent4 2 7 2 2 3 2 2" xfId="35818"/>
    <cellStyle name="40% - Accent4 2 7 2 2 3 3" xfId="35819"/>
    <cellStyle name="40% - Accent4 2 7 2 2 4" xfId="35820"/>
    <cellStyle name="40% - Accent4 2 7 2 2 4 2" xfId="35821"/>
    <cellStyle name="40% - Accent4 2 7 2 2 5" xfId="35822"/>
    <cellStyle name="40% - Accent4 2 7 2 3" xfId="35823"/>
    <cellStyle name="40% - Accent4 2 7 2 3 2" xfId="35824"/>
    <cellStyle name="40% - Accent4 2 7 2 3 2 2" xfId="35825"/>
    <cellStyle name="40% - Accent4 2 7 2 3 2 2 2" xfId="35826"/>
    <cellStyle name="40% - Accent4 2 7 2 3 2 2 2 2" xfId="35827"/>
    <cellStyle name="40% - Accent4 2 7 2 3 2 2 3" xfId="35828"/>
    <cellStyle name="40% - Accent4 2 7 2 3 2 3" xfId="35829"/>
    <cellStyle name="40% - Accent4 2 7 2 3 2 3 2" xfId="35830"/>
    <cellStyle name="40% - Accent4 2 7 2 3 2 4" xfId="35831"/>
    <cellStyle name="40% - Accent4 2 7 2 3 3" xfId="35832"/>
    <cellStyle name="40% - Accent4 2 7 2 3 3 2" xfId="35833"/>
    <cellStyle name="40% - Accent4 2 7 2 3 3 2 2" xfId="35834"/>
    <cellStyle name="40% - Accent4 2 7 2 3 3 3" xfId="35835"/>
    <cellStyle name="40% - Accent4 2 7 2 3 4" xfId="35836"/>
    <cellStyle name="40% - Accent4 2 7 2 3 4 2" xfId="35837"/>
    <cellStyle name="40% - Accent4 2 7 2 3 5" xfId="35838"/>
    <cellStyle name="40% - Accent4 2 7 2 4" xfId="35839"/>
    <cellStyle name="40% - Accent4 2 7 2 4 2" xfId="35840"/>
    <cellStyle name="40% - Accent4 2 7 2 4 2 2" xfId="35841"/>
    <cellStyle name="40% - Accent4 2 7 2 4 2 2 2" xfId="35842"/>
    <cellStyle name="40% - Accent4 2 7 2 4 2 2 2 2" xfId="35843"/>
    <cellStyle name="40% - Accent4 2 7 2 4 2 2 3" xfId="35844"/>
    <cellStyle name="40% - Accent4 2 7 2 4 2 3" xfId="35845"/>
    <cellStyle name="40% - Accent4 2 7 2 4 2 3 2" xfId="35846"/>
    <cellStyle name="40% - Accent4 2 7 2 4 2 4" xfId="35847"/>
    <cellStyle name="40% - Accent4 2 7 2 4 3" xfId="35848"/>
    <cellStyle name="40% - Accent4 2 7 2 4 3 2" xfId="35849"/>
    <cellStyle name="40% - Accent4 2 7 2 4 3 2 2" xfId="35850"/>
    <cellStyle name="40% - Accent4 2 7 2 4 3 3" xfId="35851"/>
    <cellStyle name="40% - Accent4 2 7 2 4 4" xfId="35852"/>
    <cellStyle name="40% - Accent4 2 7 2 4 4 2" xfId="35853"/>
    <cellStyle name="40% - Accent4 2 7 2 4 5" xfId="35854"/>
    <cellStyle name="40% - Accent4 2 7 2 5" xfId="35855"/>
    <cellStyle name="40% - Accent4 2 7 2 5 2" xfId="35856"/>
    <cellStyle name="40% - Accent4 2 7 2 5 2 2" xfId="35857"/>
    <cellStyle name="40% - Accent4 2 7 2 5 2 2 2" xfId="35858"/>
    <cellStyle name="40% - Accent4 2 7 2 5 2 2 2 2" xfId="35859"/>
    <cellStyle name="40% - Accent4 2 7 2 5 2 2 3" xfId="35860"/>
    <cellStyle name="40% - Accent4 2 7 2 5 2 3" xfId="35861"/>
    <cellStyle name="40% - Accent4 2 7 2 5 2 3 2" xfId="35862"/>
    <cellStyle name="40% - Accent4 2 7 2 5 2 4" xfId="35863"/>
    <cellStyle name="40% - Accent4 2 7 2 5 3" xfId="35864"/>
    <cellStyle name="40% - Accent4 2 7 2 5 3 2" xfId="35865"/>
    <cellStyle name="40% - Accent4 2 7 2 5 3 2 2" xfId="35866"/>
    <cellStyle name="40% - Accent4 2 7 2 5 3 3" xfId="35867"/>
    <cellStyle name="40% - Accent4 2 7 2 5 4" xfId="35868"/>
    <cellStyle name="40% - Accent4 2 7 2 5 4 2" xfId="35869"/>
    <cellStyle name="40% - Accent4 2 7 2 5 5" xfId="35870"/>
    <cellStyle name="40% - Accent4 2 7 2 6" xfId="35871"/>
    <cellStyle name="40% - Accent4 2 7 2 6 2" xfId="35872"/>
    <cellStyle name="40% - Accent4 2 7 2 6 2 2" xfId="35873"/>
    <cellStyle name="40% - Accent4 2 7 2 6 2 2 2" xfId="35874"/>
    <cellStyle name="40% - Accent4 2 7 2 6 2 2 2 2" xfId="35875"/>
    <cellStyle name="40% - Accent4 2 7 2 6 2 2 3" xfId="35876"/>
    <cellStyle name="40% - Accent4 2 7 2 6 2 3" xfId="35877"/>
    <cellStyle name="40% - Accent4 2 7 2 6 2 3 2" xfId="35878"/>
    <cellStyle name="40% - Accent4 2 7 2 6 2 4" xfId="35879"/>
    <cellStyle name="40% - Accent4 2 7 2 6 3" xfId="35880"/>
    <cellStyle name="40% - Accent4 2 7 2 6 3 2" xfId="35881"/>
    <cellStyle name="40% - Accent4 2 7 2 6 3 2 2" xfId="35882"/>
    <cellStyle name="40% - Accent4 2 7 2 6 3 3" xfId="35883"/>
    <cellStyle name="40% - Accent4 2 7 2 6 4" xfId="35884"/>
    <cellStyle name="40% - Accent4 2 7 2 6 4 2" xfId="35885"/>
    <cellStyle name="40% - Accent4 2 7 2 6 5" xfId="35886"/>
    <cellStyle name="40% - Accent4 2 7 2 7" xfId="35887"/>
    <cellStyle name="40% - Accent4 2 7 2 7 2" xfId="35888"/>
    <cellStyle name="40% - Accent4 2 7 2 7 2 2" xfId="35889"/>
    <cellStyle name="40% - Accent4 2 7 2 7 2 2 2" xfId="35890"/>
    <cellStyle name="40% - Accent4 2 7 2 7 2 3" xfId="35891"/>
    <cellStyle name="40% - Accent4 2 7 2 7 3" xfId="35892"/>
    <cellStyle name="40% - Accent4 2 7 2 7 3 2" xfId="35893"/>
    <cellStyle name="40% - Accent4 2 7 2 7 4" xfId="35894"/>
    <cellStyle name="40% - Accent4 2 7 2 8" xfId="35895"/>
    <cellStyle name="40% - Accent4 2 7 2 8 2" xfId="35896"/>
    <cellStyle name="40% - Accent4 2 7 2 8 2 2" xfId="35897"/>
    <cellStyle name="40% - Accent4 2 7 2 8 3" xfId="35898"/>
    <cellStyle name="40% - Accent4 2 7 2 9" xfId="35899"/>
    <cellStyle name="40% - Accent4 2 7 2 9 2" xfId="35900"/>
    <cellStyle name="40% - Accent4 2 7 3" xfId="35901"/>
    <cellStyle name="40% - Accent4 2 7 3 2" xfId="35902"/>
    <cellStyle name="40% - Accent4 2 7 3 2 2" xfId="35903"/>
    <cellStyle name="40% - Accent4 2 7 3 2 2 2" xfId="35904"/>
    <cellStyle name="40% - Accent4 2 7 3 2 2 2 2" xfId="35905"/>
    <cellStyle name="40% - Accent4 2 7 3 2 2 3" xfId="35906"/>
    <cellStyle name="40% - Accent4 2 7 3 2 3" xfId="35907"/>
    <cellStyle name="40% - Accent4 2 7 3 2 3 2" xfId="35908"/>
    <cellStyle name="40% - Accent4 2 7 3 2 4" xfId="35909"/>
    <cellStyle name="40% - Accent4 2 7 3 3" xfId="35910"/>
    <cellStyle name="40% - Accent4 2 7 3 3 2" xfId="35911"/>
    <cellStyle name="40% - Accent4 2 7 3 3 2 2" xfId="35912"/>
    <cellStyle name="40% - Accent4 2 7 3 3 3" xfId="35913"/>
    <cellStyle name="40% - Accent4 2 7 3 4" xfId="35914"/>
    <cellStyle name="40% - Accent4 2 7 3 4 2" xfId="35915"/>
    <cellStyle name="40% - Accent4 2 7 3 5" xfId="35916"/>
    <cellStyle name="40% - Accent4 2 7 4" xfId="35917"/>
    <cellStyle name="40% - Accent4 2 7 4 2" xfId="35918"/>
    <cellStyle name="40% - Accent4 2 7 4 2 2" xfId="35919"/>
    <cellStyle name="40% - Accent4 2 7 4 2 2 2" xfId="35920"/>
    <cellStyle name="40% - Accent4 2 7 4 2 2 2 2" xfId="35921"/>
    <cellStyle name="40% - Accent4 2 7 4 2 2 3" xfId="35922"/>
    <cellStyle name="40% - Accent4 2 7 4 2 3" xfId="35923"/>
    <cellStyle name="40% - Accent4 2 7 4 2 3 2" xfId="35924"/>
    <cellStyle name="40% - Accent4 2 7 4 2 4" xfId="35925"/>
    <cellStyle name="40% - Accent4 2 7 4 3" xfId="35926"/>
    <cellStyle name="40% - Accent4 2 7 4 3 2" xfId="35927"/>
    <cellStyle name="40% - Accent4 2 7 4 3 2 2" xfId="35928"/>
    <cellStyle name="40% - Accent4 2 7 4 3 3" xfId="35929"/>
    <cellStyle name="40% - Accent4 2 7 4 4" xfId="35930"/>
    <cellStyle name="40% - Accent4 2 7 4 4 2" xfId="35931"/>
    <cellStyle name="40% - Accent4 2 7 4 5" xfId="35932"/>
    <cellStyle name="40% - Accent4 2 7 5" xfId="35933"/>
    <cellStyle name="40% - Accent4 2 7 5 2" xfId="35934"/>
    <cellStyle name="40% - Accent4 2 7 5 2 2" xfId="35935"/>
    <cellStyle name="40% - Accent4 2 7 5 2 2 2" xfId="35936"/>
    <cellStyle name="40% - Accent4 2 7 5 2 2 2 2" xfId="35937"/>
    <cellStyle name="40% - Accent4 2 7 5 2 2 3" xfId="35938"/>
    <cellStyle name="40% - Accent4 2 7 5 2 3" xfId="35939"/>
    <cellStyle name="40% - Accent4 2 7 5 2 3 2" xfId="35940"/>
    <cellStyle name="40% - Accent4 2 7 5 2 4" xfId="35941"/>
    <cellStyle name="40% - Accent4 2 7 5 3" xfId="35942"/>
    <cellStyle name="40% - Accent4 2 7 5 3 2" xfId="35943"/>
    <cellStyle name="40% - Accent4 2 7 5 3 2 2" xfId="35944"/>
    <cellStyle name="40% - Accent4 2 7 5 3 3" xfId="35945"/>
    <cellStyle name="40% - Accent4 2 7 5 4" xfId="35946"/>
    <cellStyle name="40% - Accent4 2 7 5 4 2" xfId="35947"/>
    <cellStyle name="40% - Accent4 2 7 5 5" xfId="35948"/>
    <cellStyle name="40% - Accent4 2 7 6" xfId="35949"/>
    <cellStyle name="40% - Accent4 2 7 6 2" xfId="35950"/>
    <cellStyle name="40% - Accent4 2 7 6 2 2" xfId="35951"/>
    <cellStyle name="40% - Accent4 2 7 6 2 2 2" xfId="35952"/>
    <cellStyle name="40% - Accent4 2 7 6 2 2 2 2" xfId="35953"/>
    <cellStyle name="40% - Accent4 2 7 6 2 2 3" xfId="35954"/>
    <cellStyle name="40% - Accent4 2 7 6 2 3" xfId="35955"/>
    <cellStyle name="40% - Accent4 2 7 6 2 3 2" xfId="35956"/>
    <cellStyle name="40% - Accent4 2 7 6 2 4" xfId="35957"/>
    <cellStyle name="40% - Accent4 2 7 6 3" xfId="35958"/>
    <cellStyle name="40% - Accent4 2 7 6 3 2" xfId="35959"/>
    <cellStyle name="40% - Accent4 2 7 6 3 2 2" xfId="35960"/>
    <cellStyle name="40% - Accent4 2 7 6 3 3" xfId="35961"/>
    <cellStyle name="40% - Accent4 2 7 6 4" xfId="35962"/>
    <cellStyle name="40% - Accent4 2 7 6 4 2" xfId="35963"/>
    <cellStyle name="40% - Accent4 2 7 6 5" xfId="35964"/>
    <cellStyle name="40% - Accent4 2 7 7" xfId="35965"/>
    <cellStyle name="40% - Accent4 2 7 7 2" xfId="35966"/>
    <cellStyle name="40% - Accent4 2 7 7 2 2" xfId="35967"/>
    <cellStyle name="40% - Accent4 2 7 7 2 2 2" xfId="35968"/>
    <cellStyle name="40% - Accent4 2 7 7 2 2 2 2" xfId="35969"/>
    <cellStyle name="40% - Accent4 2 7 7 2 2 3" xfId="35970"/>
    <cellStyle name="40% - Accent4 2 7 7 2 3" xfId="35971"/>
    <cellStyle name="40% - Accent4 2 7 7 2 3 2" xfId="35972"/>
    <cellStyle name="40% - Accent4 2 7 7 2 4" xfId="35973"/>
    <cellStyle name="40% - Accent4 2 7 7 3" xfId="35974"/>
    <cellStyle name="40% - Accent4 2 7 7 3 2" xfId="35975"/>
    <cellStyle name="40% - Accent4 2 7 7 3 2 2" xfId="35976"/>
    <cellStyle name="40% - Accent4 2 7 7 3 3" xfId="35977"/>
    <cellStyle name="40% - Accent4 2 7 7 4" xfId="35978"/>
    <cellStyle name="40% - Accent4 2 7 7 4 2" xfId="35979"/>
    <cellStyle name="40% - Accent4 2 7 7 5" xfId="35980"/>
    <cellStyle name="40% - Accent4 2 7 8" xfId="35981"/>
    <cellStyle name="40% - Accent4 2 7 8 2" xfId="35982"/>
    <cellStyle name="40% - Accent4 2 7 8 2 2" xfId="35983"/>
    <cellStyle name="40% - Accent4 2 7 8 2 2 2" xfId="35984"/>
    <cellStyle name="40% - Accent4 2 7 8 2 3" xfId="35985"/>
    <cellStyle name="40% - Accent4 2 7 8 3" xfId="35986"/>
    <cellStyle name="40% - Accent4 2 7 8 3 2" xfId="35987"/>
    <cellStyle name="40% - Accent4 2 7 8 4" xfId="35988"/>
    <cellStyle name="40% - Accent4 2 7 9" xfId="35989"/>
    <cellStyle name="40% - Accent4 2 7 9 2" xfId="35990"/>
    <cellStyle name="40% - Accent4 2 7 9 2 2" xfId="35991"/>
    <cellStyle name="40% - Accent4 2 7 9 3" xfId="35992"/>
    <cellStyle name="40% - Accent4 2 8" xfId="35993"/>
    <cellStyle name="40% - Accent4 2 8 10" xfId="35994"/>
    <cellStyle name="40% - Accent4 2 8 10 2" xfId="35995"/>
    <cellStyle name="40% - Accent4 2 8 11" xfId="35996"/>
    <cellStyle name="40% - Accent4 2 8 2" xfId="35997"/>
    <cellStyle name="40% - Accent4 2 8 2 10" xfId="35998"/>
    <cellStyle name="40% - Accent4 2 8 2 2" xfId="35999"/>
    <cellStyle name="40% - Accent4 2 8 2 2 2" xfId="36000"/>
    <cellStyle name="40% - Accent4 2 8 2 2 2 2" xfId="36001"/>
    <cellStyle name="40% - Accent4 2 8 2 2 2 2 2" xfId="36002"/>
    <cellStyle name="40% - Accent4 2 8 2 2 2 2 2 2" xfId="36003"/>
    <cellStyle name="40% - Accent4 2 8 2 2 2 2 3" xfId="36004"/>
    <cellStyle name="40% - Accent4 2 8 2 2 2 3" xfId="36005"/>
    <cellStyle name="40% - Accent4 2 8 2 2 2 3 2" xfId="36006"/>
    <cellStyle name="40% - Accent4 2 8 2 2 2 4" xfId="36007"/>
    <cellStyle name="40% - Accent4 2 8 2 2 3" xfId="36008"/>
    <cellStyle name="40% - Accent4 2 8 2 2 3 2" xfId="36009"/>
    <cellStyle name="40% - Accent4 2 8 2 2 3 2 2" xfId="36010"/>
    <cellStyle name="40% - Accent4 2 8 2 2 3 3" xfId="36011"/>
    <cellStyle name="40% - Accent4 2 8 2 2 4" xfId="36012"/>
    <cellStyle name="40% - Accent4 2 8 2 2 4 2" xfId="36013"/>
    <cellStyle name="40% - Accent4 2 8 2 2 5" xfId="36014"/>
    <cellStyle name="40% - Accent4 2 8 2 3" xfId="36015"/>
    <cellStyle name="40% - Accent4 2 8 2 3 2" xfId="36016"/>
    <cellStyle name="40% - Accent4 2 8 2 3 2 2" xfId="36017"/>
    <cellStyle name="40% - Accent4 2 8 2 3 2 2 2" xfId="36018"/>
    <cellStyle name="40% - Accent4 2 8 2 3 2 2 2 2" xfId="36019"/>
    <cellStyle name="40% - Accent4 2 8 2 3 2 2 3" xfId="36020"/>
    <cellStyle name="40% - Accent4 2 8 2 3 2 3" xfId="36021"/>
    <cellStyle name="40% - Accent4 2 8 2 3 2 3 2" xfId="36022"/>
    <cellStyle name="40% - Accent4 2 8 2 3 2 4" xfId="36023"/>
    <cellStyle name="40% - Accent4 2 8 2 3 3" xfId="36024"/>
    <cellStyle name="40% - Accent4 2 8 2 3 3 2" xfId="36025"/>
    <cellStyle name="40% - Accent4 2 8 2 3 3 2 2" xfId="36026"/>
    <cellStyle name="40% - Accent4 2 8 2 3 3 3" xfId="36027"/>
    <cellStyle name="40% - Accent4 2 8 2 3 4" xfId="36028"/>
    <cellStyle name="40% - Accent4 2 8 2 3 4 2" xfId="36029"/>
    <cellStyle name="40% - Accent4 2 8 2 3 5" xfId="36030"/>
    <cellStyle name="40% - Accent4 2 8 2 4" xfId="36031"/>
    <cellStyle name="40% - Accent4 2 8 2 4 2" xfId="36032"/>
    <cellStyle name="40% - Accent4 2 8 2 4 2 2" xfId="36033"/>
    <cellStyle name="40% - Accent4 2 8 2 4 2 2 2" xfId="36034"/>
    <cellStyle name="40% - Accent4 2 8 2 4 2 2 2 2" xfId="36035"/>
    <cellStyle name="40% - Accent4 2 8 2 4 2 2 3" xfId="36036"/>
    <cellStyle name="40% - Accent4 2 8 2 4 2 3" xfId="36037"/>
    <cellStyle name="40% - Accent4 2 8 2 4 2 3 2" xfId="36038"/>
    <cellStyle name="40% - Accent4 2 8 2 4 2 4" xfId="36039"/>
    <cellStyle name="40% - Accent4 2 8 2 4 3" xfId="36040"/>
    <cellStyle name="40% - Accent4 2 8 2 4 3 2" xfId="36041"/>
    <cellStyle name="40% - Accent4 2 8 2 4 3 2 2" xfId="36042"/>
    <cellStyle name="40% - Accent4 2 8 2 4 3 3" xfId="36043"/>
    <cellStyle name="40% - Accent4 2 8 2 4 4" xfId="36044"/>
    <cellStyle name="40% - Accent4 2 8 2 4 4 2" xfId="36045"/>
    <cellStyle name="40% - Accent4 2 8 2 4 5" xfId="36046"/>
    <cellStyle name="40% - Accent4 2 8 2 5" xfId="36047"/>
    <cellStyle name="40% - Accent4 2 8 2 5 2" xfId="36048"/>
    <cellStyle name="40% - Accent4 2 8 2 5 2 2" xfId="36049"/>
    <cellStyle name="40% - Accent4 2 8 2 5 2 2 2" xfId="36050"/>
    <cellStyle name="40% - Accent4 2 8 2 5 2 2 2 2" xfId="36051"/>
    <cellStyle name="40% - Accent4 2 8 2 5 2 2 3" xfId="36052"/>
    <cellStyle name="40% - Accent4 2 8 2 5 2 3" xfId="36053"/>
    <cellStyle name="40% - Accent4 2 8 2 5 2 3 2" xfId="36054"/>
    <cellStyle name="40% - Accent4 2 8 2 5 2 4" xfId="36055"/>
    <cellStyle name="40% - Accent4 2 8 2 5 3" xfId="36056"/>
    <cellStyle name="40% - Accent4 2 8 2 5 3 2" xfId="36057"/>
    <cellStyle name="40% - Accent4 2 8 2 5 3 2 2" xfId="36058"/>
    <cellStyle name="40% - Accent4 2 8 2 5 3 3" xfId="36059"/>
    <cellStyle name="40% - Accent4 2 8 2 5 4" xfId="36060"/>
    <cellStyle name="40% - Accent4 2 8 2 5 4 2" xfId="36061"/>
    <cellStyle name="40% - Accent4 2 8 2 5 5" xfId="36062"/>
    <cellStyle name="40% - Accent4 2 8 2 6" xfId="36063"/>
    <cellStyle name="40% - Accent4 2 8 2 6 2" xfId="36064"/>
    <cellStyle name="40% - Accent4 2 8 2 6 2 2" xfId="36065"/>
    <cellStyle name="40% - Accent4 2 8 2 6 2 2 2" xfId="36066"/>
    <cellStyle name="40% - Accent4 2 8 2 6 2 2 2 2" xfId="36067"/>
    <cellStyle name="40% - Accent4 2 8 2 6 2 2 3" xfId="36068"/>
    <cellStyle name="40% - Accent4 2 8 2 6 2 3" xfId="36069"/>
    <cellStyle name="40% - Accent4 2 8 2 6 2 3 2" xfId="36070"/>
    <cellStyle name="40% - Accent4 2 8 2 6 2 4" xfId="36071"/>
    <cellStyle name="40% - Accent4 2 8 2 6 3" xfId="36072"/>
    <cellStyle name="40% - Accent4 2 8 2 6 3 2" xfId="36073"/>
    <cellStyle name="40% - Accent4 2 8 2 6 3 2 2" xfId="36074"/>
    <cellStyle name="40% - Accent4 2 8 2 6 3 3" xfId="36075"/>
    <cellStyle name="40% - Accent4 2 8 2 6 4" xfId="36076"/>
    <cellStyle name="40% - Accent4 2 8 2 6 4 2" xfId="36077"/>
    <cellStyle name="40% - Accent4 2 8 2 6 5" xfId="36078"/>
    <cellStyle name="40% - Accent4 2 8 2 7" xfId="36079"/>
    <cellStyle name="40% - Accent4 2 8 2 7 2" xfId="36080"/>
    <cellStyle name="40% - Accent4 2 8 2 7 2 2" xfId="36081"/>
    <cellStyle name="40% - Accent4 2 8 2 7 2 2 2" xfId="36082"/>
    <cellStyle name="40% - Accent4 2 8 2 7 2 3" xfId="36083"/>
    <cellStyle name="40% - Accent4 2 8 2 7 3" xfId="36084"/>
    <cellStyle name="40% - Accent4 2 8 2 7 3 2" xfId="36085"/>
    <cellStyle name="40% - Accent4 2 8 2 7 4" xfId="36086"/>
    <cellStyle name="40% - Accent4 2 8 2 8" xfId="36087"/>
    <cellStyle name="40% - Accent4 2 8 2 8 2" xfId="36088"/>
    <cellStyle name="40% - Accent4 2 8 2 8 2 2" xfId="36089"/>
    <cellStyle name="40% - Accent4 2 8 2 8 3" xfId="36090"/>
    <cellStyle name="40% - Accent4 2 8 2 9" xfId="36091"/>
    <cellStyle name="40% - Accent4 2 8 2 9 2" xfId="36092"/>
    <cellStyle name="40% - Accent4 2 8 3" xfId="36093"/>
    <cellStyle name="40% - Accent4 2 8 3 2" xfId="36094"/>
    <cellStyle name="40% - Accent4 2 8 3 2 2" xfId="36095"/>
    <cellStyle name="40% - Accent4 2 8 3 2 2 2" xfId="36096"/>
    <cellStyle name="40% - Accent4 2 8 3 2 2 2 2" xfId="36097"/>
    <cellStyle name="40% - Accent4 2 8 3 2 2 3" xfId="36098"/>
    <cellStyle name="40% - Accent4 2 8 3 2 3" xfId="36099"/>
    <cellStyle name="40% - Accent4 2 8 3 2 3 2" xfId="36100"/>
    <cellStyle name="40% - Accent4 2 8 3 2 4" xfId="36101"/>
    <cellStyle name="40% - Accent4 2 8 3 3" xfId="36102"/>
    <cellStyle name="40% - Accent4 2 8 3 3 2" xfId="36103"/>
    <cellStyle name="40% - Accent4 2 8 3 3 2 2" xfId="36104"/>
    <cellStyle name="40% - Accent4 2 8 3 3 3" xfId="36105"/>
    <cellStyle name="40% - Accent4 2 8 3 4" xfId="36106"/>
    <cellStyle name="40% - Accent4 2 8 3 4 2" xfId="36107"/>
    <cellStyle name="40% - Accent4 2 8 3 5" xfId="36108"/>
    <cellStyle name="40% - Accent4 2 8 4" xfId="36109"/>
    <cellStyle name="40% - Accent4 2 8 4 2" xfId="36110"/>
    <cellStyle name="40% - Accent4 2 8 4 2 2" xfId="36111"/>
    <cellStyle name="40% - Accent4 2 8 4 2 2 2" xfId="36112"/>
    <cellStyle name="40% - Accent4 2 8 4 2 2 2 2" xfId="36113"/>
    <cellStyle name="40% - Accent4 2 8 4 2 2 3" xfId="36114"/>
    <cellStyle name="40% - Accent4 2 8 4 2 3" xfId="36115"/>
    <cellStyle name="40% - Accent4 2 8 4 2 3 2" xfId="36116"/>
    <cellStyle name="40% - Accent4 2 8 4 2 4" xfId="36117"/>
    <cellStyle name="40% - Accent4 2 8 4 3" xfId="36118"/>
    <cellStyle name="40% - Accent4 2 8 4 3 2" xfId="36119"/>
    <cellStyle name="40% - Accent4 2 8 4 3 2 2" xfId="36120"/>
    <cellStyle name="40% - Accent4 2 8 4 3 3" xfId="36121"/>
    <cellStyle name="40% - Accent4 2 8 4 4" xfId="36122"/>
    <cellStyle name="40% - Accent4 2 8 4 4 2" xfId="36123"/>
    <cellStyle name="40% - Accent4 2 8 4 5" xfId="36124"/>
    <cellStyle name="40% - Accent4 2 8 5" xfId="36125"/>
    <cellStyle name="40% - Accent4 2 8 5 2" xfId="36126"/>
    <cellStyle name="40% - Accent4 2 8 5 2 2" xfId="36127"/>
    <cellStyle name="40% - Accent4 2 8 5 2 2 2" xfId="36128"/>
    <cellStyle name="40% - Accent4 2 8 5 2 2 2 2" xfId="36129"/>
    <cellStyle name="40% - Accent4 2 8 5 2 2 3" xfId="36130"/>
    <cellStyle name="40% - Accent4 2 8 5 2 3" xfId="36131"/>
    <cellStyle name="40% - Accent4 2 8 5 2 3 2" xfId="36132"/>
    <cellStyle name="40% - Accent4 2 8 5 2 4" xfId="36133"/>
    <cellStyle name="40% - Accent4 2 8 5 3" xfId="36134"/>
    <cellStyle name="40% - Accent4 2 8 5 3 2" xfId="36135"/>
    <cellStyle name="40% - Accent4 2 8 5 3 2 2" xfId="36136"/>
    <cellStyle name="40% - Accent4 2 8 5 3 3" xfId="36137"/>
    <cellStyle name="40% - Accent4 2 8 5 4" xfId="36138"/>
    <cellStyle name="40% - Accent4 2 8 5 4 2" xfId="36139"/>
    <cellStyle name="40% - Accent4 2 8 5 5" xfId="36140"/>
    <cellStyle name="40% - Accent4 2 8 6" xfId="36141"/>
    <cellStyle name="40% - Accent4 2 8 6 2" xfId="36142"/>
    <cellStyle name="40% - Accent4 2 8 6 2 2" xfId="36143"/>
    <cellStyle name="40% - Accent4 2 8 6 2 2 2" xfId="36144"/>
    <cellStyle name="40% - Accent4 2 8 6 2 2 2 2" xfId="36145"/>
    <cellStyle name="40% - Accent4 2 8 6 2 2 3" xfId="36146"/>
    <cellStyle name="40% - Accent4 2 8 6 2 3" xfId="36147"/>
    <cellStyle name="40% - Accent4 2 8 6 2 3 2" xfId="36148"/>
    <cellStyle name="40% - Accent4 2 8 6 2 4" xfId="36149"/>
    <cellStyle name="40% - Accent4 2 8 6 3" xfId="36150"/>
    <cellStyle name="40% - Accent4 2 8 6 3 2" xfId="36151"/>
    <cellStyle name="40% - Accent4 2 8 6 3 2 2" xfId="36152"/>
    <cellStyle name="40% - Accent4 2 8 6 3 3" xfId="36153"/>
    <cellStyle name="40% - Accent4 2 8 6 4" xfId="36154"/>
    <cellStyle name="40% - Accent4 2 8 6 4 2" xfId="36155"/>
    <cellStyle name="40% - Accent4 2 8 6 5" xfId="36156"/>
    <cellStyle name="40% - Accent4 2 8 7" xfId="36157"/>
    <cellStyle name="40% - Accent4 2 8 7 2" xfId="36158"/>
    <cellStyle name="40% - Accent4 2 8 7 2 2" xfId="36159"/>
    <cellStyle name="40% - Accent4 2 8 7 2 2 2" xfId="36160"/>
    <cellStyle name="40% - Accent4 2 8 7 2 2 2 2" xfId="36161"/>
    <cellStyle name="40% - Accent4 2 8 7 2 2 3" xfId="36162"/>
    <cellStyle name="40% - Accent4 2 8 7 2 3" xfId="36163"/>
    <cellStyle name="40% - Accent4 2 8 7 2 3 2" xfId="36164"/>
    <cellStyle name="40% - Accent4 2 8 7 2 4" xfId="36165"/>
    <cellStyle name="40% - Accent4 2 8 7 3" xfId="36166"/>
    <cellStyle name="40% - Accent4 2 8 7 3 2" xfId="36167"/>
    <cellStyle name="40% - Accent4 2 8 7 3 2 2" xfId="36168"/>
    <cellStyle name="40% - Accent4 2 8 7 3 3" xfId="36169"/>
    <cellStyle name="40% - Accent4 2 8 7 4" xfId="36170"/>
    <cellStyle name="40% - Accent4 2 8 7 4 2" xfId="36171"/>
    <cellStyle name="40% - Accent4 2 8 7 5" xfId="36172"/>
    <cellStyle name="40% - Accent4 2 8 8" xfId="36173"/>
    <cellStyle name="40% - Accent4 2 8 8 2" xfId="36174"/>
    <cellStyle name="40% - Accent4 2 8 8 2 2" xfId="36175"/>
    <cellStyle name="40% - Accent4 2 8 8 2 2 2" xfId="36176"/>
    <cellStyle name="40% - Accent4 2 8 8 2 3" xfId="36177"/>
    <cellStyle name="40% - Accent4 2 8 8 3" xfId="36178"/>
    <cellStyle name="40% - Accent4 2 8 8 3 2" xfId="36179"/>
    <cellStyle name="40% - Accent4 2 8 8 4" xfId="36180"/>
    <cellStyle name="40% - Accent4 2 8 9" xfId="36181"/>
    <cellStyle name="40% - Accent4 2 8 9 2" xfId="36182"/>
    <cellStyle name="40% - Accent4 2 8 9 2 2" xfId="36183"/>
    <cellStyle name="40% - Accent4 2 8 9 3" xfId="36184"/>
    <cellStyle name="40% - Accent4 2 9" xfId="36185"/>
    <cellStyle name="40% - Accent4 2 9 10" xfId="36186"/>
    <cellStyle name="40% - Accent4 2 9 10 2" xfId="36187"/>
    <cellStyle name="40% - Accent4 2 9 11" xfId="36188"/>
    <cellStyle name="40% - Accent4 2 9 2" xfId="36189"/>
    <cellStyle name="40% - Accent4 2 9 2 10" xfId="36190"/>
    <cellStyle name="40% - Accent4 2 9 2 2" xfId="36191"/>
    <cellStyle name="40% - Accent4 2 9 2 2 2" xfId="36192"/>
    <cellStyle name="40% - Accent4 2 9 2 2 2 2" xfId="36193"/>
    <cellStyle name="40% - Accent4 2 9 2 2 2 2 2" xfId="36194"/>
    <cellStyle name="40% - Accent4 2 9 2 2 2 2 2 2" xfId="36195"/>
    <cellStyle name="40% - Accent4 2 9 2 2 2 2 3" xfId="36196"/>
    <cellStyle name="40% - Accent4 2 9 2 2 2 3" xfId="36197"/>
    <cellStyle name="40% - Accent4 2 9 2 2 2 3 2" xfId="36198"/>
    <cellStyle name="40% - Accent4 2 9 2 2 2 4" xfId="36199"/>
    <cellStyle name="40% - Accent4 2 9 2 2 3" xfId="36200"/>
    <cellStyle name="40% - Accent4 2 9 2 2 3 2" xfId="36201"/>
    <cellStyle name="40% - Accent4 2 9 2 2 3 2 2" xfId="36202"/>
    <cellStyle name="40% - Accent4 2 9 2 2 3 3" xfId="36203"/>
    <cellStyle name="40% - Accent4 2 9 2 2 4" xfId="36204"/>
    <cellStyle name="40% - Accent4 2 9 2 2 4 2" xfId="36205"/>
    <cellStyle name="40% - Accent4 2 9 2 2 5" xfId="36206"/>
    <cellStyle name="40% - Accent4 2 9 2 3" xfId="36207"/>
    <cellStyle name="40% - Accent4 2 9 2 3 2" xfId="36208"/>
    <cellStyle name="40% - Accent4 2 9 2 3 2 2" xfId="36209"/>
    <cellStyle name="40% - Accent4 2 9 2 3 2 2 2" xfId="36210"/>
    <cellStyle name="40% - Accent4 2 9 2 3 2 2 2 2" xfId="36211"/>
    <cellStyle name="40% - Accent4 2 9 2 3 2 2 3" xfId="36212"/>
    <cellStyle name="40% - Accent4 2 9 2 3 2 3" xfId="36213"/>
    <cellStyle name="40% - Accent4 2 9 2 3 2 3 2" xfId="36214"/>
    <cellStyle name="40% - Accent4 2 9 2 3 2 4" xfId="36215"/>
    <cellStyle name="40% - Accent4 2 9 2 3 3" xfId="36216"/>
    <cellStyle name="40% - Accent4 2 9 2 3 3 2" xfId="36217"/>
    <cellStyle name="40% - Accent4 2 9 2 3 3 2 2" xfId="36218"/>
    <cellStyle name="40% - Accent4 2 9 2 3 3 3" xfId="36219"/>
    <cellStyle name="40% - Accent4 2 9 2 3 4" xfId="36220"/>
    <cellStyle name="40% - Accent4 2 9 2 3 4 2" xfId="36221"/>
    <cellStyle name="40% - Accent4 2 9 2 3 5" xfId="36222"/>
    <cellStyle name="40% - Accent4 2 9 2 4" xfId="36223"/>
    <cellStyle name="40% - Accent4 2 9 2 4 2" xfId="36224"/>
    <cellStyle name="40% - Accent4 2 9 2 4 2 2" xfId="36225"/>
    <cellStyle name="40% - Accent4 2 9 2 4 2 2 2" xfId="36226"/>
    <cellStyle name="40% - Accent4 2 9 2 4 2 2 2 2" xfId="36227"/>
    <cellStyle name="40% - Accent4 2 9 2 4 2 2 3" xfId="36228"/>
    <cellStyle name="40% - Accent4 2 9 2 4 2 3" xfId="36229"/>
    <cellStyle name="40% - Accent4 2 9 2 4 2 3 2" xfId="36230"/>
    <cellStyle name="40% - Accent4 2 9 2 4 2 4" xfId="36231"/>
    <cellStyle name="40% - Accent4 2 9 2 4 3" xfId="36232"/>
    <cellStyle name="40% - Accent4 2 9 2 4 3 2" xfId="36233"/>
    <cellStyle name="40% - Accent4 2 9 2 4 3 2 2" xfId="36234"/>
    <cellStyle name="40% - Accent4 2 9 2 4 3 3" xfId="36235"/>
    <cellStyle name="40% - Accent4 2 9 2 4 4" xfId="36236"/>
    <cellStyle name="40% - Accent4 2 9 2 4 4 2" xfId="36237"/>
    <cellStyle name="40% - Accent4 2 9 2 4 5" xfId="36238"/>
    <cellStyle name="40% - Accent4 2 9 2 5" xfId="36239"/>
    <cellStyle name="40% - Accent4 2 9 2 5 2" xfId="36240"/>
    <cellStyle name="40% - Accent4 2 9 2 5 2 2" xfId="36241"/>
    <cellStyle name="40% - Accent4 2 9 2 5 2 2 2" xfId="36242"/>
    <cellStyle name="40% - Accent4 2 9 2 5 2 2 2 2" xfId="36243"/>
    <cellStyle name="40% - Accent4 2 9 2 5 2 2 3" xfId="36244"/>
    <cellStyle name="40% - Accent4 2 9 2 5 2 3" xfId="36245"/>
    <cellStyle name="40% - Accent4 2 9 2 5 2 3 2" xfId="36246"/>
    <cellStyle name="40% - Accent4 2 9 2 5 2 4" xfId="36247"/>
    <cellStyle name="40% - Accent4 2 9 2 5 3" xfId="36248"/>
    <cellStyle name="40% - Accent4 2 9 2 5 3 2" xfId="36249"/>
    <cellStyle name="40% - Accent4 2 9 2 5 3 2 2" xfId="36250"/>
    <cellStyle name="40% - Accent4 2 9 2 5 3 3" xfId="36251"/>
    <cellStyle name="40% - Accent4 2 9 2 5 4" xfId="36252"/>
    <cellStyle name="40% - Accent4 2 9 2 5 4 2" xfId="36253"/>
    <cellStyle name="40% - Accent4 2 9 2 5 5" xfId="36254"/>
    <cellStyle name="40% - Accent4 2 9 2 6" xfId="36255"/>
    <cellStyle name="40% - Accent4 2 9 2 6 2" xfId="36256"/>
    <cellStyle name="40% - Accent4 2 9 2 6 2 2" xfId="36257"/>
    <cellStyle name="40% - Accent4 2 9 2 6 2 2 2" xfId="36258"/>
    <cellStyle name="40% - Accent4 2 9 2 6 2 2 2 2" xfId="36259"/>
    <cellStyle name="40% - Accent4 2 9 2 6 2 2 3" xfId="36260"/>
    <cellStyle name="40% - Accent4 2 9 2 6 2 3" xfId="36261"/>
    <cellStyle name="40% - Accent4 2 9 2 6 2 3 2" xfId="36262"/>
    <cellStyle name="40% - Accent4 2 9 2 6 2 4" xfId="36263"/>
    <cellStyle name="40% - Accent4 2 9 2 6 3" xfId="36264"/>
    <cellStyle name="40% - Accent4 2 9 2 6 3 2" xfId="36265"/>
    <cellStyle name="40% - Accent4 2 9 2 6 3 2 2" xfId="36266"/>
    <cellStyle name="40% - Accent4 2 9 2 6 3 3" xfId="36267"/>
    <cellStyle name="40% - Accent4 2 9 2 6 4" xfId="36268"/>
    <cellStyle name="40% - Accent4 2 9 2 6 4 2" xfId="36269"/>
    <cellStyle name="40% - Accent4 2 9 2 6 5" xfId="36270"/>
    <cellStyle name="40% - Accent4 2 9 2 7" xfId="36271"/>
    <cellStyle name="40% - Accent4 2 9 2 7 2" xfId="36272"/>
    <cellStyle name="40% - Accent4 2 9 2 7 2 2" xfId="36273"/>
    <cellStyle name="40% - Accent4 2 9 2 7 2 2 2" xfId="36274"/>
    <cellStyle name="40% - Accent4 2 9 2 7 2 3" xfId="36275"/>
    <cellStyle name="40% - Accent4 2 9 2 7 3" xfId="36276"/>
    <cellStyle name="40% - Accent4 2 9 2 7 3 2" xfId="36277"/>
    <cellStyle name="40% - Accent4 2 9 2 7 4" xfId="36278"/>
    <cellStyle name="40% - Accent4 2 9 2 8" xfId="36279"/>
    <cellStyle name="40% - Accent4 2 9 2 8 2" xfId="36280"/>
    <cellStyle name="40% - Accent4 2 9 2 8 2 2" xfId="36281"/>
    <cellStyle name="40% - Accent4 2 9 2 8 3" xfId="36282"/>
    <cellStyle name="40% - Accent4 2 9 2 9" xfId="36283"/>
    <cellStyle name="40% - Accent4 2 9 2 9 2" xfId="36284"/>
    <cellStyle name="40% - Accent4 2 9 3" xfId="36285"/>
    <cellStyle name="40% - Accent4 2 9 3 2" xfId="36286"/>
    <cellStyle name="40% - Accent4 2 9 3 2 2" xfId="36287"/>
    <cellStyle name="40% - Accent4 2 9 3 2 2 2" xfId="36288"/>
    <cellStyle name="40% - Accent4 2 9 3 2 2 2 2" xfId="36289"/>
    <cellStyle name="40% - Accent4 2 9 3 2 2 3" xfId="36290"/>
    <cellStyle name="40% - Accent4 2 9 3 2 3" xfId="36291"/>
    <cellStyle name="40% - Accent4 2 9 3 2 3 2" xfId="36292"/>
    <cellStyle name="40% - Accent4 2 9 3 2 4" xfId="36293"/>
    <cellStyle name="40% - Accent4 2 9 3 3" xfId="36294"/>
    <cellStyle name="40% - Accent4 2 9 3 3 2" xfId="36295"/>
    <cellStyle name="40% - Accent4 2 9 3 3 2 2" xfId="36296"/>
    <cellStyle name="40% - Accent4 2 9 3 3 3" xfId="36297"/>
    <cellStyle name="40% - Accent4 2 9 3 4" xfId="36298"/>
    <cellStyle name="40% - Accent4 2 9 3 4 2" xfId="36299"/>
    <cellStyle name="40% - Accent4 2 9 3 5" xfId="36300"/>
    <cellStyle name="40% - Accent4 2 9 4" xfId="36301"/>
    <cellStyle name="40% - Accent4 2 9 4 2" xfId="36302"/>
    <cellStyle name="40% - Accent4 2 9 4 2 2" xfId="36303"/>
    <cellStyle name="40% - Accent4 2 9 4 2 2 2" xfId="36304"/>
    <cellStyle name="40% - Accent4 2 9 4 2 2 2 2" xfId="36305"/>
    <cellStyle name="40% - Accent4 2 9 4 2 2 3" xfId="36306"/>
    <cellStyle name="40% - Accent4 2 9 4 2 3" xfId="36307"/>
    <cellStyle name="40% - Accent4 2 9 4 2 3 2" xfId="36308"/>
    <cellStyle name="40% - Accent4 2 9 4 2 4" xfId="36309"/>
    <cellStyle name="40% - Accent4 2 9 4 3" xfId="36310"/>
    <cellStyle name="40% - Accent4 2 9 4 3 2" xfId="36311"/>
    <cellStyle name="40% - Accent4 2 9 4 3 2 2" xfId="36312"/>
    <cellStyle name="40% - Accent4 2 9 4 3 3" xfId="36313"/>
    <cellStyle name="40% - Accent4 2 9 4 4" xfId="36314"/>
    <cellStyle name="40% - Accent4 2 9 4 4 2" xfId="36315"/>
    <cellStyle name="40% - Accent4 2 9 4 5" xfId="36316"/>
    <cellStyle name="40% - Accent4 2 9 5" xfId="36317"/>
    <cellStyle name="40% - Accent4 2 9 5 2" xfId="36318"/>
    <cellStyle name="40% - Accent4 2 9 5 2 2" xfId="36319"/>
    <cellStyle name="40% - Accent4 2 9 5 2 2 2" xfId="36320"/>
    <cellStyle name="40% - Accent4 2 9 5 2 2 2 2" xfId="36321"/>
    <cellStyle name="40% - Accent4 2 9 5 2 2 3" xfId="36322"/>
    <cellStyle name="40% - Accent4 2 9 5 2 3" xfId="36323"/>
    <cellStyle name="40% - Accent4 2 9 5 2 3 2" xfId="36324"/>
    <cellStyle name="40% - Accent4 2 9 5 2 4" xfId="36325"/>
    <cellStyle name="40% - Accent4 2 9 5 3" xfId="36326"/>
    <cellStyle name="40% - Accent4 2 9 5 3 2" xfId="36327"/>
    <cellStyle name="40% - Accent4 2 9 5 3 2 2" xfId="36328"/>
    <cellStyle name="40% - Accent4 2 9 5 3 3" xfId="36329"/>
    <cellStyle name="40% - Accent4 2 9 5 4" xfId="36330"/>
    <cellStyle name="40% - Accent4 2 9 5 4 2" xfId="36331"/>
    <cellStyle name="40% - Accent4 2 9 5 5" xfId="36332"/>
    <cellStyle name="40% - Accent4 2 9 6" xfId="36333"/>
    <cellStyle name="40% - Accent4 2 9 6 2" xfId="36334"/>
    <cellStyle name="40% - Accent4 2 9 6 2 2" xfId="36335"/>
    <cellStyle name="40% - Accent4 2 9 6 2 2 2" xfId="36336"/>
    <cellStyle name="40% - Accent4 2 9 6 2 2 2 2" xfId="36337"/>
    <cellStyle name="40% - Accent4 2 9 6 2 2 3" xfId="36338"/>
    <cellStyle name="40% - Accent4 2 9 6 2 3" xfId="36339"/>
    <cellStyle name="40% - Accent4 2 9 6 2 3 2" xfId="36340"/>
    <cellStyle name="40% - Accent4 2 9 6 2 4" xfId="36341"/>
    <cellStyle name="40% - Accent4 2 9 6 3" xfId="36342"/>
    <cellStyle name="40% - Accent4 2 9 6 3 2" xfId="36343"/>
    <cellStyle name="40% - Accent4 2 9 6 3 2 2" xfId="36344"/>
    <cellStyle name="40% - Accent4 2 9 6 3 3" xfId="36345"/>
    <cellStyle name="40% - Accent4 2 9 6 4" xfId="36346"/>
    <cellStyle name="40% - Accent4 2 9 6 4 2" xfId="36347"/>
    <cellStyle name="40% - Accent4 2 9 6 5" xfId="36348"/>
    <cellStyle name="40% - Accent4 2 9 7" xfId="36349"/>
    <cellStyle name="40% - Accent4 2 9 7 2" xfId="36350"/>
    <cellStyle name="40% - Accent4 2 9 7 2 2" xfId="36351"/>
    <cellStyle name="40% - Accent4 2 9 7 2 2 2" xfId="36352"/>
    <cellStyle name="40% - Accent4 2 9 7 2 2 2 2" xfId="36353"/>
    <cellStyle name="40% - Accent4 2 9 7 2 2 3" xfId="36354"/>
    <cellStyle name="40% - Accent4 2 9 7 2 3" xfId="36355"/>
    <cellStyle name="40% - Accent4 2 9 7 2 3 2" xfId="36356"/>
    <cellStyle name="40% - Accent4 2 9 7 2 4" xfId="36357"/>
    <cellStyle name="40% - Accent4 2 9 7 3" xfId="36358"/>
    <cellStyle name="40% - Accent4 2 9 7 3 2" xfId="36359"/>
    <cellStyle name="40% - Accent4 2 9 7 3 2 2" xfId="36360"/>
    <cellStyle name="40% - Accent4 2 9 7 3 3" xfId="36361"/>
    <cellStyle name="40% - Accent4 2 9 7 4" xfId="36362"/>
    <cellStyle name="40% - Accent4 2 9 7 4 2" xfId="36363"/>
    <cellStyle name="40% - Accent4 2 9 7 5" xfId="36364"/>
    <cellStyle name="40% - Accent4 2 9 8" xfId="36365"/>
    <cellStyle name="40% - Accent4 2 9 8 2" xfId="36366"/>
    <cellStyle name="40% - Accent4 2 9 8 2 2" xfId="36367"/>
    <cellStyle name="40% - Accent4 2 9 8 2 2 2" xfId="36368"/>
    <cellStyle name="40% - Accent4 2 9 8 2 3" xfId="36369"/>
    <cellStyle name="40% - Accent4 2 9 8 3" xfId="36370"/>
    <cellStyle name="40% - Accent4 2 9 8 3 2" xfId="36371"/>
    <cellStyle name="40% - Accent4 2 9 8 4" xfId="36372"/>
    <cellStyle name="40% - Accent4 2 9 9" xfId="36373"/>
    <cellStyle name="40% - Accent4 2 9 9 2" xfId="36374"/>
    <cellStyle name="40% - Accent4 2 9 9 2 2" xfId="36375"/>
    <cellStyle name="40% - Accent4 2 9 9 3" xfId="36376"/>
    <cellStyle name="40% - Accent4 20" xfId="36377"/>
    <cellStyle name="40% - Accent4 20 2" xfId="36378"/>
    <cellStyle name="40% - Accent4 20 2 2" xfId="36379"/>
    <cellStyle name="40% - Accent4 20 2 2 2" xfId="36380"/>
    <cellStyle name="40% - Accent4 20 2 2 2 2" xfId="36381"/>
    <cellStyle name="40% - Accent4 20 2 2 3" xfId="36382"/>
    <cellStyle name="40% - Accent4 20 2 3" xfId="36383"/>
    <cellStyle name="40% - Accent4 20 2 3 2" xfId="36384"/>
    <cellStyle name="40% - Accent4 20 2 4" xfId="36385"/>
    <cellStyle name="40% - Accent4 20 3" xfId="36386"/>
    <cellStyle name="40% - Accent4 20 3 2" xfId="36387"/>
    <cellStyle name="40% - Accent4 20 3 2 2" xfId="36388"/>
    <cellStyle name="40% - Accent4 20 3 3" xfId="36389"/>
    <cellStyle name="40% - Accent4 20 4" xfId="36390"/>
    <cellStyle name="40% - Accent4 20 4 2" xfId="36391"/>
    <cellStyle name="40% - Accent4 20 5" xfId="36392"/>
    <cellStyle name="40% - Accent4 21" xfId="36393"/>
    <cellStyle name="40% - Accent4 21 2" xfId="36394"/>
    <cellStyle name="40% - Accent4 21 2 2" xfId="36395"/>
    <cellStyle name="40% - Accent4 21 2 2 2" xfId="36396"/>
    <cellStyle name="40% - Accent4 21 2 3" xfId="36397"/>
    <cellStyle name="40% - Accent4 21 3" xfId="36398"/>
    <cellStyle name="40% - Accent4 21 3 2" xfId="36399"/>
    <cellStyle name="40% - Accent4 21 4" xfId="36400"/>
    <cellStyle name="40% - Accent4 22" xfId="36401"/>
    <cellStyle name="40% - Accent4 22 2" xfId="36402"/>
    <cellStyle name="40% - Accent4 22 2 2" xfId="36403"/>
    <cellStyle name="40% - Accent4 22 3" xfId="36404"/>
    <cellStyle name="40% - Accent4 23" xfId="36405"/>
    <cellStyle name="40% - Accent4 23 2" xfId="36406"/>
    <cellStyle name="40% - Accent4 24" xfId="36407"/>
    <cellStyle name="40% - Accent4 3" xfId="36408"/>
    <cellStyle name="40% - Accent4 3 10" xfId="36409"/>
    <cellStyle name="40% - Accent4 3 10 2" xfId="36410"/>
    <cellStyle name="40% - Accent4 3 11" xfId="36411"/>
    <cellStyle name="40% - Accent4 3 2" xfId="36412"/>
    <cellStyle name="40% - Accent4 3 2 10" xfId="36413"/>
    <cellStyle name="40% - Accent4 3 2 2" xfId="36414"/>
    <cellStyle name="40% - Accent4 3 2 2 2" xfId="36415"/>
    <cellStyle name="40% - Accent4 3 2 2 2 2" xfId="36416"/>
    <cellStyle name="40% - Accent4 3 2 2 2 2 2" xfId="36417"/>
    <cellStyle name="40% - Accent4 3 2 2 2 2 2 2" xfId="36418"/>
    <cellStyle name="40% - Accent4 3 2 2 2 2 3" xfId="36419"/>
    <cellStyle name="40% - Accent4 3 2 2 2 3" xfId="36420"/>
    <cellStyle name="40% - Accent4 3 2 2 2 3 2" xfId="36421"/>
    <cellStyle name="40% - Accent4 3 2 2 2 4" xfId="36422"/>
    <cellStyle name="40% - Accent4 3 2 2 3" xfId="36423"/>
    <cellStyle name="40% - Accent4 3 2 2 3 2" xfId="36424"/>
    <cellStyle name="40% - Accent4 3 2 2 3 2 2" xfId="36425"/>
    <cellStyle name="40% - Accent4 3 2 2 3 3" xfId="36426"/>
    <cellStyle name="40% - Accent4 3 2 2 4" xfId="36427"/>
    <cellStyle name="40% - Accent4 3 2 2 4 2" xfId="36428"/>
    <cellStyle name="40% - Accent4 3 2 2 5" xfId="36429"/>
    <cellStyle name="40% - Accent4 3 2 3" xfId="36430"/>
    <cellStyle name="40% - Accent4 3 2 3 2" xfId="36431"/>
    <cellStyle name="40% - Accent4 3 2 3 2 2" xfId="36432"/>
    <cellStyle name="40% - Accent4 3 2 3 2 2 2" xfId="36433"/>
    <cellStyle name="40% - Accent4 3 2 3 2 2 2 2" xfId="36434"/>
    <cellStyle name="40% - Accent4 3 2 3 2 2 3" xfId="36435"/>
    <cellStyle name="40% - Accent4 3 2 3 2 3" xfId="36436"/>
    <cellStyle name="40% - Accent4 3 2 3 2 3 2" xfId="36437"/>
    <cellStyle name="40% - Accent4 3 2 3 2 4" xfId="36438"/>
    <cellStyle name="40% - Accent4 3 2 3 3" xfId="36439"/>
    <cellStyle name="40% - Accent4 3 2 3 3 2" xfId="36440"/>
    <cellStyle name="40% - Accent4 3 2 3 3 2 2" xfId="36441"/>
    <cellStyle name="40% - Accent4 3 2 3 3 3" xfId="36442"/>
    <cellStyle name="40% - Accent4 3 2 3 4" xfId="36443"/>
    <cellStyle name="40% - Accent4 3 2 3 4 2" xfId="36444"/>
    <cellStyle name="40% - Accent4 3 2 3 5" xfId="36445"/>
    <cellStyle name="40% - Accent4 3 2 4" xfId="36446"/>
    <cellStyle name="40% - Accent4 3 2 4 2" xfId="36447"/>
    <cellStyle name="40% - Accent4 3 2 4 2 2" xfId="36448"/>
    <cellStyle name="40% - Accent4 3 2 4 2 2 2" xfId="36449"/>
    <cellStyle name="40% - Accent4 3 2 4 2 2 2 2" xfId="36450"/>
    <cellStyle name="40% - Accent4 3 2 4 2 2 3" xfId="36451"/>
    <cellStyle name="40% - Accent4 3 2 4 2 3" xfId="36452"/>
    <cellStyle name="40% - Accent4 3 2 4 2 3 2" xfId="36453"/>
    <cellStyle name="40% - Accent4 3 2 4 2 4" xfId="36454"/>
    <cellStyle name="40% - Accent4 3 2 4 3" xfId="36455"/>
    <cellStyle name="40% - Accent4 3 2 4 3 2" xfId="36456"/>
    <cellStyle name="40% - Accent4 3 2 4 3 2 2" xfId="36457"/>
    <cellStyle name="40% - Accent4 3 2 4 3 3" xfId="36458"/>
    <cellStyle name="40% - Accent4 3 2 4 4" xfId="36459"/>
    <cellStyle name="40% - Accent4 3 2 4 4 2" xfId="36460"/>
    <cellStyle name="40% - Accent4 3 2 4 5" xfId="36461"/>
    <cellStyle name="40% - Accent4 3 2 5" xfId="36462"/>
    <cellStyle name="40% - Accent4 3 2 5 2" xfId="36463"/>
    <cellStyle name="40% - Accent4 3 2 5 2 2" xfId="36464"/>
    <cellStyle name="40% - Accent4 3 2 5 2 2 2" xfId="36465"/>
    <cellStyle name="40% - Accent4 3 2 5 2 2 2 2" xfId="36466"/>
    <cellStyle name="40% - Accent4 3 2 5 2 2 3" xfId="36467"/>
    <cellStyle name="40% - Accent4 3 2 5 2 3" xfId="36468"/>
    <cellStyle name="40% - Accent4 3 2 5 2 3 2" xfId="36469"/>
    <cellStyle name="40% - Accent4 3 2 5 2 4" xfId="36470"/>
    <cellStyle name="40% - Accent4 3 2 5 3" xfId="36471"/>
    <cellStyle name="40% - Accent4 3 2 5 3 2" xfId="36472"/>
    <cellStyle name="40% - Accent4 3 2 5 3 2 2" xfId="36473"/>
    <cellStyle name="40% - Accent4 3 2 5 3 3" xfId="36474"/>
    <cellStyle name="40% - Accent4 3 2 5 4" xfId="36475"/>
    <cellStyle name="40% - Accent4 3 2 5 4 2" xfId="36476"/>
    <cellStyle name="40% - Accent4 3 2 5 5" xfId="36477"/>
    <cellStyle name="40% - Accent4 3 2 6" xfId="36478"/>
    <cellStyle name="40% - Accent4 3 2 6 2" xfId="36479"/>
    <cellStyle name="40% - Accent4 3 2 6 2 2" xfId="36480"/>
    <cellStyle name="40% - Accent4 3 2 6 2 2 2" xfId="36481"/>
    <cellStyle name="40% - Accent4 3 2 6 2 2 2 2" xfId="36482"/>
    <cellStyle name="40% - Accent4 3 2 6 2 2 3" xfId="36483"/>
    <cellStyle name="40% - Accent4 3 2 6 2 3" xfId="36484"/>
    <cellStyle name="40% - Accent4 3 2 6 2 3 2" xfId="36485"/>
    <cellStyle name="40% - Accent4 3 2 6 2 4" xfId="36486"/>
    <cellStyle name="40% - Accent4 3 2 6 3" xfId="36487"/>
    <cellStyle name="40% - Accent4 3 2 6 3 2" xfId="36488"/>
    <cellStyle name="40% - Accent4 3 2 6 3 2 2" xfId="36489"/>
    <cellStyle name="40% - Accent4 3 2 6 3 3" xfId="36490"/>
    <cellStyle name="40% - Accent4 3 2 6 4" xfId="36491"/>
    <cellStyle name="40% - Accent4 3 2 6 4 2" xfId="36492"/>
    <cellStyle name="40% - Accent4 3 2 6 5" xfId="36493"/>
    <cellStyle name="40% - Accent4 3 2 7" xfId="36494"/>
    <cellStyle name="40% - Accent4 3 2 7 2" xfId="36495"/>
    <cellStyle name="40% - Accent4 3 2 7 2 2" xfId="36496"/>
    <cellStyle name="40% - Accent4 3 2 7 2 2 2" xfId="36497"/>
    <cellStyle name="40% - Accent4 3 2 7 2 3" xfId="36498"/>
    <cellStyle name="40% - Accent4 3 2 7 3" xfId="36499"/>
    <cellStyle name="40% - Accent4 3 2 7 3 2" xfId="36500"/>
    <cellStyle name="40% - Accent4 3 2 7 4" xfId="36501"/>
    <cellStyle name="40% - Accent4 3 2 8" xfId="36502"/>
    <cellStyle name="40% - Accent4 3 2 8 2" xfId="36503"/>
    <cellStyle name="40% - Accent4 3 2 8 2 2" xfId="36504"/>
    <cellStyle name="40% - Accent4 3 2 8 3" xfId="36505"/>
    <cellStyle name="40% - Accent4 3 2 9" xfId="36506"/>
    <cellStyle name="40% - Accent4 3 2 9 2" xfId="36507"/>
    <cellStyle name="40% - Accent4 3 3" xfId="36508"/>
    <cellStyle name="40% - Accent4 3 3 2" xfId="36509"/>
    <cellStyle name="40% - Accent4 3 3 2 2" xfId="36510"/>
    <cellStyle name="40% - Accent4 3 3 2 2 2" xfId="36511"/>
    <cellStyle name="40% - Accent4 3 3 2 2 2 2" xfId="36512"/>
    <cellStyle name="40% - Accent4 3 3 2 2 3" xfId="36513"/>
    <cellStyle name="40% - Accent4 3 3 2 3" xfId="36514"/>
    <cellStyle name="40% - Accent4 3 3 2 3 2" xfId="36515"/>
    <cellStyle name="40% - Accent4 3 3 2 4" xfId="36516"/>
    <cellStyle name="40% - Accent4 3 3 3" xfId="36517"/>
    <cellStyle name="40% - Accent4 3 3 3 2" xfId="36518"/>
    <cellStyle name="40% - Accent4 3 3 3 2 2" xfId="36519"/>
    <cellStyle name="40% - Accent4 3 3 3 3" xfId="36520"/>
    <cellStyle name="40% - Accent4 3 3 4" xfId="36521"/>
    <cellStyle name="40% - Accent4 3 3 4 2" xfId="36522"/>
    <cellStyle name="40% - Accent4 3 3 5" xfId="36523"/>
    <cellStyle name="40% - Accent4 3 4" xfId="36524"/>
    <cellStyle name="40% - Accent4 3 4 2" xfId="36525"/>
    <cellStyle name="40% - Accent4 3 4 2 2" xfId="36526"/>
    <cellStyle name="40% - Accent4 3 4 2 2 2" xfId="36527"/>
    <cellStyle name="40% - Accent4 3 4 2 2 2 2" xfId="36528"/>
    <cellStyle name="40% - Accent4 3 4 2 2 3" xfId="36529"/>
    <cellStyle name="40% - Accent4 3 4 2 3" xfId="36530"/>
    <cellStyle name="40% - Accent4 3 4 2 3 2" xfId="36531"/>
    <cellStyle name="40% - Accent4 3 4 2 4" xfId="36532"/>
    <cellStyle name="40% - Accent4 3 4 3" xfId="36533"/>
    <cellStyle name="40% - Accent4 3 4 3 2" xfId="36534"/>
    <cellStyle name="40% - Accent4 3 4 3 2 2" xfId="36535"/>
    <cellStyle name="40% - Accent4 3 4 3 3" xfId="36536"/>
    <cellStyle name="40% - Accent4 3 4 4" xfId="36537"/>
    <cellStyle name="40% - Accent4 3 4 4 2" xfId="36538"/>
    <cellStyle name="40% - Accent4 3 4 5" xfId="36539"/>
    <cellStyle name="40% - Accent4 3 5" xfId="36540"/>
    <cellStyle name="40% - Accent4 3 5 2" xfId="36541"/>
    <cellStyle name="40% - Accent4 3 5 2 2" xfId="36542"/>
    <cellStyle name="40% - Accent4 3 5 2 2 2" xfId="36543"/>
    <cellStyle name="40% - Accent4 3 5 2 2 2 2" xfId="36544"/>
    <cellStyle name="40% - Accent4 3 5 2 2 3" xfId="36545"/>
    <cellStyle name="40% - Accent4 3 5 2 3" xfId="36546"/>
    <cellStyle name="40% - Accent4 3 5 2 3 2" xfId="36547"/>
    <cellStyle name="40% - Accent4 3 5 2 4" xfId="36548"/>
    <cellStyle name="40% - Accent4 3 5 3" xfId="36549"/>
    <cellStyle name="40% - Accent4 3 5 3 2" xfId="36550"/>
    <cellStyle name="40% - Accent4 3 5 3 2 2" xfId="36551"/>
    <cellStyle name="40% - Accent4 3 5 3 3" xfId="36552"/>
    <cellStyle name="40% - Accent4 3 5 4" xfId="36553"/>
    <cellStyle name="40% - Accent4 3 5 4 2" xfId="36554"/>
    <cellStyle name="40% - Accent4 3 5 5" xfId="36555"/>
    <cellStyle name="40% - Accent4 3 6" xfId="36556"/>
    <cellStyle name="40% - Accent4 3 6 2" xfId="36557"/>
    <cellStyle name="40% - Accent4 3 6 2 2" xfId="36558"/>
    <cellStyle name="40% - Accent4 3 6 2 2 2" xfId="36559"/>
    <cellStyle name="40% - Accent4 3 6 2 2 2 2" xfId="36560"/>
    <cellStyle name="40% - Accent4 3 6 2 2 3" xfId="36561"/>
    <cellStyle name="40% - Accent4 3 6 2 3" xfId="36562"/>
    <cellStyle name="40% - Accent4 3 6 2 3 2" xfId="36563"/>
    <cellStyle name="40% - Accent4 3 6 2 4" xfId="36564"/>
    <cellStyle name="40% - Accent4 3 6 3" xfId="36565"/>
    <cellStyle name="40% - Accent4 3 6 3 2" xfId="36566"/>
    <cellStyle name="40% - Accent4 3 6 3 2 2" xfId="36567"/>
    <cellStyle name="40% - Accent4 3 6 3 3" xfId="36568"/>
    <cellStyle name="40% - Accent4 3 6 4" xfId="36569"/>
    <cellStyle name="40% - Accent4 3 6 4 2" xfId="36570"/>
    <cellStyle name="40% - Accent4 3 6 5" xfId="36571"/>
    <cellStyle name="40% - Accent4 3 7" xfId="36572"/>
    <cellStyle name="40% - Accent4 3 7 2" xfId="36573"/>
    <cellStyle name="40% - Accent4 3 7 2 2" xfId="36574"/>
    <cellStyle name="40% - Accent4 3 7 2 2 2" xfId="36575"/>
    <cellStyle name="40% - Accent4 3 7 2 2 2 2" xfId="36576"/>
    <cellStyle name="40% - Accent4 3 7 2 2 3" xfId="36577"/>
    <cellStyle name="40% - Accent4 3 7 2 3" xfId="36578"/>
    <cellStyle name="40% - Accent4 3 7 2 3 2" xfId="36579"/>
    <cellStyle name="40% - Accent4 3 7 2 4" xfId="36580"/>
    <cellStyle name="40% - Accent4 3 7 3" xfId="36581"/>
    <cellStyle name="40% - Accent4 3 7 3 2" xfId="36582"/>
    <cellStyle name="40% - Accent4 3 7 3 2 2" xfId="36583"/>
    <cellStyle name="40% - Accent4 3 7 3 3" xfId="36584"/>
    <cellStyle name="40% - Accent4 3 7 4" xfId="36585"/>
    <cellStyle name="40% - Accent4 3 7 4 2" xfId="36586"/>
    <cellStyle name="40% - Accent4 3 7 5" xfId="36587"/>
    <cellStyle name="40% - Accent4 3 8" xfId="36588"/>
    <cellStyle name="40% - Accent4 3 8 2" xfId="36589"/>
    <cellStyle name="40% - Accent4 3 8 2 2" xfId="36590"/>
    <cellStyle name="40% - Accent4 3 8 2 2 2" xfId="36591"/>
    <cellStyle name="40% - Accent4 3 8 2 3" xfId="36592"/>
    <cellStyle name="40% - Accent4 3 8 3" xfId="36593"/>
    <cellStyle name="40% - Accent4 3 8 3 2" xfId="36594"/>
    <cellStyle name="40% - Accent4 3 8 4" xfId="36595"/>
    <cellStyle name="40% - Accent4 3 9" xfId="36596"/>
    <cellStyle name="40% - Accent4 3 9 2" xfId="36597"/>
    <cellStyle name="40% - Accent4 3 9 2 2" xfId="36598"/>
    <cellStyle name="40% - Accent4 3 9 3" xfId="36599"/>
    <cellStyle name="40% - Accent4 4" xfId="36600"/>
    <cellStyle name="40% - Accent4 4 10" xfId="36601"/>
    <cellStyle name="40% - Accent4 4 10 2" xfId="36602"/>
    <cellStyle name="40% - Accent4 4 11" xfId="36603"/>
    <cellStyle name="40% - Accent4 4 2" xfId="36604"/>
    <cellStyle name="40% - Accent4 4 2 10" xfId="36605"/>
    <cellStyle name="40% - Accent4 4 2 2" xfId="36606"/>
    <cellStyle name="40% - Accent4 4 2 2 2" xfId="36607"/>
    <cellStyle name="40% - Accent4 4 2 2 2 2" xfId="36608"/>
    <cellStyle name="40% - Accent4 4 2 2 2 2 2" xfId="36609"/>
    <cellStyle name="40% - Accent4 4 2 2 2 2 2 2" xfId="36610"/>
    <cellStyle name="40% - Accent4 4 2 2 2 2 3" xfId="36611"/>
    <cellStyle name="40% - Accent4 4 2 2 2 3" xfId="36612"/>
    <cellStyle name="40% - Accent4 4 2 2 2 3 2" xfId="36613"/>
    <cellStyle name="40% - Accent4 4 2 2 2 4" xfId="36614"/>
    <cellStyle name="40% - Accent4 4 2 2 3" xfId="36615"/>
    <cellStyle name="40% - Accent4 4 2 2 3 2" xfId="36616"/>
    <cellStyle name="40% - Accent4 4 2 2 3 2 2" xfId="36617"/>
    <cellStyle name="40% - Accent4 4 2 2 3 3" xfId="36618"/>
    <cellStyle name="40% - Accent4 4 2 2 4" xfId="36619"/>
    <cellStyle name="40% - Accent4 4 2 2 4 2" xfId="36620"/>
    <cellStyle name="40% - Accent4 4 2 2 5" xfId="36621"/>
    <cellStyle name="40% - Accent4 4 2 3" xfId="36622"/>
    <cellStyle name="40% - Accent4 4 2 3 2" xfId="36623"/>
    <cellStyle name="40% - Accent4 4 2 3 2 2" xfId="36624"/>
    <cellStyle name="40% - Accent4 4 2 3 2 2 2" xfId="36625"/>
    <cellStyle name="40% - Accent4 4 2 3 2 2 2 2" xfId="36626"/>
    <cellStyle name="40% - Accent4 4 2 3 2 2 3" xfId="36627"/>
    <cellStyle name="40% - Accent4 4 2 3 2 3" xfId="36628"/>
    <cellStyle name="40% - Accent4 4 2 3 2 3 2" xfId="36629"/>
    <cellStyle name="40% - Accent4 4 2 3 2 4" xfId="36630"/>
    <cellStyle name="40% - Accent4 4 2 3 3" xfId="36631"/>
    <cellStyle name="40% - Accent4 4 2 3 3 2" xfId="36632"/>
    <cellStyle name="40% - Accent4 4 2 3 3 2 2" xfId="36633"/>
    <cellStyle name="40% - Accent4 4 2 3 3 3" xfId="36634"/>
    <cellStyle name="40% - Accent4 4 2 3 4" xfId="36635"/>
    <cellStyle name="40% - Accent4 4 2 3 4 2" xfId="36636"/>
    <cellStyle name="40% - Accent4 4 2 3 5" xfId="36637"/>
    <cellStyle name="40% - Accent4 4 2 4" xfId="36638"/>
    <cellStyle name="40% - Accent4 4 2 4 2" xfId="36639"/>
    <cellStyle name="40% - Accent4 4 2 4 2 2" xfId="36640"/>
    <cellStyle name="40% - Accent4 4 2 4 2 2 2" xfId="36641"/>
    <cellStyle name="40% - Accent4 4 2 4 2 2 2 2" xfId="36642"/>
    <cellStyle name="40% - Accent4 4 2 4 2 2 3" xfId="36643"/>
    <cellStyle name="40% - Accent4 4 2 4 2 3" xfId="36644"/>
    <cellStyle name="40% - Accent4 4 2 4 2 3 2" xfId="36645"/>
    <cellStyle name="40% - Accent4 4 2 4 2 4" xfId="36646"/>
    <cellStyle name="40% - Accent4 4 2 4 3" xfId="36647"/>
    <cellStyle name="40% - Accent4 4 2 4 3 2" xfId="36648"/>
    <cellStyle name="40% - Accent4 4 2 4 3 2 2" xfId="36649"/>
    <cellStyle name="40% - Accent4 4 2 4 3 3" xfId="36650"/>
    <cellStyle name="40% - Accent4 4 2 4 4" xfId="36651"/>
    <cellStyle name="40% - Accent4 4 2 4 4 2" xfId="36652"/>
    <cellStyle name="40% - Accent4 4 2 4 5" xfId="36653"/>
    <cellStyle name="40% - Accent4 4 2 5" xfId="36654"/>
    <cellStyle name="40% - Accent4 4 2 5 2" xfId="36655"/>
    <cellStyle name="40% - Accent4 4 2 5 2 2" xfId="36656"/>
    <cellStyle name="40% - Accent4 4 2 5 2 2 2" xfId="36657"/>
    <cellStyle name="40% - Accent4 4 2 5 2 2 2 2" xfId="36658"/>
    <cellStyle name="40% - Accent4 4 2 5 2 2 3" xfId="36659"/>
    <cellStyle name="40% - Accent4 4 2 5 2 3" xfId="36660"/>
    <cellStyle name="40% - Accent4 4 2 5 2 3 2" xfId="36661"/>
    <cellStyle name="40% - Accent4 4 2 5 2 4" xfId="36662"/>
    <cellStyle name="40% - Accent4 4 2 5 3" xfId="36663"/>
    <cellStyle name="40% - Accent4 4 2 5 3 2" xfId="36664"/>
    <cellStyle name="40% - Accent4 4 2 5 3 2 2" xfId="36665"/>
    <cellStyle name="40% - Accent4 4 2 5 3 3" xfId="36666"/>
    <cellStyle name="40% - Accent4 4 2 5 4" xfId="36667"/>
    <cellStyle name="40% - Accent4 4 2 5 4 2" xfId="36668"/>
    <cellStyle name="40% - Accent4 4 2 5 5" xfId="36669"/>
    <cellStyle name="40% - Accent4 4 2 6" xfId="36670"/>
    <cellStyle name="40% - Accent4 4 2 6 2" xfId="36671"/>
    <cellStyle name="40% - Accent4 4 2 6 2 2" xfId="36672"/>
    <cellStyle name="40% - Accent4 4 2 6 2 2 2" xfId="36673"/>
    <cellStyle name="40% - Accent4 4 2 6 2 2 2 2" xfId="36674"/>
    <cellStyle name="40% - Accent4 4 2 6 2 2 3" xfId="36675"/>
    <cellStyle name="40% - Accent4 4 2 6 2 3" xfId="36676"/>
    <cellStyle name="40% - Accent4 4 2 6 2 3 2" xfId="36677"/>
    <cellStyle name="40% - Accent4 4 2 6 2 4" xfId="36678"/>
    <cellStyle name="40% - Accent4 4 2 6 3" xfId="36679"/>
    <cellStyle name="40% - Accent4 4 2 6 3 2" xfId="36680"/>
    <cellStyle name="40% - Accent4 4 2 6 3 2 2" xfId="36681"/>
    <cellStyle name="40% - Accent4 4 2 6 3 3" xfId="36682"/>
    <cellStyle name="40% - Accent4 4 2 6 4" xfId="36683"/>
    <cellStyle name="40% - Accent4 4 2 6 4 2" xfId="36684"/>
    <cellStyle name="40% - Accent4 4 2 6 5" xfId="36685"/>
    <cellStyle name="40% - Accent4 4 2 7" xfId="36686"/>
    <cellStyle name="40% - Accent4 4 2 7 2" xfId="36687"/>
    <cellStyle name="40% - Accent4 4 2 7 2 2" xfId="36688"/>
    <cellStyle name="40% - Accent4 4 2 7 2 2 2" xfId="36689"/>
    <cellStyle name="40% - Accent4 4 2 7 2 3" xfId="36690"/>
    <cellStyle name="40% - Accent4 4 2 7 3" xfId="36691"/>
    <cellStyle name="40% - Accent4 4 2 7 3 2" xfId="36692"/>
    <cellStyle name="40% - Accent4 4 2 7 4" xfId="36693"/>
    <cellStyle name="40% - Accent4 4 2 8" xfId="36694"/>
    <cellStyle name="40% - Accent4 4 2 8 2" xfId="36695"/>
    <cellStyle name="40% - Accent4 4 2 8 2 2" xfId="36696"/>
    <cellStyle name="40% - Accent4 4 2 8 3" xfId="36697"/>
    <cellStyle name="40% - Accent4 4 2 9" xfId="36698"/>
    <cellStyle name="40% - Accent4 4 2 9 2" xfId="36699"/>
    <cellStyle name="40% - Accent4 4 3" xfId="36700"/>
    <cellStyle name="40% - Accent4 4 3 2" xfId="36701"/>
    <cellStyle name="40% - Accent4 4 3 2 2" xfId="36702"/>
    <cellStyle name="40% - Accent4 4 3 2 2 2" xfId="36703"/>
    <cellStyle name="40% - Accent4 4 3 2 2 2 2" xfId="36704"/>
    <cellStyle name="40% - Accent4 4 3 2 2 3" xfId="36705"/>
    <cellStyle name="40% - Accent4 4 3 2 3" xfId="36706"/>
    <cellStyle name="40% - Accent4 4 3 2 3 2" xfId="36707"/>
    <cellStyle name="40% - Accent4 4 3 2 4" xfId="36708"/>
    <cellStyle name="40% - Accent4 4 3 3" xfId="36709"/>
    <cellStyle name="40% - Accent4 4 3 3 2" xfId="36710"/>
    <cellStyle name="40% - Accent4 4 3 3 2 2" xfId="36711"/>
    <cellStyle name="40% - Accent4 4 3 3 3" xfId="36712"/>
    <cellStyle name="40% - Accent4 4 3 4" xfId="36713"/>
    <cellStyle name="40% - Accent4 4 3 4 2" xfId="36714"/>
    <cellStyle name="40% - Accent4 4 3 5" xfId="36715"/>
    <cellStyle name="40% - Accent4 4 4" xfId="36716"/>
    <cellStyle name="40% - Accent4 4 4 2" xfId="36717"/>
    <cellStyle name="40% - Accent4 4 4 2 2" xfId="36718"/>
    <cellStyle name="40% - Accent4 4 4 2 2 2" xfId="36719"/>
    <cellStyle name="40% - Accent4 4 4 2 2 2 2" xfId="36720"/>
    <cellStyle name="40% - Accent4 4 4 2 2 3" xfId="36721"/>
    <cellStyle name="40% - Accent4 4 4 2 3" xfId="36722"/>
    <cellStyle name="40% - Accent4 4 4 2 3 2" xfId="36723"/>
    <cellStyle name="40% - Accent4 4 4 2 4" xfId="36724"/>
    <cellStyle name="40% - Accent4 4 4 3" xfId="36725"/>
    <cellStyle name="40% - Accent4 4 4 3 2" xfId="36726"/>
    <cellStyle name="40% - Accent4 4 4 3 2 2" xfId="36727"/>
    <cellStyle name="40% - Accent4 4 4 3 3" xfId="36728"/>
    <cellStyle name="40% - Accent4 4 4 4" xfId="36729"/>
    <cellStyle name="40% - Accent4 4 4 4 2" xfId="36730"/>
    <cellStyle name="40% - Accent4 4 4 5" xfId="36731"/>
    <cellStyle name="40% - Accent4 4 5" xfId="36732"/>
    <cellStyle name="40% - Accent4 4 5 2" xfId="36733"/>
    <cellStyle name="40% - Accent4 4 5 2 2" xfId="36734"/>
    <cellStyle name="40% - Accent4 4 5 2 2 2" xfId="36735"/>
    <cellStyle name="40% - Accent4 4 5 2 2 2 2" xfId="36736"/>
    <cellStyle name="40% - Accent4 4 5 2 2 3" xfId="36737"/>
    <cellStyle name="40% - Accent4 4 5 2 3" xfId="36738"/>
    <cellStyle name="40% - Accent4 4 5 2 3 2" xfId="36739"/>
    <cellStyle name="40% - Accent4 4 5 2 4" xfId="36740"/>
    <cellStyle name="40% - Accent4 4 5 3" xfId="36741"/>
    <cellStyle name="40% - Accent4 4 5 3 2" xfId="36742"/>
    <cellStyle name="40% - Accent4 4 5 3 2 2" xfId="36743"/>
    <cellStyle name="40% - Accent4 4 5 3 3" xfId="36744"/>
    <cellStyle name="40% - Accent4 4 5 4" xfId="36745"/>
    <cellStyle name="40% - Accent4 4 5 4 2" xfId="36746"/>
    <cellStyle name="40% - Accent4 4 5 5" xfId="36747"/>
    <cellStyle name="40% - Accent4 4 6" xfId="36748"/>
    <cellStyle name="40% - Accent4 4 6 2" xfId="36749"/>
    <cellStyle name="40% - Accent4 4 6 2 2" xfId="36750"/>
    <cellStyle name="40% - Accent4 4 6 2 2 2" xfId="36751"/>
    <cellStyle name="40% - Accent4 4 6 2 2 2 2" xfId="36752"/>
    <cellStyle name="40% - Accent4 4 6 2 2 3" xfId="36753"/>
    <cellStyle name="40% - Accent4 4 6 2 3" xfId="36754"/>
    <cellStyle name="40% - Accent4 4 6 2 3 2" xfId="36755"/>
    <cellStyle name="40% - Accent4 4 6 2 4" xfId="36756"/>
    <cellStyle name="40% - Accent4 4 6 3" xfId="36757"/>
    <cellStyle name="40% - Accent4 4 6 3 2" xfId="36758"/>
    <cellStyle name="40% - Accent4 4 6 3 2 2" xfId="36759"/>
    <cellStyle name="40% - Accent4 4 6 3 3" xfId="36760"/>
    <cellStyle name="40% - Accent4 4 6 4" xfId="36761"/>
    <cellStyle name="40% - Accent4 4 6 4 2" xfId="36762"/>
    <cellStyle name="40% - Accent4 4 6 5" xfId="36763"/>
    <cellStyle name="40% - Accent4 4 7" xfId="36764"/>
    <cellStyle name="40% - Accent4 4 7 2" xfId="36765"/>
    <cellStyle name="40% - Accent4 4 7 2 2" xfId="36766"/>
    <cellStyle name="40% - Accent4 4 7 2 2 2" xfId="36767"/>
    <cellStyle name="40% - Accent4 4 7 2 2 2 2" xfId="36768"/>
    <cellStyle name="40% - Accent4 4 7 2 2 3" xfId="36769"/>
    <cellStyle name="40% - Accent4 4 7 2 3" xfId="36770"/>
    <cellStyle name="40% - Accent4 4 7 2 3 2" xfId="36771"/>
    <cellStyle name="40% - Accent4 4 7 2 4" xfId="36772"/>
    <cellStyle name="40% - Accent4 4 7 3" xfId="36773"/>
    <cellStyle name="40% - Accent4 4 7 3 2" xfId="36774"/>
    <cellStyle name="40% - Accent4 4 7 3 2 2" xfId="36775"/>
    <cellStyle name="40% - Accent4 4 7 3 3" xfId="36776"/>
    <cellStyle name="40% - Accent4 4 7 4" xfId="36777"/>
    <cellStyle name="40% - Accent4 4 7 4 2" xfId="36778"/>
    <cellStyle name="40% - Accent4 4 7 5" xfId="36779"/>
    <cellStyle name="40% - Accent4 4 8" xfId="36780"/>
    <cellStyle name="40% - Accent4 4 8 2" xfId="36781"/>
    <cellStyle name="40% - Accent4 4 8 2 2" xfId="36782"/>
    <cellStyle name="40% - Accent4 4 8 2 2 2" xfId="36783"/>
    <cellStyle name="40% - Accent4 4 8 2 3" xfId="36784"/>
    <cellStyle name="40% - Accent4 4 8 3" xfId="36785"/>
    <cellStyle name="40% - Accent4 4 8 3 2" xfId="36786"/>
    <cellStyle name="40% - Accent4 4 8 4" xfId="36787"/>
    <cellStyle name="40% - Accent4 4 9" xfId="36788"/>
    <cellStyle name="40% - Accent4 4 9 2" xfId="36789"/>
    <cellStyle name="40% - Accent4 4 9 2 2" xfId="36790"/>
    <cellStyle name="40% - Accent4 4 9 3" xfId="36791"/>
    <cellStyle name="40% - Accent4 5" xfId="36792"/>
    <cellStyle name="40% - Accent4 5 10" xfId="36793"/>
    <cellStyle name="40% - Accent4 5 10 2" xfId="36794"/>
    <cellStyle name="40% - Accent4 5 11" xfId="36795"/>
    <cellStyle name="40% - Accent4 5 2" xfId="36796"/>
    <cellStyle name="40% - Accent4 5 2 10" xfId="36797"/>
    <cellStyle name="40% - Accent4 5 2 2" xfId="36798"/>
    <cellStyle name="40% - Accent4 5 2 2 2" xfId="36799"/>
    <cellStyle name="40% - Accent4 5 2 2 2 2" xfId="36800"/>
    <cellStyle name="40% - Accent4 5 2 2 2 2 2" xfId="36801"/>
    <cellStyle name="40% - Accent4 5 2 2 2 2 2 2" xfId="36802"/>
    <cellStyle name="40% - Accent4 5 2 2 2 2 3" xfId="36803"/>
    <cellStyle name="40% - Accent4 5 2 2 2 3" xfId="36804"/>
    <cellStyle name="40% - Accent4 5 2 2 2 3 2" xfId="36805"/>
    <cellStyle name="40% - Accent4 5 2 2 2 4" xfId="36806"/>
    <cellStyle name="40% - Accent4 5 2 2 3" xfId="36807"/>
    <cellStyle name="40% - Accent4 5 2 2 3 2" xfId="36808"/>
    <cellStyle name="40% - Accent4 5 2 2 3 2 2" xfId="36809"/>
    <cellStyle name="40% - Accent4 5 2 2 3 3" xfId="36810"/>
    <cellStyle name="40% - Accent4 5 2 2 4" xfId="36811"/>
    <cellStyle name="40% - Accent4 5 2 2 4 2" xfId="36812"/>
    <cellStyle name="40% - Accent4 5 2 2 5" xfId="36813"/>
    <cellStyle name="40% - Accent4 5 2 3" xfId="36814"/>
    <cellStyle name="40% - Accent4 5 2 3 2" xfId="36815"/>
    <cellStyle name="40% - Accent4 5 2 3 2 2" xfId="36816"/>
    <cellStyle name="40% - Accent4 5 2 3 2 2 2" xfId="36817"/>
    <cellStyle name="40% - Accent4 5 2 3 2 2 2 2" xfId="36818"/>
    <cellStyle name="40% - Accent4 5 2 3 2 2 3" xfId="36819"/>
    <cellStyle name="40% - Accent4 5 2 3 2 3" xfId="36820"/>
    <cellStyle name="40% - Accent4 5 2 3 2 3 2" xfId="36821"/>
    <cellStyle name="40% - Accent4 5 2 3 2 4" xfId="36822"/>
    <cellStyle name="40% - Accent4 5 2 3 3" xfId="36823"/>
    <cellStyle name="40% - Accent4 5 2 3 3 2" xfId="36824"/>
    <cellStyle name="40% - Accent4 5 2 3 3 2 2" xfId="36825"/>
    <cellStyle name="40% - Accent4 5 2 3 3 3" xfId="36826"/>
    <cellStyle name="40% - Accent4 5 2 3 4" xfId="36827"/>
    <cellStyle name="40% - Accent4 5 2 3 4 2" xfId="36828"/>
    <cellStyle name="40% - Accent4 5 2 3 5" xfId="36829"/>
    <cellStyle name="40% - Accent4 5 2 4" xfId="36830"/>
    <cellStyle name="40% - Accent4 5 2 4 2" xfId="36831"/>
    <cellStyle name="40% - Accent4 5 2 4 2 2" xfId="36832"/>
    <cellStyle name="40% - Accent4 5 2 4 2 2 2" xfId="36833"/>
    <cellStyle name="40% - Accent4 5 2 4 2 2 2 2" xfId="36834"/>
    <cellStyle name="40% - Accent4 5 2 4 2 2 3" xfId="36835"/>
    <cellStyle name="40% - Accent4 5 2 4 2 3" xfId="36836"/>
    <cellStyle name="40% - Accent4 5 2 4 2 3 2" xfId="36837"/>
    <cellStyle name="40% - Accent4 5 2 4 2 4" xfId="36838"/>
    <cellStyle name="40% - Accent4 5 2 4 3" xfId="36839"/>
    <cellStyle name="40% - Accent4 5 2 4 3 2" xfId="36840"/>
    <cellStyle name="40% - Accent4 5 2 4 3 2 2" xfId="36841"/>
    <cellStyle name="40% - Accent4 5 2 4 3 3" xfId="36842"/>
    <cellStyle name="40% - Accent4 5 2 4 4" xfId="36843"/>
    <cellStyle name="40% - Accent4 5 2 4 4 2" xfId="36844"/>
    <cellStyle name="40% - Accent4 5 2 4 5" xfId="36845"/>
    <cellStyle name="40% - Accent4 5 2 5" xfId="36846"/>
    <cellStyle name="40% - Accent4 5 2 5 2" xfId="36847"/>
    <cellStyle name="40% - Accent4 5 2 5 2 2" xfId="36848"/>
    <cellStyle name="40% - Accent4 5 2 5 2 2 2" xfId="36849"/>
    <cellStyle name="40% - Accent4 5 2 5 2 2 2 2" xfId="36850"/>
    <cellStyle name="40% - Accent4 5 2 5 2 2 3" xfId="36851"/>
    <cellStyle name="40% - Accent4 5 2 5 2 3" xfId="36852"/>
    <cellStyle name="40% - Accent4 5 2 5 2 3 2" xfId="36853"/>
    <cellStyle name="40% - Accent4 5 2 5 2 4" xfId="36854"/>
    <cellStyle name="40% - Accent4 5 2 5 3" xfId="36855"/>
    <cellStyle name="40% - Accent4 5 2 5 3 2" xfId="36856"/>
    <cellStyle name="40% - Accent4 5 2 5 3 2 2" xfId="36857"/>
    <cellStyle name="40% - Accent4 5 2 5 3 3" xfId="36858"/>
    <cellStyle name="40% - Accent4 5 2 5 4" xfId="36859"/>
    <cellStyle name="40% - Accent4 5 2 5 4 2" xfId="36860"/>
    <cellStyle name="40% - Accent4 5 2 5 5" xfId="36861"/>
    <cellStyle name="40% - Accent4 5 2 6" xfId="36862"/>
    <cellStyle name="40% - Accent4 5 2 6 2" xfId="36863"/>
    <cellStyle name="40% - Accent4 5 2 6 2 2" xfId="36864"/>
    <cellStyle name="40% - Accent4 5 2 6 2 2 2" xfId="36865"/>
    <cellStyle name="40% - Accent4 5 2 6 2 2 2 2" xfId="36866"/>
    <cellStyle name="40% - Accent4 5 2 6 2 2 3" xfId="36867"/>
    <cellStyle name="40% - Accent4 5 2 6 2 3" xfId="36868"/>
    <cellStyle name="40% - Accent4 5 2 6 2 3 2" xfId="36869"/>
    <cellStyle name="40% - Accent4 5 2 6 2 4" xfId="36870"/>
    <cellStyle name="40% - Accent4 5 2 6 3" xfId="36871"/>
    <cellStyle name="40% - Accent4 5 2 6 3 2" xfId="36872"/>
    <cellStyle name="40% - Accent4 5 2 6 3 2 2" xfId="36873"/>
    <cellStyle name="40% - Accent4 5 2 6 3 3" xfId="36874"/>
    <cellStyle name="40% - Accent4 5 2 6 4" xfId="36875"/>
    <cellStyle name="40% - Accent4 5 2 6 4 2" xfId="36876"/>
    <cellStyle name="40% - Accent4 5 2 6 5" xfId="36877"/>
    <cellStyle name="40% - Accent4 5 2 7" xfId="36878"/>
    <cellStyle name="40% - Accent4 5 2 7 2" xfId="36879"/>
    <cellStyle name="40% - Accent4 5 2 7 2 2" xfId="36880"/>
    <cellStyle name="40% - Accent4 5 2 7 2 2 2" xfId="36881"/>
    <cellStyle name="40% - Accent4 5 2 7 2 3" xfId="36882"/>
    <cellStyle name="40% - Accent4 5 2 7 3" xfId="36883"/>
    <cellStyle name="40% - Accent4 5 2 7 3 2" xfId="36884"/>
    <cellStyle name="40% - Accent4 5 2 7 4" xfId="36885"/>
    <cellStyle name="40% - Accent4 5 2 8" xfId="36886"/>
    <cellStyle name="40% - Accent4 5 2 8 2" xfId="36887"/>
    <cellStyle name="40% - Accent4 5 2 8 2 2" xfId="36888"/>
    <cellStyle name="40% - Accent4 5 2 8 3" xfId="36889"/>
    <cellStyle name="40% - Accent4 5 2 9" xfId="36890"/>
    <cellStyle name="40% - Accent4 5 2 9 2" xfId="36891"/>
    <cellStyle name="40% - Accent4 5 3" xfId="36892"/>
    <cellStyle name="40% - Accent4 5 3 2" xfId="36893"/>
    <cellStyle name="40% - Accent4 5 3 2 2" xfId="36894"/>
    <cellStyle name="40% - Accent4 5 3 2 2 2" xfId="36895"/>
    <cellStyle name="40% - Accent4 5 3 2 2 2 2" xfId="36896"/>
    <cellStyle name="40% - Accent4 5 3 2 2 3" xfId="36897"/>
    <cellStyle name="40% - Accent4 5 3 2 3" xfId="36898"/>
    <cellStyle name="40% - Accent4 5 3 2 3 2" xfId="36899"/>
    <cellStyle name="40% - Accent4 5 3 2 4" xfId="36900"/>
    <cellStyle name="40% - Accent4 5 3 3" xfId="36901"/>
    <cellStyle name="40% - Accent4 5 3 3 2" xfId="36902"/>
    <cellStyle name="40% - Accent4 5 3 3 2 2" xfId="36903"/>
    <cellStyle name="40% - Accent4 5 3 3 3" xfId="36904"/>
    <cellStyle name="40% - Accent4 5 3 4" xfId="36905"/>
    <cellStyle name="40% - Accent4 5 3 4 2" xfId="36906"/>
    <cellStyle name="40% - Accent4 5 3 5" xfId="36907"/>
    <cellStyle name="40% - Accent4 5 4" xfId="36908"/>
    <cellStyle name="40% - Accent4 5 4 2" xfId="36909"/>
    <cellStyle name="40% - Accent4 5 4 2 2" xfId="36910"/>
    <cellStyle name="40% - Accent4 5 4 2 2 2" xfId="36911"/>
    <cellStyle name="40% - Accent4 5 4 2 2 2 2" xfId="36912"/>
    <cellStyle name="40% - Accent4 5 4 2 2 3" xfId="36913"/>
    <cellStyle name="40% - Accent4 5 4 2 3" xfId="36914"/>
    <cellStyle name="40% - Accent4 5 4 2 3 2" xfId="36915"/>
    <cellStyle name="40% - Accent4 5 4 2 4" xfId="36916"/>
    <cellStyle name="40% - Accent4 5 4 3" xfId="36917"/>
    <cellStyle name="40% - Accent4 5 4 3 2" xfId="36918"/>
    <cellStyle name="40% - Accent4 5 4 3 2 2" xfId="36919"/>
    <cellStyle name="40% - Accent4 5 4 3 3" xfId="36920"/>
    <cellStyle name="40% - Accent4 5 4 4" xfId="36921"/>
    <cellStyle name="40% - Accent4 5 4 4 2" xfId="36922"/>
    <cellStyle name="40% - Accent4 5 4 5" xfId="36923"/>
    <cellStyle name="40% - Accent4 5 5" xfId="36924"/>
    <cellStyle name="40% - Accent4 5 5 2" xfId="36925"/>
    <cellStyle name="40% - Accent4 5 5 2 2" xfId="36926"/>
    <cellStyle name="40% - Accent4 5 5 2 2 2" xfId="36927"/>
    <cellStyle name="40% - Accent4 5 5 2 2 2 2" xfId="36928"/>
    <cellStyle name="40% - Accent4 5 5 2 2 3" xfId="36929"/>
    <cellStyle name="40% - Accent4 5 5 2 3" xfId="36930"/>
    <cellStyle name="40% - Accent4 5 5 2 3 2" xfId="36931"/>
    <cellStyle name="40% - Accent4 5 5 2 4" xfId="36932"/>
    <cellStyle name="40% - Accent4 5 5 3" xfId="36933"/>
    <cellStyle name="40% - Accent4 5 5 3 2" xfId="36934"/>
    <cellStyle name="40% - Accent4 5 5 3 2 2" xfId="36935"/>
    <cellStyle name="40% - Accent4 5 5 3 3" xfId="36936"/>
    <cellStyle name="40% - Accent4 5 5 4" xfId="36937"/>
    <cellStyle name="40% - Accent4 5 5 4 2" xfId="36938"/>
    <cellStyle name="40% - Accent4 5 5 5" xfId="36939"/>
    <cellStyle name="40% - Accent4 5 6" xfId="36940"/>
    <cellStyle name="40% - Accent4 5 6 2" xfId="36941"/>
    <cellStyle name="40% - Accent4 5 6 2 2" xfId="36942"/>
    <cellStyle name="40% - Accent4 5 6 2 2 2" xfId="36943"/>
    <cellStyle name="40% - Accent4 5 6 2 2 2 2" xfId="36944"/>
    <cellStyle name="40% - Accent4 5 6 2 2 3" xfId="36945"/>
    <cellStyle name="40% - Accent4 5 6 2 3" xfId="36946"/>
    <cellStyle name="40% - Accent4 5 6 2 3 2" xfId="36947"/>
    <cellStyle name="40% - Accent4 5 6 2 4" xfId="36948"/>
    <cellStyle name="40% - Accent4 5 6 3" xfId="36949"/>
    <cellStyle name="40% - Accent4 5 6 3 2" xfId="36950"/>
    <cellStyle name="40% - Accent4 5 6 3 2 2" xfId="36951"/>
    <cellStyle name="40% - Accent4 5 6 3 3" xfId="36952"/>
    <cellStyle name="40% - Accent4 5 6 4" xfId="36953"/>
    <cellStyle name="40% - Accent4 5 6 4 2" xfId="36954"/>
    <cellStyle name="40% - Accent4 5 6 5" xfId="36955"/>
    <cellStyle name="40% - Accent4 5 7" xfId="36956"/>
    <cellStyle name="40% - Accent4 5 7 2" xfId="36957"/>
    <cellStyle name="40% - Accent4 5 7 2 2" xfId="36958"/>
    <cellStyle name="40% - Accent4 5 7 2 2 2" xfId="36959"/>
    <cellStyle name="40% - Accent4 5 7 2 2 2 2" xfId="36960"/>
    <cellStyle name="40% - Accent4 5 7 2 2 3" xfId="36961"/>
    <cellStyle name="40% - Accent4 5 7 2 3" xfId="36962"/>
    <cellStyle name="40% - Accent4 5 7 2 3 2" xfId="36963"/>
    <cellStyle name="40% - Accent4 5 7 2 4" xfId="36964"/>
    <cellStyle name="40% - Accent4 5 7 3" xfId="36965"/>
    <cellStyle name="40% - Accent4 5 7 3 2" xfId="36966"/>
    <cellStyle name="40% - Accent4 5 7 3 2 2" xfId="36967"/>
    <cellStyle name="40% - Accent4 5 7 3 3" xfId="36968"/>
    <cellStyle name="40% - Accent4 5 7 4" xfId="36969"/>
    <cellStyle name="40% - Accent4 5 7 4 2" xfId="36970"/>
    <cellStyle name="40% - Accent4 5 7 5" xfId="36971"/>
    <cellStyle name="40% - Accent4 5 8" xfId="36972"/>
    <cellStyle name="40% - Accent4 5 8 2" xfId="36973"/>
    <cellStyle name="40% - Accent4 5 8 2 2" xfId="36974"/>
    <cellStyle name="40% - Accent4 5 8 2 2 2" xfId="36975"/>
    <cellStyle name="40% - Accent4 5 8 2 3" xfId="36976"/>
    <cellStyle name="40% - Accent4 5 8 3" xfId="36977"/>
    <cellStyle name="40% - Accent4 5 8 3 2" xfId="36978"/>
    <cellStyle name="40% - Accent4 5 8 4" xfId="36979"/>
    <cellStyle name="40% - Accent4 5 9" xfId="36980"/>
    <cellStyle name="40% - Accent4 5 9 2" xfId="36981"/>
    <cellStyle name="40% - Accent4 5 9 2 2" xfId="36982"/>
    <cellStyle name="40% - Accent4 5 9 3" xfId="36983"/>
    <cellStyle name="40% - Accent4 6" xfId="36984"/>
    <cellStyle name="40% - Accent4 6 10" xfId="36985"/>
    <cellStyle name="40% - Accent4 6 10 2" xfId="36986"/>
    <cellStyle name="40% - Accent4 6 11" xfId="36987"/>
    <cellStyle name="40% - Accent4 6 2" xfId="36988"/>
    <cellStyle name="40% - Accent4 6 2 10" xfId="36989"/>
    <cellStyle name="40% - Accent4 6 2 2" xfId="36990"/>
    <cellStyle name="40% - Accent4 6 2 2 2" xfId="36991"/>
    <cellStyle name="40% - Accent4 6 2 2 2 2" xfId="36992"/>
    <cellStyle name="40% - Accent4 6 2 2 2 2 2" xfId="36993"/>
    <cellStyle name="40% - Accent4 6 2 2 2 2 2 2" xfId="36994"/>
    <cellStyle name="40% - Accent4 6 2 2 2 2 3" xfId="36995"/>
    <cellStyle name="40% - Accent4 6 2 2 2 3" xfId="36996"/>
    <cellStyle name="40% - Accent4 6 2 2 2 3 2" xfId="36997"/>
    <cellStyle name="40% - Accent4 6 2 2 2 4" xfId="36998"/>
    <cellStyle name="40% - Accent4 6 2 2 3" xfId="36999"/>
    <cellStyle name="40% - Accent4 6 2 2 3 2" xfId="37000"/>
    <cellStyle name="40% - Accent4 6 2 2 3 2 2" xfId="37001"/>
    <cellStyle name="40% - Accent4 6 2 2 3 3" xfId="37002"/>
    <cellStyle name="40% - Accent4 6 2 2 4" xfId="37003"/>
    <cellStyle name="40% - Accent4 6 2 2 4 2" xfId="37004"/>
    <cellStyle name="40% - Accent4 6 2 2 5" xfId="37005"/>
    <cellStyle name="40% - Accent4 6 2 3" xfId="37006"/>
    <cellStyle name="40% - Accent4 6 2 3 2" xfId="37007"/>
    <cellStyle name="40% - Accent4 6 2 3 2 2" xfId="37008"/>
    <cellStyle name="40% - Accent4 6 2 3 2 2 2" xfId="37009"/>
    <cellStyle name="40% - Accent4 6 2 3 2 2 2 2" xfId="37010"/>
    <cellStyle name="40% - Accent4 6 2 3 2 2 3" xfId="37011"/>
    <cellStyle name="40% - Accent4 6 2 3 2 3" xfId="37012"/>
    <cellStyle name="40% - Accent4 6 2 3 2 3 2" xfId="37013"/>
    <cellStyle name="40% - Accent4 6 2 3 2 4" xfId="37014"/>
    <cellStyle name="40% - Accent4 6 2 3 3" xfId="37015"/>
    <cellStyle name="40% - Accent4 6 2 3 3 2" xfId="37016"/>
    <cellStyle name="40% - Accent4 6 2 3 3 2 2" xfId="37017"/>
    <cellStyle name="40% - Accent4 6 2 3 3 3" xfId="37018"/>
    <cellStyle name="40% - Accent4 6 2 3 4" xfId="37019"/>
    <cellStyle name="40% - Accent4 6 2 3 4 2" xfId="37020"/>
    <cellStyle name="40% - Accent4 6 2 3 5" xfId="37021"/>
    <cellStyle name="40% - Accent4 6 2 4" xfId="37022"/>
    <cellStyle name="40% - Accent4 6 2 4 2" xfId="37023"/>
    <cellStyle name="40% - Accent4 6 2 4 2 2" xfId="37024"/>
    <cellStyle name="40% - Accent4 6 2 4 2 2 2" xfId="37025"/>
    <cellStyle name="40% - Accent4 6 2 4 2 2 2 2" xfId="37026"/>
    <cellStyle name="40% - Accent4 6 2 4 2 2 3" xfId="37027"/>
    <cellStyle name="40% - Accent4 6 2 4 2 3" xfId="37028"/>
    <cellStyle name="40% - Accent4 6 2 4 2 3 2" xfId="37029"/>
    <cellStyle name="40% - Accent4 6 2 4 2 4" xfId="37030"/>
    <cellStyle name="40% - Accent4 6 2 4 3" xfId="37031"/>
    <cellStyle name="40% - Accent4 6 2 4 3 2" xfId="37032"/>
    <cellStyle name="40% - Accent4 6 2 4 3 2 2" xfId="37033"/>
    <cellStyle name="40% - Accent4 6 2 4 3 3" xfId="37034"/>
    <cellStyle name="40% - Accent4 6 2 4 4" xfId="37035"/>
    <cellStyle name="40% - Accent4 6 2 4 4 2" xfId="37036"/>
    <cellStyle name="40% - Accent4 6 2 4 5" xfId="37037"/>
    <cellStyle name="40% - Accent4 6 2 5" xfId="37038"/>
    <cellStyle name="40% - Accent4 6 2 5 2" xfId="37039"/>
    <cellStyle name="40% - Accent4 6 2 5 2 2" xfId="37040"/>
    <cellStyle name="40% - Accent4 6 2 5 2 2 2" xfId="37041"/>
    <cellStyle name="40% - Accent4 6 2 5 2 2 2 2" xfId="37042"/>
    <cellStyle name="40% - Accent4 6 2 5 2 2 3" xfId="37043"/>
    <cellStyle name="40% - Accent4 6 2 5 2 3" xfId="37044"/>
    <cellStyle name="40% - Accent4 6 2 5 2 3 2" xfId="37045"/>
    <cellStyle name="40% - Accent4 6 2 5 2 4" xfId="37046"/>
    <cellStyle name="40% - Accent4 6 2 5 3" xfId="37047"/>
    <cellStyle name="40% - Accent4 6 2 5 3 2" xfId="37048"/>
    <cellStyle name="40% - Accent4 6 2 5 3 2 2" xfId="37049"/>
    <cellStyle name="40% - Accent4 6 2 5 3 3" xfId="37050"/>
    <cellStyle name="40% - Accent4 6 2 5 4" xfId="37051"/>
    <cellStyle name="40% - Accent4 6 2 5 4 2" xfId="37052"/>
    <cellStyle name="40% - Accent4 6 2 5 5" xfId="37053"/>
    <cellStyle name="40% - Accent4 6 2 6" xfId="37054"/>
    <cellStyle name="40% - Accent4 6 2 6 2" xfId="37055"/>
    <cellStyle name="40% - Accent4 6 2 6 2 2" xfId="37056"/>
    <cellStyle name="40% - Accent4 6 2 6 2 2 2" xfId="37057"/>
    <cellStyle name="40% - Accent4 6 2 6 2 2 2 2" xfId="37058"/>
    <cellStyle name="40% - Accent4 6 2 6 2 2 3" xfId="37059"/>
    <cellStyle name="40% - Accent4 6 2 6 2 3" xfId="37060"/>
    <cellStyle name="40% - Accent4 6 2 6 2 3 2" xfId="37061"/>
    <cellStyle name="40% - Accent4 6 2 6 2 4" xfId="37062"/>
    <cellStyle name="40% - Accent4 6 2 6 3" xfId="37063"/>
    <cellStyle name="40% - Accent4 6 2 6 3 2" xfId="37064"/>
    <cellStyle name="40% - Accent4 6 2 6 3 2 2" xfId="37065"/>
    <cellStyle name="40% - Accent4 6 2 6 3 3" xfId="37066"/>
    <cellStyle name="40% - Accent4 6 2 6 4" xfId="37067"/>
    <cellStyle name="40% - Accent4 6 2 6 4 2" xfId="37068"/>
    <cellStyle name="40% - Accent4 6 2 6 5" xfId="37069"/>
    <cellStyle name="40% - Accent4 6 2 7" xfId="37070"/>
    <cellStyle name="40% - Accent4 6 2 7 2" xfId="37071"/>
    <cellStyle name="40% - Accent4 6 2 7 2 2" xfId="37072"/>
    <cellStyle name="40% - Accent4 6 2 7 2 2 2" xfId="37073"/>
    <cellStyle name="40% - Accent4 6 2 7 2 3" xfId="37074"/>
    <cellStyle name="40% - Accent4 6 2 7 3" xfId="37075"/>
    <cellStyle name="40% - Accent4 6 2 7 3 2" xfId="37076"/>
    <cellStyle name="40% - Accent4 6 2 7 4" xfId="37077"/>
    <cellStyle name="40% - Accent4 6 2 8" xfId="37078"/>
    <cellStyle name="40% - Accent4 6 2 8 2" xfId="37079"/>
    <cellStyle name="40% - Accent4 6 2 8 2 2" xfId="37080"/>
    <cellStyle name="40% - Accent4 6 2 8 3" xfId="37081"/>
    <cellStyle name="40% - Accent4 6 2 9" xfId="37082"/>
    <cellStyle name="40% - Accent4 6 2 9 2" xfId="37083"/>
    <cellStyle name="40% - Accent4 6 3" xfId="37084"/>
    <cellStyle name="40% - Accent4 6 3 2" xfId="37085"/>
    <cellStyle name="40% - Accent4 6 3 2 2" xfId="37086"/>
    <cellStyle name="40% - Accent4 6 3 2 2 2" xfId="37087"/>
    <cellStyle name="40% - Accent4 6 3 2 2 2 2" xfId="37088"/>
    <cellStyle name="40% - Accent4 6 3 2 2 3" xfId="37089"/>
    <cellStyle name="40% - Accent4 6 3 2 3" xfId="37090"/>
    <cellStyle name="40% - Accent4 6 3 2 3 2" xfId="37091"/>
    <cellStyle name="40% - Accent4 6 3 2 4" xfId="37092"/>
    <cellStyle name="40% - Accent4 6 3 3" xfId="37093"/>
    <cellStyle name="40% - Accent4 6 3 3 2" xfId="37094"/>
    <cellStyle name="40% - Accent4 6 3 3 2 2" xfId="37095"/>
    <cellStyle name="40% - Accent4 6 3 3 3" xfId="37096"/>
    <cellStyle name="40% - Accent4 6 3 4" xfId="37097"/>
    <cellStyle name="40% - Accent4 6 3 4 2" xfId="37098"/>
    <cellStyle name="40% - Accent4 6 3 5" xfId="37099"/>
    <cellStyle name="40% - Accent4 6 4" xfId="37100"/>
    <cellStyle name="40% - Accent4 6 4 2" xfId="37101"/>
    <cellStyle name="40% - Accent4 6 4 2 2" xfId="37102"/>
    <cellStyle name="40% - Accent4 6 4 2 2 2" xfId="37103"/>
    <cellStyle name="40% - Accent4 6 4 2 2 2 2" xfId="37104"/>
    <cellStyle name="40% - Accent4 6 4 2 2 3" xfId="37105"/>
    <cellStyle name="40% - Accent4 6 4 2 3" xfId="37106"/>
    <cellStyle name="40% - Accent4 6 4 2 3 2" xfId="37107"/>
    <cellStyle name="40% - Accent4 6 4 2 4" xfId="37108"/>
    <cellStyle name="40% - Accent4 6 4 3" xfId="37109"/>
    <cellStyle name="40% - Accent4 6 4 3 2" xfId="37110"/>
    <cellStyle name="40% - Accent4 6 4 3 2 2" xfId="37111"/>
    <cellStyle name="40% - Accent4 6 4 3 3" xfId="37112"/>
    <cellStyle name="40% - Accent4 6 4 4" xfId="37113"/>
    <cellStyle name="40% - Accent4 6 4 4 2" xfId="37114"/>
    <cellStyle name="40% - Accent4 6 4 5" xfId="37115"/>
    <cellStyle name="40% - Accent4 6 5" xfId="37116"/>
    <cellStyle name="40% - Accent4 6 5 2" xfId="37117"/>
    <cellStyle name="40% - Accent4 6 5 2 2" xfId="37118"/>
    <cellStyle name="40% - Accent4 6 5 2 2 2" xfId="37119"/>
    <cellStyle name="40% - Accent4 6 5 2 2 2 2" xfId="37120"/>
    <cellStyle name="40% - Accent4 6 5 2 2 3" xfId="37121"/>
    <cellStyle name="40% - Accent4 6 5 2 3" xfId="37122"/>
    <cellStyle name="40% - Accent4 6 5 2 3 2" xfId="37123"/>
    <cellStyle name="40% - Accent4 6 5 2 4" xfId="37124"/>
    <cellStyle name="40% - Accent4 6 5 3" xfId="37125"/>
    <cellStyle name="40% - Accent4 6 5 3 2" xfId="37126"/>
    <cellStyle name="40% - Accent4 6 5 3 2 2" xfId="37127"/>
    <cellStyle name="40% - Accent4 6 5 3 3" xfId="37128"/>
    <cellStyle name="40% - Accent4 6 5 4" xfId="37129"/>
    <cellStyle name="40% - Accent4 6 5 4 2" xfId="37130"/>
    <cellStyle name="40% - Accent4 6 5 5" xfId="37131"/>
    <cellStyle name="40% - Accent4 6 6" xfId="37132"/>
    <cellStyle name="40% - Accent4 6 6 2" xfId="37133"/>
    <cellStyle name="40% - Accent4 6 6 2 2" xfId="37134"/>
    <cellStyle name="40% - Accent4 6 6 2 2 2" xfId="37135"/>
    <cellStyle name="40% - Accent4 6 6 2 2 2 2" xfId="37136"/>
    <cellStyle name="40% - Accent4 6 6 2 2 3" xfId="37137"/>
    <cellStyle name="40% - Accent4 6 6 2 3" xfId="37138"/>
    <cellStyle name="40% - Accent4 6 6 2 3 2" xfId="37139"/>
    <cellStyle name="40% - Accent4 6 6 2 4" xfId="37140"/>
    <cellStyle name="40% - Accent4 6 6 3" xfId="37141"/>
    <cellStyle name="40% - Accent4 6 6 3 2" xfId="37142"/>
    <cellStyle name="40% - Accent4 6 6 3 2 2" xfId="37143"/>
    <cellStyle name="40% - Accent4 6 6 3 3" xfId="37144"/>
    <cellStyle name="40% - Accent4 6 6 4" xfId="37145"/>
    <cellStyle name="40% - Accent4 6 6 4 2" xfId="37146"/>
    <cellStyle name="40% - Accent4 6 6 5" xfId="37147"/>
    <cellStyle name="40% - Accent4 6 7" xfId="37148"/>
    <cellStyle name="40% - Accent4 6 7 2" xfId="37149"/>
    <cellStyle name="40% - Accent4 6 7 2 2" xfId="37150"/>
    <cellStyle name="40% - Accent4 6 7 2 2 2" xfId="37151"/>
    <cellStyle name="40% - Accent4 6 7 2 2 2 2" xfId="37152"/>
    <cellStyle name="40% - Accent4 6 7 2 2 3" xfId="37153"/>
    <cellStyle name="40% - Accent4 6 7 2 3" xfId="37154"/>
    <cellStyle name="40% - Accent4 6 7 2 3 2" xfId="37155"/>
    <cellStyle name="40% - Accent4 6 7 2 4" xfId="37156"/>
    <cellStyle name="40% - Accent4 6 7 3" xfId="37157"/>
    <cellStyle name="40% - Accent4 6 7 3 2" xfId="37158"/>
    <cellStyle name="40% - Accent4 6 7 3 2 2" xfId="37159"/>
    <cellStyle name="40% - Accent4 6 7 3 3" xfId="37160"/>
    <cellStyle name="40% - Accent4 6 7 4" xfId="37161"/>
    <cellStyle name="40% - Accent4 6 7 4 2" xfId="37162"/>
    <cellStyle name="40% - Accent4 6 7 5" xfId="37163"/>
    <cellStyle name="40% - Accent4 6 8" xfId="37164"/>
    <cellStyle name="40% - Accent4 6 8 2" xfId="37165"/>
    <cellStyle name="40% - Accent4 6 8 2 2" xfId="37166"/>
    <cellStyle name="40% - Accent4 6 8 2 2 2" xfId="37167"/>
    <cellStyle name="40% - Accent4 6 8 2 3" xfId="37168"/>
    <cellStyle name="40% - Accent4 6 8 3" xfId="37169"/>
    <cellStyle name="40% - Accent4 6 8 3 2" xfId="37170"/>
    <cellStyle name="40% - Accent4 6 8 4" xfId="37171"/>
    <cellStyle name="40% - Accent4 6 9" xfId="37172"/>
    <cellStyle name="40% - Accent4 6 9 2" xfId="37173"/>
    <cellStyle name="40% - Accent4 6 9 2 2" xfId="37174"/>
    <cellStyle name="40% - Accent4 6 9 3" xfId="37175"/>
    <cellStyle name="40% - Accent4 7" xfId="37176"/>
    <cellStyle name="40% - Accent4 7 10" xfId="37177"/>
    <cellStyle name="40% - Accent4 7 10 2" xfId="37178"/>
    <cellStyle name="40% - Accent4 7 11" xfId="37179"/>
    <cellStyle name="40% - Accent4 7 2" xfId="37180"/>
    <cellStyle name="40% - Accent4 7 2 10" xfId="37181"/>
    <cellStyle name="40% - Accent4 7 2 2" xfId="37182"/>
    <cellStyle name="40% - Accent4 7 2 2 2" xfId="37183"/>
    <cellStyle name="40% - Accent4 7 2 2 2 2" xfId="37184"/>
    <cellStyle name="40% - Accent4 7 2 2 2 2 2" xfId="37185"/>
    <cellStyle name="40% - Accent4 7 2 2 2 2 2 2" xfId="37186"/>
    <cellStyle name="40% - Accent4 7 2 2 2 2 3" xfId="37187"/>
    <cellStyle name="40% - Accent4 7 2 2 2 3" xfId="37188"/>
    <cellStyle name="40% - Accent4 7 2 2 2 3 2" xfId="37189"/>
    <cellStyle name="40% - Accent4 7 2 2 2 4" xfId="37190"/>
    <cellStyle name="40% - Accent4 7 2 2 3" xfId="37191"/>
    <cellStyle name="40% - Accent4 7 2 2 3 2" xfId="37192"/>
    <cellStyle name="40% - Accent4 7 2 2 3 2 2" xfId="37193"/>
    <cellStyle name="40% - Accent4 7 2 2 3 3" xfId="37194"/>
    <cellStyle name="40% - Accent4 7 2 2 4" xfId="37195"/>
    <cellStyle name="40% - Accent4 7 2 2 4 2" xfId="37196"/>
    <cellStyle name="40% - Accent4 7 2 2 5" xfId="37197"/>
    <cellStyle name="40% - Accent4 7 2 3" xfId="37198"/>
    <cellStyle name="40% - Accent4 7 2 3 2" xfId="37199"/>
    <cellStyle name="40% - Accent4 7 2 3 2 2" xfId="37200"/>
    <cellStyle name="40% - Accent4 7 2 3 2 2 2" xfId="37201"/>
    <cellStyle name="40% - Accent4 7 2 3 2 2 2 2" xfId="37202"/>
    <cellStyle name="40% - Accent4 7 2 3 2 2 3" xfId="37203"/>
    <cellStyle name="40% - Accent4 7 2 3 2 3" xfId="37204"/>
    <cellStyle name="40% - Accent4 7 2 3 2 3 2" xfId="37205"/>
    <cellStyle name="40% - Accent4 7 2 3 2 4" xfId="37206"/>
    <cellStyle name="40% - Accent4 7 2 3 3" xfId="37207"/>
    <cellStyle name="40% - Accent4 7 2 3 3 2" xfId="37208"/>
    <cellStyle name="40% - Accent4 7 2 3 3 2 2" xfId="37209"/>
    <cellStyle name="40% - Accent4 7 2 3 3 3" xfId="37210"/>
    <cellStyle name="40% - Accent4 7 2 3 4" xfId="37211"/>
    <cellStyle name="40% - Accent4 7 2 3 4 2" xfId="37212"/>
    <cellStyle name="40% - Accent4 7 2 3 5" xfId="37213"/>
    <cellStyle name="40% - Accent4 7 2 4" xfId="37214"/>
    <cellStyle name="40% - Accent4 7 2 4 2" xfId="37215"/>
    <cellStyle name="40% - Accent4 7 2 4 2 2" xfId="37216"/>
    <cellStyle name="40% - Accent4 7 2 4 2 2 2" xfId="37217"/>
    <cellStyle name="40% - Accent4 7 2 4 2 2 2 2" xfId="37218"/>
    <cellStyle name="40% - Accent4 7 2 4 2 2 3" xfId="37219"/>
    <cellStyle name="40% - Accent4 7 2 4 2 3" xfId="37220"/>
    <cellStyle name="40% - Accent4 7 2 4 2 3 2" xfId="37221"/>
    <cellStyle name="40% - Accent4 7 2 4 2 4" xfId="37222"/>
    <cellStyle name="40% - Accent4 7 2 4 3" xfId="37223"/>
    <cellStyle name="40% - Accent4 7 2 4 3 2" xfId="37224"/>
    <cellStyle name="40% - Accent4 7 2 4 3 2 2" xfId="37225"/>
    <cellStyle name="40% - Accent4 7 2 4 3 3" xfId="37226"/>
    <cellStyle name="40% - Accent4 7 2 4 4" xfId="37227"/>
    <cellStyle name="40% - Accent4 7 2 4 4 2" xfId="37228"/>
    <cellStyle name="40% - Accent4 7 2 4 5" xfId="37229"/>
    <cellStyle name="40% - Accent4 7 2 5" xfId="37230"/>
    <cellStyle name="40% - Accent4 7 2 5 2" xfId="37231"/>
    <cellStyle name="40% - Accent4 7 2 5 2 2" xfId="37232"/>
    <cellStyle name="40% - Accent4 7 2 5 2 2 2" xfId="37233"/>
    <cellStyle name="40% - Accent4 7 2 5 2 2 2 2" xfId="37234"/>
    <cellStyle name="40% - Accent4 7 2 5 2 2 3" xfId="37235"/>
    <cellStyle name="40% - Accent4 7 2 5 2 3" xfId="37236"/>
    <cellStyle name="40% - Accent4 7 2 5 2 3 2" xfId="37237"/>
    <cellStyle name="40% - Accent4 7 2 5 2 4" xfId="37238"/>
    <cellStyle name="40% - Accent4 7 2 5 3" xfId="37239"/>
    <cellStyle name="40% - Accent4 7 2 5 3 2" xfId="37240"/>
    <cellStyle name="40% - Accent4 7 2 5 3 2 2" xfId="37241"/>
    <cellStyle name="40% - Accent4 7 2 5 3 3" xfId="37242"/>
    <cellStyle name="40% - Accent4 7 2 5 4" xfId="37243"/>
    <cellStyle name="40% - Accent4 7 2 5 4 2" xfId="37244"/>
    <cellStyle name="40% - Accent4 7 2 5 5" xfId="37245"/>
    <cellStyle name="40% - Accent4 7 2 6" xfId="37246"/>
    <cellStyle name="40% - Accent4 7 2 6 2" xfId="37247"/>
    <cellStyle name="40% - Accent4 7 2 6 2 2" xfId="37248"/>
    <cellStyle name="40% - Accent4 7 2 6 2 2 2" xfId="37249"/>
    <cellStyle name="40% - Accent4 7 2 6 2 2 2 2" xfId="37250"/>
    <cellStyle name="40% - Accent4 7 2 6 2 2 3" xfId="37251"/>
    <cellStyle name="40% - Accent4 7 2 6 2 3" xfId="37252"/>
    <cellStyle name="40% - Accent4 7 2 6 2 3 2" xfId="37253"/>
    <cellStyle name="40% - Accent4 7 2 6 2 4" xfId="37254"/>
    <cellStyle name="40% - Accent4 7 2 6 3" xfId="37255"/>
    <cellStyle name="40% - Accent4 7 2 6 3 2" xfId="37256"/>
    <cellStyle name="40% - Accent4 7 2 6 3 2 2" xfId="37257"/>
    <cellStyle name="40% - Accent4 7 2 6 3 3" xfId="37258"/>
    <cellStyle name="40% - Accent4 7 2 6 4" xfId="37259"/>
    <cellStyle name="40% - Accent4 7 2 6 4 2" xfId="37260"/>
    <cellStyle name="40% - Accent4 7 2 6 5" xfId="37261"/>
    <cellStyle name="40% - Accent4 7 2 7" xfId="37262"/>
    <cellStyle name="40% - Accent4 7 2 7 2" xfId="37263"/>
    <cellStyle name="40% - Accent4 7 2 7 2 2" xfId="37264"/>
    <cellStyle name="40% - Accent4 7 2 7 2 2 2" xfId="37265"/>
    <cellStyle name="40% - Accent4 7 2 7 2 3" xfId="37266"/>
    <cellStyle name="40% - Accent4 7 2 7 3" xfId="37267"/>
    <cellStyle name="40% - Accent4 7 2 7 3 2" xfId="37268"/>
    <cellStyle name="40% - Accent4 7 2 7 4" xfId="37269"/>
    <cellStyle name="40% - Accent4 7 2 8" xfId="37270"/>
    <cellStyle name="40% - Accent4 7 2 8 2" xfId="37271"/>
    <cellStyle name="40% - Accent4 7 2 8 2 2" xfId="37272"/>
    <cellStyle name="40% - Accent4 7 2 8 3" xfId="37273"/>
    <cellStyle name="40% - Accent4 7 2 9" xfId="37274"/>
    <cellStyle name="40% - Accent4 7 2 9 2" xfId="37275"/>
    <cellStyle name="40% - Accent4 7 3" xfId="37276"/>
    <cellStyle name="40% - Accent4 7 3 2" xfId="37277"/>
    <cellStyle name="40% - Accent4 7 3 2 2" xfId="37278"/>
    <cellStyle name="40% - Accent4 7 3 2 2 2" xfId="37279"/>
    <cellStyle name="40% - Accent4 7 3 2 2 2 2" xfId="37280"/>
    <cellStyle name="40% - Accent4 7 3 2 2 3" xfId="37281"/>
    <cellStyle name="40% - Accent4 7 3 2 3" xfId="37282"/>
    <cellStyle name="40% - Accent4 7 3 2 3 2" xfId="37283"/>
    <cellStyle name="40% - Accent4 7 3 2 4" xfId="37284"/>
    <cellStyle name="40% - Accent4 7 3 3" xfId="37285"/>
    <cellStyle name="40% - Accent4 7 3 3 2" xfId="37286"/>
    <cellStyle name="40% - Accent4 7 3 3 2 2" xfId="37287"/>
    <cellStyle name="40% - Accent4 7 3 3 3" xfId="37288"/>
    <cellStyle name="40% - Accent4 7 3 4" xfId="37289"/>
    <cellStyle name="40% - Accent4 7 3 4 2" xfId="37290"/>
    <cellStyle name="40% - Accent4 7 3 5" xfId="37291"/>
    <cellStyle name="40% - Accent4 7 4" xfId="37292"/>
    <cellStyle name="40% - Accent4 7 4 2" xfId="37293"/>
    <cellStyle name="40% - Accent4 7 4 2 2" xfId="37294"/>
    <cellStyle name="40% - Accent4 7 4 2 2 2" xfId="37295"/>
    <cellStyle name="40% - Accent4 7 4 2 2 2 2" xfId="37296"/>
    <cellStyle name="40% - Accent4 7 4 2 2 3" xfId="37297"/>
    <cellStyle name="40% - Accent4 7 4 2 3" xfId="37298"/>
    <cellStyle name="40% - Accent4 7 4 2 3 2" xfId="37299"/>
    <cellStyle name="40% - Accent4 7 4 2 4" xfId="37300"/>
    <cellStyle name="40% - Accent4 7 4 3" xfId="37301"/>
    <cellStyle name="40% - Accent4 7 4 3 2" xfId="37302"/>
    <cellStyle name="40% - Accent4 7 4 3 2 2" xfId="37303"/>
    <cellStyle name="40% - Accent4 7 4 3 3" xfId="37304"/>
    <cellStyle name="40% - Accent4 7 4 4" xfId="37305"/>
    <cellStyle name="40% - Accent4 7 4 4 2" xfId="37306"/>
    <cellStyle name="40% - Accent4 7 4 5" xfId="37307"/>
    <cellStyle name="40% - Accent4 7 5" xfId="37308"/>
    <cellStyle name="40% - Accent4 7 5 2" xfId="37309"/>
    <cellStyle name="40% - Accent4 7 5 2 2" xfId="37310"/>
    <cellStyle name="40% - Accent4 7 5 2 2 2" xfId="37311"/>
    <cellStyle name="40% - Accent4 7 5 2 2 2 2" xfId="37312"/>
    <cellStyle name="40% - Accent4 7 5 2 2 3" xfId="37313"/>
    <cellStyle name="40% - Accent4 7 5 2 3" xfId="37314"/>
    <cellStyle name="40% - Accent4 7 5 2 3 2" xfId="37315"/>
    <cellStyle name="40% - Accent4 7 5 2 4" xfId="37316"/>
    <cellStyle name="40% - Accent4 7 5 3" xfId="37317"/>
    <cellStyle name="40% - Accent4 7 5 3 2" xfId="37318"/>
    <cellStyle name="40% - Accent4 7 5 3 2 2" xfId="37319"/>
    <cellStyle name="40% - Accent4 7 5 3 3" xfId="37320"/>
    <cellStyle name="40% - Accent4 7 5 4" xfId="37321"/>
    <cellStyle name="40% - Accent4 7 5 4 2" xfId="37322"/>
    <cellStyle name="40% - Accent4 7 5 5" xfId="37323"/>
    <cellStyle name="40% - Accent4 7 6" xfId="37324"/>
    <cellStyle name="40% - Accent4 7 6 2" xfId="37325"/>
    <cellStyle name="40% - Accent4 7 6 2 2" xfId="37326"/>
    <cellStyle name="40% - Accent4 7 6 2 2 2" xfId="37327"/>
    <cellStyle name="40% - Accent4 7 6 2 2 2 2" xfId="37328"/>
    <cellStyle name="40% - Accent4 7 6 2 2 3" xfId="37329"/>
    <cellStyle name="40% - Accent4 7 6 2 3" xfId="37330"/>
    <cellStyle name="40% - Accent4 7 6 2 3 2" xfId="37331"/>
    <cellStyle name="40% - Accent4 7 6 2 4" xfId="37332"/>
    <cellStyle name="40% - Accent4 7 6 3" xfId="37333"/>
    <cellStyle name="40% - Accent4 7 6 3 2" xfId="37334"/>
    <cellStyle name="40% - Accent4 7 6 3 2 2" xfId="37335"/>
    <cellStyle name="40% - Accent4 7 6 3 3" xfId="37336"/>
    <cellStyle name="40% - Accent4 7 6 4" xfId="37337"/>
    <cellStyle name="40% - Accent4 7 6 4 2" xfId="37338"/>
    <cellStyle name="40% - Accent4 7 6 5" xfId="37339"/>
    <cellStyle name="40% - Accent4 7 7" xfId="37340"/>
    <cellStyle name="40% - Accent4 7 7 2" xfId="37341"/>
    <cellStyle name="40% - Accent4 7 7 2 2" xfId="37342"/>
    <cellStyle name="40% - Accent4 7 7 2 2 2" xfId="37343"/>
    <cellStyle name="40% - Accent4 7 7 2 2 2 2" xfId="37344"/>
    <cellStyle name="40% - Accent4 7 7 2 2 3" xfId="37345"/>
    <cellStyle name="40% - Accent4 7 7 2 3" xfId="37346"/>
    <cellStyle name="40% - Accent4 7 7 2 3 2" xfId="37347"/>
    <cellStyle name="40% - Accent4 7 7 2 4" xfId="37348"/>
    <cellStyle name="40% - Accent4 7 7 3" xfId="37349"/>
    <cellStyle name="40% - Accent4 7 7 3 2" xfId="37350"/>
    <cellStyle name="40% - Accent4 7 7 3 2 2" xfId="37351"/>
    <cellStyle name="40% - Accent4 7 7 3 3" xfId="37352"/>
    <cellStyle name="40% - Accent4 7 7 4" xfId="37353"/>
    <cellStyle name="40% - Accent4 7 7 4 2" xfId="37354"/>
    <cellStyle name="40% - Accent4 7 7 5" xfId="37355"/>
    <cellStyle name="40% - Accent4 7 8" xfId="37356"/>
    <cellStyle name="40% - Accent4 7 8 2" xfId="37357"/>
    <cellStyle name="40% - Accent4 7 8 2 2" xfId="37358"/>
    <cellStyle name="40% - Accent4 7 8 2 2 2" xfId="37359"/>
    <cellStyle name="40% - Accent4 7 8 2 3" xfId="37360"/>
    <cellStyle name="40% - Accent4 7 8 3" xfId="37361"/>
    <cellStyle name="40% - Accent4 7 8 3 2" xfId="37362"/>
    <cellStyle name="40% - Accent4 7 8 4" xfId="37363"/>
    <cellStyle name="40% - Accent4 7 9" xfId="37364"/>
    <cellStyle name="40% - Accent4 7 9 2" xfId="37365"/>
    <cellStyle name="40% - Accent4 7 9 2 2" xfId="37366"/>
    <cellStyle name="40% - Accent4 7 9 3" xfId="37367"/>
    <cellStyle name="40% - Accent4 8" xfId="37368"/>
    <cellStyle name="40% - Accent4 8 10" xfId="37369"/>
    <cellStyle name="40% - Accent4 8 10 2" xfId="37370"/>
    <cellStyle name="40% - Accent4 8 11" xfId="37371"/>
    <cellStyle name="40% - Accent4 8 2" xfId="37372"/>
    <cellStyle name="40% - Accent4 8 2 10" xfId="37373"/>
    <cellStyle name="40% - Accent4 8 2 2" xfId="37374"/>
    <cellStyle name="40% - Accent4 8 2 2 2" xfId="37375"/>
    <cellStyle name="40% - Accent4 8 2 2 2 2" xfId="37376"/>
    <cellStyle name="40% - Accent4 8 2 2 2 2 2" xfId="37377"/>
    <cellStyle name="40% - Accent4 8 2 2 2 2 2 2" xfId="37378"/>
    <cellStyle name="40% - Accent4 8 2 2 2 2 3" xfId="37379"/>
    <cellStyle name="40% - Accent4 8 2 2 2 3" xfId="37380"/>
    <cellStyle name="40% - Accent4 8 2 2 2 3 2" xfId="37381"/>
    <cellStyle name="40% - Accent4 8 2 2 2 4" xfId="37382"/>
    <cellStyle name="40% - Accent4 8 2 2 3" xfId="37383"/>
    <cellStyle name="40% - Accent4 8 2 2 3 2" xfId="37384"/>
    <cellStyle name="40% - Accent4 8 2 2 3 2 2" xfId="37385"/>
    <cellStyle name="40% - Accent4 8 2 2 3 3" xfId="37386"/>
    <cellStyle name="40% - Accent4 8 2 2 4" xfId="37387"/>
    <cellStyle name="40% - Accent4 8 2 2 4 2" xfId="37388"/>
    <cellStyle name="40% - Accent4 8 2 2 5" xfId="37389"/>
    <cellStyle name="40% - Accent4 8 2 3" xfId="37390"/>
    <cellStyle name="40% - Accent4 8 2 3 2" xfId="37391"/>
    <cellStyle name="40% - Accent4 8 2 3 2 2" xfId="37392"/>
    <cellStyle name="40% - Accent4 8 2 3 2 2 2" xfId="37393"/>
    <cellStyle name="40% - Accent4 8 2 3 2 2 2 2" xfId="37394"/>
    <cellStyle name="40% - Accent4 8 2 3 2 2 3" xfId="37395"/>
    <cellStyle name="40% - Accent4 8 2 3 2 3" xfId="37396"/>
    <cellStyle name="40% - Accent4 8 2 3 2 3 2" xfId="37397"/>
    <cellStyle name="40% - Accent4 8 2 3 2 4" xfId="37398"/>
    <cellStyle name="40% - Accent4 8 2 3 3" xfId="37399"/>
    <cellStyle name="40% - Accent4 8 2 3 3 2" xfId="37400"/>
    <cellStyle name="40% - Accent4 8 2 3 3 2 2" xfId="37401"/>
    <cellStyle name="40% - Accent4 8 2 3 3 3" xfId="37402"/>
    <cellStyle name="40% - Accent4 8 2 3 4" xfId="37403"/>
    <cellStyle name="40% - Accent4 8 2 3 4 2" xfId="37404"/>
    <cellStyle name="40% - Accent4 8 2 3 5" xfId="37405"/>
    <cellStyle name="40% - Accent4 8 2 4" xfId="37406"/>
    <cellStyle name="40% - Accent4 8 2 4 2" xfId="37407"/>
    <cellStyle name="40% - Accent4 8 2 4 2 2" xfId="37408"/>
    <cellStyle name="40% - Accent4 8 2 4 2 2 2" xfId="37409"/>
    <cellStyle name="40% - Accent4 8 2 4 2 2 2 2" xfId="37410"/>
    <cellStyle name="40% - Accent4 8 2 4 2 2 3" xfId="37411"/>
    <cellStyle name="40% - Accent4 8 2 4 2 3" xfId="37412"/>
    <cellStyle name="40% - Accent4 8 2 4 2 3 2" xfId="37413"/>
    <cellStyle name="40% - Accent4 8 2 4 2 4" xfId="37414"/>
    <cellStyle name="40% - Accent4 8 2 4 3" xfId="37415"/>
    <cellStyle name="40% - Accent4 8 2 4 3 2" xfId="37416"/>
    <cellStyle name="40% - Accent4 8 2 4 3 2 2" xfId="37417"/>
    <cellStyle name="40% - Accent4 8 2 4 3 3" xfId="37418"/>
    <cellStyle name="40% - Accent4 8 2 4 4" xfId="37419"/>
    <cellStyle name="40% - Accent4 8 2 4 4 2" xfId="37420"/>
    <cellStyle name="40% - Accent4 8 2 4 5" xfId="37421"/>
    <cellStyle name="40% - Accent4 8 2 5" xfId="37422"/>
    <cellStyle name="40% - Accent4 8 2 5 2" xfId="37423"/>
    <cellStyle name="40% - Accent4 8 2 5 2 2" xfId="37424"/>
    <cellStyle name="40% - Accent4 8 2 5 2 2 2" xfId="37425"/>
    <cellStyle name="40% - Accent4 8 2 5 2 2 2 2" xfId="37426"/>
    <cellStyle name="40% - Accent4 8 2 5 2 2 3" xfId="37427"/>
    <cellStyle name="40% - Accent4 8 2 5 2 3" xfId="37428"/>
    <cellStyle name="40% - Accent4 8 2 5 2 3 2" xfId="37429"/>
    <cellStyle name="40% - Accent4 8 2 5 2 4" xfId="37430"/>
    <cellStyle name="40% - Accent4 8 2 5 3" xfId="37431"/>
    <cellStyle name="40% - Accent4 8 2 5 3 2" xfId="37432"/>
    <cellStyle name="40% - Accent4 8 2 5 3 2 2" xfId="37433"/>
    <cellStyle name="40% - Accent4 8 2 5 3 3" xfId="37434"/>
    <cellStyle name="40% - Accent4 8 2 5 4" xfId="37435"/>
    <cellStyle name="40% - Accent4 8 2 5 4 2" xfId="37436"/>
    <cellStyle name="40% - Accent4 8 2 5 5" xfId="37437"/>
    <cellStyle name="40% - Accent4 8 2 6" xfId="37438"/>
    <cellStyle name="40% - Accent4 8 2 6 2" xfId="37439"/>
    <cellStyle name="40% - Accent4 8 2 6 2 2" xfId="37440"/>
    <cellStyle name="40% - Accent4 8 2 6 2 2 2" xfId="37441"/>
    <cellStyle name="40% - Accent4 8 2 6 2 2 2 2" xfId="37442"/>
    <cellStyle name="40% - Accent4 8 2 6 2 2 3" xfId="37443"/>
    <cellStyle name="40% - Accent4 8 2 6 2 3" xfId="37444"/>
    <cellStyle name="40% - Accent4 8 2 6 2 3 2" xfId="37445"/>
    <cellStyle name="40% - Accent4 8 2 6 2 4" xfId="37446"/>
    <cellStyle name="40% - Accent4 8 2 6 3" xfId="37447"/>
    <cellStyle name="40% - Accent4 8 2 6 3 2" xfId="37448"/>
    <cellStyle name="40% - Accent4 8 2 6 3 2 2" xfId="37449"/>
    <cellStyle name="40% - Accent4 8 2 6 3 3" xfId="37450"/>
    <cellStyle name="40% - Accent4 8 2 6 4" xfId="37451"/>
    <cellStyle name="40% - Accent4 8 2 6 4 2" xfId="37452"/>
    <cellStyle name="40% - Accent4 8 2 6 5" xfId="37453"/>
    <cellStyle name="40% - Accent4 8 2 7" xfId="37454"/>
    <cellStyle name="40% - Accent4 8 2 7 2" xfId="37455"/>
    <cellStyle name="40% - Accent4 8 2 7 2 2" xfId="37456"/>
    <cellStyle name="40% - Accent4 8 2 7 2 2 2" xfId="37457"/>
    <cellStyle name="40% - Accent4 8 2 7 2 3" xfId="37458"/>
    <cellStyle name="40% - Accent4 8 2 7 3" xfId="37459"/>
    <cellStyle name="40% - Accent4 8 2 7 3 2" xfId="37460"/>
    <cellStyle name="40% - Accent4 8 2 7 4" xfId="37461"/>
    <cellStyle name="40% - Accent4 8 2 8" xfId="37462"/>
    <cellStyle name="40% - Accent4 8 2 8 2" xfId="37463"/>
    <cellStyle name="40% - Accent4 8 2 8 2 2" xfId="37464"/>
    <cellStyle name="40% - Accent4 8 2 8 3" xfId="37465"/>
    <cellStyle name="40% - Accent4 8 2 9" xfId="37466"/>
    <cellStyle name="40% - Accent4 8 2 9 2" xfId="37467"/>
    <cellStyle name="40% - Accent4 8 3" xfId="37468"/>
    <cellStyle name="40% - Accent4 8 3 2" xfId="37469"/>
    <cellStyle name="40% - Accent4 8 3 2 2" xfId="37470"/>
    <cellStyle name="40% - Accent4 8 3 2 2 2" xfId="37471"/>
    <cellStyle name="40% - Accent4 8 3 2 2 2 2" xfId="37472"/>
    <cellStyle name="40% - Accent4 8 3 2 2 3" xfId="37473"/>
    <cellStyle name="40% - Accent4 8 3 2 3" xfId="37474"/>
    <cellStyle name="40% - Accent4 8 3 2 3 2" xfId="37475"/>
    <cellStyle name="40% - Accent4 8 3 2 4" xfId="37476"/>
    <cellStyle name="40% - Accent4 8 3 3" xfId="37477"/>
    <cellStyle name="40% - Accent4 8 3 3 2" xfId="37478"/>
    <cellStyle name="40% - Accent4 8 3 3 2 2" xfId="37479"/>
    <cellStyle name="40% - Accent4 8 3 3 3" xfId="37480"/>
    <cellStyle name="40% - Accent4 8 3 4" xfId="37481"/>
    <cellStyle name="40% - Accent4 8 3 4 2" xfId="37482"/>
    <cellStyle name="40% - Accent4 8 3 5" xfId="37483"/>
    <cellStyle name="40% - Accent4 8 4" xfId="37484"/>
    <cellStyle name="40% - Accent4 8 4 2" xfId="37485"/>
    <cellStyle name="40% - Accent4 8 4 2 2" xfId="37486"/>
    <cellStyle name="40% - Accent4 8 4 2 2 2" xfId="37487"/>
    <cellStyle name="40% - Accent4 8 4 2 2 2 2" xfId="37488"/>
    <cellStyle name="40% - Accent4 8 4 2 2 3" xfId="37489"/>
    <cellStyle name="40% - Accent4 8 4 2 3" xfId="37490"/>
    <cellStyle name="40% - Accent4 8 4 2 3 2" xfId="37491"/>
    <cellStyle name="40% - Accent4 8 4 2 4" xfId="37492"/>
    <cellStyle name="40% - Accent4 8 4 3" xfId="37493"/>
    <cellStyle name="40% - Accent4 8 4 3 2" xfId="37494"/>
    <cellStyle name="40% - Accent4 8 4 3 2 2" xfId="37495"/>
    <cellStyle name="40% - Accent4 8 4 3 3" xfId="37496"/>
    <cellStyle name="40% - Accent4 8 4 4" xfId="37497"/>
    <cellStyle name="40% - Accent4 8 4 4 2" xfId="37498"/>
    <cellStyle name="40% - Accent4 8 4 5" xfId="37499"/>
    <cellStyle name="40% - Accent4 8 5" xfId="37500"/>
    <cellStyle name="40% - Accent4 8 5 2" xfId="37501"/>
    <cellStyle name="40% - Accent4 8 5 2 2" xfId="37502"/>
    <cellStyle name="40% - Accent4 8 5 2 2 2" xfId="37503"/>
    <cellStyle name="40% - Accent4 8 5 2 2 2 2" xfId="37504"/>
    <cellStyle name="40% - Accent4 8 5 2 2 3" xfId="37505"/>
    <cellStyle name="40% - Accent4 8 5 2 3" xfId="37506"/>
    <cellStyle name="40% - Accent4 8 5 2 3 2" xfId="37507"/>
    <cellStyle name="40% - Accent4 8 5 2 4" xfId="37508"/>
    <cellStyle name="40% - Accent4 8 5 3" xfId="37509"/>
    <cellStyle name="40% - Accent4 8 5 3 2" xfId="37510"/>
    <cellStyle name="40% - Accent4 8 5 3 2 2" xfId="37511"/>
    <cellStyle name="40% - Accent4 8 5 3 3" xfId="37512"/>
    <cellStyle name="40% - Accent4 8 5 4" xfId="37513"/>
    <cellStyle name="40% - Accent4 8 5 4 2" xfId="37514"/>
    <cellStyle name="40% - Accent4 8 5 5" xfId="37515"/>
    <cellStyle name="40% - Accent4 8 6" xfId="37516"/>
    <cellStyle name="40% - Accent4 8 6 2" xfId="37517"/>
    <cellStyle name="40% - Accent4 8 6 2 2" xfId="37518"/>
    <cellStyle name="40% - Accent4 8 6 2 2 2" xfId="37519"/>
    <cellStyle name="40% - Accent4 8 6 2 2 2 2" xfId="37520"/>
    <cellStyle name="40% - Accent4 8 6 2 2 3" xfId="37521"/>
    <cellStyle name="40% - Accent4 8 6 2 3" xfId="37522"/>
    <cellStyle name="40% - Accent4 8 6 2 3 2" xfId="37523"/>
    <cellStyle name="40% - Accent4 8 6 2 4" xfId="37524"/>
    <cellStyle name="40% - Accent4 8 6 3" xfId="37525"/>
    <cellStyle name="40% - Accent4 8 6 3 2" xfId="37526"/>
    <cellStyle name="40% - Accent4 8 6 3 2 2" xfId="37527"/>
    <cellStyle name="40% - Accent4 8 6 3 3" xfId="37528"/>
    <cellStyle name="40% - Accent4 8 6 4" xfId="37529"/>
    <cellStyle name="40% - Accent4 8 6 4 2" xfId="37530"/>
    <cellStyle name="40% - Accent4 8 6 5" xfId="37531"/>
    <cellStyle name="40% - Accent4 8 7" xfId="37532"/>
    <cellStyle name="40% - Accent4 8 7 2" xfId="37533"/>
    <cellStyle name="40% - Accent4 8 7 2 2" xfId="37534"/>
    <cellStyle name="40% - Accent4 8 7 2 2 2" xfId="37535"/>
    <cellStyle name="40% - Accent4 8 7 2 2 2 2" xfId="37536"/>
    <cellStyle name="40% - Accent4 8 7 2 2 3" xfId="37537"/>
    <cellStyle name="40% - Accent4 8 7 2 3" xfId="37538"/>
    <cellStyle name="40% - Accent4 8 7 2 3 2" xfId="37539"/>
    <cellStyle name="40% - Accent4 8 7 2 4" xfId="37540"/>
    <cellStyle name="40% - Accent4 8 7 3" xfId="37541"/>
    <cellStyle name="40% - Accent4 8 7 3 2" xfId="37542"/>
    <cellStyle name="40% - Accent4 8 7 3 2 2" xfId="37543"/>
    <cellStyle name="40% - Accent4 8 7 3 3" xfId="37544"/>
    <cellStyle name="40% - Accent4 8 7 4" xfId="37545"/>
    <cellStyle name="40% - Accent4 8 7 4 2" xfId="37546"/>
    <cellStyle name="40% - Accent4 8 7 5" xfId="37547"/>
    <cellStyle name="40% - Accent4 8 8" xfId="37548"/>
    <cellStyle name="40% - Accent4 8 8 2" xfId="37549"/>
    <cellStyle name="40% - Accent4 8 8 2 2" xfId="37550"/>
    <cellStyle name="40% - Accent4 8 8 2 2 2" xfId="37551"/>
    <cellStyle name="40% - Accent4 8 8 2 3" xfId="37552"/>
    <cellStyle name="40% - Accent4 8 8 3" xfId="37553"/>
    <cellStyle name="40% - Accent4 8 8 3 2" xfId="37554"/>
    <cellStyle name="40% - Accent4 8 8 4" xfId="37555"/>
    <cellStyle name="40% - Accent4 8 9" xfId="37556"/>
    <cellStyle name="40% - Accent4 8 9 2" xfId="37557"/>
    <cellStyle name="40% - Accent4 8 9 2 2" xfId="37558"/>
    <cellStyle name="40% - Accent4 8 9 3" xfId="37559"/>
    <cellStyle name="40% - Accent4 9" xfId="37560"/>
    <cellStyle name="40% - Accent4 9 10" xfId="37561"/>
    <cellStyle name="40% - Accent4 9 10 2" xfId="37562"/>
    <cellStyle name="40% - Accent4 9 11" xfId="37563"/>
    <cellStyle name="40% - Accent4 9 2" xfId="37564"/>
    <cellStyle name="40% - Accent4 9 2 10" xfId="37565"/>
    <cellStyle name="40% - Accent4 9 2 2" xfId="37566"/>
    <cellStyle name="40% - Accent4 9 2 2 2" xfId="37567"/>
    <cellStyle name="40% - Accent4 9 2 2 2 2" xfId="37568"/>
    <cellStyle name="40% - Accent4 9 2 2 2 2 2" xfId="37569"/>
    <cellStyle name="40% - Accent4 9 2 2 2 2 2 2" xfId="37570"/>
    <cellStyle name="40% - Accent4 9 2 2 2 2 3" xfId="37571"/>
    <cellStyle name="40% - Accent4 9 2 2 2 3" xfId="37572"/>
    <cellStyle name="40% - Accent4 9 2 2 2 3 2" xfId="37573"/>
    <cellStyle name="40% - Accent4 9 2 2 2 4" xfId="37574"/>
    <cellStyle name="40% - Accent4 9 2 2 3" xfId="37575"/>
    <cellStyle name="40% - Accent4 9 2 2 3 2" xfId="37576"/>
    <cellStyle name="40% - Accent4 9 2 2 3 2 2" xfId="37577"/>
    <cellStyle name="40% - Accent4 9 2 2 3 3" xfId="37578"/>
    <cellStyle name="40% - Accent4 9 2 2 4" xfId="37579"/>
    <cellStyle name="40% - Accent4 9 2 2 4 2" xfId="37580"/>
    <cellStyle name="40% - Accent4 9 2 2 5" xfId="37581"/>
    <cellStyle name="40% - Accent4 9 2 3" xfId="37582"/>
    <cellStyle name="40% - Accent4 9 2 3 2" xfId="37583"/>
    <cellStyle name="40% - Accent4 9 2 3 2 2" xfId="37584"/>
    <cellStyle name="40% - Accent4 9 2 3 2 2 2" xfId="37585"/>
    <cellStyle name="40% - Accent4 9 2 3 2 2 2 2" xfId="37586"/>
    <cellStyle name="40% - Accent4 9 2 3 2 2 3" xfId="37587"/>
    <cellStyle name="40% - Accent4 9 2 3 2 3" xfId="37588"/>
    <cellStyle name="40% - Accent4 9 2 3 2 3 2" xfId="37589"/>
    <cellStyle name="40% - Accent4 9 2 3 2 4" xfId="37590"/>
    <cellStyle name="40% - Accent4 9 2 3 3" xfId="37591"/>
    <cellStyle name="40% - Accent4 9 2 3 3 2" xfId="37592"/>
    <cellStyle name="40% - Accent4 9 2 3 3 2 2" xfId="37593"/>
    <cellStyle name="40% - Accent4 9 2 3 3 3" xfId="37594"/>
    <cellStyle name="40% - Accent4 9 2 3 4" xfId="37595"/>
    <cellStyle name="40% - Accent4 9 2 3 4 2" xfId="37596"/>
    <cellStyle name="40% - Accent4 9 2 3 5" xfId="37597"/>
    <cellStyle name="40% - Accent4 9 2 4" xfId="37598"/>
    <cellStyle name="40% - Accent4 9 2 4 2" xfId="37599"/>
    <cellStyle name="40% - Accent4 9 2 4 2 2" xfId="37600"/>
    <cellStyle name="40% - Accent4 9 2 4 2 2 2" xfId="37601"/>
    <cellStyle name="40% - Accent4 9 2 4 2 2 2 2" xfId="37602"/>
    <cellStyle name="40% - Accent4 9 2 4 2 2 3" xfId="37603"/>
    <cellStyle name="40% - Accent4 9 2 4 2 3" xfId="37604"/>
    <cellStyle name="40% - Accent4 9 2 4 2 3 2" xfId="37605"/>
    <cellStyle name="40% - Accent4 9 2 4 2 4" xfId="37606"/>
    <cellStyle name="40% - Accent4 9 2 4 3" xfId="37607"/>
    <cellStyle name="40% - Accent4 9 2 4 3 2" xfId="37608"/>
    <cellStyle name="40% - Accent4 9 2 4 3 2 2" xfId="37609"/>
    <cellStyle name="40% - Accent4 9 2 4 3 3" xfId="37610"/>
    <cellStyle name="40% - Accent4 9 2 4 4" xfId="37611"/>
    <cellStyle name="40% - Accent4 9 2 4 4 2" xfId="37612"/>
    <cellStyle name="40% - Accent4 9 2 4 5" xfId="37613"/>
    <cellStyle name="40% - Accent4 9 2 5" xfId="37614"/>
    <cellStyle name="40% - Accent4 9 2 5 2" xfId="37615"/>
    <cellStyle name="40% - Accent4 9 2 5 2 2" xfId="37616"/>
    <cellStyle name="40% - Accent4 9 2 5 2 2 2" xfId="37617"/>
    <cellStyle name="40% - Accent4 9 2 5 2 2 2 2" xfId="37618"/>
    <cellStyle name="40% - Accent4 9 2 5 2 2 3" xfId="37619"/>
    <cellStyle name="40% - Accent4 9 2 5 2 3" xfId="37620"/>
    <cellStyle name="40% - Accent4 9 2 5 2 3 2" xfId="37621"/>
    <cellStyle name="40% - Accent4 9 2 5 2 4" xfId="37622"/>
    <cellStyle name="40% - Accent4 9 2 5 3" xfId="37623"/>
    <cellStyle name="40% - Accent4 9 2 5 3 2" xfId="37624"/>
    <cellStyle name="40% - Accent4 9 2 5 3 2 2" xfId="37625"/>
    <cellStyle name="40% - Accent4 9 2 5 3 3" xfId="37626"/>
    <cellStyle name="40% - Accent4 9 2 5 4" xfId="37627"/>
    <cellStyle name="40% - Accent4 9 2 5 4 2" xfId="37628"/>
    <cellStyle name="40% - Accent4 9 2 5 5" xfId="37629"/>
    <cellStyle name="40% - Accent4 9 2 6" xfId="37630"/>
    <cellStyle name="40% - Accent4 9 2 6 2" xfId="37631"/>
    <cellStyle name="40% - Accent4 9 2 6 2 2" xfId="37632"/>
    <cellStyle name="40% - Accent4 9 2 6 2 2 2" xfId="37633"/>
    <cellStyle name="40% - Accent4 9 2 6 2 2 2 2" xfId="37634"/>
    <cellStyle name="40% - Accent4 9 2 6 2 2 3" xfId="37635"/>
    <cellStyle name="40% - Accent4 9 2 6 2 3" xfId="37636"/>
    <cellStyle name="40% - Accent4 9 2 6 2 3 2" xfId="37637"/>
    <cellStyle name="40% - Accent4 9 2 6 2 4" xfId="37638"/>
    <cellStyle name="40% - Accent4 9 2 6 3" xfId="37639"/>
    <cellStyle name="40% - Accent4 9 2 6 3 2" xfId="37640"/>
    <cellStyle name="40% - Accent4 9 2 6 3 2 2" xfId="37641"/>
    <cellStyle name="40% - Accent4 9 2 6 3 3" xfId="37642"/>
    <cellStyle name="40% - Accent4 9 2 6 4" xfId="37643"/>
    <cellStyle name="40% - Accent4 9 2 6 4 2" xfId="37644"/>
    <cellStyle name="40% - Accent4 9 2 6 5" xfId="37645"/>
    <cellStyle name="40% - Accent4 9 2 7" xfId="37646"/>
    <cellStyle name="40% - Accent4 9 2 7 2" xfId="37647"/>
    <cellStyle name="40% - Accent4 9 2 7 2 2" xfId="37648"/>
    <cellStyle name="40% - Accent4 9 2 7 2 2 2" xfId="37649"/>
    <cellStyle name="40% - Accent4 9 2 7 2 3" xfId="37650"/>
    <cellStyle name="40% - Accent4 9 2 7 3" xfId="37651"/>
    <cellStyle name="40% - Accent4 9 2 7 3 2" xfId="37652"/>
    <cellStyle name="40% - Accent4 9 2 7 4" xfId="37653"/>
    <cellStyle name="40% - Accent4 9 2 8" xfId="37654"/>
    <cellStyle name="40% - Accent4 9 2 8 2" xfId="37655"/>
    <cellStyle name="40% - Accent4 9 2 8 2 2" xfId="37656"/>
    <cellStyle name="40% - Accent4 9 2 8 3" xfId="37657"/>
    <cellStyle name="40% - Accent4 9 2 9" xfId="37658"/>
    <cellStyle name="40% - Accent4 9 2 9 2" xfId="37659"/>
    <cellStyle name="40% - Accent4 9 3" xfId="37660"/>
    <cellStyle name="40% - Accent4 9 3 2" xfId="37661"/>
    <cellStyle name="40% - Accent4 9 3 2 2" xfId="37662"/>
    <cellStyle name="40% - Accent4 9 3 2 2 2" xfId="37663"/>
    <cellStyle name="40% - Accent4 9 3 2 2 2 2" xfId="37664"/>
    <cellStyle name="40% - Accent4 9 3 2 2 3" xfId="37665"/>
    <cellStyle name="40% - Accent4 9 3 2 3" xfId="37666"/>
    <cellStyle name="40% - Accent4 9 3 2 3 2" xfId="37667"/>
    <cellStyle name="40% - Accent4 9 3 2 4" xfId="37668"/>
    <cellStyle name="40% - Accent4 9 3 3" xfId="37669"/>
    <cellStyle name="40% - Accent4 9 3 3 2" xfId="37670"/>
    <cellStyle name="40% - Accent4 9 3 3 2 2" xfId="37671"/>
    <cellStyle name="40% - Accent4 9 3 3 3" xfId="37672"/>
    <cellStyle name="40% - Accent4 9 3 4" xfId="37673"/>
    <cellStyle name="40% - Accent4 9 3 4 2" xfId="37674"/>
    <cellStyle name="40% - Accent4 9 3 5" xfId="37675"/>
    <cellStyle name="40% - Accent4 9 4" xfId="37676"/>
    <cellStyle name="40% - Accent4 9 4 2" xfId="37677"/>
    <cellStyle name="40% - Accent4 9 4 2 2" xfId="37678"/>
    <cellStyle name="40% - Accent4 9 4 2 2 2" xfId="37679"/>
    <cellStyle name="40% - Accent4 9 4 2 2 2 2" xfId="37680"/>
    <cellStyle name="40% - Accent4 9 4 2 2 3" xfId="37681"/>
    <cellStyle name="40% - Accent4 9 4 2 3" xfId="37682"/>
    <cellStyle name="40% - Accent4 9 4 2 3 2" xfId="37683"/>
    <cellStyle name="40% - Accent4 9 4 2 4" xfId="37684"/>
    <cellStyle name="40% - Accent4 9 4 3" xfId="37685"/>
    <cellStyle name="40% - Accent4 9 4 3 2" xfId="37686"/>
    <cellStyle name="40% - Accent4 9 4 3 2 2" xfId="37687"/>
    <cellStyle name="40% - Accent4 9 4 3 3" xfId="37688"/>
    <cellStyle name="40% - Accent4 9 4 4" xfId="37689"/>
    <cellStyle name="40% - Accent4 9 4 4 2" xfId="37690"/>
    <cellStyle name="40% - Accent4 9 4 5" xfId="37691"/>
    <cellStyle name="40% - Accent4 9 5" xfId="37692"/>
    <cellStyle name="40% - Accent4 9 5 2" xfId="37693"/>
    <cellStyle name="40% - Accent4 9 5 2 2" xfId="37694"/>
    <cellStyle name="40% - Accent4 9 5 2 2 2" xfId="37695"/>
    <cellStyle name="40% - Accent4 9 5 2 2 2 2" xfId="37696"/>
    <cellStyle name="40% - Accent4 9 5 2 2 3" xfId="37697"/>
    <cellStyle name="40% - Accent4 9 5 2 3" xfId="37698"/>
    <cellStyle name="40% - Accent4 9 5 2 3 2" xfId="37699"/>
    <cellStyle name="40% - Accent4 9 5 2 4" xfId="37700"/>
    <cellStyle name="40% - Accent4 9 5 3" xfId="37701"/>
    <cellStyle name="40% - Accent4 9 5 3 2" xfId="37702"/>
    <cellStyle name="40% - Accent4 9 5 3 2 2" xfId="37703"/>
    <cellStyle name="40% - Accent4 9 5 3 3" xfId="37704"/>
    <cellStyle name="40% - Accent4 9 5 4" xfId="37705"/>
    <cellStyle name="40% - Accent4 9 5 4 2" xfId="37706"/>
    <cellStyle name="40% - Accent4 9 5 5" xfId="37707"/>
    <cellStyle name="40% - Accent4 9 6" xfId="37708"/>
    <cellStyle name="40% - Accent4 9 6 2" xfId="37709"/>
    <cellStyle name="40% - Accent4 9 6 2 2" xfId="37710"/>
    <cellStyle name="40% - Accent4 9 6 2 2 2" xfId="37711"/>
    <cellStyle name="40% - Accent4 9 6 2 2 2 2" xfId="37712"/>
    <cellStyle name="40% - Accent4 9 6 2 2 3" xfId="37713"/>
    <cellStyle name="40% - Accent4 9 6 2 3" xfId="37714"/>
    <cellStyle name="40% - Accent4 9 6 2 3 2" xfId="37715"/>
    <cellStyle name="40% - Accent4 9 6 2 4" xfId="37716"/>
    <cellStyle name="40% - Accent4 9 6 3" xfId="37717"/>
    <cellStyle name="40% - Accent4 9 6 3 2" xfId="37718"/>
    <cellStyle name="40% - Accent4 9 6 3 2 2" xfId="37719"/>
    <cellStyle name="40% - Accent4 9 6 3 3" xfId="37720"/>
    <cellStyle name="40% - Accent4 9 6 4" xfId="37721"/>
    <cellStyle name="40% - Accent4 9 6 4 2" xfId="37722"/>
    <cellStyle name="40% - Accent4 9 6 5" xfId="37723"/>
    <cellStyle name="40% - Accent4 9 7" xfId="37724"/>
    <cellStyle name="40% - Accent4 9 7 2" xfId="37725"/>
    <cellStyle name="40% - Accent4 9 7 2 2" xfId="37726"/>
    <cellStyle name="40% - Accent4 9 7 2 2 2" xfId="37727"/>
    <cellStyle name="40% - Accent4 9 7 2 2 2 2" xfId="37728"/>
    <cellStyle name="40% - Accent4 9 7 2 2 3" xfId="37729"/>
    <cellStyle name="40% - Accent4 9 7 2 3" xfId="37730"/>
    <cellStyle name="40% - Accent4 9 7 2 3 2" xfId="37731"/>
    <cellStyle name="40% - Accent4 9 7 2 4" xfId="37732"/>
    <cellStyle name="40% - Accent4 9 7 3" xfId="37733"/>
    <cellStyle name="40% - Accent4 9 7 3 2" xfId="37734"/>
    <cellStyle name="40% - Accent4 9 7 3 2 2" xfId="37735"/>
    <cellStyle name="40% - Accent4 9 7 3 3" xfId="37736"/>
    <cellStyle name="40% - Accent4 9 7 4" xfId="37737"/>
    <cellStyle name="40% - Accent4 9 7 4 2" xfId="37738"/>
    <cellStyle name="40% - Accent4 9 7 5" xfId="37739"/>
    <cellStyle name="40% - Accent4 9 8" xfId="37740"/>
    <cellStyle name="40% - Accent4 9 8 2" xfId="37741"/>
    <cellStyle name="40% - Accent4 9 8 2 2" xfId="37742"/>
    <cellStyle name="40% - Accent4 9 8 2 2 2" xfId="37743"/>
    <cellStyle name="40% - Accent4 9 8 2 3" xfId="37744"/>
    <cellStyle name="40% - Accent4 9 8 3" xfId="37745"/>
    <cellStyle name="40% - Accent4 9 8 3 2" xfId="37746"/>
    <cellStyle name="40% - Accent4 9 8 4" xfId="37747"/>
    <cellStyle name="40% - Accent4 9 9" xfId="37748"/>
    <cellStyle name="40% - Accent4 9 9 2" xfId="37749"/>
    <cellStyle name="40% - Accent4 9 9 2 2" xfId="37750"/>
    <cellStyle name="40% - Accent4 9 9 3" xfId="37751"/>
    <cellStyle name="40% - Accent5 10" xfId="37752"/>
    <cellStyle name="40% - Accent5 10 10" xfId="37753"/>
    <cellStyle name="40% - Accent5 10 10 2" xfId="37754"/>
    <cellStyle name="40% - Accent5 10 11" xfId="37755"/>
    <cellStyle name="40% - Accent5 10 2" xfId="37756"/>
    <cellStyle name="40% - Accent5 10 2 10" xfId="37757"/>
    <cellStyle name="40% - Accent5 10 2 2" xfId="37758"/>
    <cellStyle name="40% - Accent5 10 2 2 2" xfId="37759"/>
    <cellStyle name="40% - Accent5 10 2 2 2 2" xfId="37760"/>
    <cellStyle name="40% - Accent5 10 2 2 2 2 2" xfId="37761"/>
    <cellStyle name="40% - Accent5 10 2 2 2 2 2 2" xfId="37762"/>
    <cellStyle name="40% - Accent5 10 2 2 2 2 3" xfId="37763"/>
    <cellStyle name="40% - Accent5 10 2 2 2 3" xfId="37764"/>
    <cellStyle name="40% - Accent5 10 2 2 2 3 2" xfId="37765"/>
    <cellStyle name="40% - Accent5 10 2 2 2 4" xfId="37766"/>
    <cellStyle name="40% - Accent5 10 2 2 3" xfId="37767"/>
    <cellStyle name="40% - Accent5 10 2 2 3 2" xfId="37768"/>
    <cellStyle name="40% - Accent5 10 2 2 3 2 2" xfId="37769"/>
    <cellStyle name="40% - Accent5 10 2 2 3 3" xfId="37770"/>
    <cellStyle name="40% - Accent5 10 2 2 4" xfId="37771"/>
    <cellStyle name="40% - Accent5 10 2 2 4 2" xfId="37772"/>
    <cellStyle name="40% - Accent5 10 2 2 5" xfId="37773"/>
    <cellStyle name="40% - Accent5 10 2 3" xfId="37774"/>
    <cellStyle name="40% - Accent5 10 2 3 2" xfId="37775"/>
    <cellStyle name="40% - Accent5 10 2 3 2 2" xfId="37776"/>
    <cellStyle name="40% - Accent5 10 2 3 2 2 2" xfId="37777"/>
    <cellStyle name="40% - Accent5 10 2 3 2 2 2 2" xfId="37778"/>
    <cellStyle name="40% - Accent5 10 2 3 2 2 3" xfId="37779"/>
    <cellStyle name="40% - Accent5 10 2 3 2 3" xfId="37780"/>
    <cellStyle name="40% - Accent5 10 2 3 2 3 2" xfId="37781"/>
    <cellStyle name="40% - Accent5 10 2 3 2 4" xfId="37782"/>
    <cellStyle name="40% - Accent5 10 2 3 3" xfId="37783"/>
    <cellStyle name="40% - Accent5 10 2 3 3 2" xfId="37784"/>
    <cellStyle name="40% - Accent5 10 2 3 3 2 2" xfId="37785"/>
    <cellStyle name="40% - Accent5 10 2 3 3 3" xfId="37786"/>
    <cellStyle name="40% - Accent5 10 2 3 4" xfId="37787"/>
    <cellStyle name="40% - Accent5 10 2 3 4 2" xfId="37788"/>
    <cellStyle name="40% - Accent5 10 2 3 5" xfId="37789"/>
    <cellStyle name="40% - Accent5 10 2 4" xfId="37790"/>
    <cellStyle name="40% - Accent5 10 2 4 2" xfId="37791"/>
    <cellStyle name="40% - Accent5 10 2 4 2 2" xfId="37792"/>
    <cellStyle name="40% - Accent5 10 2 4 2 2 2" xfId="37793"/>
    <cellStyle name="40% - Accent5 10 2 4 2 2 2 2" xfId="37794"/>
    <cellStyle name="40% - Accent5 10 2 4 2 2 3" xfId="37795"/>
    <cellStyle name="40% - Accent5 10 2 4 2 3" xfId="37796"/>
    <cellStyle name="40% - Accent5 10 2 4 2 3 2" xfId="37797"/>
    <cellStyle name="40% - Accent5 10 2 4 2 4" xfId="37798"/>
    <cellStyle name="40% - Accent5 10 2 4 3" xfId="37799"/>
    <cellStyle name="40% - Accent5 10 2 4 3 2" xfId="37800"/>
    <cellStyle name="40% - Accent5 10 2 4 3 2 2" xfId="37801"/>
    <cellStyle name="40% - Accent5 10 2 4 3 3" xfId="37802"/>
    <cellStyle name="40% - Accent5 10 2 4 4" xfId="37803"/>
    <cellStyle name="40% - Accent5 10 2 4 4 2" xfId="37804"/>
    <cellStyle name="40% - Accent5 10 2 4 5" xfId="37805"/>
    <cellStyle name="40% - Accent5 10 2 5" xfId="37806"/>
    <cellStyle name="40% - Accent5 10 2 5 2" xfId="37807"/>
    <cellStyle name="40% - Accent5 10 2 5 2 2" xfId="37808"/>
    <cellStyle name="40% - Accent5 10 2 5 2 2 2" xfId="37809"/>
    <cellStyle name="40% - Accent5 10 2 5 2 2 2 2" xfId="37810"/>
    <cellStyle name="40% - Accent5 10 2 5 2 2 3" xfId="37811"/>
    <cellStyle name="40% - Accent5 10 2 5 2 3" xfId="37812"/>
    <cellStyle name="40% - Accent5 10 2 5 2 3 2" xfId="37813"/>
    <cellStyle name="40% - Accent5 10 2 5 2 4" xfId="37814"/>
    <cellStyle name="40% - Accent5 10 2 5 3" xfId="37815"/>
    <cellStyle name="40% - Accent5 10 2 5 3 2" xfId="37816"/>
    <cellStyle name="40% - Accent5 10 2 5 3 2 2" xfId="37817"/>
    <cellStyle name="40% - Accent5 10 2 5 3 3" xfId="37818"/>
    <cellStyle name="40% - Accent5 10 2 5 4" xfId="37819"/>
    <cellStyle name="40% - Accent5 10 2 5 4 2" xfId="37820"/>
    <cellStyle name="40% - Accent5 10 2 5 5" xfId="37821"/>
    <cellStyle name="40% - Accent5 10 2 6" xfId="37822"/>
    <cellStyle name="40% - Accent5 10 2 6 2" xfId="37823"/>
    <cellStyle name="40% - Accent5 10 2 6 2 2" xfId="37824"/>
    <cellStyle name="40% - Accent5 10 2 6 2 2 2" xfId="37825"/>
    <cellStyle name="40% - Accent5 10 2 6 2 2 2 2" xfId="37826"/>
    <cellStyle name="40% - Accent5 10 2 6 2 2 3" xfId="37827"/>
    <cellStyle name="40% - Accent5 10 2 6 2 3" xfId="37828"/>
    <cellStyle name="40% - Accent5 10 2 6 2 3 2" xfId="37829"/>
    <cellStyle name="40% - Accent5 10 2 6 2 4" xfId="37830"/>
    <cellStyle name="40% - Accent5 10 2 6 3" xfId="37831"/>
    <cellStyle name="40% - Accent5 10 2 6 3 2" xfId="37832"/>
    <cellStyle name="40% - Accent5 10 2 6 3 2 2" xfId="37833"/>
    <cellStyle name="40% - Accent5 10 2 6 3 3" xfId="37834"/>
    <cellStyle name="40% - Accent5 10 2 6 4" xfId="37835"/>
    <cellStyle name="40% - Accent5 10 2 6 4 2" xfId="37836"/>
    <cellStyle name="40% - Accent5 10 2 6 5" xfId="37837"/>
    <cellStyle name="40% - Accent5 10 2 7" xfId="37838"/>
    <cellStyle name="40% - Accent5 10 2 7 2" xfId="37839"/>
    <cellStyle name="40% - Accent5 10 2 7 2 2" xfId="37840"/>
    <cellStyle name="40% - Accent5 10 2 7 2 2 2" xfId="37841"/>
    <cellStyle name="40% - Accent5 10 2 7 2 3" xfId="37842"/>
    <cellStyle name="40% - Accent5 10 2 7 3" xfId="37843"/>
    <cellStyle name="40% - Accent5 10 2 7 3 2" xfId="37844"/>
    <cellStyle name="40% - Accent5 10 2 7 4" xfId="37845"/>
    <cellStyle name="40% - Accent5 10 2 8" xfId="37846"/>
    <cellStyle name="40% - Accent5 10 2 8 2" xfId="37847"/>
    <cellStyle name="40% - Accent5 10 2 8 2 2" xfId="37848"/>
    <cellStyle name="40% - Accent5 10 2 8 3" xfId="37849"/>
    <cellStyle name="40% - Accent5 10 2 9" xfId="37850"/>
    <cellStyle name="40% - Accent5 10 2 9 2" xfId="37851"/>
    <cellStyle name="40% - Accent5 10 3" xfId="37852"/>
    <cellStyle name="40% - Accent5 10 3 2" xfId="37853"/>
    <cellStyle name="40% - Accent5 10 3 2 2" xfId="37854"/>
    <cellStyle name="40% - Accent5 10 3 2 2 2" xfId="37855"/>
    <cellStyle name="40% - Accent5 10 3 2 2 2 2" xfId="37856"/>
    <cellStyle name="40% - Accent5 10 3 2 2 3" xfId="37857"/>
    <cellStyle name="40% - Accent5 10 3 2 3" xfId="37858"/>
    <cellStyle name="40% - Accent5 10 3 2 3 2" xfId="37859"/>
    <cellStyle name="40% - Accent5 10 3 2 4" xfId="37860"/>
    <cellStyle name="40% - Accent5 10 3 3" xfId="37861"/>
    <cellStyle name="40% - Accent5 10 3 3 2" xfId="37862"/>
    <cellStyle name="40% - Accent5 10 3 3 2 2" xfId="37863"/>
    <cellStyle name="40% - Accent5 10 3 3 3" xfId="37864"/>
    <cellStyle name="40% - Accent5 10 3 4" xfId="37865"/>
    <cellStyle name="40% - Accent5 10 3 4 2" xfId="37866"/>
    <cellStyle name="40% - Accent5 10 3 5" xfId="37867"/>
    <cellStyle name="40% - Accent5 10 4" xfId="37868"/>
    <cellStyle name="40% - Accent5 10 4 2" xfId="37869"/>
    <cellStyle name="40% - Accent5 10 4 2 2" xfId="37870"/>
    <cellStyle name="40% - Accent5 10 4 2 2 2" xfId="37871"/>
    <cellStyle name="40% - Accent5 10 4 2 2 2 2" xfId="37872"/>
    <cellStyle name="40% - Accent5 10 4 2 2 3" xfId="37873"/>
    <cellStyle name="40% - Accent5 10 4 2 3" xfId="37874"/>
    <cellStyle name="40% - Accent5 10 4 2 3 2" xfId="37875"/>
    <cellStyle name="40% - Accent5 10 4 2 4" xfId="37876"/>
    <cellStyle name="40% - Accent5 10 4 3" xfId="37877"/>
    <cellStyle name="40% - Accent5 10 4 3 2" xfId="37878"/>
    <cellStyle name="40% - Accent5 10 4 3 2 2" xfId="37879"/>
    <cellStyle name="40% - Accent5 10 4 3 3" xfId="37880"/>
    <cellStyle name="40% - Accent5 10 4 4" xfId="37881"/>
    <cellStyle name="40% - Accent5 10 4 4 2" xfId="37882"/>
    <cellStyle name="40% - Accent5 10 4 5" xfId="37883"/>
    <cellStyle name="40% - Accent5 10 5" xfId="37884"/>
    <cellStyle name="40% - Accent5 10 5 2" xfId="37885"/>
    <cellStyle name="40% - Accent5 10 5 2 2" xfId="37886"/>
    <cellStyle name="40% - Accent5 10 5 2 2 2" xfId="37887"/>
    <cellStyle name="40% - Accent5 10 5 2 2 2 2" xfId="37888"/>
    <cellStyle name="40% - Accent5 10 5 2 2 3" xfId="37889"/>
    <cellStyle name="40% - Accent5 10 5 2 3" xfId="37890"/>
    <cellStyle name="40% - Accent5 10 5 2 3 2" xfId="37891"/>
    <cellStyle name="40% - Accent5 10 5 2 4" xfId="37892"/>
    <cellStyle name="40% - Accent5 10 5 3" xfId="37893"/>
    <cellStyle name="40% - Accent5 10 5 3 2" xfId="37894"/>
    <cellStyle name="40% - Accent5 10 5 3 2 2" xfId="37895"/>
    <cellStyle name="40% - Accent5 10 5 3 3" xfId="37896"/>
    <cellStyle name="40% - Accent5 10 5 4" xfId="37897"/>
    <cellStyle name="40% - Accent5 10 5 4 2" xfId="37898"/>
    <cellStyle name="40% - Accent5 10 5 5" xfId="37899"/>
    <cellStyle name="40% - Accent5 10 6" xfId="37900"/>
    <cellStyle name="40% - Accent5 10 6 2" xfId="37901"/>
    <cellStyle name="40% - Accent5 10 6 2 2" xfId="37902"/>
    <cellStyle name="40% - Accent5 10 6 2 2 2" xfId="37903"/>
    <cellStyle name="40% - Accent5 10 6 2 2 2 2" xfId="37904"/>
    <cellStyle name="40% - Accent5 10 6 2 2 3" xfId="37905"/>
    <cellStyle name="40% - Accent5 10 6 2 3" xfId="37906"/>
    <cellStyle name="40% - Accent5 10 6 2 3 2" xfId="37907"/>
    <cellStyle name="40% - Accent5 10 6 2 4" xfId="37908"/>
    <cellStyle name="40% - Accent5 10 6 3" xfId="37909"/>
    <cellStyle name="40% - Accent5 10 6 3 2" xfId="37910"/>
    <cellStyle name="40% - Accent5 10 6 3 2 2" xfId="37911"/>
    <cellStyle name="40% - Accent5 10 6 3 3" xfId="37912"/>
    <cellStyle name="40% - Accent5 10 6 4" xfId="37913"/>
    <cellStyle name="40% - Accent5 10 6 4 2" xfId="37914"/>
    <cellStyle name="40% - Accent5 10 6 5" xfId="37915"/>
    <cellStyle name="40% - Accent5 10 7" xfId="37916"/>
    <cellStyle name="40% - Accent5 10 7 2" xfId="37917"/>
    <cellStyle name="40% - Accent5 10 7 2 2" xfId="37918"/>
    <cellStyle name="40% - Accent5 10 7 2 2 2" xfId="37919"/>
    <cellStyle name="40% - Accent5 10 7 2 2 2 2" xfId="37920"/>
    <cellStyle name="40% - Accent5 10 7 2 2 3" xfId="37921"/>
    <cellStyle name="40% - Accent5 10 7 2 3" xfId="37922"/>
    <cellStyle name="40% - Accent5 10 7 2 3 2" xfId="37923"/>
    <cellStyle name="40% - Accent5 10 7 2 4" xfId="37924"/>
    <cellStyle name="40% - Accent5 10 7 3" xfId="37925"/>
    <cellStyle name="40% - Accent5 10 7 3 2" xfId="37926"/>
    <cellStyle name="40% - Accent5 10 7 3 2 2" xfId="37927"/>
    <cellStyle name="40% - Accent5 10 7 3 3" xfId="37928"/>
    <cellStyle name="40% - Accent5 10 7 4" xfId="37929"/>
    <cellStyle name="40% - Accent5 10 7 4 2" xfId="37930"/>
    <cellStyle name="40% - Accent5 10 7 5" xfId="37931"/>
    <cellStyle name="40% - Accent5 10 8" xfId="37932"/>
    <cellStyle name="40% - Accent5 10 8 2" xfId="37933"/>
    <cellStyle name="40% - Accent5 10 8 2 2" xfId="37934"/>
    <cellStyle name="40% - Accent5 10 8 2 2 2" xfId="37935"/>
    <cellStyle name="40% - Accent5 10 8 2 3" xfId="37936"/>
    <cellStyle name="40% - Accent5 10 8 3" xfId="37937"/>
    <cellStyle name="40% - Accent5 10 8 3 2" xfId="37938"/>
    <cellStyle name="40% - Accent5 10 8 4" xfId="37939"/>
    <cellStyle name="40% - Accent5 10 9" xfId="37940"/>
    <cellStyle name="40% - Accent5 10 9 2" xfId="37941"/>
    <cellStyle name="40% - Accent5 10 9 2 2" xfId="37942"/>
    <cellStyle name="40% - Accent5 10 9 3" xfId="37943"/>
    <cellStyle name="40% - Accent5 11" xfId="37944"/>
    <cellStyle name="40% - Accent5 11 10" xfId="37945"/>
    <cellStyle name="40% - Accent5 11 10 2" xfId="37946"/>
    <cellStyle name="40% - Accent5 11 11" xfId="37947"/>
    <cellStyle name="40% - Accent5 11 2" xfId="37948"/>
    <cellStyle name="40% - Accent5 11 2 10" xfId="37949"/>
    <cellStyle name="40% - Accent5 11 2 2" xfId="37950"/>
    <cellStyle name="40% - Accent5 11 2 2 2" xfId="37951"/>
    <cellStyle name="40% - Accent5 11 2 2 2 2" xfId="37952"/>
    <cellStyle name="40% - Accent5 11 2 2 2 2 2" xfId="37953"/>
    <cellStyle name="40% - Accent5 11 2 2 2 2 2 2" xfId="37954"/>
    <cellStyle name="40% - Accent5 11 2 2 2 2 3" xfId="37955"/>
    <cellStyle name="40% - Accent5 11 2 2 2 3" xfId="37956"/>
    <cellStyle name="40% - Accent5 11 2 2 2 3 2" xfId="37957"/>
    <cellStyle name="40% - Accent5 11 2 2 2 4" xfId="37958"/>
    <cellStyle name="40% - Accent5 11 2 2 3" xfId="37959"/>
    <cellStyle name="40% - Accent5 11 2 2 3 2" xfId="37960"/>
    <cellStyle name="40% - Accent5 11 2 2 3 2 2" xfId="37961"/>
    <cellStyle name="40% - Accent5 11 2 2 3 3" xfId="37962"/>
    <cellStyle name="40% - Accent5 11 2 2 4" xfId="37963"/>
    <cellStyle name="40% - Accent5 11 2 2 4 2" xfId="37964"/>
    <cellStyle name="40% - Accent5 11 2 2 5" xfId="37965"/>
    <cellStyle name="40% - Accent5 11 2 3" xfId="37966"/>
    <cellStyle name="40% - Accent5 11 2 3 2" xfId="37967"/>
    <cellStyle name="40% - Accent5 11 2 3 2 2" xfId="37968"/>
    <cellStyle name="40% - Accent5 11 2 3 2 2 2" xfId="37969"/>
    <cellStyle name="40% - Accent5 11 2 3 2 2 2 2" xfId="37970"/>
    <cellStyle name="40% - Accent5 11 2 3 2 2 3" xfId="37971"/>
    <cellStyle name="40% - Accent5 11 2 3 2 3" xfId="37972"/>
    <cellStyle name="40% - Accent5 11 2 3 2 3 2" xfId="37973"/>
    <cellStyle name="40% - Accent5 11 2 3 2 4" xfId="37974"/>
    <cellStyle name="40% - Accent5 11 2 3 3" xfId="37975"/>
    <cellStyle name="40% - Accent5 11 2 3 3 2" xfId="37976"/>
    <cellStyle name="40% - Accent5 11 2 3 3 2 2" xfId="37977"/>
    <cellStyle name="40% - Accent5 11 2 3 3 3" xfId="37978"/>
    <cellStyle name="40% - Accent5 11 2 3 4" xfId="37979"/>
    <cellStyle name="40% - Accent5 11 2 3 4 2" xfId="37980"/>
    <cellStyle name="40% - Accent5 11 2 3 5" xfId="37981"/>
    <cellStyle name="40% - Accent5 11 2 4" xfId="37982"/>
    <cellStyle name="40% - Accent5 11 2 4 2" xfId="37983"/>
    <cellStyle name="40% - Accent5 11 2 4 2 2" xfId="37984"/>
    <cellStyle name="40% - Accent5 11 2 4 2 2 2" xfId="37985"/>
    <cellStyle name="40% - Accent5 11 2 4 2 2 2 2" xfId="37986"/>
    <cellStyle name="40% - Accent5 11 2 4 2 2 3" xfId="37987"/>
    <cellStyle name="40% - Accent5 11 2 4 2 3" xfId="37988"/>
    <cellStyle name="40% - Accent5 11 2 4 2 3 2" xfId="37989"/>
    <cellStyle name="40% - Accent5 11 2 4 2 4" xfId="37990"/>
    <cellStyle name="40% - Accent5 11 2 4 3" xfId="37991"/>
    <cellStyle name="40% - Accent5 11 2 4 3 2" xfId="37992"/>
    <cellStyle name="40% - Accent5 11 2 4 3 2 2" xfId="37993"/>
    <cellStyle name="40% - Accent5 11 2 4 3 3" xfId="37994"/>
    <cellStyle name="40% - Accent5 11 2 4 4" xfId="37995"/>
    <cellStyle name="40% - Accent5 11 2 4 4 2" xfId="37996"/>
    <cellStyle name="40% - Accent5 11 2 4 5" xfId="37997"/>
    <cellStyle name="40% - Accent5 11 2 5" xfId="37998"/>
    <cellStyle name="40% - Accent5 11 2 5 2" xfId="37999"/>
    <cellStyle name="40% - Accent5 11 2 5 2 2" xfId="38000"/>
    <cellStyle name="40% - Accent5 11 2 5 2 2 2" xfId="38001"/>
    <cellStyle name="40% - Accent5 11 2 5 2 2 2 2" xfId="38002"/>
    <cellStyle name="40% - Accent5 11 2 5 2 2 3" xfId="38003"/>
    <cellStyle name="40% - Accent5 11 2 5 2 3" xfId="38004"/>
    <cellStyle name="40% - Accent5 11 2 5 2 3 2" xfId="38005"/>
    <cellStyle name="40% - Accent5 11 2 5 2 4" xfId="38006"/>
    <cellStyle name="40% - Accent5 11 2 5 3" xfId="38007"/>
    <cellStyle name="40% - Accent5 11 2 5 3 2" xfId="38008"/>
    <cellStyle name="40% - Accent5 11 2 5 3 2 2" xfId="38009"/>
    <cellStyle name="40% - Accent5 11 2 5 3 3" xfId="38010"/>
    <cellStyle name="40% - Accent5 11 2 5 4" xfId="38011"/>
    <cellStyle name="40% - Accent5 11 2 5 4 2" xfId="38012"/>
    <cellStyle name="40% - Accent5 11 2 5 5" xfId="38013"/>
    <cellStyle name="40% - Accent5 11 2 6" xfId="38014"/>
    <cellStyle name="40% - Accent5 11 2 6 2" xfId="38015"/>
    <cellStyle name="40% - Accent5 11 2 6 2 2" xfId="38016"/>
    <cellStyle name="40% - Accent5 11 2 6 2 2 2" xfId="38017"/>
    <cellStyle name="40% - Accent5 11 2 6 2 2 2 2" xfId="38018"/>
    <cellStyle name="40% - Accent5 11 2 6 2 2 3" xfId="38019"/>
    <cellStyle name="40% - Accent5 11 2 6 2 3" xfId="38020"/>
    <cellStyle name="40% - Accent5 11 2 6 2 3 2" xfId="38021"/>
    <cellStyle name="40% - Accent5 11 2 6 2 4" xfId="38022"/>
    <cellStyle name="40% - Accent5 11 2 6 3" xfId="38023"/>
    <cellStyle name="40% - Accent5 11 2 6 3 2" xfId="38024"/>
    <cellStyle name="40% - Accent5 11 2 6 3 2 2" xfId="38025"/>
    <cellStyle name="40% - Accent5 11 2 6 3 3" xfId="38026"/>
    <cellStyle name="40% - Accent5 11 2 6 4" xfId="38027"/>
    <cellStyle name="40% - Accent5 11 2 6 4 2" xfId="38028"/>
    <cellStyle name="40% - Accent5 11 2 6 5" xfId="38029"/>
    <cellStyle name="40% - Accent5 11 2 7" xfId="38030"/>
    <cellStyle name="40% - Accent5 11 2 7 2" xfId="38031"/>
    <cellStyle name="40% - Accent5 11 2 7 2 2" xfId="38032"/>
    <cellStyle name="40% - Accent5 11 2 7 2 2 2" xfId="38033"/>
    <cellStyle name="40% - Accent5 11 2 7 2 3" xfId="38034"/>
    <cellStyle name="40% - Accent5 11 2 7 3" xfId="38035"/>
    <cellStyle name="40% - Accent5 11 2 7 3 2" xfId="38036"/>
    <cellStyle name="40% - Accent5 11 2 7 4" xfId="38037"/>
    <cellStyle name="40% - Accent5 11 2 8" xfId="38038"/>
    <cellStyle name="40% - Accent5 11 2 8 2" xfId="38039"/>
    <cellStyle name="40% - Accent5 11 2 8 2 2" xfId="38040"/>
    <cellStyle name="40% - Accent5 11 2 8 3" xfId="38041"/>
    <cellStyle name="40% - Accent5 11 2 9" xfId="38042"/>
    <cellStyle name="40% - Accent5 11 2 9 2" xfId="38043"/>
    <cellStyle name="40% - Accent5 11 3" xfId="38044"/>
    <cellStyle name="40% - Accent5 11 3 2" xfId="38045"/>
    <cellStyle name="40% - Accent5 11 3 2 2" xfId="38046"/>
    <cellStyle name="40% - Accent5 11 3 2 2 2" xfId="38047"/>
    <cellStyle name="40% - Accent5 11 3 2 2 2 2" xfId="38048"/>
    <cellStyle name="40% - Accent5 11 3 2 2 3" xfId="38049"/>
    <cellStyle name="40% - Accent5 11 3 2 3" xfId="38050"/>
    <cellStyle name="40% - Accent5 11 3 2 3 2" xfId="38051"/>
    <cellStyle name="40% - Accent5 11 3 2 4" xfId="38052"/>
    <cellStyle name="40% - Accent5 11 3 3" xfId="38053"/>
    <cellStyle name="40% - Accent5 11 3 3 2" xfId="38054"/>
    <cellStyle name="40% - Accent5 11 3 3 2 2" xfId="38055"/>
    <cellStyle name="40% - Accent5 11 3 3 3" xfId="38056"/>
    <cellStyle name="40% - Accent5 11 3 4" xfId="38057"/>
    <cellStyle name="40% - Accent5 11 3 4 2" xfId="38058"/>
    <cellStyle name="40% - Accent5 11 3 5" xfId="38059"/>
    <cellStyle name="40% - Accent5 11 4" xfId="38060"/>
    <cellStyle name="40% - Accent5 11 4 2" xfId="38061"/>
    <cellStyle name="40% - Accent5 11 4 2 2" xfId="38062"/>
    <cellStyle name="40% - Accent5 11 4 2 2 2" xfId="38063"/>
    <cellStyle name="40% - Accent5 11 4 2 2 2 2" xfId="38064"/>
    <cellStyle name="40% - Accent5 11 4 2 2 3" xfId="38065"/>
    <cellStyle name="40% - Accent5 11 4 2 3" xfId="38066"/>
    <cellStyle name="40% - Accent5 11 4 2 3 2" xfId="38067"/>
    <cellStyle name="40% - Accent5 11 4 2 4" xfId="38068"/>
    <cellStyle name="40% - Accent5 11 4 3" xfId="38069"/>
    <cellStyle name="40% - Accent5 11 4 3 2" xfId="38070"/>
    <cellStyle name="40% - Accent5 11 4 3 2 2" xfId="38071"/>
    <cellStyle name="40% - Accent5 11 4 3 3" xfId="38072"/>
    <cellStyle name="40% - Accent5 11 4 4" xfId="38073"/>
    <cellStyle name="40% - Accent5 11 4 4 2" xfId="38074"/>
    <cellStyle name="40% - Accent5 11 4 5" xfId="38075"/>
    <cellStyle name="40% - Accent5 11 5" xfId="38076"/>
    <cellStyle name="40% - Accent5 11 5 2" xfId="38077"/>
    <cellStyle name="40% - Accent5 11 5 2 2" xfId="38078"/>
    <cellStyle name="40% - Accent5 11 5 2 2 2" xfId="38079"/>
    <cellStyle name="40% - Accent5 11 5 2 2 2 2" xfId="38080"/>
    <cellStyle name="40% - Accent5 11 5 2 2 3" xfId="38081"/>
    <cellStyle name="40% - Accent5 11 5 2 3" xfId="38082"/>
    <cellStyle name="40% - Accent5 11 5 2 3 2" xfId="38083"/>
    <cellStyle name="40% - Accent5 11 5 2 4" xfId="38084"/>
    <cellStyle name="40% - Accent5 11 5 3" xfId="38085"/>
    <cellStyle name="40% - Accent5 11 5 3 2" xfId="38086"/>
    <cellStyle name="40% - Accent5 11 5 3 2 2" xfId="38087"/>
    <cellStyle name="40% - Accent5 11 5 3 3" xfId="38088"/>
    <cellStyle name="40% - Accent5 11 5 4" xfId="38089"/>
    <cellStyle name="40% - Accent5 11 5 4 2" xfId="38090"/>
    <cellStyle name="40% - Accent5 11 5 5" xfId="38091"/>
    <cellStyle name="40% - Accent5 11 6" xfId="38092"/>
    <cellStyle name="40% - Accent5 11 6 2" xfId="38093"/>
    <cellStyle name="40% - Accent5 11 6 2 2" xfId="38094"/>
    <cellStyle name="40% - Accent5 11 6 2 2 2" xfId="38095"/>
    <cellStyle name="40% - Accent5 11 6 2 2 2 2" xfId="38096"/>
    <cellStyle name="40% - Accent5 11 6 2 2 3" xfId="38097"/>
    <cellStyle name="40% - Accent5 11 6 2 3" xfId="38098"/>
    <cellStyle name="40% - Accent5 11 6 2 3 2" xfId="38099"/>
    <cellStyle name="40% - Accent5 11 6 2 4" xfId="38100"/>
    <cellStyle name="40% - Accent5 11 6 3" xfId="38101"/>
    <cellStyle name="40% - Accent5 11 6 3 2" xfId="38102"/>
    <cellStyle name="40% - Accent5 11 6 3 2 2" xfId="38103"/>
    <cellStyle name="40% - Accent5 11 6 3 3" xfId="38104"/>
    <cellStyle name="40% - Accent5 11 6 4" xfId="38105"/>
    <cellStyle name="40% - Accent5 11 6 4 2" xfId="38106"/>
    <cellStyle name="40% - Accent5 11 6 5" xfId="38107"/>
    <cellStyle name="40% - Accent5 11 7" xfId="38108"/>
    <cellStyle name="40% - Accent5 11 7 2" xfId="38109"/>
    <cellStyle name="40% - Accent5 11 7 2 2" xfId="38110"/>
    <cellStyle name="40% - Accent5 11 7 2 2 2" xfId="38111"/>
    <cellStyle name="40% - Accent5 11 7 2 2 2 2" xfId="38112"/>
    <cellStyle name="40% - Accent5 11 7 2 2 3" xfId="38113"/>
    <cellStyle name="40% - Accent5 11 7 2 3" xfId="38114"/>
    <cellStyle name="40% - Accent5 11 7 2 3 2" xfId="38115"/>
    <cellStyle name="40% - Accent5 11 7 2 4" xfId="38116"/>
    <cellStyle name="40% - Accent5 11 7 3" xfId="38117"/>
    <cellStyle name="40% - Accent5 11 7 3 2" xfId="38118"/>
    <cellStyle name="40% - Accent5 11 7 3 2 2" xfId="38119"/>
    <cellStyle name="40% - Accent5 11 7 3 3" xfId="38120"/>
    <cellStyle name="40% - Accent5 11 7 4" xfId="38121"/>
    <cellStyle name="40% - Accent5 11 7 4 2" xfId="38122"/>
    <cellStyle name="40% - Accent5 11 7 5" xfId="38123"/>
    <cellStyle name="40% - Accent5 11 8" xfId="38124"/>
    <cellStyle name="40% - Accent5 11 8 2" xfId="38125"/>
    <cellStyle name="40% - Accent5 11 8 2 2" xfId="38126"/>
    <cellStyle name="40% - Accent5 11 8 2 2 2" xfId="38127"/>
    <cellStyle name="40% - Accent5 11 8 2 3" xfId="38128"/>
    <cellStyle name="40% - Accent5 11 8 3" xfId="38129"/>
    <cellStyle name="40% - Accent5 11 8 3 2" xfId="38130"/>
    <cellStyle name="40% - Accent5 11 8 4" xfId="38131"/>
    <cellStyle name="40% - Accent5 11 9" xfId="38132"/>
    <cellStyle name="40% - Accent5 11 9 2" xfId="38133"/>
    <cellStyle name="40% - Accent5 11 9 2 2" xfId="38134"/>
    <cellStyle name="40% - Accent5 11 9 3" xfId="38135"/>
    <cellStyle name="40% - Accent5 12" xfId="38136"/>
    <cellStyle name="40% - Accent5 12 10" xfId="38137"/>
    <cellStyle name="40% - Accent5 12 2" xfId="38138"/>
    <cellStyle name="40% - Accent5 12 2 2" xfId="38139"/>
    <cellStyle name="40% - Accent5 12 2 2 2" xfId="38140"/>
    <cellStyle name="40% - Accent5 12 2 2 2 2" xfId="38141"/>
    <cellStyle name="40% - Accent5 12 2 2 2 2 2" xfId="38142"/>
    <cellStyle name="40% - Accent5 12 2 2 2 3" xfId="38143"/>
    <cellStyle name="40% - Accent5 12 2 2 3" xfId="38144"/>
    <cellStyle name="40% - Accent5 12 2 2 3 2" xfId="38145"/>
    <cellStyle name="40% - Accent5 12 2 2 4" xfId="38146"/>
    <cellStyle name="40% - Accent5 12 2 3" xfId="38147"/>
    <cellStyle name="40% - Accent5 12 2 3 2" xfId="38148"/>
    <cellStyle name="40% - Accent5 12 2 3 2 2" xfId="38149"/>
    <cellStyle name="40% - Accent5 12 2 3 3" xfId="38150"/>
    <cellStyle name="40% - Accent5 12 2 4" xfId="38151"/>
    <cellStyle name="40% - Accent5 12 2 4 2" xfId="38152"/>
    <cellStyle name="40% - Accent5 12 2 5" xfId="38153"/>
    <cellStyle name="40% - Accent5 12 3" xfId="38154"/>
    <cellStyle name="40% - Accent5 12 3 2" xfId="38155"/>
    <cellStyle name="40% - Accent5 12 3 2 2" xfId="38156"/>
    <cellStyle name="40% - Accent5 12 3 2 2 2" xfId="38157"/>
    <cellStyle name="40% - Accent5 12 3 2 2 2 2" xfId="38158"/>
    <cellStyle name="40% - Accent5 12 3 2 2 3" xfId="38159"/>
    <cellStyle name="40% - Accent5 12 3 2 3" xfId="38160"/>
    <cellStyle name="40% - Accent5 12 3 2 3 2" xfId="38161"/>
    <cellStyle name="40% - Accent5 12 3 2 4" xfId="38162"/>
    <cellStyle name="40% - Accent5 12 3 3" xfId="38163"/>
    <cellStyle name="40% - Accent5 12 3 3 2" xfId="38164"/>
    <cellStyle name="40% - Accent5 12 3 3 2 2" xfId="38165"/>
    <cellStyle name="40% - Accent5 12 3 3 3" xfId="38166"/>
    <cellStyle name="40% - Accent5 12 3 4" xfId="38167"/>
    <cellStyle name="40% - Accent5 12 3 4 2" xfId="38168"/>
    <cellStyle name="40% - Accent5 12 3 5" xfId="38169"/>
    <cellStyle name="40% - Accent5 12 4" xfId="38170"/>
    <cellStyle name="40% - Accent5 12 4 2" xfId="38171"/>
    <cellStyle name="40% - Accent5 12 4 2 2" xfId="38172"/>
    <cellStyle name="40% - Accent5 12 4 2 2 2" xfId="38173"/>
    <cellStyle name="40% - Accent5 12 4 2 2 2 2" xfId="38174"/>
    <cellStyle name="40% - Accent5 12 4 2 2 3" xfId="38175"/>
    <cellStyle name="40% - Accent5 12 4 2 3" xfId="38176"/>
    <cellStyle name="40% - Accent5 12 4 2 3 2" xfId="38177"/>
    <cellStyle name="40% - Accent5 12 4 2 4" xfId="38178"/>
    <cellStyle name="40% - Accent5 12 4 3" xfId="38179"/>
    <cellStyle name="40% - Accent5 12 4 3 2" xfId="38180"/>
    <cellStyle name="40% - Accent5 12 4 3 2 2" xfId="38181"/>
    <cellStyle name="40% - Accent5 12 4 3 3" xfId="38182"/>
    <cellStyle name="40% - Accent5 12 4 4" xfId="38183"/>
    <cellStyle name="40% - Accent5 12 4 4 2" xfId="38184"/>
    <cellStyle name="40% - Accent5 12 4 5" xfId="38185"/>
    <cellStyle name="40% - Accent5 12 5" xfId="38186"/>
    <cellStyle name="40% - Accent5 12 5 2" xfId="38187"/>
    <cellStyle name="40% - Accent5 12 5 2 2" xfId="38188"/>
    <cellStyle name="40% - Accent5 12 5 2 2 2" xfId="38189"/>
    <cellStyle name="40% - Accent5 12 5 2 2 2 2" xfId="38190"/>
    <cellStyle name="40% - Accent5 12 5 2 2 3" xfId="38191"/>
    <cellStyle name="40% - Accent5 12 5 2 3" xfId="38192"/>
    <cellStyle name="40% - Accent5 12 5 2 3 2" xfId="38193"/>
    <cellStyle name="40% - Accent5 12 5 2 4" xfId="38194"/>
    <cellStyle name="40% - Accent5 12 5 3" xfId="38195"/>
    <cellStyle name="40% - Accent5 12 5 3 2" xfId="38196"/>
    <cellStyle name="40% - Accent5 12 5 3 2 2" xfId="38197"/>
    <cellStyle name="40% - Accent5 12 5 3 3" xfId="38198"/>
    <cellStyle name="40% - Accent5 12 5 4" xfId="38199"/>
    <cellStyle name="40% - Accent5 12 5 4 2" xfId="38200"/>
    <cellStyle name="40% - Accent5 12 5 5" xfId="38201"/>
    <cellStyle name="40% - Accent5 12 6" xfId="38202"/>
    <cellStyle name="40% - Accent5 12 6 2" xfId="38203"/>
    <cellStyle name="40% - Accent5 12 6 2 2" xfId="38204"/>
    <cellStyle name="40% - Accent5 12 6 2 2 2" xfId="38205"/>
    <cellStyle name="40% - Accent5 12 6 2 2 2 2" xfId="38206"/>
    <cellStyle name="40% - Accent5 12 6 2 2 3" xfId="38207"/>
    <cellStyle name="40% - Accent5 12 6 2 3" xfId="38208"/>
    <cellStyle name="40% - Accent5 12 6 2 3 2" xfId="38209"/>
    <cellStyle name="40% - Accent5 12 6 2 4" xfId="38210"/>
    <cellStyle name="40% - Accent5 12 6 3" xfId="38211"/>
    <cellStyle name="40% - Accent5 12 6 3 2" xfId="38212"/>
    <cellStyle name="40% - Accent5 12 6 3 2 2" xfId="38213"/>
    <cellStyle name="40% - Accent5 12 6 3 3" xfId="38214"/>
    <cellStyle name="40% - Accent5 12 6 4" xfId="38215"/>
    <cellStyle name="40% - Accent5 12 6 4 2" xfId="38216"/>
    <cellStyle name="40% - Accent5 12 6 5" xfId="38217"/>
    <cellStyle name="40% - Accent5 12 7" xfId="38218"/>
    <cellStyle name="40% - Accent5 12 7 2" xfId="38219"/>
    <cellStyle name="40% - Accent5 12 7 2 2" xfId="38220"/>
    <cellStyle name="40% - Accent5 12 7 2 2 2" xfId="38221"/>
    <cellStyle name="40% - Accent5 12 7 2 3" xfId="38222"/>
    <cellStyle name="40% - Accent5 12 7 3" xfId="38223"/>
    <cellStyle name="40% - Accent5 12 7 3 2" xfId="38224"/>
    <cellStyle name="40% - Accent5 12 7 4" xfId="38225"/>
    <cellStyle name="40% - Accent5 12 8" xfId="38226"/>
    <cellStyle name="40% - Accent5 12 8 2" xfId="38227"/>
    <cellStyle name="40% - Accent5 12 8 2 2" xfId="38228"/>
    <cellStyle name="40% - Accent5 12 8 3" xfId="38229"/>
    <cellStyle name="40% - Accent5 12 9" xfId="38230"/>
    <cellStyle name="40% - Accent5 12 9 2" xfId="38231"/>
    <cellStyle name="40% - Accent5 13" xfId="38232"/>
    <cellStyle name="40% - Accent5 13 10" xfId="38233"/>
    <cellStyle name="40% - Accent5 13 2" xfId="38234"/>
    <cellStyle name="40% - Accent5 13 2 2" xfId="38235"/>
    <cellStyle name="40% - Accent5 13 2 2 2" xfId="38236"/>
    <cellStyle name="40% - Accent5 13 2 2 2 2" xfId="38237"/>
    <cellStyle name="40% - Accent5 13 2 2 2 2 2" xfId="38238"/>
    <cellStyle name="40% - Accent5 13 2 2 2 3" xfId="38239"/>
    <cellStyle name="40% - Accent5 13 2 2 3" xfId="38240"/>
    <cellStyle name="40% - Accent5 13 2 2 3 2" xfId="38241"/>
    <cellStyle name="40% - Accent5 13 2 2 4" xfId="38242"/>
    <cellStyle name="40% - Accent5 13 2 3" xfId="38243"/>
    <cellStyle name="40% - Accent5 13 2 3 2" xfId="38244"/>
    <cellStyle name="40% - Accent5 13 2 3 2 2" xfId="38245"/>
    <cellStyle name="40% - Accent5 13 2 3 3" xfId="38246"/>
    <cellStyle name="40% - Accent5 13 2 4" xfId="38247"/>
    <cellStyle name="40% - Accent5 13 2 4 2" xfId="38248"/>
    <cellStyle name="40% - Accent5 13 2 5" xfId="38249"/>
    <cellStyle name="40% - Accent5 13 3" xfId="38250"/>
    <cellStyle name="40% - Accent5 13 3 2" xfId="38251"/>
    <cellStyle name="40% - Accent5 13 3 2 2" xfId="38252"/>
    <cellStyle name="40% - Accent5 13 3 2 2 2" xfId="38253"/>
    <cellStyle name="40% - Accent5 13 3 2 2 2 2" xfId="38254"/>
    <cellStyle name="40% - Accent5 13 3 2 2 3" xfId="38255"/>
    <cellStyle name="40% - Accent5 13 3 2 3" xfId="38256"/>
    <cellStyle name="40% - Accent5 13 3 2 3 2" xfId="38257"/>
    <cellStyle name="40% - Accent5 13 3 2 4" xfId="38258"/>
    <cellStyle name="40% - Accent5 13 3 3" xfId="38259"/>
    <cellStyle name="40% - Accent5 13 3 3 2" xfId="38260"/>
    <cellStyle name="40% - Accent5 13 3 3 2 2" xfId="38261"/>
    <cellStyle name="40% - Accent5 13 3 3 3" xfId="38262"/>
    <cellStyle name="40% - Accent5 13 3 4" xfId="38263"/>
    <cellStyle name="40% - Accent5 13 3 4 2" xfId="38264"/>
    <cellStyle name="40% - Accent5 13 3 5" xfId="38265"/>
    <cellStyle name="40% - Accent5 13 4" xfId="38266"/>
    <cellStyle name="40% - Accent5 13 4 2" xfId="38267"/>
    <cellStyle name="40% - Accent5 13 4 2 2" xfId="38268"/>
    <cellStyle name="40% - Accent5 13 4 2 2 2" xfId="38269"/>
    <cellStyle name="40% - Accent5 13 4 2 2 2 2" xfId="38270"/>
    <cellStyle name="40% - Accent5 13 4 2 2 3" xfId="38271"/>
    <cellStyle name="40% - Accent5 13 4 2 3" xfId="38272"/>
    <cellStyle name="40% - Accent5 13 4 2 3 2" xfId="38273"/>
    <cellStyle name="40% - Accent5 13 4 2 4" xfId="38274"/>
    <cellStyle name="40% - Accent5 13 4 3" xfId="38275"/>
    <cellStyle name="40% - Accent5 13 4 3 2" xfId="38276"/>
    <cellStyle name="40% - Accent5 13 4 3 2 2" xfId="38277"/>
    <cellStyle name="40% - Accent5 13 4 3 3" xfId="38278"/>
    <cellStyle name="40% - Accent5 13 4 4" xfId="38279"/>
    <cellStyle name="40% - Accent5 13 4 4 2" xfId="38280"/>
    <cellStyle name="40% - Accent5 13 4 5" xfId="38281"/>
    <cellStyle name="40% - Accent5 13 5" xfId="38282"/>
    <cellStyle name="40% - Accent5 13 5 2" xfId="38283"/>
    <cellStyle name="40% - Accent5 13 5 2 2" xfId="38284"/>
    <cellStyle name="40% - Accent5 13 5 2 2 2" xfId="38285"/>
    <cellStyle name="40% - Accent5 13 5 2 2 2 2" xfId="38286"/>
    <cellStyle name="40% - Accent5 13 5 2 2 3" xfId="38287"/>
    <cellStyle name="40% - Accent5 13 5 2 3" xfId="38288"/>
    <cellStyle name="40% - Accent5 13 5 2 3 2" xfId="38289"/>
    <cellStyle name="40% - Accent5 13 5 2 4" xfId="38290"/>
    <cellStyle name="40% - Accent5 13 5 3" xfId="38291"/>
    <cellStyle name="40% - Accent5 13 5 3 2" xfId="38292"/>
    <cellStyle name="40% - Accent5 13 5 3 2 2" xfId="38293"/>
    <cellStyle name="40% - Accent5 13 5 3 3" xfId="38294"/>
    <cellStyle name="40% - Accent5 13 5 4" xfId="38295"/>
    <cellStyle name="40% - Accent5 13 5 4 2" xfId="38296"/>
    <cellStyle name="40% - Accent5 13 5 5" xfId="38297"/>
    <cellStyle name="40% - Accent5 13 6" xfId="38298"/>
    <cellStyle name="40% - Accent5 13 6 2" xfId="38299"/>
    <cellStyle name="40% - Accent5 13 6 2 2" xfId="38300"/>
    <cellStyle name="40% - Accent5 13 6 2 2 2" xfId="38301"/>
    <cellStyle name="40% - Accent5 13 6 2 2 2 2" xfId="38302"/>
    <cellStyle name="40% - Accent5 13 6 2 2 3" xfId="38303"/>
    <cellStyle name="40% - Accent5 13 6 2 3" xfId="38304"/>
    <cellStyle name="40% - Accent5 13 6 2 3 2" xfId="38305"/>
    <cellStyle name="40% - Accent5 13 6 2 4" xfId="38306"/>
    <cellStyle name="40% - Accent5 13 6 3" xfId="38307"/>
    <cellStyle name="40% - Accent5 13 6 3 2" xfId="38308"/>
    <cellStyle name="40% - Accent5 13 6 3 2 2" xfId="38309"/>
    <cellStyle name="40% - Accent5 13 6 3 3" xfId="38310"/>
    <cellStyle name="40% - Accent5 13 6 4" xfId="38311"/>
    <cellStyle name="40% - Accent5 13 6 4 2" xfId="38312"/>
    <cellStyle name="40% - Accent5 13 6 5" xfId="38313"/>
    <cellStyle name="40% - Accent5 13 7" xfId="38314"/>
    <cellStyle name="40% - Accent5 13 7 2" xfId="38315"/>
    <cellStyle name="40% - Accent5 13 7 2 2" xfId="38316"/>
    <cellStyle name="40% - Accent5 13 7 2 2 2" xfId="38317"/>
    <cellStyle name="40% - Accent5 13 7 2 3" xfId="38318"/>
    <cellStyle name="40% - Accent5 13 7 3" xfId="38319"/>
    <cellStyle name="40% - Accent5 13 7 3 2" xfId="38320"/>
    <cellStyle name="40% - Accent5 13 7 4" xfId="38321"/>
    <cellStyle name="40% - Accent5 13 8" xfId="38322"/>
    <cellStyle name="40% - Accent5 13 8 2" xfId="38323"/>
    <cellStyle name="40% - Accent5 13 8 2 2" xfId="38324"/>
    <cellStyle name="40% - Accent5 13 8 3" xfId="38325"/>
    <cellStyle name="40% - Accent5 13 9" xfId="38326"/>
    <cellStyle name="40% - Accent5 13 9 2" xfId="38327"/>
    <cellStyle name="40% - Accent5 14" xfId="38328"/>
    <cellStyle name="40% - Accent5 14 2" xfId="38329"/>
    <cellStyle name="40% - Accent5 14 2 2" xfId="38330"/>
    <cellStyle name="40% - Accent5 14 2 2 2" xfId="38331"/>
    <cellStyle name="40% - Accent5 14 2 2 2 2" xfId="38332"/>
    <cellStyle name="40% - Accent5 14 2 2 3" xfId="38333"/>
    <cellStyle name="40% - Accent5 14 2 3" xfId="38334"/>
    <cellStyle name="40% - Accent5 14 2 3 2" xfId="38335"/>
    <cellStyle name="40% - Accent5 14 2 4" xfId="38336"/>
    <cellStyle name="40% - Accent5 14 3" xfId="38337"/>
    <cellStyle name="40% - Accent5 14 3 2" xfId="38338"/>
    <cellStyle name="40% - Accent5 14 3 2 2" xfId="38339"/>
    <cellStyle name="40% - Accent5 14 3 3" xfId="38340"/>
    <cellStyle name="40% - Accent5 14 4" xfId="38341"/>
    <cellStyle name="40% - Accent5 14 4 2" xfId="38342"/>
    <cellStyle name="40% - Accent5 14 5" xfId="38343"/>
    <cellStyle name="40% - Accent5 15" xfId="38344"/>
    <cellStyle name="40% - Accent5 15 2" xfId="38345"/>
    <cellStyle name="40% - Accent5 15 2 2" xfId="38346"/>
    <cellStyle name="40% - Accent5 15 2 2 2" xfId="38347"/>
    <cellStyle name="40% - Accent5 15 2 2 2 2" xfId="38348"/>
    <cellStyle name="40% - Accent5 15 2 2 3" xfId="38349"/>
    <cellStyle name="40% - Accent5 15 2 3" xfId="38350"/>
    <cellStyle name="40% - Accent5 15 2 3 2" xfId="38351"/>
    <cellStyle name="40% - Accent5 15 2 4" xfId="38352"/>
    <cellStyle name="40% - Accent5 15 3" xfId="38353"/>
    <cellStyle name="40% - Accent5 15 3 2" xfId="38354"/>
    <cellStyle name="40% - Accent5 15 3 2 2" xfId="38355"/>
    <cellStyle name="40% - Accent5 15 3 3" xfId="38356"/>
    <cellStyle name="40% - Accent5 15 4" xfId="38357"/>
    <cellStyle name="40% - Accent5 15 4 2" xfId="38358"/>
    <cellStyle name="40% - Accent5 15 5" xfId="38359"/>
    <cellStyle name="40% - Accent5 16" xfId="38360"/>
    <cellStyle name="40% - Accent5 16 2" xfId="38361"/>
    <cellStyle name="40% - Accent5 16 2 2" xfId="38362"/>
    <cellStyle name="40% - Accent5 16 2 2 2" xfId="38363"/>
    <cellStyle name="40% - Accent5 16 2 2 2 2" xfId="38364"/>
    <cellStyle name="40% - Accent5 16 2 2 3" xfId="38365"/>
    <cellStyle name="40% - Accent5 16 2 3" xfId="38366"/>
    <cellStyle name="40% - Accent5 16 2 3 2" xfId="38367"/>
    <cellStyle name="40% - Accent5 16 2 4" xfId="38368"/>
    <cellStyle name="40% - Accent5 16 3" xfId="38369"/>
    <cellStyle name="40% - Accent5 16 3 2" xfId="38370"/>
    <cellStyle name="40% - Accent5 16 3 2 2" xfId="38371"/>
    <cellStyle name="40% - Accent5 16 3 3" xfId="38372"/>
    <cellStyle name="40% - Accent5 16 4" xfId="38373"/>
    <cellStyle name="40% - Accent5 16 4 2" xfId="38374"/>
    <cellStyle name="40% - Accent5 16 5" xfId="38375"/>
    <cellStyle name="40% - Accent5 17" xfId="38376"/>
    <cellStyle name="40% - Accent5 17 2" xfId="38377"/>
    <cellStyle name="40% - Accent5 17 2 2" xfId="38378"/>
    <cellStyle name="40% - Accent5 17 2 2 2" xfId="38379"/>
    <cellStyle name="40% - Accent5 17 2 2 2 2" xfId="38380"/>
    <cellStyle name="40% - Accent5 17 2 2 3" xfId="38381"/>
    <cellStyle name="40% - Accent5 17 2 3" xfId="38382"/>
    <cellStyle name="40% - Accent5 17 2 3 2" xfId="38383"/>
    <cellStyle name="40% - Accent5 17 2 4" xfId="38384"/>
    <cellStyle name="40% - Accent5 17 3" xfId="38385"/>
    <cellStyle name="40% - Accent5 17 3 2" xfId="38386"/>
    <cellStyle name="40% - Accent5 17 3 2 2" xfId="38387"/>
    <cellStyle name="40% - Accent5 17 3 3" xfId="38388"/>
    <cellStyle name="40% - Accent5 17 4" xfId="38389"/>
    <cellStyle name="40% - Accent5 17 4 2" xfId="38390"/>
    <cellStyle name="40% - Accent5 17 5" xfId="38391"/>
    <cellStyle name="40% - Accent5 18" xfId="38392"/>
    <cellStyle name="40% - Accent5 18 2" xfId="38393"/>
    <cellStyle name="40% - Accent5 18 2 2" xfId="38394"/>
    <cellStyle name="40% - Accent5 18 2 2 2" xfId="38395"/>
    <cellStyle name="40% - Accent5 18 2 2 2 2" xfId="38396"/>
    <cellStyle name="40% - Accent5 18 2 2 3" xfId="38397"/>
    <cellStyle name="40% - Accent5 18 2 3" xfId="38398"/>
    <cellStyle name="40% - Accent5 18 2 3 2" xfId="38399"/>
    <cellStyle name="40% - Accent5 18 2 4" xfId="38400"/>
    <cellStyle name="40% - Accent5 18 3" xfId="38401"/>
    <cellStyle name="40% - Accent5 18 3 2" xfId="38402"/>
    <cellStyle name="40% - Accent5 18 3 2 2" xfId="38403"/>
    <cellStyle name="40% - Accent5 18 3 3" xfId="38404"/>
    <cellStyle name="40% - Accent5 18 4" xfId="38405"/>
    <cellStyle name="40% - Accent5 18 4 2" xfId="38406"/>
    <cellStyle name="40% - Accent5 18 5" xfId="38407"/>
    <cellStyle name="40% - Accent5 19" xfId="38408"/>
    <cellStyle name="40% - Accent5 19 2" xfId="38409"/>
    <cellStyle name="40% - Accent5 19 2 2" xfId="38410"/>
    <cellStyle name="40% - Accent5 19 2 2 2" xfId="38411"/>
    <cellStyle name="40% - Accent5 19 2 2 2 2" xfId="38412"/>
    <cellStyle name="40% - Accent5 19 2 2 3" xfId="38413"/>
    <cellStyle name="40% - Accent5 19 2 3" xfId="38414"/>
    <cellStyle name="40% - Accent5 19 2 3 2" xfId="38415"/>
    <cellStyle name="40% - Accent5 19 2 4" xfId="38416"/>
    <cellStyle name="40% - Accent5 19 3" xfId="38417"/>
    <cellStyle name="40% - Accent5 19 3 2" xfId="38418"/>
    <cellStyle name="40% - Accent5 19 3 2 2" xfId="38419"/>
    <cellStyle name="40% - Accent5 19 3 3" xfId="38420"/>
    <cellStyle name="40% - Accent5 19 4" xfId="38421"/>
    <cellStyle name="40% - Accent5 19 4 2" xfId="38422"/>
    <cellStyle name="40% - Accent5 19 5" xfId="38423"/>
    <cellStyle name="40% - Accent5 2" xfId="38424"/>
    <cellStyle name="40% - Accent5 2 10" xfId="38425"/>
    <cellStyle name="40% - Accent5 2 10 10" xfId="38426"/>
    <cellStyle name="40% - Accent5 2 10 2" xfId="38427"/>
    <cellStyle name="40% - Accent5 2 10 2 2" xfId="38428"/>
    <cellStyle name="40% - Accent5 2 10 2 2 2" xfId="38429"/>
    <cellStyle name="40% - Accent5 2 10 2 2 2 2" xfId="38430"/>
    <cellStyle name="40% - Accent5 2 10 2 2 2 2 2" xfId="38431"/>
    <cellStyle name="40% - Accent5 2 10 2 2 2 3" xfId="38432"/>
    <cellStyle name="40% - Accent5 2 10 2 2 3" xfId="38433"/>
    <cellStyle name="40% - Accent5 2 10 2 2 3 2" xfId="38434"/>
    <cellStyle name="40% - Accent5 2 10 2 2 4" xfId="38435"/>
    <cellStyle name="40% - Accent5 2 10 2 3" xfId="38436"/>
    <cellStyle name="40% - Accent5 2 10 2 3 2" xfId="38437"/>
    <cellStyle name="40% - Accent5 2 10 2 3 2 2" xfId="38438"/>
    <cellStyle name="40% - Accent5 2 10 2 3 3" xfId="38439"/>
    <cellStyle name="40% - Accent5 2 10 2 4" xfId="38440"/>
    <cellStyle name="40% - Accent5 2 10 2 4 2" xfId="38441"/>
    <cellStyle name="40% - Accent5 2 10 2 5" xfId="38442"/>
    <cellStyle name="40% - Accent5 2 10 3" xfId="38443"/>
    <cellStyle name="40% - Accent5 2 10 3 2" xfId="38444"/>
    <cellStyle name="40% - Accent5 2 10 3 2 2" xfId="38445"/>
    <cellStyle name="40% - Accent5 2 10 3 2 2 2" xfId="38446"/>
    <cellStyle name="40% - Accent5 2 10 3 2 2 2 2" xfId="38447"/>
    <cellStyle name="40% - Accent5 2 10 3 2 2 3" xfId="38448"/>
    <cellStyle name="40% - Accent5 2 10 3 2 3" xfId="38449"/>
    <cellStyle name="40% - Accent5 2 10 3 2 3 2" xfId="38450"/>
    <cellStyle name="40% - Accent5 2 10 3 2 4" xfId="38451"/>
    <cellStyle name="40% - Accent5 2 10 3 3" xfId="38452"/>
    <cellStyle name="40% - Accent5 2 10 3 3 2" xfId="38453"/>
    <cellStyle name="40% - Accent5 2 10 3 3 2 2" xfId="38454"/>
    <cellStyle name="40% - Accent5 2 10 3 3 3" xfId="38455"/>
    <cellStyle name="40% - Accent5 2 10 3 4" xfId="38456"/>
    <cellStyle name="40% - Accent5 2 10 3 4 2" xfId="38457"/>
    <cellStyle name="40% - Accent5 2 10 3 5" xfId="38458"/>
    <cellStyle name="40% - Accent5 2 10 4" xfId="38459"/>
    <cellStyle name="40% - Accent5 2 10 4 2" xfId="38460"/>
    <cellStyle name="40% - Accent5 2 10 4 2 2" xfId="38461"/>
    <cellStyle name="40% - Accent5 2 10 4 2 2 2" xfId="38462"/>
    <cellStyle name="40% - Accent5 2 10 4 2 2 2 2" xfId="38463"/>
    <cellStyle name="40% - Accent5 2 10 4 2 2 3" xfId="38464"/>
    <cellStyle name="40% - Accent5 2 10 4 2 3" xfId="38465"/>
    <cellStyle name="40% - Accent5 2 10 4 2 3 2" xfId="38466"/>
    <cellStyle name="40% - Accent5 2 10 4 2 4" xfId="38467"/>
    <cellStyle name="40% - Accent5 2 10 4 3" xfId="38468"/>
    <cellStyle name="40% - Accent5 2 10 4 3 2" xfId="38469"/>
    <cellStyle name="40% - Accent5 2 10 4 3 2 2" xfId="38470"/>
    <cellStyle name="40% - Accent5 2 10 4 3 3" xfId="38471"/>
    <cellStyle name="40% - Accent5 2 10 4 4" xfId="38472"/>
    <cellStyle name="40% - Accent5 2 10 4 4 2" xfId="38473"/>
    <cellStyle name="40% - Accent5 2 10 4 5" xfId="38474"/>
    <cellStyle name="40% - Accent5 2 10 5" xfId="38475"/>
    <cellStyle name="40% - Accent5 2 10 5 2" xfId="38476"/>
    <cellStyle name="40% - Accent5 2 10 5 2 2" xfId="38477"/>
    <cellStyle name="40% - Accent5 2 10 5 2 2 2" xfId="38478"/>
    <cellStyle name="40% - Accent5 2 10 5 2 2 2 2" xfId="38479"/>
    <cellStyle name="40% - Accent5 2 10 5 2 2 3" xfId="38480"/>
    <cellStyle name="40% - Accent5 2 10 5 2 3" xfId="38481"/>
    <cellStyle name="40% - Accent5 2 10 5 2 3 2" xfId="38482"/>
    <cellStyle name="40% - Accent5 2 10 5 2 4" xfId="38483"/>
    <cellStyle name="40% - Accent5 2 10 5 3" xfId="38484"/>
    <cellStyle name="40% - Accent5 2 10 5 3 2" xfId="38485"/>
    <cellStyle name="40% - Accent5 2 10 5 3 2 2" xfId="38486"/>
    <cellStyle name="40% - Accent5 2 10 5 3 3" xfId="38487"/>
    <cellStyle name="40% - Accent5 2 10 5 4" xfId="38488"/>
    <cellStyle name="40% - Accent5 2 10 5 4 2" xfId="38489"/>
    <cellStyle name="40% - Accent5 2 10 5 5" xfId="38490"/>
    <cellStyle name="40% - Accent5 2 10 6" xfId="38491"/>
    <cellStyle name="40% - Accent5 2 10 6 2" xfId="38492"/>
    <cellStyle name="40% - Accent5 2 10 6 2 2" xfId="38493"/>
    <cellStyle name="40% - Accent5 2 10 6 2 2 2" xfId="38494"/>
    <cellStyle name="40% - Accent5 2 10 6 2 2 2 2" xfId="38495"/>
    <cellStyle name="40% - Accent5 2 10 6 2 2 3" xfId="38496"/>
    <cellStyle name="40% - Accent5 2 10 6 2 3" xfId="38497"/>
    <cellStyle name="40% - Accent5 2 10 6 2 3 2" xfId="38498"/>
    <cellStyle name="40% - Accent5 2 10 6 2 4" xfId="38499"/>
    <cellStyle name="40% - Accent5 2 10 6 3" xfId="38500"/>
    <cellStyle name="40% - Accent5 2 10 6 3 2" xfId="38501"/>
    <cellStyle name="40% - Accent5 2 10 6 3 2 2" xfId="38502"/>
    <cellStyle name="40% - Accent5 2 10 6 3 3" xfId="38503"/>
    <cellStyle name="40% - Accent5 2 10 6 4" xfId="38504"/>
    <cellStyle name="40% - Accent5 2 10 6 4 2" xfId="38505"/>
    <cellStyle name="40% - Accent5 2 10 6 5" xfId="38506"/>
    <cellStyle name="40% - Accent5 2 10 7" xfId="38507"/>
    <cellStyle name="40% - Accent5 2 10 7 2" xfId="38508"/>
    <cellStyle name="40% - Accent5 2 10 7 2 2" xfId="38509"/>
    <cellStyle name="40% - Accent5 2 10 7 2 2 2" xfId="38510"/>
    <cellStyle name="40% - Accent5 2 10 7 2 3" xfId="38511"/>
    <cellStyle name="40% - Accent5 2 10 7 3" xfId="38512"/>
    <cellStyle name="40% - Accent5 2 10 7 3 2" xfId="38513"/>
    <cellStyle name="40% - Accent5 2 10 7 4" xfId="38514"/>
    <cellStyle name="40% - Accent5 2 10 8" xfId="38515"/>
    <cellStyle name="40% - Accent5 2 10 8 2" xfId="38516"/>
    <cellStyle name="40% - Accent5 2 10 8 2 2" xfId="38517"/>
    <cellStyle name="40% - Accent5 2 10 8 3" xfId="38518"/>
    <cellStyle name="40% - Accent5 2 10 9" xfId="38519"/>
    <cellStyle name="40% - Accent5 2 10 9 2" xfId="38520"/>
    <cellStyle name="40% - Accent5 2 11" xfId="38521"/>
    <cellStyle name="40% - Accent5 2 11 2" xfId="38522"/>
    <cellStyle name="40% - Accent5 2 11 2 2" xfId="38523"/>
    <cellStyle name="40% - Accent5 2 11 2 2 2" xfId="38524"/>
    <cellStyle name="40% - Accent5 2 11 2 2 2 2" xfId="38525"/>
    <cellStyle name="40% - Accent5 2 11 2 2 3" xfId="38526"/>
    <cellStyle name="40% - Accent5 2 11 2 3" xfId="38527"/>
    <cellStyle name="40% - Accent5 2 11 2 3 2" xfId="38528"/>
    <cellStyle name="40% - Accent5 2 11 2 4" xfId="38529"/>
    <cellStyle name="40% - Accent5 2 11 3" xfId="38530"/>
    <cellStyle name="40% - Accent5 2 11 3 2" xfId="38531"/>
    <cellStyle name="40% - Accent5 2 11 3 2 2" xfId="38532"/>
    <cellStyle name="40% - Accent5 2 11 3 3" xfId="38533"/>
    <cellStyle name="40% - Accent5 2 11 4" xfId="38534"/>
    <cellStyle name="40% - Accent5 2 11 4 2" xfId="38535"/>
    <cellStyle name="40% - Accent5 2 11 5" xfId="38536"/>
    <cellStyle name="40% - Accent5 2 12" xfId="38537"/>
    <cellStyle name="40% - Accent5 2 12 2" xfId="38538"/>
    <cellStyle name="40% - Accent5 2 12 2 2" xfId="38539"/>
    <cellStyle name="40% - Accent5 2 12 2 2 2" xfId="38540"/>
    <cellStyle name="40% - Accent5 2 12 2 2 2 2" xfId="38541"/>
    <cellStyle name="40% - Accent5 2 12 2 2 3" xfId="38542"/>
    <cellStyle name="40% - Accent5 2 12 2 3" xfId="38543"/>
    <cellStyle name="40% - Accent5 2 12 2 3 2" xfId="38544"/>
    <cellStyle name="40% - Accent5 2 12 2 4" xfId="38545"/>
    <cellStyle name="40% - Accent5 2 12 3" xfId="38546"/>
    <cellStyle name="40% - Accent5 2 12 3 2" xfId="38547"/>
    <cellStyle name="40% - Accent5 2 12 3 2 2" xfId="38548"/>
    <cellStyle name="40% - Accent5 2 12 3 3" xfId="38549"/>
    <cellStyle name="40% - Accent5 2 12 4" xfId="38550"/>
    <cellStyle name="40% - Accent5 2 12 4 2" xfId="38551"/>
    <cellStyle name="40% - Accent5 2 12 5" xfId="38552"/>
    <cellStyle name="40% - Accent5 2 13" xfId="38553"/>
    <cellStyle name="40% - Accent5 2 13 2" xfId="38554"/>
    <cellStyle name="40% - Accent5 2 13 2 2" xfId="38555"/>
    <cellStyle name="40% - Accent5 2 13 2 2 2" xfId="38556"/>
    <cellStyle name="40% - Accent5 2 13 2 2 2 2" xfId="38557"/>
    <cellStyle name="40% - Accent5 2 13 2 2 3" xfId="38558"/>
    <cellStyle name="40% - Accent5 2 13 2 3" xfId="38559"/>
    <cellStyle name="40% - Accent5 2 13 2 3 2" xfId="38560"/>
    <cellStyle name="40% - Accent5 2 13 2 4" xfId="38561"/>
    <cellStyle name="40% - Accent5 2 13 3" xfId="38562"/>
    <cellStyle name="40% - Accent5 2 13 3 2" xfId="38563"/>
    <cellStyle name="40% - Accent5 2 13 3 2 2" xfId="38564"/>
    <cellStyle name="40% - Accent5 2 13 3 3" xfId="38565"/>
    <cellStyle name="40% - Accent5 2 13 4" xfId="38566"/>
    <cellStyle name="40% - Accent5 2 13 4 2" xfId="38567"/>
    <cellStyle name="40% - Accent5 2 13 5" xfId="38568"/>
    <cellStyle name="40% - Accent5 2 14" xfId="38569"/>
    <cellStyle name="40% - Accent5 2 14 2" xfId="38570"/>
    <cellStyle name="40% - Accent5 2 14 2 2" xfId="38571"/>
    <cellStyle name="40% - Accent5 2 14 2 2 2" xfId="38572"/>
    <cellStyle name="40% - Accent5 2 14 2 2 2 2" xfId="38573"/>
    <cellStyle name="40% - Accent5 2 14 2 2 3" xfId="38574"/>
    <cellStyle name="40% - Accent5 2 14 2 3" xfId="38575"/>
    <cellStyle name="40% - Accent5 2 14 2 3 2" xfId="38576"/>
    <cellStyle name="40% - Accent5 2 14 2 4" xfId="38577"/>
    <cellStyle name="40% - Accent5 2 14 3" xfId="38578"/>
    <cellStyle name="40% - Accent5 2 14 3 2" xfId="38579"/>
    <cellStyle name="40% - Accent5 2 14 3 2 2" xfId="38580"/>
    <cellStyle name="40% - Accent5 2 14 3 3" xfId="38581"/>
    <cellStyle name="40% - Accent5 2 14 4" xfId="38582"/>
    <cellStyle name="40% - Accent5 2 14 4 2" xfId="38583"/>
    <cellStyle name="40% - Accent5 2 14 5" xfId="38584"/>
    <cellStyle name="40% - Accent5 2 15" xfId="38585"/>
    <cellStyle name="40% - Accent5 2 15 2" xfId="38586"/>
    <cellStyle name="40% - Accent5 2 15 2 2" xfId="38587"/>
    <cellStyle name="40% - Accent5 2 15 2 2 2" xfId="38588"/>
    <cellStyle name="40% - Accent5 2 15 2 2 2 2" xfId="38589"/>
    <cellStyle name="40% - Accent5 2 15 2 2 3" xfId="38590"/>
    <cellStyle name="40% - Accent5 2 15 2 3" xfId="38591"/>
    <cellStyle name="40% - Accent5 2 15 2 3 2" xfId="38592"/>
    <cellStyle name="40% - Accent5 2 15 2 4" xfId="38593"/>
    <cellStyle name="40% - Accent5 2 15 3" xfId="38594"/>
    <cellStyle name="40% - Accent5 2 15 3 2" xfId="38595"/>
    <cellStyle name="40% - Accent5 2 15 3 2 2" xfId="38596"/>
    <cellStyle name="40% - Accent5 2 15 3 3" xfId="38597"/>
    <cellStyle name="40% - Accent5 2 15 4" xfId="38598"/>
    <cellStyle name="40% - Accent5 2 15 4 2" xfId="38599"/>
    <cellStyle name="40% - Accent5 2 15 5" xfId="38600"/>
    <cellStyle name="40% - Accent5 2 16" xfId="38601"/>
    <cellStyle name="40% - Accent5 2 16 2" xfId="38602"/>
    <cellStyle name="40% - Accent5 2 16 2 2" xfId="38603"/>
    <cellStyle name="40% - Accent5 2 16 2 2 2" xfId="38604"/>
    <cellStyle name="40% - Accent5 2 16 2 3" xfId="38605"/>
    <cellStyle name="40% - Accent5 2 16 3" xfId="38606"/>
    <cellStyle name="40% - Accent5 2 16 3 2" xfId="38607"/>
    <cellStyle name="40% - Accent5 2 16 4" xfId="38608"/>
    <cellStyle name="40% - Accent5 2 17" xfId="38609"/>
    <cellStyle name="40% - Accent5 2 17 2" xfId="38610"/>
    <cellStyle name="40% - Accent5 2 17 2 2" xfId="38611"/>
    <cellStyle name="40% - Accent5 2 17 3" xfId="38612"/>
    <cellStyle name="40% - Accent5 2 18" xfId="38613"/>
    <cellStyle name="40% - Accent5 2 18 2" xfId="38614"/>
    <cellStyle name="40% - Accent5 2 19" xfId="38615"/>
    <cellStyle name="40% - Accent5 2 2" xfId="38616"/>
    <cellStyle name="40% - Accent5 2 2 10" xfId="38617"/>
    <cellStyle name="40% - Accent5 2 2 10 2" xfId="38618"/>
    <cellStyle name="40% - Accent5 2 2 11" xfId="38619"/>
    <cellStyle name="40% - Accent5 2 2 2" xfId="38620"/>
    <cellStyle name="40% - Accent5 2 2 2 10" xfId="38621"/>
    <cellStyle name="40% - Accent5 2 2 2 2" xfId="38622"/>
    <cellStyle name="40% - Accent5 2 2 2 2 2" xfId="38623"/>
    <cellStyle name="40% - Accent5 2 2 2 2 2 2" xfId="38624"/>
    <cellStyle name="40% - Accent5 2 2 2 2 2 2 2" xfId="38625"/>
    <cellStyle name="40% - Accent5 2 2 2 2 2 2 2 2" xfId="38626"/>
    <cellStyle name="40% - Accent5 2 2 2 2 2 2 3" xfId="38627"/>
    <cellStyle name="40% - Accent5 2 2 2 2 2 3" xfId="38628"/>
    <cellStyle name="40% - Accent5 2 2 2 2 2 3 2" xfId="38629"/>
    <cellStyle name="40% - Accent5 2 2 2 2 2 4" xfId="38630"/>
    <cellStyle name="40% - Accent5 2 2 2 2 3" xfId="38631"/>
    <cellStyle name="40% - Accent5 2 2 2 2 3 2" xfId="38632"/>
    <cellStyle name="40% - Accent5 2 2 2 2 3 2 2" xfId="38633"/>
    <cellStyle name="40% - Accent5 2 2 2 2 3 3" xfId="38634"/>
    <cellStyle name="40% - Accent5 2 2 2 2 4" xfId="38635"/>
    <cellStyle name="40% - Accent5 2 2 2 2 4 2" xfId="38636"/>
    <cellStyle name="40% - Accent5 2 2 2 2 5" xfId="38637"/>
    <cellStyle name="40% - Accent5 2 2 2 3" xfId="38638"/>
    <cellStyle name="40% - Accent5 2 2 2 3 2" xfId="38639"/>
    <cellStyle name="40% - Accent5 2 2 2 3 2 2" xfId="38640"/>
    <cellStyle name="40% - Accent5 2 2 2 3 2 2 2" xfId="38641"/>
    <cellStyle name="40% - Accent5 2 2 2 3 2 2 2 2" xfId="38642"/>
    <cellStyle name="40% - Accent5 2 2 2 3 2 2 3" xfId="38643"/>
    <cellStyle name="40% - Accent5 2 2 2 3 2 3" xfId="38644"/>
    <cellStyle name="40% - Accent5 2 2 2 3 2 3 2" xfId="38645"/>
    <cellStyle name="40% - Accent5 2 2 2 3 2 4" xfId="38646"/>
    <cellStyle name="40% - Accent5 2 2 2 3 3" xfId="38647"/>
    <cellStyle name="40% - Accent5 2 2 2 3 3 2" xfId="38648"/>
    <cellStyle name="40% - Accent5 2 2 2 3 3 2 2" xfId="38649"/>
    <cellStyle name="40% - Accent5 2 2 2 3 3 3" xfId="38650"/>
    <cellStyle name="40% - Accent5 2 2 2 3 4" xfId="38651"/>
    <cellStyle name="40% - Accent5 2 2 2 3 4 2" xfId="38652"/>
    <cellStyle name="40% - Accent5 2 2 2 3 5" xfId="38653"/>
    <cellStyle name="40% - Accent5 2 2 2 4" xfId="38654"/>
    <cellStyle name="40% - Accent5 2 2 2 4 2" xfId="38655"/>
    <cellStyle name="40% - Accent5 2 2 2 4 2 2" xfId="38656"/>
    <cellStyle name="40% - Accent5 2 2 2 4 2 2 2" xfId="38657"/>
    <cellStyle name="40% - Accent5 2 2 2 4 2 2 2 2" xfId="38658"/>
    <cellStyle name="40% - Accent5 2 2 2 4 2 2 3" xfId="38659"/>
    <cellStyle name="40% - Accent5 2 2 2 4 2 3" xfId="38660"/>
    <cellStyle name="40% - Accent5 2 2 2 4 2 3 2" xfId="38661"/>
    <cellStyle name="40% - Accent5 2 2 2 4 2 4" xfId="38662"/>
    <cellStyle name="40% - Accent5 2 2 2 4 3" xfId="38663"/>
    <cellStyle name="40% - Accent5 2 2 2 4 3 2" xfId="38664"/>
    <cellStyle name="40% - Accent5 2 2 2 4 3 2 2" xfId="38665"/>
    <cellStyle name="40% - Accent5 2 2 2 4 3 3" xfId="38666"/>
    <cellStyle name="40% - Accent5 2 2 2 4 4" xfId="38667"/>
    <cellStyle name="40% - Accent5 2 2 2 4 4 2" xfId="38668"/>
    <cellStyle name="40% - Accent5 2 2 2 4 5" xfId="38669"/>
    <cellStyle name="40% - Accent5 2 2 2 5" xfId="38670"/>
    <cellStyle name="40% - Accent5 2 2 2 5 2" xfId="38671"/>
    <cellStyle name="40% - Accent5 2 2 2 5 2 2" xfId="38672"/>
    <cellStyle name="40% - Accent5 2 2 2 5 2 2 2" xfId="38673"/>
    <cellStyle name="40% - Accent5 2 2 2 5 2 2 2 2" xfId="38674"/>
    <cellStyle name="40% - Accent5 2 2 2 5 2 2 3" xfId="38675"/>
    <cellStyle name="40% - Accent5 2 2 2 5 2 3" xfId="38676"/>
    <cellStyle name="40% - Accent5 2 2 2 5 2 3 2" xfId="38677"/>
    <cellStyle name="40% - Accent5 2 2 2 5 2 4" xfId="38678"/>
    <cellStyle name="40% - Accent5 2 2 2 5 3" xfId="38679"/>
    <cellStyle name="40% - Accent5 2 2 2 5 3 2" xfId="38680"/>
    <cellStyle name="40% - Accent5 2 2 2 5 3 2 2" xfId="38681"/>
    <cellStyle name="40% - Accent5 2 2 2 5 3 3" xfId="38682"/>
    <cellStyle name="40% - Accent5 2 2 2 5 4" xfId="38683"/>
    <cellStyle name="40% - Accent5 2 2 2 5 4 2" xfId="38684"/>
    <cellStyle name="40% - Accent5 2 2 2 5 5" xfId="38685"/>
    <cellStyle name="40% - Accent5 2 2 2 6" xfId="38686"/>
    <cellStyle name="40% - Accent5 2 2 2 6 2" xfId="38687"/>
    <cellStyle name="40% - Accent5 2 2 2 6 2 2" xfId="38688"/>
    <cellStyle name="40% - Accent5 2 2 2 6 2 2 2" xfId="38689"/>
    <cellStyle name="40% - Accent5 2 2 2 6 2 2 2 2" xfId="38690"/>
    <cellStyle name="40% - Accent5 2 2 2 6 2 2 3" xfId="38691"/>
    <cellStyle name="40% - Accent5 2 2 2 6 2 3" xfId="38692"/>
    <cellStyle name="40% - Accent5 2 2 2 6 2 3 2" xfId="38693"/>
    <cellStyle name="40% - Accent5 2 2 2 6 2 4" xfId="38694"/>
    <cellStyle name="40% - Accent5 2 2 2 6 3" xfId="38695"/>
    <cellStyle name="40% - Accent5 2 2 2 6 3 2" xfId="38696"/>
    <cellStyle name="40% - Accent5 2 2 2 6 3 2 2" xfId="38697"/>
    <cellStyle name="40% - Accent5 2 2 2 6 3 3" xfId="38698"/>
    <cellStyle name="40% - Accent5 2 2 2 6 4" xfId="38699"/>
    <cellStyle name="40% - Accent5 2 2 2 6 4 2" xfId="38700"/>
    <cellStyle name="40% - Accent5 2 2 2 6 5" xfId="38701"/>
    <cellStyle name="40% - Accent5 2 2 2 7" xfId="38702"/>
    <cellStyle name="40% - Accent5 2 2 2 7 2" xfId="38703"/>
    <cellStyle name="40% - Accent5 2 2 2 7 2 2" xfId="38704"/>
    <cellStyle name="40% - Accent5 2 2 2 7 2 2 2" xfId="38705"/>
    <cellStyle name="40% - Accent5 2 2 2 7 2 3" xfId="38706"/>
    <cellStyle name="40% - Accent5 2 2 2 7 3" xfId="38707"/>
    <cellStyle name="40% - Accent5 2 2 2 7 3 2" xfId="38708"/>
    <cellStyle name="40% - Accent5 2 2 2 7 4" xfId="38709"/>
    <cellStyle name="40% - Accent5 2 2 2 8" xfId="38710"/>
    <cellStyle name="40% - Accent5 2 2 2 8 2" xfId="38711"/>
    <cellStyle name="40% - Accent5 2 2 2 8 2 2" xfId="38712"/>
    <cellStyle name="40% - Accent5 2 2 2 8 3" xfId="38713"/>
    <cellStyle name="40% - Accent5 2 2 2 9" xfId="38714"/>
    <cellStyle name="40% - Accent5 2 2 2 9 2" xfId="38715"/>
    <cellStyle name="40% - Accent5 2 2 3" xfId="38716"/>
    <cellStyle name="40% - Accent5 2 2 3 2" xfId="38717"/>
    <cellStyle name="40% - Accent5 2 2 3 2 2" xfId="38718"/>
    <cellStyle name="40% - Accent5 2 2 3 2 2 2" xfId="38719"/>
    <cellStyle name="40% - Accent5 2 2 3 2 2 2 2" xfId="38720"/>
    <cellStyle name="40% - Accent5 2 2 3 2 2 3" xfId="38721"/>
    <cellStyle name="40% - Accent5 2 2 3 2 3" xfId="38722"/>
    <cellStyle name="40% - Accent5 2 2 3 2 3 2" xfId="38723"/>
    <cellStyle name="40% - Accent5 2 2 3 2 4" xfId="38724"/>
    <cellStyle name="40% - Accent5 2 2 3 3" xfId="38725"/>
    <cellStyle name="40% - Accent5 2 2 3 3 2" xfId="38726"/>
    <cellStyle name="40% - Accent5 2 2 3 3 2 2" xfId="38727"/>
    <cellStyle name="40% - Accent5 2 2 3 3 3" xfId="38728"/>
    <cellStyle name="40% - Accent5 2 2 3 4" xfId="38729"/>
    <cellStyle name="40% - Accent5 2 2 3 4 2" xfId="38730"/>
    <cellStyle name="40% - Accent5 2 2 3 5" xfId="38731"/>
    <cellStyle name="40% - Accent5 2 2 4" xfId="38732"/>
    <cellStyle name="40% - Accent5 2 2 4 2" xfId="38733"/>
    <cellStyle name="40% - Accent5 2 2 4 2 2" xfId="38734"/>
    <cellStyle name="40% - Accent5 2 2 4 2 2 2" xfId="38735"/>
    <cellStyle name="40% - Accent5 2 2 4 2 2 2 2" xfId="38736"/>
    <cellStyle name="40% - Accent5 2 2 4 2 2 3" xfId="38737"/>
    <cellStyle name="40% - Accent5 2 2 4 2 3" xfId="38738"/>
    <cellStyle name="40% - Accent5 2 2 4 2 3 2" xfId="38739"/>
    <cellStyle name="40% - Accent5 2 2 4 2 4" xfId="38740"/>
    <cellStyle name="40% - Accent5 2 2 4 3" xfId="38741"/>
    <cellStyle name="40% - Accent5 2 2 4 3 2" xfId="38742"/>
    <cellStyle name="40% - Accent5 2 2 4 3 2 2" xfId="38743"/>
    <cellStyle name="40% - Accent5 2 2 4 3 3" xfId="38744"/>
    <cellStyle name="40% - Accent5 2 2 4 4" xfId="38745"/>
    <cellStyle name="40% - Accent5 2 2 4 4 2" xfId="38746"/>
    <cellStyle name="40% - Accent5 2 2 4 5" xfId="38747"/>
    <cellStyle name="40% - Accent5 2 2 5" xfId="38748"/>
    <cellStyle name="40% - Accent5 2 2 5 2" xfId="38749"/>
    <cellStyle name="40% - Accent5 2 2 5 2 2" xfId="38750"/>
    <cellStyle name="40% - Accent5 2 2 5 2 2 2" xfId="38751"/>
    <cellStyle name="40% - Accent5 2 2 5 2 2 2 2" xfId="38752"/>
    <cellStyle name="40% - Accent5 2 2 5 2 2 3" xfId="38753"/>
    <cellStyle name="40% - Accent5 2 2 5 2 3" xfId="38754"/>
    <cellStyle name="40% - Accent5 2 2 5 2 3 2" xfId="38755"/>
    <cellStyle name="40% - Accent5 2 2 5 2 4" xfId="38756"/>
    <cellStyle name="40% - Accent5 2 2 5 3" xfId="38757"/>
    <cellStyle name="40% - Accent5 2 2 5 3 2" xfId="38758"/>
    <cellStyle name="40% - Accent5 2 2 5 3 2 2" xfId="38759"/>
    <cellStyle name="40% - Accent5 2 2 5 3 3" xfId="38760"/>
    <cellStyle name="40% - Accent5 2 2 5 4" xfId="38761"/>
    <cellStyle name="40% - Accent5 2 2 5 4 2" xfId="38762"/>
    <cellStyle name="40% - Accent5 2 2 5 5" xfId="38763"/>
    <cellStyle name="40% - Accent5 2 2 6" xfId="38764"/>
    <cellStyle name="40% - Accent5 2 2 6 2" xfId="38765"/>
    <cellStyle name="40% - Accent5 2 2 6 2 2" xfId="38766"/>
    <cellStyle name="40% - Accent5 2 2 6 2 2 2" xfId="38767"/>
    <cellStyle name="40% - Accent5 2 2 6 2 2 2 2" xfId="38768"/>
    <cellStyle name="40% - Accent5 2 2 6 2 2 3" xfId="38769"/>
    <cellStyle name="40% - Accent5 2 2 6 2 3" xfId="38770"/>
    <cellStyle name="40% - Accent5 2 2 6 2 3 2" xfId="38771"/>
    <cellStyle name="40% - Accent5 2 2 6 2 4" xfId="38772"/>
    <cellStyle name="40% - Accent5 2 2 6 3" xfId="38773"/>
    <cellStyle name="40% - Accent5 2 2 6 3 2" xfId="38774"/>
    <cellStyle name="40% - Accent5 2 2 6 3 2 2" xfId="38775"/>
    <cellStyle name="40% - Accent5 2 2 6 3 3" xfId="38776"/>
    <cellStyle name="40% - Accent5 2 2 6 4" xfId="38777"/>
    <cellStyle name="40% - Accent5 2 2 6 4 2" xfId="38778"/>
    <cellStyle name="40% - Accent5 2 2 6 5" xfId="38779"/>
    <cellStyle name="40% - Accent5 2 2 7" xfId="38780"/>
    <cellStyle name="40% - Accent5 2 2 7 2" xfId="38781"/>
    <cellStyle name="40% - Accent5 2 2 7 2 2" xfId="38782"/>
    <cellStyle name="40% - Accent5 2 2 7 2 2 2" xfId="38783"/>
    <cellStyle name="40% - Accent5 2 2 7 2 2 2 2" xfId="38784"/>
    <cellStyle name="40% - Accent5 2 2 7 2 2 3" xfId="38785"/>
    <cellStyle name="40% - Accent5 2 2 7 2 3" xfId="38786"/>
    <cellStyle name="40% - Accent5 2 2 7 2 3 2" xfId="38787"/>
    <cellStyle name="40% - Accent5 2 2 7 2 4" xfId="38788"/>
    <cellStyle name="40% - Accent5 2 2 7 3" xfId="38789"/>
    <cellStyle name="40% - Accent5 2 2 7 3 2" xfId="38790"/>
    <cellStyle name="40% - Accent5 2 2 7 3 2 2" xfId="38791"/>
    <cellStyle name="40% - Accent5 2 2 7 3 3" xfId="38792"/>
    <cellStyle name="40% - Accent5 2 2 7 4" xfId="38793"/>
    <cellStyle name="40% - Accent5 2 2 7 4 2" xfId="38794"/>
    <cellStyle name="40% - Accent5 2 2 7 5" xfId="38795"/>
    <cellStyle name="40% - Accent5 2 2 8" xfId="38796"/>
    <cellStyle name="40% - Accent5 2 2 8 2" xfId="38797"/>
    <cellStyle name="40% - Accent5 2 2 8 2 2" xfId="38798"/>
    <cellStyle name="40% - Accent5 2 2 8 2 2 2" xfId="38799"/>
    <cellStyle name="40% - Accent5 2 2 8 2 3" xfId="38800"/>
    <cellStyle name="40% - Accent5 2 2 8 3" xfId="38801"/>
    <cellStyle name="40% - Accent5 2 2 8 3 2" xfId="38802"/>
    <cellStyle name="40% - Accent5 2 2 8 4" xfId="38803"/>
    <cellStyle name="40% - Accent5 2 2 9" xfId="38804"/>
    <cellStyle name="40% - Accent5 2 2 9 2" xfId="38805"/>
    <cellStyle name="40% - Accent5 2 2 9 2 2" xfId="38806"/>
    <cellStyle name="40% - Accent5 2 2 9 3" xfId="38807"/>
    <cellStyle name="40% - Accent5 2 3" xfId="38808"/>
    <cellStyle name="40% - Accent5 2 3 10" xfId="38809"/>
    <cellStyle name="40% - Accent5 2 3 10 2" xfId="38810"/>
    <cellStyle name="40% - Accent5 2 3 11" xfId="38811"/>
    <cellStyle name="40% - Accent5 2 3 2" xfId="38812"/>
    <cellStyle name="40% - Accent5 2 3 2 10" xfId="38813"/>
    <cellStyle name="40% - Accent5 2 3 2 2" xfId="38814"/>
    <cellStyle name="40% - Accent5 2 3 2 2 2" xfId="38815"/>
    <cellStyle name="40% - Accent5 2 3 2 2 2 2" xfId="38816"/>
    <cellStyle name="40% - Accent5 2 3 2 2 2 2 2" xfId="38817"/>
    <cellStyle name="40% - Accent5 2 3 2 2 2 2 2 2" xfId="38818"/>
    <cellStyle name="40% - Accent5 2 3 2 2 2 2 3" xfId="38819"/>
    <cellStyle name="40% - Accent5 2 3 2 2 2 3" xfId="38820"/>
    <cellStyle name="40% - Accent5 2 3 2 2 2 3 2" xfId="38821"/>
    <cellStyle name="40% - Accent5 2 3 2 2 2 4" xfId="38822"/>
    <cellStyle name="40% - Accent5 2 3 2 2 3" xfId="38823"/>
    <cellStyle name="40% - Accent5 2 3 2 2 3 2" xfId="38824"/>
    <cellStyle name="40% - Accent5 2 3 2 2 3 2 2" xfId="38825"/>
    <cellStyle name="40% - Accent5 2 3 2 2 3 3" xfId="38826"/>
    <cellStyle name="40% - Accent5 2 3 2 2 4" xfId="38827"/>
    <cellStyle name="40% - Accent5 2 3 2 2 4 2" xfId="38828"/>
    <cellStyle name="40% - Accent5 2 3 2 2 5" xfId="38829"/>
    <cellStyle name="40% - Accent5 2 3 2 3" xfId="38830"/>
    <cellStyle name="40% - Accent5 2 3 2 3 2" xfId="38831"/>
    <cellStyle name="40% - Accent5 2 3 2 3 2 2" xfId="38832"/>
    <cellStyle name="40% - Accent5 2 3 2 3 2 2 2" xfId="38833"/>
    <cellStyle name="40% - Accent5 2 3 2 3 2 2 2 2" xfId="38834"/>
    <cellStyle name="40% - Accent5 2 3 2 3 2 2 3" xfId="38835"/>
    <cellStyle name="40% - Accent5 2 3 2 3 2 3" xfId="38836"/>
    <cellStyle name="40% - Accent5 2 3 2 3 2 3 2" xfId="38837"/>
    <cellStyle name="40% - Accent5 2 3 2 3 2 4" xfId="38838"/>
    <cellStyle name="40% - Accent5 2 3 2 3 3" xfId="38839"/>
    <cellStyle name="40% - Accent5 2 3 2 3 3 2" xfId="38840"/>
    <cellStyle name="40% - Accent5 2 3 2 3 3 2 2" xfId="38841"/>
    <cellStyle name="40% - Accent5 2 3 2 3 3 3" xfId="38842"/>
    <cellStyle name="40% - Accent5 2 3 2 3 4" xfId="38843"/>
    <cellStyle name="40% - Accent5 2 3 2 3 4 2" xfId="38844"/>
    <cellStyle name="40% - Accent5 2 3 2 3 5" xfId="38845"/>
    <cellStyle name="40% - Accent5 2 3 2 4" xfId="38846"/>
    <cellStyle name="40% - Accent5 2 3 2 4 2" xfId="38847"/>
    <cellStyle name="40% - Accent5 2 3 2 4 2 2" xfId="38848"/>
    <cellStyle name="40% - Accent5 2 3 2 4 2 2 2" xfId="38849"/>
    <cellStyle name="40% - Accent5 2 3 2 4 2 2 2 2" xfId="38850"/>
    <cellStyle name="40% - Accent5 2 3 2 4 2 2 3" xfId="38851"/>
    <cellStyle name="40% - Accent5 2 3 2 4 2 3" xfId="38852"/>
    <cellStyle name="40% - Accent5 2 3 2 4 2 3 2" xfId="38853"/>
    <cellStyle name="40% - Accent5 2 3 2 4 2 4" xfId="38854"/>
    <cellStyle name="40% - Accent5 2 3 2 4 3" xfId="38855"/>
    <cellStyle name="40% - Accent5 2 3 2 4 3 2" xfId="38856"/>
    <cellStyle name="40% - Accent5 2 3 2 4 3 2 2" xfId="38857"/>
    <cellStyle name="40% - Accent5 2 3 2 4 3 3" xfId="38858"/>
    <cellStyle name="40% - Accent5 2 3 2 4 4" xfId="38859"/>
    <cellStyle name="40% - Accent5 2 3 2 4 4 2" xfId="38860"/>
    <cellStyle name="40% - Accent5 2 3 2 4 5" xfId="38861"/>
    <cellStyle name="40% - Accent5 2 3 2 5" xfId="38862"/>
    <cellStyle name="40% - Accent5 2 3 2 5 2" xfId="38863"/>
    <cellStyle name="40% - Accent5 2 3 2 5 2 2" xfId="38864"/>
    <cellStyle name="40% - Accent5 2 3 2 5 2 2 2" xfId="38865"/>
    <cellStyle name="40% - Accent5 2 3 2 5 2 2 2 2" xfId="38866"/>
    <cellStyle name="40% - Accent5 2 3 2 5 2 2 3" xfId="38867"/>
    <cellStyle name="40% - Accent5 2 3 2 5 2 3" xfId="38868"/>
    <cellStyle name="40% - Accent5 2 3 2 5 2 3 2" xfId="38869"/>
    <cellStyle name="40% - Accent5 2 3 2 5 2 4" xfId="38870"/>
    <cellStyle name="40% - Accent5 2 3 2 5 3" xfId="38871"/>
    <cellStyle name="40% - Accent5 2 3 2 5 3 2" xfId="38872"/>
    <cellStyle name="40% - Accent5 2 3 2 5 3 2 2" xfId="38873"/>
    <cellStyle name="40% - Accent5 2 3 2 5 3 3" xfId="38874"/>
    <cellStyle name="40% - Accent5 2 3 2 5 4" xfId="38875"/>
    <cellStyle name="40% - Accent5 2 3 2 5 4 2" xfId="38876"/>
    <cellStyle name="40% - Accent5 2 3 2 5 5" xfId="38877"/>
    <cellStyle name="40% - Accent5 2 3 2 6" xfId="38878"/>
    <cellStyle name="40% - Accent5 2 3 2 6 2" xfId="38879"/>
    <cellStyle name="40% - Accent5 2 3 2 6 2 2" xfId="38880"/>
    <cellStyle name="40% - Accent5 2 3 2 6 2 2 2" xfId="38881"/>
    <cellStyle name="40% - Accent5 2 3 2 6 2 2 2 2" xfId="38882"/>
    <cellStyle name="40% - Accent5 2 3 2 6 2 2 3" xfId="38883"/>
    <cellStyle name="40% - Accent5 2 3 2 6 2 3" xfId="38884"/>
    <cellStyle name="40% - Accent5 2 3 2 6 2 3 2" xfId="38885"/>
    <cellStyle name="40% - Accent5 2 3 2 6 2 4" xfId="38886"/>
    <cellStyle name="40% - Accent5 2 3 2 6 3" xfId="38887"/>
    <cellStyle name="40% - Accent5 2 3 2 6 3 2" xfId="38888"/>
    <cellStyle name="40% - Accent5 2 3 2 6 3 2 2" xfId="38889"/>
    <cellStyle name="40% - Accent5 2 3 2 6 3 3" xfId="38890"/>
    <cellStyle name="40% - Accent5 2 3 2 6 4" xfId="38891"/>
    <cellStyle name="40% - Accent5 2 3 2 6 4 2" xfId="38892"/>
    <cellStyle name="40% - Accent5 2 3 2 6 5" xfId="38893"/>
    <cellStyle name="40% - Accent5 2 3 2 7" xfId="38894"/>
    <cellStyle name="40% - Accent5 2 3 2 7 2" xfId="38895"/>
    <cellStyle name="40% - Accent5 2 3 2 7 2 2" xfId="38896"/>
    <cellStyle name="40% - Accent5 2 3 2 7 2 2 2" xfId="38897"/>
    <cellStyle name="40% - Accent5 2 3 2 7 2 3" xfId="38898"/>
    <cellStyle name="40% - Accent5 2 3 2 7 3" xfId="38899"/>
    <cellStyle name="40% - Accent5 2 3 2 7 3 2" xfId="38900"/>
    <cellStyle name="40% - Accent5 2 3 2 7 4" xfId="38901"/>
    <cellStyle name="40% - Accent5 2 3 2 8" xfId="38902"/>
    <cellStyle name="40% - Accent5 2 3 2 8 2" xfId="38903"/>
    <cellStyle name="40% - Accent5 2 3 2 8 2 2" xfId="38904"/>
    <cellStyle name="40% - Accent5 2 3 2 8 3" xfId="38905"/>
    <cellStyle name="40% - Accent5 2 3 2 9" xfId="38906"/>
    <cellStyle name="40% - Accent5 2 3 2 9 2" xfId="38907"/>
    <cellStyle name="40% - Accent5 2 3 3" xfId="38908"/>
    <cellStyle name="40% - Accent5 2 3 3 2" xfId="38909"/>
    <cellStyle name="40% - Accent5 2 3 3 2 2" xfId="38910"/>
    <cellStyle name="40% - Accent5 2 3 3 2 2 2" xfId="38911"/>
    <cellStyle name="40% - Accent5 2 3 3 2 2 2 2" xfId="38912"/>
    <cellStyle name="40% - Accent5 2 3 3 2 2 3" xfId="38913"/>
    <cellStyle name="40% - Accent5 2 3 3 2 3" xfId="38914"/>
    <cellStyle name="40% - Accent5 2 3 3 2 3 2" xfId="38915"/>
    <cellStyle name="40% - Accent5 2 3 3 2 4" xfId="38916"/>
    <cellStyle name="40% - Accent5 2 3 3 3" xfId="38917"/>
    <cellStyle name="40% - Accent5 2 3 3 3 2" xfId="38918"/>
    <cellStyle name="40% - Accent5 2 3 3 3 2 2" xfId="38919"/>
    <cellStyle name="40% - Accent5 2 3 3 3 3" xfId="38920"/>
    <cellStyle name="40% - Accent5 2 3 3 4" xfId="38921"/>
    <cellStyle name="40% - Accent5 2 3 3 4 2" xfId="38922"/>
    <cellStyle name="40% - Accent5 2 3 3 5" xfId="38923"/>
    <cellStyle name="40% - Accent5 2 3 4" xfId="38924"/>
    <cellStyle name="40% - Accent5 2 3 4 2" xfId="38925"/>
    <cellStyle name="40% - Accent5 2 3 4 2 2" xfId="38926"/>
    <cellStyle name="40% - Accent5 2 3 4 2 2 2" xfId="38927"/>
    <cellStyle name="40% - Accent5 2 3 4 2 2 2 2" xfId="38928"/>
    <cellStyle name="40% - Accent5 2 3 4 2 2 3" xfId="38929"/>
    <cellStyle name="40% - Accent5 2 3 4 2 3" xfId="38930"/>
    <cellStyle name="40% - Accent5 2 3 4 2 3 2" xfId="38931"/>
    <cellStyle name="40% - Accent5 2 3 4 2 4" xfId="38932"/>
    <cellStyle name="40% - Accent5 2 3 4 3" xfId="38933"/>
    <cellStyle name="40% - Accent5 2 3 4 3 2" xfId="38934"/>
    <cellStyle name="40% - Accent5 2 3 4 3 2 2" xfId="38935"/>
    <cellStyle name="40% - Accent5 2 3 4 3 3" xfId="38936"/>
    <cellStyle name="40% - Accent5 2 3 4 4" xfId="38937"/>
    <cellStyle name="40% - Accent5 2 3 4 4 2" xfId="38938"/>
    <cellStyle name="40% - Accent5 2 3 4 5" xfId="38939"/>
    <cellStyle name="40% - Accent5 2 3 5" xfId="38940"/>
    <cellStyle name="40% - Accent5 2 3 5 2" xfId="38941"/>
    <cellStyle name="40% - Accent5 2 3 5 2 2" xfId="38942"/>
    <cellStyle name="40% - Accent5 2 3 5 2 2 2" xfId="38943"/>
    <cellStyle name="40% - Accent5 2 3 5 2 2 2 2" xfId="38944"/>
    <cellStyle name="40% - Accent5 2 3 5 2 2 3" xfId="38945"/>
    <cellStyle name="40% - Accent5 2 3 5 2 3" xfId="38946"/>
    <cellStyle name="40% - Accent5 2 3 5 2 3 2" xfId="38947"/>
    <cellStyle name="40% - Accent5 2 3 5 2 4" xfId="38948"/>
    <cellStyle name="40% - Accent5 2 3 5 3" xfId="38949"/>
    <cellStyle name="40% - Accent5 2 3 5 3 2" xfId="38950"/>
    <cellStyle name="40% - Accent5 2 3 5 3 2 2" xfId="38951"/>
    <cellStyle name="40% - Accent5 2 3 5 3 3" xfId="38952"/>
    <cellStyle name="40% - Accent5 2 3 5 4" xfId="38953"/>
    <cellStyle name="40% - Accent5 2 3 5 4 2" xfId="38954"/>
    <cellStyle name="40% - Accent5 2 3 5 5" xfId="38955"/>
    <cellStyle name="40% - Accent5 2 3 6" xfId="38956"/>
    <cellStyle name="40% - Accent5 2 3 6 2" xfId="38957"/>
    <cellStyle name="40% - Accent5 2 3 6 2 2" xfId="38958"/>
    <cellStyle name="40% - Accent5 2 3 6 2 2 2" xfId="38959"/>
    <cellStyle name="40% - Accent5 2 3 6 2 2 2 2" xfId="38960"/>
    <cellStyle name="40% - Accent5 2 3 6 2 2 3" xfId="38961"/>
    <cellStyle name="40% - Accent5 2 3 6 2 3" xfId="38962"/>
    <cellStyle name="40% - Accent5 2 3 6 2 3 2" xfId="38963"/>
    <cellStyle name="40% - Accent5 2 3 6 2 4" xfId="38964"/>
    <cellStyle name="40% - Accent5 2 3 6 3" xfId="38965"/>
    <cellStyle name="40% - Accent5 2 3 6 3 2" xfId="38966"/>
    <cellStyle name="40% - Accent5 2 3 6 3 2 2" xfId="38967"/>
    <cellStyle name="40% - Accent5 2 3 6 3 3" xfId="38968"/>
    <cellStyle name="40% - Accent5 2 3 6 4" xfId="38969"/>
    <cellStyle name="40% - Accent5 2 3 6 4 2" xfId="38970"/>
    <cellStyle name="40% - Accent5 2 3 6 5" xfId="38971"/>
    <cellStyle name="40% - Accent5 2 3 7" xfId="38972"/>
    <cellStyle name="40% - Accent5 2 3 7 2" xfId="38973"/>
    <cellStyle name="40% - Accent5 2 3 7 2 2" xfId="38974"/>
    <cellStyle name="40% - Accent5 2 3 7 2 2 2" xfId="38975"/>
    <cellStyle name="40% - Accent5 2 3 7 2 2 2 2" xfId="38976"/>
    <cellStyle name="40% - Accent5 2 3 7 2 2 3" xfId="38977"/>
    <cellStyle name="40% - Accent5 2 3 7 2 3" xfId="38978"/>
    <cellStyle name="40% - Accent5 2 3 7 2 3 2" xfId="38979"/>
    <cellStyle name="40% - Accent5 2 3 7 2 4" xfId="38980"/>
    <cellStyle name="40% - Accent5 2 3 7 3" xfId="38981"/>
    <cellStyle name="40% - Accent5 2 3 7 3 2" xfId="38982"/>
    <cellStyle name="40% - Accent5 2 3 7 3 2 2" xfId="38983"/>
    <cellStyle name="40% - Accent5 2 3 7 3 3" xfId="38984"/>
    <cellStyle name="40% - Accent5 2 3 7 4" xfId="38985"/>
    <cellStyle name="40% - Accent5 2 3 7 4 2" xfId="38986"/>
    <cellStyle name="40% - Accent5 2 3 7 5" xfId="38987"/>
    <cellStyle name="40% - Accent5 2 3 8" xfId="38988"/>
    <cellStyle name="40% - Accent5 2 3 8 2" xfId="38989"/>
    <cellStyle name="40% - Accent5 2 3 8 2 2" xfId="38990"/>
    <cellStyle name="40% - Accent5 2 3 8 2 2 2" xfId="38991"/>
    <cellStyle name="40% - Accent5 2 3 8 2 3" xfId="38992"/>
    <cellStyle name="40% - Accent5 2 3 8 3" xfId="38993"/>
    <cellStyle name="40% - Accent5 2 3 8 3 2" xfId="38994"/>
    <cellStyle name="40% - Accent5 2 3 8 4" xfId="38995"/>
    <cellStyle name="40% - Accent5 2 3 9" xfId="38996"/>
    <cellStyle name="40% - Accent5 2 3 9 2" xfId="38997"/>
    <cellStyle name="40% - Accent5 2 3 9 2 2" xfId="38998"/>
    <cellStyle name="40% - Accent5 2 3 9 3" xfId="38999"/>
    <cellStyle name="40% - Accent5 2 4" xfId="39000"/>
    <cellStyle name="40% - Accent5 2 4 10" xfId="39001"/>
    <cellStyle name="40% - Accent5 2 4 10 2" xfId="39002"/>
    <cellStyle name="40% - Accent5 2 4 11" xfId="39003"/>
    <cellStyle name="40% - Accent5 2 4 2" xfId="39004"/>
    <cellStyle name="40% - Accent5 2 4 2 10" xfId="39005"/>
    <cellStyle name="40% - Accent5 2 4 2 2" xfId="39006"/>
    <cellStyle name="40% - Accent5 2 4 2 2 2" xfId="39007"/>
    <cellStyle name="40% - Accent5 2 4 2 2 2 2" xfId="39008"/>
    <cellStyle name="40% - Accent5 2 4 2 2 2 2 2" xfId="39009"/>
    <cellStyle name="40% - Accent5 2 4 2 2 2 2 2 2" xfId="39010"/>
    <cellStyle name="40% - Accent5 2 4 2 2 2 2 3" xfId="39011"/>
    <cellStyle name="40% - Accent5 2 4 2 2 2 3" xfId="39012"/>
    <cellStyle name="40% - Accent5 2 4 2 2 2 3 2" xfId="39013"/>
    <cellStyle name="40% - Accent5 2 4 2 2 2 4" xfId="39014"/>
    <cellStyle name="40% - Accent5 2 4 2 2 3" xfId="39015"/>
    <cellStyle name="40% - Accent5 2 4 2 2 3 2" xfId="39016"/>
    <cellStyle name="40% - Accent5 2 4 2 2 3 2 2" xfId="39017"/>
    <cellStyle name="40% - Accent5 2 4 2 2 3 3" xfId="39018"/>
    <cellStyle name="40% - Accent5 2 4 2 2 4" xfId="39019"/>
    <cellStyle name="40% - Accent5 2 4 2 2 4 2" xfId="39020"/>
    <cellStyle name="40% - Accent5 2 4 2 2 5" xfId="39021"/>
    <cellStyle name="40% - Accent5 2 4 2 3" xfId="39022"/>
    <cellStyle name="40% - Accent5 2 4 2 3 2" xfId="39023"/>
    <cellStyle name="40% - Accent5 2 4 2 3 2 2" xfId="39024"/>
    <cellStyle name="40% - Accent5 2 4 2 3 2 2 2" xfId="39025"/>
    <cellStyle name="40% - Accent5 2 4 2 3 2 2 2 2" xfId="39026"/>
    <cellStyle name="40% - Accent5 2 4 2 3 2 2 3" xfId="39027"/>
    <cellStyle name="40% - Accent5 2 4 2 3 2 3" xfId="39028"/>
    <cellStyle name="40% - Accent5 2 4 2 3 2 3 2" xfId="39029"/>
    <cellStyle name="40% - Accent5 2 4 2 3 2 4" xfId="39030"/>
    <cellStyle name="40% - Accent5 2 4 2 3 3" xfId="39031"/>
    <cellStyle name="40% - Accent5 2 4 2 3 3 2" xfId="39032"/>
    <cellStyle name="40% - Accent5 2 4 2 3 3 2 2" xfId="39033"/>
    <cellStyle name="40% - Accent5 2 4 2 3 3 3" xfId="39034"/>
    <cellStyle name="40% - Accent5 2 4 2 3 4" xfId="39035"/>
    <cellStyle name="40% - Accent5 2 4 2 3 4 2" xfId="39036"/>
    <cellStyle name="40% - Accent5 2 4 2 3 5" xfId="39037"/>
    <cellStyle name="40% - Accent5 2 4 2 4" xfId="39038"/>
    <cellStyle name="40% - Accent5 2 4 2 4 2" xfId="39039"/>
    <cellStyle name="40% - Accent5 2 4 2 4 2 2" xfId="39040"/>
    <cellStyle name="40% - Accent5 2 4 2 4 2 2 2" xfId="39041"/>
    <cellStyle name="40% - Accent5 2 4 2 4 2 2 2 2" xfId="39042"/>
    <cellStyle name="40% - Accent5 2 4 2 4 2 2 3" xfId="39043"/>
    <cellStyle name="40% - Accent5 2 4 2 4 2 3" xfId="39044"/>
    <cellStyle name="40% - Accent5 2 4 2 4 2 3 2" xfId="39045"/>
    <cellStyle name="40% - Accent5 2 4 2 4 2 4" xfId="39046"/>
    <cellStyle name="40% - Accent5 2 4 2 4 3" xfId="39047"/>
    <cellStyle name="40% - Accent5 2 4 2 4 3 2" xfId="39048"/>
    <cellStyle name="40% - Accent5 2 4 2 4 3 2 2" xfId="39049"/>
    <cellStyle name="40% - Accent5 2 4 2 4 3 3" xfId="39050"/>
    <cellStyle name="40% - Accent5 2 4 2 4 4" xfId="39051"/>
    <cellStyle name="40% - Accent5 2 4 2 4 4 2" xfId="39052"/>
    <cellStyle name="40% - Accent5 2 4 2 4 5" xfId="39053"/>
    <cellStyle name="40% - Accent5 2 4 2 5" xfId="39054"/>
    <cellStyle name="40% - Accent5 2 4 2 5 2" xfId="39055"/>
    <cellStyle name="40% - Accent5 2 4 2 5 2 2" xfId="39056"/>
    <cellStyle name="40% - Accent5 2 4 2 5 2 2 2" xfId="39057"/>
    <cellStyle name="40% - Accent5 2 4 2 5 2 2 2 2" xfId="39058"/>
    <cellStyle name="40% - Accent5 2 4 2 5 2 2 3" xfId="39059"/>
    <cellStyle name="40% - Accent5 2 4 2 5 2 3" xfId="39060"/>
    <cellStyle name="40% - Accent5 2 4 2 5 2 3 2" xfId="39061"/>
    <cellStyle name="40% - Accent5 2 4 2 5 2 4" xfId="39062"/>
    <cellStyle name="40% - Accent5 2 4 2 5 3" xfId="39063"/>
    <cellStyle name="40% - Accent5 2 4 2 5 3 2" xfId="39064"/>
    <cellStyle name="40% - Accent5 2 4 2 5 3 2 2" xfId="39065"/>
    <cellStyle name="40% - Accent5 2 4 2 5 3 3" xfId="39066"/>
    <cellStyle name="40% - Accent5 2 4 2 5 4" xfId="39067"/>
    <cellStyle name="40% - Accent5 2 4 2 5 4 2" xfId="39068"/>
    <cellStyle name="40% - Accent5 2 4 2 5 5" xfId="39069"/>
    <cellStyle name="40% - Accent5 2 4 2 6" xfId="39070"/>
    <cellStyle name="40% - Accent5 2 4 2 6 2" xfId="39071"/>
    <cellStyle name="40% - Accent5 2 4 2 6 2 2" xfId="39072"/>
    <cellStyle name="40% - Accent5 2 4 2 6 2 2 2" xfId="39073"/>
    <cellStyle name="40% - Accent5 2 4 2 6 2 2 2 2" xfId="39074"/>
    <cellStyle name="40% - Accent5 2 4 2 6 2 2 3" xfId="39075"/>
    <cellStyle name="40% - Accent5 2 4 2 6 2 3" xfId="39076"/>
    <cellStyle name="40% - Accent5 2 4 2 6 2 3 2" xfId="39077"/>
    <cellStyle name="40% - Accent5 2 4 2 6 2 4" xfId="39078"/>
    <cellStyle name="40% - Accent5 2 4 2 6 3" xfId="39079"/>
    <cellStyle name="40% - Accent5 2 4 2 6 3 2" xfId="39080"/>
    <cellStyle name="40% - Accent5 2 4 2 6 3 2 2" xfId="39081"/>
    <cellStyle name="40% - Accent5 2 4 2 6 3 3" xfId="39082"/>
    <cellStyle name="40% - Accent5 2 4 2 6 4" xfId="39083"/>
    <cellStyle name="40% - Accent5 2 4 2 6 4 2" xfId="39084"/>
    <cellStyle name="40% - Accent5 2 4 2 6 5" xfId="39085"/>
    <cellStyle name="40% - Accent5 2 4 2 7" xfId="39086"/>
    <cellStyle name="40% - Accent5 2 4 2 7 2" xfId="39087"/>
    <cellStyle name="40% - Accent5 2 4 2 7 2 2" xfId="39088"/>
    <cellStyle name="40% - Accent5 2 4 2 7 2 2 2" xfId="39089"/>
    <cellStyle name="40% - Accent5 2 4 2 7 2 3" xfId="39090"/>
    <cellStyle name="40% - Accent5 2 4 2 7 3" xfId="39091"/>
    <cellStyle name="40% - Accent5 2 4 2 7 3 2" xfId="39092"/>
    <cellStyle name="40% - Accent5 2 4 2 7 4" xfId="39093"/>
    <cellStyle name="40% - Accent5 2 4 2 8" xfId="39094"/>
    <cellStyle name="40% - Accent5 2 4 2 8 2" xfId="39095"/>
    <cellStyle name="40% - Accent5 2 4 2 8 2 2" xfId="39096"/>
    <cellStyle name="40% - Accent5 2 4 2 8 3" xfId="39097"/>
    <cellStyle name="40% - Accent5 2 4 2 9" xfId="39098"/>
    <cellStyle name="40% - Accent5 2 4 2 9 2" xfId="39099"/>
    <cellStyle name="40% - Accent5 2 4 3" xfId="39100"/>
    <cellStyle name="40% - Accent5 2 4 3 2" xfId="39101"/>
    <cellStyle name="40% - Accent5 2 4 3 2 2" xfId="39102"/>
    <cellStyle name="40% - Accent5 2 4 3 2 2 2" xfId="39103"/>
    <cellStyle name="40% - Accent5 2 4 3 2 2 2 2" xfId="39104"/>
    <cellStyle name="40% - Accent5 2 4 3 2 2 3" xfId="39105"/>
    <cellStyle name="40% - Accent5 2 4 3 2 3" xfId="39106"/>
    <cellStyle name="40% - Accent5 2 4 3 2 3 2" xfId="39107"/>
    <cellStyle name="40% - Accent5 2 4 3 2 4" xfId="39108"/>
    <cellStyle name="40% - Accent5 2 4 3 3" xfId="39109"/>
    <cellStyle name="40% - Accent5 2 4 3 3 2" xfId="39110"/>
    <cellStyle name="40% - Accent5 2 4 3 3 2 2" xfId="39111"/>
    <cellStyle name="40% - Accent5 2 4 3 3 3" xfId="39112"/>
    <cellStyle name="40% - Accent5 2 4 3 4" xfId="39113"/>
    <cellStyle name="40% - Accent5 2 4 3 4 2" xfId="39114"/>
    <cellStyle name="40% - Accent5 2 4 3 5" xfId="39115"/>
    <cellStyle name="40% - Accent5 2 4 4" xfId="39116"/>
    <cellStyle name="40% - Accent5 2 4 4 2" xfId="39117"/>
    <cellStyle name="40% - Accent5 2 4 4 2 2" xfId="39118"/>
    <cellStyle name="40% - Accent5 2 4 4 2 2 2" xfId="39119"/>
    <cellStyle name="40% - Accent5 2 4 4 2 2 2 2" xfId="39120"/>
    <cellStyle name="40% - Accent5 2 4 4 2 2 3" xfId="39121"/>
    <cellStyle name="40% - Accent5 2 4 4 2 3" xfId="39122"/>
    <cellStyle name="40% - Accent5 2 4 4 2 3 2" xfId="39123"/>
    <cellStyle name="40% - Accent5 2 4 4 2 4" xfId="39124"/>
    <cellStyle name="40% - Accent5 2 4 4 3" xfId="39125"/>
    <cellStyle name="40% - Accent5 2 4 4 3 2" xfId="39126"/>
    <cellStyle name="40% - Accent5 2 4 4 3 2 2" xfId="39127"/>
    <cellStyle name="40% - Accent5 2 4 4 3 3" xfId="39128"/>
    <cellStyle name="40% - Accent5 2 4 4 4" xfId="39129"/>
    <cellStyle name="40% - Accent5 2 4 4 4 2" xfId="39130"/>
    <cellStyle name="40% - Accent5 2 4 4 5" xfId="39131"/>
    <cellStyle name="40% - Accent5 2 4 5" xfId="39132"/>
    <cellStyle name="40% - Accent5 2 4 5 2" xfId="39133"/>
    <cellStyle name="40% - Accent5 2 4 5 2 2" xfId="39134"/>
    <cellStyle name="40% - Accent5 2 4 5 2 2 2" xfId="39135"/>
    <cellStyle name="40% - Accent5 2 4 5 2 2 2 2" xfId="39136"/>
    <cellStyle name="40% - Accent5 2 4 5 2 2 3" xfId="39137"/>
    <cellStyle name="40% - Accent5 2 4 5 2 3" xfId="39138"/>
    <cellStyle name="40% - Accent5 2 4 5 2 3 2" xfId="39139"/>
    <cellStyle name="40% - Accent5 2 4 5 2 4" xfId="39140"/>
    <cellStyle name="40% - Accent5 2 4 5 3" xfId="39141"/>
    <cellStyle name="40% - Accent5 2 4 5 3 2" xfId="39142"/>
    <cellStyle name="40% - Accent5 2 4 5 3 2 2" xfId="39143"/>
    <cellStyle name="40% - Accent5 2 4 5 3 3" xfId="39144"/>
    <cellStyle name="40% - Accent5 2 4 5 4" xfId="39145"/>
    <cellStyle name="40% - Accent5 2 4 5 4 2" xfId="39146"/>
    <cellStyle name="40% - Accent5 2 4 5 5" xfId="39147"/>
    <cellStyle name="40% - Accent5 2 4 6" xfId="39148"/>
    <cellStyle name="40% - Accent5 2 4 6 2" xfId="39149"/>
    <cellStyle name="40% - Accent5 2 4 6 2 2" xfId="39150"/>
    <cellStyle name="40% - Accent5 2 4 6 2 2 2" xfId="39151"/>
    <cellStyle name="40% - Accent5 2 4 6 2 2 2 2" xfId="39152"/>
    <cellStyle name="40% - Accent5 2 4 6 2 2 3" xfId="39153"/>
    <cellStyle name="40% - Accent5 2 4 6 2 3" xfId="39154"/>
    <cellStyle name="40% - Accent5 2 4 6 2 3 2" xfId="39155"/>
    <cellStyle name="40% - Accent5 2 4 6 2 4" xfId="39156"/>
    <cellStyle name="40% - Accent5 2 4 6 3" xfId="39157"/>
    <cellStyle name="40% - Accent5 2 4 6 3 2" xfId="39158"/>
    <cellStyle name="40% - Accent5 2 4 6 3 2 2" xfId="39159"/>
    <cellStyle name="40% - Accent5 2 4 6 3 3" xfId="39160"/>
    <cellStyle name="40% - Accent5 2 4 6 4" xfId="39161"/>
    <cellStyle name="40% - Accent5 2 4 6 4 2" xfId="39162"/>
    <cellStyle name="40% - Accent5 2 4 6 5" xfId="39163"/>
    <cellStyle name="40% - Accent5 2 4 7" xfId="39164"/>
    <cellStyle name="40% - Accent5 2 4 7 2" xfId="39165"/>
    <cellStyle name="40% - Accent5 2 4 7 2 2" xfId="39166"/>
    <cellStyle name="40% - Accent5 2 4 7 2 2 2" xfId="39167"/>
    <cellStyle name="40% - Accent5 2 4 7 2 2 2 2" xfId="39168"/>
    <cellStyle name="40% - Accent5 2 4 7 2 2 3" xfId="39169"/>
    <cellStyle name="40% - Accent5 2 4 7 2 3" xfId="39170"/>
    <cellStyle name="40% - Accent5 2 4 7 2 3 2" xfId="39171"/>
    <cellStyle name="40% - Accent5 2 4 7 2 4" xfId="39172"/>
    <cellStyle name="40% - Accent5 2 4 7 3" xfId="39173"/>
    <cellStyle name="40% - Accent5 2 4 7 3 2" xfId="39174"/>
    <cellStyle name="40% - Accent5 2 4 7 3 2 2" xfId="39175"/>
    <cellStyle name="40% - Accent5 2 4 7 3 3" xfId="39176"/>
    <cellStyle name="40% - Accent5 2 4 7 4" xfId="39177"/>
    <cellStyle name="40% - Accent5 2 4 7 4 2" xfId="39178"/>
    <cellStyle name="40% - Accent5 2 4 7 5" xfId="39179"/>
    <cellStyle name="40% - Accent5 2 4 8" xfId="39180"/>
    <cellStyle name="40% - Accent5 2 4 8 2" xfId="39181"/>
    <cellStyle name="40% - Accent5 2 4 8 2 2" xfId="39182"/>
    <cellStyle name="40% - Accent5 2 4 8 2 2 2" xfId="39183"/>
    <cellStyle name="40% - Accent5 2 4 8 2 3" xfId="39184"/>
    <cellStyle name="40% - Accent5 2 4 8 3" xfId="39185"/>
    <cellStyle name="40% - Accent5 2 4 8 3 2" xfId="39186"/>
    <cellStyle name="40% - Accent5 2 4 8 4" xfId="39187"/>
    <cellStyle name="40% - Accent5 2 4 9" xfId="39188"/>
    <cellStyle name="40% - Accent5 2 4 9 2" xfId="39189"/>
    <cellStyle name="40% - Accent5 2 4 9 2 2" xfId="39190"/>
    <cellStyle name="40% - Accent5 2 4 9 3" xfId="39191"/>
    <cellStyle name="40% - Accent5 2 5" xfId="39192"/>
    <cellStyle name="40% - Accent5 2 5 10" xfId="39193"/>
    <cellStyle name="40% - Accent5 2 5 10 2" xfId="39194"/>
    <cellStyle name="40% - Accent5 2 5 11" xfId="39195"/>
    <cellStyle name="40% - Accent5 2 5 2" xfId="39196"/>
    <cellStyle name="40% - Accent5 2 5 2 10" xfId="39197"/>
    <cellStyle name="40% - Accent5 2 5 2 2" xfId="39198"/>
    <cellStyle name="40% - Accent5 2 5 2 2 2" xfId="39199"/>
    <cellStyle name="40% - Accent5 2 5 2 2 2 2" xfId="39200"/>
    <cellStyle name="40% - Accent5 2 5 2 2 2 2 2" xfId="39201"/>
    <cellStyle name="40% - Accent5 2 5 2 2 2 2 2 2" xfId="39202"/>
    <cellStyle name="40% - Accent5 2 5 2 2 2 2 3" xfId="39203"/>
    <cellStyle name="40% - Accent5 2 5 2 2 2 3" xfId="39204"/>
    <cellStyle name="40% - Accent5 2 5 2 2 2 3 2" xfId="39205"/>
    <cellStyle name="40% - Accent5 2 5 2 2 2 4" xfId="39206"/>
    <cellStyle name="40% - Accent5 2 5 2 2 3" xfId="39207"/>
    <cellStyle name="40% - Accent5 2 5 2 2 3 2" xfId="39208"/>
    <cellStyle name="40% - Accent5 2 5 2 2 3 2 2" xfId="39209"/>
    <cellStyle name="40% - Accent5 2 5 2 2 3 3" xfId="39210"/>
    <cellStyle name="40% - Accent5 2 5 2 2 4" xfId="39211"/>
    <cellStyle name="40% - Accent5 2 5 2 2 4 2" xfId="39212"/>
    <cellStyle name="40% - Accent5 2 5 2 2 5" xfId="39213"/>
    <cellStyle name="40% - Accent5 2 5 2 3" xfId="39214"/>
    <cellStyle name="40% - Accent5 2 5 2 3 2" xfId="39215"/>
    <cellStyle name="40% - Accent5 2 5 2 3 2 2" xfId="39216"/>
    <cellStyle name="40% - Accent5 2 5 2 3 2 2 2" xfId="39217"/>
    <cellStyle name="40% - Accent5 2 5 2 3 2 2 2 2" xfId="39218"/>
    <cellStyle name="40% - Accent5 2 5 2 3 2 2 3" xfId="39219"/>
    <cellStyle name="40% - Accent5 2 5 2 3 2 3" xfId="39220"/>
    <cellStyle name="40% - Accent5 2 5 2 3 2 3 2" xfId="39221"/>
    <cellStyle name="40% - Accent5 2 5 2 3 2 4" xfId="39222"/>
    <cellStyle name="40% - Accent5 2 5 2 3 3" xfId="39223"/>
    <cellStyle name="40% - Accent5 2 5 2 3 3 2" xfId="39224"/>
    <cellStyle name="40% - Accent5 2 5 2 3 3 2 2" xfId="39225"/>
    <cellStyle name="40% - Accent5 2 5 2 3 3 3" xfId="39226"/>
    <cellStyle name="40% - Accent5 2 5 2 3 4" xfId="39227"/>
    <cellStyle name="40% - Accent5 2 5 2 3 4 2" xfId="39228"/>
    <cellStyle name="40% - Accent5 2 5 2 3 5" xfId="39229"/>
    <cellStyle name="40% - Accent5 2 5 2 4" xfId="39230"/>
    <cellStyle name="40% - Accent5 2 5 2 4 2" xfId="39231"/>
    <cellStyle name="40% - Accent5 2 5 2 4 2 2" xfId="39232"/>
    <cellStyle name="40% - Accent5 2 5 2 4 2 2 2" xfId="39233"/>
    <cellStyle name="40% - Accent5 2 5 2 4 2 2 2 2" xfId="39234"/>
    <cellStyle name="40% - Accent5 2 5 2 4 2 2 3" xfId="39235"/>
    <cellStyle name="40% - Accent5 2 5 2 4 2 3" xfId="39236"/>
    <cellStyle name="40% - Accent5 2 5 2 4 2 3 2" xfId="39237"/>
    <cellStyle name="40% - Accent5 2 5 2 4 2 4" xfId="39238"/>
    <cellStyle name="40% - Accent5 2 5 2 4 3" xfId="39239"/>
    <cellStyle name="40% - Accent5 2 5 2 4 3 2" xfId="39240"/>
    <cellStyle name="40% - Accent5 2 5 2 4 3 2 2" xfId="39241"/>
    <cellStyle name="40% - Accent5 2 5 2 4 3 3" xfId="39242"/>
    <cellStyle name="40% - Accent5 2 5 2 4 4" xfId="39243"/>
    <cellStyle name="40% - Accent5 2 5 2 4 4 2" xfId="39244"/>
    <cellStyle name="40% - Accent5 2 5 2 4 5" xfId="39245"/>
    <cellStyle name="40% - Accent5 2 5 2 5" xfId="39246"/>
    <cellStyle name="40% - Accent5 2 5 2 5 2" xfId="39247"/>
    <cellStyle name="40% - Accent5 2 5 2 5 2 2" xfId="39248"/>
    <cellStyle name="40% - Accent5 2 5 2 5 2 2 2" xfId="39249"/>
    <cellStyle name="40% - Accent5 2 5 2 5 2 2 2 2" xfId="39250"/>
    <cellStyle name="40% - Accent5 2 5 2 5 2 2 3" xfId="39251"/>
    <cellStyle name="40% - Accent5 2 5 2 5 2 3" xfId="39252"/>
    <cellStyle name="40% - Accent5 2 5 2 5 2 3 2" xfId="39253"/>
    <cellStyle name="40% - Accent5 2 5 2 5 2 4" xfId="39254"/>
    <cellStyle name="40% - Accent5 2 5 2 5 3" xfId="39255"/>
    <cellStyle name="40% - Accent5 2 5 2 5 3 2" xfId="39256"/>
    <cellStyle name="40% - Accent5 2 5 2 5 3 2 2" xfId="39257"/>
    <cellStyle name="40% - Accent5 2 5 2 5 3 3" xfId="39258"/>
    <cellStyle name="40% - Accent5 2 5 2 5 4" xfId="39259"/>
    <cellStyle name="40% - Accent5 2 5 2 5 4 2" xfId="39260"/>
    <cellStyle name="40% - Accent5 2 5 2 5 5" xfId="39261"/>
    <cellStyle name="40% - Accent5 2 5 2 6" xfId="39262"/>
    <cellStyle name="40% - Accent5 2 5 2 6 2" xfId="39263"/>
    <cellStyle name="40% - Accent5 2 5 2 6 2 2" xfId="39264"/>
    <cellStyle name="40% - Accent5 2 5 2 6 2 2 2" xfId="39265"/>
    <cellStyle name="40% - Accent5 2 5 2 6 2 2 2 2" xfId="39266"/>
    <cellStyle name="40% - Accent5 2 5 2 6 2 2 3" xfId="39267"/>
    <cellStyle name="40% - Accent5 2 5 2 6 2 3" xfId="39268"/>
    <cellStyle name="40% - Accent5 2 5 2 6 2 3 2" xfId="39269"/>
    <cellStyle name="40% - Accent5 2 5 2 6 2 4" xfId="39270"/>
    <cellStyle name="40% - Accent5 2 5 2 6 3" xfId="39271"/>
    <cellStyle name="40% - Accent5 2 5 2 6 3 2" xfId="39272"/>
    <cellStyle name="40% - Accent5 2 5 2 6 3 2 2" xfId="39273"/>
    <cellStyle name="40% - Accent5 2 5 2 6 3 3" xfId="39274"/>
    <cellStyle name="40% - Accent5 2 5 2 6 4" xfId="39275"/>
    <cellStyle name="40% - Accent5 2 5 2 6 4 2" xfId="39276"/>
    <cellStyle name="40% - Accent5 2 5 2 6 5" xfId="39277"/>
    <cellStyle name="40% - Accent5 2 5 2 7" xfId="39278"/>
    <cellStyle name="40% - Accent5 2 5 2 7 2" xfId="39279"/>
    <cellStyle name="40% - Accent5 2 5 2 7 2 2" xfId="39280"/>
    <cellStyle name="40% - Accent5 2 5 2 7 2 2 2" xfId="39281"/>
    <cellStyle name="40% - Accent5 2 5 2 7 2 3" xfId="39282"/>
    <cellStyle name="40% - Accent5 2 5 2 7 3" xfId="39283"/>
    <cellStyle name="40% - Accent5 2 5 2 7 3 2" xfId="39284"/>
    <cellStyle name="40% - Accent5 2 5 2 7 4" xfId="39285"/>
    <cellStyle name="40% - Accent5 2 5 2 8" xfId="39286"/>
    <cellStyle name="40% - Accent5 2 5 2 8 2" xfId="39287"/>
    <cellStyle name="40% - Accent5 2 5 2 8 2 2" xfId="39288"/>
    <cellStyle name="40% - Accent5 2 5 2 8 3" xfId="39289"/>
    <cellStyle name="40% - Accent5 2 5 2 9" xfId="39290"/>
    <cellStyle name="40% - Accent5 2 5 2 9 2" xfId="39291"/>
    <cellStyle name="40% - Accent5 2 5 3" xfId="39292"/>
    <cellStyle name="40% - Accent5 2 5 3 2" xfId="39293"/>
    <cellStyle name="40% - Accent5 2 5 3 2 2" xfId="39294"/>
    <cellStyle name="40% - Accent5 2 5 3 2 2 2" xfId="39295"/>
    <cellStyle name="40% - Accent5 2 5 3 2 2 2 2" xfId="39296"/>
    <cellStyle name="40% - Accent5 2 5 3 2 2 3" xfId="39297"/>
    <cellStyle name="40% - Accent5 2 5 3 2 3" xfId="39298"/>
    <cellStyle name="40% - Accent5 2 5 3 2 3 2" xfId="39299"/>
    <cellStyle name="40% - Accent5 2 5 3 2 4" xfId="39300"/>
    <cellStyle name="40% - Accent5 2 5 3 3" xfId="39301"/>
    <cellStyle name="40% - Accent5 2 5 3 3 2" xfId="39302"/>
    <cellStyle name="40% - Accent5 2 5 3 3 2 2" xfId="39303"/>
    <cellStyle name="40% - Accent5 2 5 3 3 3" xfId="39304"/>
    <cellStyle name="40% - Accent5 2 5 3 4" xfId="39305"/>
    <cellStyle name="40% - Accent5 2 5 3 4 2" xfId="39306"/>
    <cellStyle name="40% - Accent5 2 5 3 5" xfId="39307"/>
    <cellStyle name="40% - Accent5 2 5 4" xfId="39308"/>
    <cellStyle name="40% - Accent5 2 5 4 2" xfId="39309"/>
    <cellStyle name="40% - Accent5 2 5 4 2 2" xfId="39310"/>
    <cellStyle name="40% - Accent5 2 5 4 2 2 2" xfId="39311"/>
    <cellStyle name="40% - Accent5 2 5 4 2 2 2 2" xfId="39312"/>
    <cellStyle name="40% - Accent5 2 5 4 2 2 3" xfId="39313"/>
    <cellStyle name="40% - Accent5 2 5 4 2 3" xfId="39314"/>
    <cellStyle name="40% - Accent5 2 5 4 2 3 2" xfId="39315"/>
    <cellStyle name="40% - Accent5 2 5 4 2 4" xfId="39316"/>
    <cellStyle name="40% - Accent5 2 5 4 3" xfId="39317"/>
    <cellStyle name="40% - Accent5 2 5 4 3 2" xfId="39318"/>
    <cellStyle name="40% - Accent5 2 5 4 3 2 2" xfId="39319"/>
    <cellStyle name="40% - Accent5 2 5 4 3 3" xfId="39320"/>
    <cellStyle name="40% - Accent5 2 5 4 4" xfId="39321"/>
    <cellStyle name="40% - Accent5 2 5 4 4 2" xfId="39322"/>
    <cellStyle name="40% - Accent5 2 5 4 5" xfId="39323"/>
    <cellStyle name="40% - Accent5 2 5 5" xfId="39324"/>
    <cellStyle name="40% - Accent5 2 5 5 2" xfId="39325"/>
    <cellStyle name="40% - Accent5 2 5 5 2 2" xfId="39326"/>
    <cellStyle name="40% - Accent5 2 5 5 2 2 2" xfId="39327"/>
    <cellStyle name="40% - Accent5 2 5 5 2 2 2 2" xfId="39328"/>
    <cellStyle name="40% - Accent5 2 5 5 2 2 3" xfId="39329"/>
    <cellStyle name="40% - Accent5 2 5 5 2 3" xfId="39330"/>
    <cellStyle name="40% - Accent5 2 5 5 2 3 2" xfId="39331"/>
    <cellStyle name="40% - Accent5 2 5 5 2 4" xfId="39332"/>
    <cellStyle name="40% - Accent5 2 5 5 3" xfId="39333"/>
    <cellStyle name="40% - Accent5 2 5 5 3 2" xfId="39334"/>
    <cellStyle name="40% - Accent5 2 5 5 3 2 2" xfId="39335"/>
    <cellStyle name="40% - Accent5 2 5 5 3 3" xfId="39336"/>
    <cellStyle name="40% - Accent5 2 5 5 4" xfId="39337"/>
    <cellStyle name="40% - Accent5 2 5 5 4 2" xfId="39338"/>
    <cellStyle name="40% - Accent5 2 5 5 5" xfId="39339"/>
    <cellStyle name="40% - Accent5 2 5 6" xfId="39340"/>
    <cellStyle name="40% - Accent5 2 5 6 2" xfId="39341"/>
    <cellStyle name="40% - Accent5 2 5 6 2 2" xfId="39342"/>
    <cellStyle name="40% - Accent5 2 5 6 2 2 2" xfId="39343"/>
    <cellStyle name="40% - Accent5 2 5 6 2 2 2 2" xfId="39344"/>
    <cellStyle name="40% - Accent5 2 5 6 2 2 3" xfId="39345"/>
    <cellStyle name="40% - Accent5 2 5 6 2 3" xfId="39346"/>
    <cellStyle name="40% - Accent5 2 5 6 2 3 2" xfId="39347"/>
    <cellStyle name="40% - Accent5 2 5 6 2 4" xfId="39348"/>
    <cellStyle name="40% - Accent5 2 5 6 3" xfId="39349"/>
    <cellStyle name="40% - Accent5 2 5 6 3 2" xfId="39350"/>
    <cellStyle name="40% - Accent5 2 5 6 3 2 2" xfId="39351"/>
    <cellStyle name="40% - Accent5 2 5 6 3 3" xfId="39352"/>
    <cellStyle name="40% - Accent5 2 5 6 4" xfId="39353"/>
    <cellStyle name="40% - Accent5 2 5 6 4 2" xfId="39354"/>
    <cellStyle name="40% - Accent5 2 5 6 5" xfId="39355"/>
    <cellStyle name="40% - Accent5 2 5 7" xfId="39356"/>
    <cellStyle name="40% - Accent5 2 5 7 2" xfId="39357"/>
    <cellStyle name="40% - Accent5 2 5 7 2 2" xfId="39358"/>
    <cellStyle name="40% - Accent5 2 5 7 2 2 2" xfId="39359"/>
    <cellStyle name="40% - Accent5 2 5 7 2 2 2 2" xfId="39360"/>
    <cellStyle name="40% - Accent5 2 5 7 2 2 3" xfId="39361"/>
    <cellStyle name="40% - Accent5 2 5 7 2 3" xfId="39362"/>
    <cellStyle name="40% - Accent5 2 5 7 2 3 2" xfId="39363"/>
    <cellStyle name="40% - Accent5 2 5 7 2 4" xfId="39364"/>
    <cellStyle name="40% - Accent5 2 5 7 3" xfId="39365"/>
    <cellStyle name="40% - Accent5 2 5 7 3 2" xfId="39366"/>
    <cellStyle name="40% - Accent5 2 5 7 3 2 2" xfId="39367"/>
    <cellStyle name="40% - Accent5 2 5 7 3 3" xfId="39368"/>
    <cellStyle name="40% - Accent5 2 5 7 4" xfId="39369"/>
    <cellStyle name="40% - Accent5 2 5 7 4 2" xfId="39370"/>
    <cellStyle name="40% - Accent5 2 5 7 5" xfId="39371"/>
    <cellStyle name="40% - Accent5 2 5 8" xfId="39372"/>
    <cellStyle name="40% - Accent5 2 5 8 2" xfId="39373"/>
    <cellStyle name="40% - Accent5 2 5 8 2 2" xfId="39374"/>
    <cellStyle name="40% - Accent5 2 5 8 2 2 2" xfId="39375"/>
    <cellStyle name="40% - Accent5 2 5 8 2 3" xfId="39376"/>
    <cellStyle name="40% - Accent5 2 5 8 3" xfId="39377"/>
    <cellStyle name="40% - Accent5 2 5 8 3 2" xfId="39378"/>
    <cellStyle name="40% - Accent5 2 5 8 4" xfId="39379"/>
    <cellStyle name="40% - Accent5 2 5 9" xfId="39380"/>
    <cellStyle name="40% - Accent5 2 5 9 2" xfId="39381"/>
    <cellStyle name="40% - Accent5 2 5 9 2 2" xfId="39382"/>
    <cellStyle name="40% - Accent5 2 5 9 3" xfId="39383"/>
    <cellStyle name="40% - Accent5 2 6" xfId="39384"/>
    <cellStyle name="40% - Accent5 2 6 10" xfId="39385"/>
    <cellStyle name="40% - Accent5 2 6 10 2" xfId="39386"/>
    <cellStyle name="40% - Accent5 2 6 11" xfId="39387"/>
    <cellStyle name="40% - Accent5 2 6 2" xfId="39388"/>
    <cellStyle name="40% - Accent5 2 6 2 10" xfId="39389"/>
    <cellStyle name="40% - Accent5 2 6 2 2" xfId="39390"/>
    <cellStyle name="40% - Accent5 2 6 2 2 2" xfId="39391"/>
    <cellStyle name="40% - Accent5 2 6 2 2 2 2" xfId="39392"/>
    <cellStyle name="40% - Accent5 2 6 2 2 2 2 2" xfId="39393"/>
    <cellStyle name="40% - Accent5 2 6 2 2 2 2 2 2" xfId="39394"/>
    <cellStyle name="40% - Accent5 2 6 2 2 2 2 3" xfId="39395"/>
    <cellStyle name="40% - Accent5 2 6 2 2 2 3" xfId="39396"/>
    <cellStyle name="40% - Accent5 2 6 2 2 2 3 2" xfId="39397"/>
    <cellStyle name="40% - Accent5 2 6 2 2 2 4" xfId="39398"/>
    <cellStyle name="40% - Accent5 2 6 2 2 3" xfId="39399"/>
    <cellStyle name="40% - Accent5 2 6 2 2 3 2" xfId="39400"/>
    <cellStyle name="40% - Accent5 2 6 2 2 3 2 2" xfId="39401"/>
    <cellStyle name="40% - Accent5 2 6 2 2 3 3" xfId="39402"/>
    <cellStyle name="40% - Accent5 2 6 2 2 4" xfId="39403"/>
    <cellStyle name="40% - Accent5 2 6 2 2 4 2" xfId="39404"/>
    <cellStyle name="40% - Accent5 2 6 2 2 5" xfId="39405"/>
    <cellStyle name="40% - Accent5 2 6 2 3" xfId="39406"/>
    <cellStyle name="40% - Accent5 2 6 2 3 2" xfId="39407"/>
    <cellStyle name="40% - Accent5 2 6 2 3 2 2" xfId="39408"/>
    <cellStyle name="40% - Accent5 2 6 2 3 2 2 2" xfId="39409"/>
    <cellStyle name="40% - Accent5 2 6 2 3 2 2 2 2" xfId="39410"/>
    <cellStyle name="40% - Accent5 2 6 2 3 2 2 3" xfId="39411"/>
    <cellStyle name="40% - Accent5 2 6 2 3 2 3" xfId="39412"/>
    <cellStyle name="40% - Accent5 2 6 2 3 2 3 2" xfId="39413"/>
    <cellStyle name="40% - Accent5 2 6 2 3 2 4" xfId="39414"/>
    <cellStyle name="40% - Accent5 2 6 2 3 3" xfId="39415"/>
    <cellStyle name="40% - Accent5 2 6 2 3 3 2" xfId="39416"/>
    <cellStyle name="40% - Accent5 2 6 2 3 3 2 2" xfId="39417"/>
    <cellStyle name="40% - Accent5 2 6 2 3 3 3" xfId="39418"/>
    <cellStyle name="40% - Accent5 2 6 2 3 4" xfId="39419"/>
    <cellStyle name="40% - Accent5 2 6 2 3 4 2" xfId="39420"/>
    <cellStyle name="40% - Accent5 2 6 2 3 5" xfId="39421"/>
    <cellStyle name="40% - Accent5 2 6 2 4" xfId="39422"/>
    <cellStyle name="40% - Accent5 2 6 2 4 2" xfId="39423"/>
    <cellStyle name="40% - Accent5 2 6 2 4 2 2" xfId="39424"/>
    <cellStyle name="40% - Accent5 2 6 2 4 2 2 2" xfId="39425"/>
    <cellStyle name="40% - Accent5 2 6 2 4 2 2 2 2" xfId="39426"/>
    <cellStyle name="40% - Accent5 2 6 2 4 2 2 3" xfId="39427"/>
    <cellStyle name="40% - Accent5 2 6 2 4 2 3" xfId="39428"/>
    <cellStyle name="40% - Accent5 2 6 2 4 2 3 2" xfId="39429"/>
    <cellStyle name="40% - Accent5 2 6 2 4 2 4" xfId="39430"/>
    <cellStyle name="40% - Accent5 2 6 2 4 3" xfId="39431"/>
    <cellStyle name="40% - Accent5 2 6 2 4 3 2" xfId="39432"/>
    <cellStyle name="40% - Accent5 2 6 2 4 3 2 2" xfId="39433"/>
    <cellStyle name="40% - Accent5 2 6 2 4 3 3" xfId="39434"/>
    <cellStyle name="40% - Accent5 2 6 2 4 4" xfId="39435"/>
    <cellStyle name="40% - Accent5 2 6 2 4 4 2" xfId="39436"/>
    <cellStyle name="40% - Accent5 2 6 2 4 5" xfId="39437"/>
    <cellStyle name="40% - Accent5 2 6 2 5" xfId="39438"/>
    <cellStyle name="40% - Accent5 2 6 2 5 2" xfId="39439"/>
    <cellStyle name="40% - Accent5 2 6 2 5 2 2" xfId="39440"/>
    <cellStyle name="40% - Accent5 2 6 2 5 2 2 2" xfId="39441"/>
    <cellStyle name="40% - Accent5 2 6 2 5 2 2 2 2" xfId="39442"/>
    <cellStyle name="40% - Accent5 2 6 2 5 2 2 3" xfId="39443"/>
    <cellStyle name="40% - Accent5 2 6 2 5 2 3" xfId="39444"/>
    <cellStyle name="40% - Accent5 2 6 2 5 2 3 2" xfId="39445"/>
    <cellStyle name="40% - Accent5 2 6 2 5 2 4" xfId="39446"/>
    <cellStyle name="40% - Accent5 2 6 2 5 3" xfId="39447"/>
    <cellStyle name="40% - Accent5 2 6 2 5 3 2" xfId="39448"/>
    <cellStyle name="40% - Accent5 2 6 2 5 3 2 2" xfId="39449"/>
    <cellStyle name="40% - Accent5 2 6 2 5 3 3" xfId="39450"/>
    <cellStyle name="40% - Accent5 2 6 2 5 4" xfId="39451"/>
    <cellStyle name="40% - Accent5 2 6 2 5 4 2" xfId="39452"/>
    <cellStyle name="40% - Accent5 2 6 2 5 5" xfId="39453"/>
    <cellStyle name="40% - Accent5 2 6 2 6" xfId="39454"/>
    <cellStyle name="40% - Accent5 2 6 2 6 2" xfId="39455"/>
    <cellStyle name="40% - Accent5 2 6 2 6 2 2" xfId="39456"/>
    <cellStyle name="40% - Accent5 2 6 2 6 2 2 2" xfId="39457"/>
    <cellStyle name="40% - Accent5 2 6 2 6 2 2 2 2" xfId="39458"/>
    <cellStyle name="40% - Accent5 2 6 2 6 2 2 3" xfId="39459"/>
    <cellStyle name="40% - Accent5 2 6 2 6 2 3" xfId="39460"/>
    <cellStyle name="40% - Accent5 2 6 2 6 2 3 2" xfId="39461"/>
    <cellStyle name="40% - Accent5 2 6 2 6 2 4" xfId="39462"/>
    <cellStyle name="40% - Accent5 2 6 2 6 3" xfId="39463"/>
    <cellStyle name="40% - Accent5 2 6 2 6 3 2" xfId="39464"/>
    <cellStyle name="40% - Accent5 2 6 2 6 3 2 2" xfId="39465"/>
    <cellStyle name="40% - Accent5 2 6 2 6 3 3" xfId="39466"/>
    <cellStyle name="40% - Accent5 2 6 2 6 4" xfId="39467"/>
    <cellStyle name="40% - Accent5 2 6 2 6 4 2" xfId="39468"/>
    <cellStyle name="40% - Accent5 2 6 2 6 5" xfId="39469"/>
    <cellStyle name="40% - Accent5 2 6 2 7" xfId="39470"/>
    <cellStyle name="40% - Accent5 2 6 2 7 2" xfId="39471"/>
    <cellStyle name="40% - Accent5 2 6 2 7 2 2" xfId="39472"/>
    <cellStyle name="40% - Accent5 2 6 2 7 2 2 2" xfId="39473"/>
    <cellStyle name="40% - Accent5 2 6 2 7 2 3" xfId="39474"/>
    <cellStyle name="40% - Accent5 2 6 2 7 3" xfId="39475"/>
    <cellStyle name="40% - Accent5 2 6 2 7 3 2" xfId="39476"/>
    <cellStyle name="40% - Accent5 2 6 2 7 4" xfId="39477"/>
    <cellStyle name="40% - Accent5 2 6 2 8" xfId="39478"/>
    <cellStyle name="40% - Accent5 2 6 2 8 2" xfId="39479"/>
    <cellStyle name="40% - Accent5 2 6 2 8 2 2" xfId="39480"/>
    <cellStyle name="40% - Accent5 2 6 2 8 3" xfId="39481"/>
    <cellStyle name="40% - Accent5 2 6 2 9" xfId="39482"/>
    <cellStyle name="40% - Accent5 2 6 2 9 2" xfId="39483"/>
    <cellStyle name="40% - Accent5 2 6 3" xfId="39484"/>
    <cellStyle name="40% - Accent5 2 6 3 2" xfId="39485"/>
    <cellStyle name="40% - Accent5 2 6 3 2 2" xfId="39486"/>
    <cellStyle name="40% - Accent5 2 6 3 2 2 2" xfId="39487"/>
    <cellStyle name="40% - Accent5 2 6 3 2 2 2 2" xfId="39488"/>
    <cellStyle name="40% - Accent5 2 6 3 2 2 3" xfId="39489"/>
    <cellStyle name="40% - Accent5 2 6 3 2 3" xfId="39490"/>
    <cellStyle name="40% - Accent5 2 6 3 2 3 2" xfId="39491"/>
    <cellStyle name="40% - Accent5 2 6 3 2 4" xfId="39492"/>
    <cellStyle name="40% - Accent5 2 6 3 3" xfId="39493"/>
    <cellStyle name="40% - Accent5 2 6 3 3 2" xfId="39494"/>
    <cellStyle name="40% - Accent5 2 6 3 3 2 2" xfId="39495"/>
    <cellStyle name="40% - Accent5 2 6 3 3 3" xfId="39496"/>
    <cellStyle name="40% - Accent5 2 6 3 4" xfId="39497"/>
    <cellStyle name="40% - Accent5 2 6 3 4 2" xfId="39498"/>
    <cellStyle name="40% - Accent5 2 6 3 5" xfId="39499"/>
    <cellStyle name="40% - Accent5 2 6 4" xfId="39500"/>
    <cellStyle name="40% - Accent5 2 6 4 2" xfId="39501"/>
    <cellStyle name="40% - Accent5 2 6 4 2 2" xfId="39502"/>
    <cellStyle name="40% - Accent5 2 6 4 2 2 2" xfId="39503"/>
    <cellStyle name="40% - Accent5 2 6 4 2 2 2 2" xfId="39504"/>
    <cellStyle name="40% - Accent5 2 6 4 2 2 3" xfId="39505"/>
    <cellStyle name="40% - Accent5 2 6 4 2 3" xfId="39506"/>
    <cellStyle name="40% - Accent5 2 6 4 2 3 2" xfId="39507"/>
    <cellStyle name="40% - Accent5 2 6 4 2 4" xfId="39508"/>
    <cellStyle name="40% - Accent5 2 6 4 3" xfId="39509"/>
    <cellStyle name="40% - Accent5 2 6 4 3 2" xfId="39510"/>
    <cellStyle name="40% - Accent5 2 6 4 3 2 2" xfId="39511"/>
    <cellStyle name="40% - Accent5 2 6 4 3 3" xfId="39512"/>
    <cellStyle name="40% - Accent5 2 6 4 4" xfId="39513"/>
    <cellStyle name="40% - Accent5 2 6 4 4 2" xfId="39514"/>
    <cellStyle name="40% - Accent5 2 6 4 5" xfId="39515"/>
    <cellStyle name="40% - Accent5 2 6 5" xfId="39516"/>
    <cellStyle name="40% - Accent5 2 6 5 2" xfId="39517"/>
    <cellStyle name="40% - Accent5 2 6 5 2 2" xfId="39518"/>
    <cellStyle name="40% - Accent5 2 6 5 2 2 2" xfId="39519"/>
    <cellStyle name="40% - Accent5 2 6 5 2 2 2 2" xfId="39520"/>
    <cellStyle name="40% - Accent5 2 6 5 2 2 3" xfId="39521"/>
    <cellStyle name="40% - Accent5 2 6 5 2 3" xfId="39522"/>
    <cellStyle name="40% - Accent5 2 6 5 2 3 2" xfId="39523"/>
    <cellStyle name="40% - Accent5 2 6 5 2 4" xfId="39524"/>
    <cellStyle name="40% - Accent5 2 6 5 3" xfId="39525"/>
    <cellStyle name="40% - Accent5 2 6 5 3 2" xfId="39526"/>
    <cellStyle name="40% - Accent5 2 6 5 3 2 2" xfId="39527"/>
    <cellStyle name="40% - Accent5 2 6 5 3 3" xfId="39528"/>
    <cellStyle name="40% - Accent5 2 6 5 4" xfId="39529"/>
    <cellStyle name="40% - Accent5 2 6 5 4 2" xfId="39530"/>
    <cellStyle name="40% - Accent5 2 6 5 5" xfId="39531"/>
    <cellStyle name="40% - Accent5 2 6 6" xfId="39532"/>
    <cellStyle name="40% - Accent5 2 6 6 2" xfId="39533"/>
    <cellStyle name="40% - Accent5 2 6 6 2 2" xfId="39534"/>
    <cellStyle name="40% - Accent5 2 6 6 2 2 2" xfId="39535"/>
    <cellStyle name="40% - Accent5 2 6 6 2 2 2 2" xfId="39536"/>
    <cellStyle name="40% - Accent5 2 6 6 2 2 3" xfId="39537"/>
    <cellStyle name="40% - Accent5 2 6 6 2 3" xfId="39538"/>
    <cellStyle name="40% - Accent5 2 6 6 2 3 2" xfId="39539"/>
    <cellStyle name="40% - Accent5 2 6 6 2 4" xfId="39540"/>
    <cellStyle name="40% - Accent5 2 6 6 3" xfId="39541"/>
    <cellStyle name="40% - Accent5 2 6 6 3 2" xfId="39542"/>
    <cellStyle name="40% - Accent5 2 6 6 3 2 2" xfId="39543"/>
    <cellStyle name="40% - Accent5 2 6 6 3 3" xfId="39544"/>
    <cellStyle name="40% - Accent5 2 6 6 4" xfId="39545"/>
    <cellStyle name="40% - Accent5 2 6 6 4 2" xfId="39546"/>
    <cellStyle name="40% - Accent5 2 6 6 5" xfId="39547"/>
    <cellStyle name="40% - Accent5 2 6 7" xfId="39548"/>
    <cellStyle name="40% - Accent5 2 6 7 2" xfId="39549"/>
    <cellStyle name="40% - Accent5 2 6 7 2 2" xfId="39550"/>
    <cellStyle name="40% - Accent5 2 6 7 2 2 2" xfId="39551"/>
    <cellStyle name="40% - Accent5 2 6 7 2 2 2 2" xfId="39552"/>
    <cellStyle name="40% - Accent5 2 6 7 2 2 3" xfId="39553"/>
    <cellStyle name="40% - Accent5 2 6 7 2 3" xfId="39554"/>
    <cellStyle name="40% - Accent5 2 6 7 2 3 2" xfId="39555"/>
    <cellStyle name="40% - Accent5 2 6 7 2 4" xfId="39556"/>
    <cellStyle name="40% - Accent5 2 6 7 3" xfId="39557"/>
    <cellStyle name="40% - Accent5 2 6 7 3 2" xfId="39558"/>
    <cellStyle name="40% - Accent5 2 6 7 3 2 2" xfId="39559"/>
    <cellStyle name="40% - Accent5 2 6 7 3 3" xfId="39560"/>
    <cellStyle name="40% - Accent5 2 6 7 4" xfId="39561"/>
    <cellStyle name="40% - Accent5 2 6 7 4 2" xfId="39562"/>
    <cellStyle name="40% - Accent5 2 6 7 5" xfId="39563"/>
    <cellStyle name="40% - Accent5 2 6 8" xfId="39564"/>
    <cellStyle name="40% - Accent5 2 6 8 2" xfId="39565"/>
    <cellStyle name="40% - Accent5 2 6 8 2 2" xfId="39566"/>
    <cellStyle name="40% - Accent5 2 6 8 2 2 2" xfId="39567"/>
    <cellStyle name="40% - Accent5 2 6 8 2 3" xfId="39568"/>
    <cellStyle name="40% - Accent5 2 6 8 3" xfId="39569"/>
    <cellStyle name="40% - Accent5 2 6 8 3 2" xfId="39570"/>
    <cellStyle name="40% - Accent5 2 6 8 4" xfId="39571"/>
    <cellStyle name="40% - Accent5 2 6 9" xfId="39572"/>
    <cellStyle name="40% - Accent5 2 6 9 2" xfId="39573"/>
    <cellStyle name="40% - Accent5 2 6 9 2 2" xfId="39574"/>
    <cellStyle name="40% - Accent5 2 6 9 3" xfId="39575"/>
    <cellStyle name="40% - Accent5 2 7" xfId="39576"/>
    <cellStyle name="40% - Accent5 2 7 10" xfId="39577"/>
    <cellStyle name="40% - Accent5 2 7 10 2" xfId="39578"/>
    <cellStyle name="40% - Accent5 2 7 11" xfId="39579"/>
    <cellStyle name="40% - Accent5 2 7 2" xfId="39580"/>
    <cellStyle name="40% - Accent5 2 7 2 10" xfId="39581"/>
    <cellStyle name="40% - Accent5 2 7 2 2" xfId="39582"/>
    <cellStyle name="40% - Accent5 2 7 2 2 2" xfId="39583"/>
    <cellStyle name="40% - Accent5 2 7 2 2 2 2" xfId="39584"/>
    <cellStyle name="40% - Accent5 2 7 2 2 2 2 2" xfId="39585"/>
    <cellStyle name="40% - Accent5 2 7 2 2 2 2 2 2" xfId="39586"/>
    <cellStyle name="40% - Accent5 2 7 2 2 2 2 3" xfId="39587"/>
    <cellStyle name="40% - Accent5 2 7 2 2 2 3" xfId="39588"/>
    <cellStyle name="40% - Accent5 2 7 2 2 2 3 2" xfId="39589"/>
    <cellStyle name="40% - Accent5 2 7 2 2 2 4" xfId="39590"/>
    <cellStyle name="40% - Accent5 2 7 2 2 3" xfId="39591"/>
    <cellStyle name="40% - Accent5 2 7 2 2 3 2" xfId="39592"/>
    <cellStyle name="40% - Accent5 2 7 2 2 3 2 2" xfId="39593"/>
    <cellStyle name="40% - Accent5 2 7 2 2 3 3" xfId="39594"/>
    <cellStyle name="40% - Accent5 2 7 2 2 4" xfId="39595"/>
    <cellStyle name="40% - Accent5 2 7 2 2 4 2" xfId="39596"/>
    <cellStyle name="40% - Accent5 2 7 2 2 5" xfId="39597"/>
    <cellStyle name="40% - Accent5 2 7 2 3" xfId="39598"/>
    <cellStyle name="40% - Accent5 2 7 2 3 2" xfId="39599"/>
    <cellStyle name="40% - Accent5 2 7 2 3 2 2" xfId="39600"/>
    <cellStyle name="40% - Accent5 2 7 2 3 2 2 2" xfId="39601"/>
    <cellStyle name="40% - Accent5 2 7 2 3 2 2 2 2" xfId="39602"/>
    <cellStyle name="40% - Accent5 2 7 2 3 2 2 3" xfId="39603"/>
    <cellStyle name="40% - Accent5 2 7 2 3 2 3" xfId="39604"/>
    <cellStyle name="40% - Accent5 2 7 2 3 2 3 2" xfId="39605"/>
    <cellStyle name="40% - Accent5 2 7 2 3 2 4" xfId="39606"/>
    <cellStyle name="40% - Accent5 2 7 2 3 3" xfId="39607"/>
    <cellStyle name="40% - Accent5 2 7 2 3 3 2" xfId="39608"/>
    <cellStyle name="40% - Accent5 2 7 2 3 3 2 2" xfId="39609"/>
    <cellStyle name="40% - Accent5 2 7 2 3 3 3" xfId="39610"/>
    <cellStyle name="40% - Accent5 2 7 2 3 4" xfId="39611"/>
    <cellStyle name="40% - Accent5 2 7 2 3 4 2" xfId="39612"/>
    <cellStyle name="40% - Accent5 2 7 2 3 5" xfId="39613"/>
    <cellStyle name="40% - Accent5 2 7 2 4" xfId="39614"/>
    <cellStyle name="40% - Accent5 2 7 2 4 2" xfId="39615"/>
    <cellStyle name="40% - Accent5 2 7 2 4 2 2" xfId="39616"/>
    <cellStyle name="40% - Accent5 2 7 2 4 2 2 2" xfId="39617"/>
    <cellStyle name="40% - Accent5 2 7 2 4 2 2 2 2" xfId="39618"/>
    <cellStyle name="40% - Accent5 2 7 2 4 2 2 3" xfId="39619"/>
    <cellStyle name="40% - Accent5 2 7 2 4 2 3" xfId="39620"/>
    <cellStyle name="40% - Accent5 2 7 2 4 2 3 2" xfId="39621"/>
    <cellStyle name="40% - Accent5 2 7 2 4 2 4" xfId="39622"/>
    <cellStyle name="40% - Accent5 2 7 2 4 3" xfId="39623"/>
    <cellStyle name="40% - Accent5 2 7 2 4 3 2" xfId="39624"/>
    <cellStyle name="40% - Accent5 2 7 2 4 3 2 2" xfId="39625"/>
    <cellStyle name="40% - Accent5 2 7 2 4 3 3" xfId="39626"/>
    <cellStyle name="40% - Accent5 2 7 2 4 4" xfId="39627"/>
    <cellStyle name="40% - Accent5 2 7 2 4 4 2" xfId="39628"/>
    <cellStyle name="40% - Accent5 2 7 2 4 5" xfId="39629"/>
    <cellStyle name="40% - Accent5 2 7 2 5" xfId="39630"/>
    <cellStyle name="40% - Accent5 2 7 2 5 2" xfId="39631"/>
    <cellStyle name="40% - Accent5 2 7 2 5 2 2" xfId="39632"/>
    <cellStyle name="40% - Accent5 2 7 2 5 2 2 2" xfId="39633"/>
    <cellStyle name="40% - Accent5 2 7 2 5 2 2 2 2" xfId="39634"/>
    <cellStyle name="40% - Accent5 2 7 2 5 2 2 3" xfId="39635"/>
    <cellStyle name="40% - Accent5 2 7 2 5 2 3" xfId="39636"/>
    <cellStyle name="40% - Accent5 2 7 2 5 2 3 2" xfId="39637"/>
    <cellStyle name="40% - Accent5 2 7 2 5 2 4" xfId="39638"/>
    <cellStyle name="40% - Accent5 2 7 2 5 3" xfId="39639"/>
    <cellStyle name="40% - Accent5 2 7 2 5 3 2" xfId="39640"/>
    <cellStyle name="40% - Accent5 2 7 2 5 3 2 2" xfId="39641"/>
    <cellStyle name="40% - Accent5 2 7 2 5 3 3" xfId="39642"/>
    <cellStyle name="40% - Accent5 2 7 2 5 4" xfId="39643"/>
    <cellStyle name="40% - Accent5 2 7 2 5 4 2" xfId="39644"/>
    <cellStyle name="40% - Accent5 2 7 2 5 5" xfId="39645"/>
    <cellStyle name="40% - Accent5 2 7 2 6" xfId="39646"/>
    <cellStyle name="40% - Accent5 2 7 2 6 2" xfId="39647"/>
    <cellStyle name="40% - Accent5 2 7 2 6 2 2" xfId="39648"/>
    <cellStyle name="40% - Accent5 2 7 2 6 2 2 2" xfId="39649"/>
    <cellStyle name="40% - Accent5 2 7 2 6 2 2 2 2" xfId="39650"/>
    <cellStyle name="40% - Accent5 2 7 2 6 2 2 3" xfId="39651"/>
    <cellStyle name="40% - Accent5 2 7 2 6 2 3" xfId="39652"/>
    <cellStyle name="40% - Accent5 2 7 2 6 2 3 2" xfId="39653"/>
    <cellStyle name="40% - Accent5 2 7 2 6 2 4" xfId="39654"/>
    <cellStyle name="40% - Accent5 2 7 2 6 3" xfId="39655"/>
    <cellStyle name="40% - Accent5 2 7 2 6 3 2" xfId="39656"/>
    <cellStyle name="40% - Accent5 2 7 2 6 3 2 2" xfId="39657"/>
    <cellStyle name="40% - Accent5 2 7 2 6 3 3" xfId="39658"/>
    <cellStyle name="40% - Accent5 2 7 2 6 4" xfId="39659"/>
    <cellStyle name="40% - Accent5 2 7 2 6 4 2" xfId="39660"/>
    <cellStyle name="40% - Accent5 2 7 2 6 5" xfId="39661"/>
    <cellStyle name="40% - Accent5 2 7 2 7" xfId="39662"/>
    <cellStyle name="40% - Accent5 2 7 2 7 2" xfId="39663"/>
    <cellStyle name="40% - Accent5 2 7 2 7 2 2" xfId="39664"/>
    <cellStyle name="40% - Accent5 2 7 2 7 2 2 2" xfId="39665"/>
    <cellStyle name="40% - Accent5 2 7 2 7 2 3" xfId="39666"/>
    <cellStyle name="40% - Accent5 2 7 2 7 3" xfId="39667"/>
    <cellStyle name="40% - Accent5 2 7 2 7 3 2" xfId="39668"/>
    <cellStyle name="40% - Accent5 2 7 2 7 4" xfId="39669"/>
    <cellStyle name="40% - Accent5 2 7 2 8" xfId="39670"/>
    <cellStyle name="40% - Accent5 2 7 2 8 2" xfId="39671"/>
    <cellStyle name="40% - Accent5 2 7 2 8 2 2" xfId="39672"/>
    <cellStyle name="40% - Accent5 2 7 2 8 3" xfId="39673"/>
    <cellStyle name="40% - Accent5 2 7 2 9" xfId="39674"/>
    <cellStyle name="40% - Accent5 2 7 2 9 2" xfId="39675"/>
    <cellStyle name="40% - Accent5 2 7 3" xfId="39676"/>
    <cellStyle name="40% - Accent5 2 7 3 2" xfId="39677"/>
    <cellStyle name="40% - Accent5 2 7 3 2 2" xfId="39678"/>
    <cellStyle name="40% - Accent5 2 7 3 2 2 2" xfId="39679"/>
    <cellStyle name="40% - Accent5 2 7 3 2 2 2 2" xfId="39680"/>
    <cellStyle name="40% - Accent5 2 7 3 2 2 3" xfId="39681"/>
    <cellStyle name="40% - Accent5 2 7 3 2 3" xfId="39682"/>
    <cellStyle name="40% - Accent5 2 7 3 2 3 2" xfId="39683"/>
    <cellStyle name="40% - Accent5 2 7 3 2 4" xfId="39684"/>
    <cellStyle name="40% - Accent5 2 7 3 3" xfId="39685"/>
    <cellStyle name="40% - Accent5 2 7 3 3 2" xfId="39686"/>
    <cellStyle name="40% - Accent5 2 7 3 3 2 2" xfId="39687"/>
    <cellStyle name="40% - Accent5 2 7 3 3 3" xfId="39688"/>
    <cellStyle name="40% - Accent5 2 7 3 4" xfId="39689"/>
    <cellStyle name="40% - Accent5 2 7 3 4 2" xfId="39690"/>
    <cellStyle name="40% - Accent5 2 7 3 5" xfId="39691"/>
    <cellStyle name="40% - Accent5 2 7 4" xfId="39692"/>
    <cellStyle name="40% - Accent5 2 7 4 2" xfId="39693"/>
    <cellStyle name="40% - Accent5 2 7 4 2 2" xfId="39694"/>
    <cellStyle name="40% - Accent5 2 7 4 2 2 2" xfId="39695"/>
    <cellStyle name="40% - Accent5 2 7 4 2 2 2 2" xfId="39696"/>
    <cellStyle name="40% - Accent5 2 7 4 2 2 3" xfId="39697"/>
    <cellStyle name="40% - Accent5 2 7 4 2 3" xfId="39698"/>
    <cellStyle name="40% - Accent5 2 7 4 2 3 2" xfId="39699"/>
    <cellStyle name="40% - Accent5 2 7 4 2 4" xfId="39700"/>
    <cellStyle name="40% - Accent5 2 7 4 3" xfId="39701"/>
    <cellStyle name="40% - Accent5 2 7 4 3 2" xfId="39702"/>
    <cellStyle name="40% - Accent5 2 7 4 3 2 2" xfId="39703"/>
    <cellStyle name="40% - Accent5 2 7 4 3 3" xfId="39704"/>
    <cellStyle name="40% - Accent5 2 7 4 4" xfId="39705"/>
    <cellStyle name="40% - Accent5 2 7 4 4 2" xfId="39706"/>
    <cellStyle name="40% - Accent5 2 7 4 5" xfId="39707"/>
    <cellStyle name="40% - Accent5 2 7 5" xfId="39708"/>
    <cellStyle name="40% - Accent5 2 7 5 2" xfId="39709"/>
    <cellStyle name="40% - Accent5 2 7 5 2 2" xfId="39710"/>
    <cellStyle name="40% - Accent5 2 7 5 2 2 2" xfId="39711"/>
    <cellStyle name="40% - Accent5 2 7 5 2 2 2 2" xfId="39712"/>
    <cellStyle name="40% - Accent5 2 7 5 2 2 3" xfId="39713"/>
    <cellStyle name="40% - Accent5 2 7 5 2 3" xfId="39714"/>
    <cellStyle name="40% - Accent5 2 7 5 2 3 2" xfId="39715"/>
    <cellStyle name="40% - Accent5 2 7 5 2 4" xfId="39716"/>
    <cellStyle name="40% - Accent5 2 7 5 3" xfId="39717"/>
    <cellStyle name="40% - Accent5 2 7 5 3 2" xfId="39718"/>
    <cellStyle name="40% - Accent5 2 7 5 3 2 2" xfId="39719"/>
    <cellStyle name="40% - Accent5 2 7 5 3 3" xfId="39720"/>
    <cellStyle name="40% - Accent5 2 7 5 4" xfId="39721"/>
    <cellStyle name="40% - Accent5 2 7 5 4 2" xfId="39722"/>
    <cellStyle name="40% - Accent5 2 7 5 5" xfId="39723"/>
    <cellStyle name="40% - Accent5 2 7 6" xfId="39724"/>
    <cellStyle name="40% - Accent5 2 7 6 2" xfId="39725"/>
    <cellStyle name="40% - Accent5 2 7 6 2 2" xfId="39726"/>
    <cellStyle name="40% - Accent5 2 7 6 2 2 2" xfId="39727"/>
    <cellStyle name="40% - Accent5 2 7 6 2 2 2 2" xfId="39728"/>
    <cellStyle name="40% - Accent5 2 7 6 2 2 3" xfId="39729"/>
    <cellStyle name="40% - Accent5 2 7 6 2 3" xfId="39730"/>
    <cellStyle name="40% - Accent5 2 7 6 2 3 2" xfId="39731"/>
    <cellStyle name="40% - Accent5 2 7 6 2 4" xfId="39732"/>
    <cellStyle name="40% - Accent5 2 7 6 3" xfId="39733"/>
    <cellStyle name="40% - Accent5 2 7 6 3 2" xfId="39734"/>
    <cellStyle name="40% - Accent5 2 7 6 3 2 2" xfId="39735"/>
    <cellStyle name="40% - Accent5 2 7 6 3 3" xfId="39736"/>
    <cellStyle name="40% - Accent5 2 7 6 4" xfId="39737"/>
    <cellStyle name="40% - Accent5 2 7 6 4 2" xfId="39738"/>
    <cellStyle name="40% - Accent5 2 7 6 5" xfId="39739"/>
    <cellStyle name="40% - Accent5 2 7 7" xfId="39740"/>
    <cellStyle name="40% - Accent5 2 7 7 2" xfId="39741"/>
    <cellStyle name="40% - Accent5 2 7 7 2 2" xfId="39742"/>
    <cellStyle name="40% - Accent5 2 7 7 2 2 2" xfId="39743"/>
    <cellStyle name="40% - Accent5 2 7 7 2 2 2 2" xfId="39744"/>
    <cellStyle name="40% - Accent5 2 7 7 2 2 3" xfId="39745"/>
    <cellStyle name="40% - Accent5 2 7 7 2 3" xfId="39746"/>
    <cellStyle name="40% - Accent5 2 7 7 2 3 2" xfId="39747"/>
    <cellStyle name="40% - Accent5 2 7 7 2 4" xfId="39748"/>
    <cellStyle name="40% - Accent5 2 7 7 3" xfId="39749"/>
    <cellStyle name="40% - Accent5 2 7 7 3 2" xfId="39750"/>
    <cellStyle name="40% - Accent5 2 7 7 3 2 2" xfId="39751"/>
    <cellStyle name="40% - Accent5 2 7 7 3 3" xfId="39752"/>
    <cellStyle name="40% - Accent5 2 7 7 4" xfId="39753"/>
    <cellStyle name="40% - Accent5 2 7 7 4 2" xfId="39754"/>
    <cellStyle name="40% - Accent5 2 7 7 5" xfId="39755"/>
    <cellStyle name="40% - Accent5 2 7 8" xfId="39756"/>
    <cellStyle name="40% - Accent5 2 7 8 2" xfId="39757"/>
    <cellStyle name="40% - Accent5 2 7 8 2 2" xfId="39758"/>
    <cellStyle name="40% - Accent5 2 7 8 2 2 2" xfId="39759"/>
    <cellStyle name="40% - Accent5 2 7 8 2 3" xfId="39760"/>
    <cellStyle name="40% - Accent5 2 7 8 3" xfId="39761"/>
    <cellStyle name="40% - Accent5 2 7 8 3 2" xfId="39762"/>
    <cellStyle name="40% - Accent5 2 7 8 4" xfId="39763"/>
    <cellStyle name="40% - Accent5 2 7 9" xfId="39764"/>
    <cellStyle name="40% - Accent5 2 7 9 2" xfId="39765"/>
    <cellStyle name="40% - Accent5 2 7 9 2 2" xfId="39766"/>
    <cellStyle name="40% - Accent5 2 7 9 3" xfId="39767"/>
    <cellStyle name="40% - Accent5 2 8" xfId="39768"/>
    <cellStyle name="40% - Accent5 2 8 10" xfId="39769"/>
    <cellStyle name="40% - Accent5 2 8 10 2" xfId="39770"/>
    <cellStyle name="40% - Accent5 2 8 11" xfId="39771"/>
    <cellStyle name="40% - Accent5 2 8 2" xfId="39772"/>
    <cellStyle name="40% - Accent5 2 8 2 10" xfId="39773"/>
    <cellStyle name="40% - Accent5 2 8 2 2" xfId="39774"/>
    <cellStyle name="40% - Accent5 2 8 2 2 2" xfId="39775"/>
    <cellStyle name="40% - Accent5 2 8 2 2 2 2" xfId="39776"/>
    <cellStyle name="40% - Accent5 2 8 2 2 2 2 2" xfId="39777"/>
    <cellStyle name="40% - Accent5 2 8 2 2 2 2 2 2" xfId="39778"/>
    <cellStyle name="40% - Accent5 2 8 2 2 2 2 3" xfId="39779"/>
    <cellStyle name="40% - Accent5 2 8 2 2 2 3" xfId="39780"/>
    <cellStyle name="40% - Accent5 2 8 2 2 2 3 2" xfId="39781"/>
    <cellStyle name="40% - Accent5 2 8 2 2 2 4" xfId="39782"/>
    <cellStyle name="40% - Accent5 2 8 2 2 3" xfId="39783"/>
    <cellStyle name="40% - Accent5 2 8 2 2 3 2" xfId="39784"/>
    <cellStyle name="40% - Accent5 2 8 2 2 3 2 2" xfId="39785"/>
    <cellStyle name="40% - Accent5 2 8 2 2 3 3" xfId="39786"/>
    <cellStyle name="40% - Accent5 2 8 2 2 4" xfId="39787"/>
    <cellStyle name="40% - Accent5 2 8 2 2 4 2" xfId="39788"/>
    <cellStyle name="40% - Accent5 2 8 2 2 5" xfId="39789"/>
    <cellStyle name="40% - Accent5 2 8 2 3" xfId="39790"/>
    <cellStyle name="40% - Accent5 2 8 2 3 2" xfId="39791"/>
    <cellStyle name="40% - Accent5 2 8 2 3 2 2" xfId="39792"/>
    <cellStyle name="40% - Accent5 2 8 2 3 2 2 2" xfId="39793"/>
    <cellStyle name="40% - Accent5 2 8 2 3 2 2 2 2" xfId="39794"/>
    <cellStyle name="40% - Accent5 2 8 2 3 2 2 3" xfId="39795"/>
    <cellStyle name="40% - Accent5 2 8 2 3 2 3" xfId="39796"/>
    <cellStyle name="40% - Accent5 2 8 2 3 2 3 2" xfId="39797"/>
    <cellStyle name="40% - Accent5 2 8 2 3 2 4" xfId="39798"/>
    <cellStyle name="40% - Accent5 2 8 2 3 3" xfId="39799"/>
    <cellStyle name="40% - Accent5 2 8 2 3 3 2" xfId="39800"/>
    <cellStyle name="40% - Accent5 2 8 2 3 3 2 2" xfId="39801"/>
    <cellStyle name="40% - Accent5 2 8 2 3 3 3" xfId="39802"/>
    <cellStyle name="40% - Accent5 2 8 2 3 4" xfId="39803"/>
    <cellStyle name="40% - Accent5 2 8 2 3 4 2" xfId="39804"/>
    <cellStyle name="40% - Accent5 2 8 2 3 5" xfId="39805"/>
    <cellStyle name="40% - Accent5 2 8 2 4" xfId="39806"/>
    <cellStyle name="40% - Accent5 2 8 2 4 2" xfId="39807"/>
    <cellStyle name="40% - Accent5 2 8 2 4 2 2" xfId="39808"/>
    <cellStyle name="40% - Accent5 2 8 2 4 2 2 2" xfId="39809"/>
    <cellStyle name="40% - Accent5 2 8 2 4 2 2 2 2" xfId="39810"/>
    <cellStyle name="40% - Accent5 2 8 2 4 2 2 3" xfId="39811"/>
    <cellStyle name="40% - Accent5 2 8 2 4 2 3" xfId="39812"/>
    <cellStyle name="40% - Accent5 2 8 2 4 2 3 2" xfId="39813"/>
    <cellStyle name="40% - Accent5 2 8 2 4 2 4" xfId="39814"/>
    <cellStyle name="40% - Accent5 2 8 2 4 3" xfId="39815"/>
    <cellStyle name="40% - Accent5 2 8 2 4 3 2" xfId="39816"/>
    <cellStyle name="40% - Accent5 2 8 2 4 3 2 2" xfId="39817"/>
    <cellStyle name="40% - Accent5 2 8 2 4 3 3" xfId="39818"/>
    <cellStyle name="40% - Accent5 2 8 2 4 4" xfId="39819"/>
    <cellStyle name="40% - Accent5 2 8 2 4 4 2" xfId="39820"/>
    <cellStyle name="40% - Accent5 2 8 2 4 5" xfId="39821"/>
    <cellStyle name="40% - Accent5 2 8 2 5" xfId="39822"/>
    <cellStyle name="40% - Accent5 2 8 2 5 2" xfId="39823"/>
    <cellStyle name="40% - Accent5 2 8 2 5 2 2" xfId="39824"/>
    <cellStyle name="40% - Accent5 2 8 2 5 2 2 2" xfId="39825"/>
    <cellStyle name="40% - Accent5 2 8 2 5 2 2 2 2" xfId="39826"/>
    <cellStyle name="40% - Accent5 2 8 2 5 2 2 3" xfId="39827"/>
    <cellStyle name="40% - Accent5 2 8 2 5 2 3" xfId="39828"/>
    <cellStyle name="40% - Accent5 2 8 2 5 2 3 2" xfId="39829"/>
    <cellStyle name="40% - Accent5 2 8 2 5 2 4" xfId="39830"/>
    <cellStyle name="40% - Accent5 2 8 2 5 3" xfId="39831"/>
    <cellStyle name="40% - Accent5 2 8 2 5 3 2" xfId="39832"/>
    <cellStyle name="40% - Accent5 2 8 2 5 3 2 2" xfId="39833"/>
    <cellStyle name="40% - Accent5 2 8 2 5 3 3" xfId="39834"/>
    <cellStyle name="40% - Accent5 2 8 2 5 4" xfId="39835"/>
    <cellStyle name="40% - Accent5 2 8 2 5 4 2" xfId="39836"/>
    <cellStyle name="40% - Accent5 2 8 2 5 5" xfId="39837"/>
    <cellStyle name="40% - Accent5 2 8 2 6" xfId="39838"/>
    <cellStyle name="40% - Accent5 2 8 2 6 2" xfId="39839"/>
    <cellStyle name="40% - Accent5 2 8 2 6 2 2" xfId="39840"/>
    <cellStyle name="40% - Accent5 2 8 2 6 2 2 2" xfId="39841"/>
    <cellStyle name="40% - Accent5 2 8 2 6 2 2 2 2" xfId="39842"/>
    <cellStyle name="40% - Accent5 2 8 2 6 2 2 3" xfId="39843"/>
    <cellStyle name="40% - Accent5 2 8 2 6 2 3" xfId="39844"/>
    <cellStyle name="40% - Accent5 2 8 2 6 2 3 2" xfId="39845"/>
    <cellStyle name="40% - Accent5 2 8 2 6 2 4" xfId="39846"/>
    <cellStyle name="40% - Accent5 2 8 2 6 3" xfId="39847"/>
    <cellStyle name="40% - Accent5 2 8 2 6 3 2" xfId="39848"/>
    <cellStyle name="40% - Accent5 2 8 2 6 3 2 2" xfId="39849"/>
    <cellStyle name="40% - Accent5 2 8 2 6 3 3" xfId="39850"/>
    <cellStyle name="40% - Accent5 2 8 2 6 4" xfId="39851"/>
    <cellStyle name="40% - Accent5 2 8 2 6 4 2" xfId="39852"/>
    <cellStyle name="40% - Accent5 2 8 2 6 5" xfId="39853"/>
    <cellStyle name="40% - Accent5 2 8 2 7" xfId="39854"/>
    <cellStyle name="40% - Accent5 2 8 2 7 2" xfId="39855"/>
    <cellStyle name="40% - Accent5 2 8 2 7 2 2" xfId="39856"/>
    <cellStyle name="40% - Accent5 2 8 2 7 2 2 2" xfId="39857"/>
    <cellStyle name="40% - Accent5 2 8 2 7 2 3" xfId="39858"/>
    <cellStyle name="40% - Accent5 2 8 2 7 3" xfId="39859"/>
    <cellStyle name="40% - Accent5 2 8 2 7 3 2" xfId="39860"/>
    <cellStyle name="40% - Accent5 2 8 2 7 4" xfId="39861"/>
    <cellStyle name="40% - Accent5 2 8 2 8" xfId="39862"/>
    <cellStyle name="40% - Accent5 2 8 2 8 2" xfId="39863"/>
    <cellStyle name="40% - Accent5 2 8 2 8 2 2" xfId="39864"/>
    <cellStyle name="40% - Accent5 2 8 2 8 3" xfId="39865"/>
    <cellStyle name="40% - Accent5 2 8 2 9" xfId="39866"/>
    <cellStyle name="40% - Accent5 2 8 2 9 2" xfId="39867"/>
    <cellStyle name="40% - Accent5 2 8 3" xfId="39868"/>
    <cellStyle name="40% - Accent5 2 8 3 2" xfId="39869"/>
    <cellStyle name="40% - Accent5 2 8 3 2 2" xfId="39870"/>
    <cellStyle name="40% - Accent5 2 8 3 2 2 2" xfId="39871"/>
    <cellStyle name="40% - Accent5 2 8 3 2 2 2 2" xfId="39872"/>
    <cellStyle name="40% - Accent5 2 8 3 2 2 3" xfId="39873"/>
    <cellStyle name="40% - Accent5 2 8 3 2 3" xfId="39874"/>
    <cellStyle name="40% - Accent5 2 8 3 2 3 2" xfId="39875"/>
    <cellStyle name="40% - Accent5 2 8 3 2 4" xfId="39876"/>
    <cellStyle name="40% - Accent5 2 8 3 3" xfId="39877"/>
    <cellStyle name="40% - Accent5 2 8 3 3 2" xfId="39878"/>
    <cellStyle name="40% - Accent5 2 8 3 3 2 2" xfId="39879"/>
    <cellStyle name="40% - Accent5 2 8 3 3 3" xfId="39880"/>
    <cellStyle name="40% - Accent5 2 8 3 4" xfId="39881"/>
    <cellStyle name="40% - Accent5 2 8 3 4 2" xfId="39882"/>
    <cellStyle name="40% - Accent5 2 8 3 5" xfId="39883"/>
    <cellStyle name="40% - Accent5 2 8 4" xfId="39884"/>
    <cellStyle name="40% - Accent5 2 8 4 2" xfId="39885"/>
    <cellStyle name="40% - Accent5 2 8 4 2 2" xfId="39886"/>
    <cellStyle name="40% - Accent5 2 8 4 2 2 2" xfId="39887"/>
    <cellStyle name="40% - Accent5 2 8 4 2 2 2 2" xfId="39888"/>
    <cellStyle name="40% - Accent5 2 8 4 2 2 3" xfId="39889"/>
    <cellStyle name="40% - Accent5 2 8 4 2 3" xfId="39890"/>
    <cellStyle name="40% - Accent5 2 8 4 2 3 2" xfId="39891"/>
    <cellStyle name="40% - Accent5 2 8 4 2 4" xfId="39892"/>
    <cellStyle name="40% - Accent5 2 8 4 3" xfId="39893"/>
    <cellStyle name="40% - Accent5 2 8 4 3 2" xfId="39894"/>
    <cellStyle name="40% - Accent5 2 8 4 3 2 2" xfId="39895"/>
    <cellStyle name="40% - Accent5 2 8 4 3 3" xfId="39896"/>
    <cellStyle name="40% - Accent5 2 8 4 4" xfId="39897"/>
    <cellStyle name="40% - Accent5 2 8 4 4 2" xfId="39898"/>
    <cellStyle name="40% - Accent5 2 8 4 5" xfId="39899"/>
    <cellStyle name="40% - Accent5 2 8 5" xfId="39900"/>
    <cellStyle name="40% - Accent5 2 8 5 2" xfId="39901"/>
    <cellStyle name="40% - Accent5 2 8 5 2 2" xfId="39902"/>
    <cellStyle name="40% - Accent5 2 8 5 2 2 2" xfId="39903"/>
    <cellStyle name="40% - Accent5 2 8 5 2 2 2 2" xfId="39904"/>
    <cellStyle name="40% - Accent5 2 8 5 2 2 3" xfId="39905"/>
    <cellStyle name="40% - Accent5 2 8 5 2 3" xfId="39906"/>
    <cellStyle name="40% - Accent5 2 8 5 2 3 2" xfId="39907"/>
    <cellStyle name="40% - Accent5 2 8 5 2 4" xfId="39908"/>
    <cellStyle name="40% - Accent5 2 8 5 3" xfId="39909"/>
    <cellStyle name="40% - Accent5 2 8 5 3 2" xfId="39910"/>
    <cellStyle name="40% - Accent5 2 8 5 3 2 2" xfId="39911"/>
    <cellStyle name="40% - Accent5 2 8 5 3 3" xfId="39912"/>
    <cellStyle name="40% - Accent5 2 8 5 4" xfId="39913"/>
    <cellStyle name="40% - Accent5 2 8 5 4 2" xfId="39914"/>
    <cellStyle name="40% - Accent5 2 8 5 5" xfId="39915"/>
    <cellStyle name="40% - Accent5 2 8 6" xfId="39916"/>
    <cellStyle name="40% - Accent5 2 8 6 2" xfId="39917"/>
    <cellStyle name="40% - Accent5 2 8 6 2 2" xfId="39918"/>
    <cellStyle name="40% - Accent5 2 8 6 2 2 2" xfId="39919"/>
    <cellStyle name="40% - Accent5 2 8 6 2 2 2 2" xfId="39920"/>
    <cellStyle name="40% - Accent5 2 8 6 2 2 3" xfId="39921"/>
    <cellStyle name="40% - Accent5 2 8 6 2 3" xfId="39922"/>
    <cellStyle name="40% - Accent5 2 8 6 2 3 2" xfId="39923"/>
    <cellStyle name="40% - Accent5 2 8 6 2 4" xfId="39924"/>
    <cellStyle name="40% - Accent5 2 8 6 3" xfId="39925"/>
    <cellStyle name="40% - Accent5 2 8 6 3 2" xfId="39926"/>
    <cellStyle name="40% - Accent5 2 8 6 3 2 2" xfId="39927"/>
    <cellStyle name="40% - Accent5 2 8 6 3 3" xfId="39928"/>
    <cellStyle name="40% - Accent5 2 8 6 4" xfId="39929"/>
    <cellStyle name="40% - Accent5 2 8 6 4 2" xfId="39930"/>
    <cellStyle name="40% - Accent5 2 8 6 5" xfId="39931"/>
    <cellStyle name="40% - Accent5 2 8 7" xfId="39932"/>
    <cellStyle name="40% - Accent5 2 8 7 2" xfId="39933"/>
    <cellStyle name="40% - Accent5 2 8 7 2 2" xfId="39934"/>
    <cellStyle name="40% - Accent5 2 8 7 2 2 2" xfId="39935"/>
    <cellStyle name="40% - Accent5 2 8 7 2 2 2 2" xfId="39936"/>
    <cellStyle name="40% - Accent5 2 8 7 2 2 3" xfId="39937"/>
    <cellStyle name="40% - Accent5 2 8 7 2 3" xfId="39938"/>
    <cellStyle name="40% - Accent5 2 8 7 2 3 2" xfId="39939"/>
    <cellStyle name="40% - Accent5 2 8 7 2 4" xfId="39940"/>
    <cellStyle name="40% - Accent5 2 8 7 3" xfId="39941"/>
    <cellStyle name="40% - Accent5 2 8 7 3 2" xfId="39942"/>
    <cellStyle name="40% - Accent5 2 8 7 3 2 2" xfId="39943"/>
    <cellStyle name="40% - Accent5 2 8 7 3 3" xfId="39944"/>
    <cellStyle name="40% - Accent5 2 8 7 4" xfId="39945"/>
    <cellStyle name="40% - Accent5 2 8 7 4 2" xfId="39946"/>
    <cellStyle name="40% - Accent5 2 8 7 5" xfId="39947"/>
    <cellStyle name="40% - Accent5 2 8 8" xfId="39948"/>
    <cellStyle name="40% - Accent5 2 8 8 2" xfId="39949"/>
    <cellStyle name="40% - Accent5 2 8 8 2 2" xfId="39950"/>
    <cellStyle name="40% - Accent5 2 8 8 2 2 2" xfId="39951"/>
    <cellStyle name="40% - Accent5 2 8 8 2 3" xfId="39952"/>
    <cellStyle name="40% - Accent5 2 8 8 3" xfId="39953"/>
    <cellStyle name="40% - Accent5 2 8 8 3 2" xfId="39954"/>
    <cellStyle name="40% - Accent5 2 8 8 4" xfId="39955"/>
    <cellStyle name="40% - Accent5 2 8 9" xfId="39956"/>
    <cellStyle name="40% - Accent5 2 8 9 2" xfId="39957"/>
    <cellStyle name="40% - Accent5 2 8 9 2 2" xfId="39958"/>
    <cellStyle name="40% - Accent5 2 8 9 3" xfId="39959"/>
    <cellStyle name="40% - Accent5 2 9" xfId="39960"/>
    <cellStyle name="40% - Accent5 2 9 10" xfId="39961"/>
    <cellStyle name="40% - Accent5 2 9 10 2" xfId="39962"/>
    <cellStyle name="40% - Accent5 2 9 11" xfId="39963"/>
    <cellStyle name="40% - Accent5 2 9 2" xfId="39964"/>
    <cellStyle name="40% - Accent5 2 9 2 10" xfId="39965"/>
    <cellStyle name="40% - Accent5 2 9 2 2" xfId="39966"/>
    <cellStyle name="40% - Accent5 2 9 2 2 2" xfId="39967"/>
    <cellStyle name="40% - Accent5 2 9 2 2 2 2" xfId="39968"/>
    <cellStyle name="40% - Accent5 2 9 2 2 2 2 2" xfId="39969"/>
    <cellStyle name="40% - Accent5 2 9 2 2 2 2 2 2" xfId="39970"/>
    <cellStyle name="40% - Accent5 2 9 2 2 2 2 3" xfId="39971"/>
    <cellStyle name="40% - Accent5 2 9 2 2 2 3" xfId="39972"/>
    <cellStyle name="40% - Accent5 2 9 2 2 2 3 2" xfId="39973"/>
    <cellStyle name="40% - Accent5 2 9 2 2 2 4" xfId="39974"/>
    <cellStyle name="40% - Accent5 2 9 2 2 3" xfId="39975"/>
    <cellStyle name="40% - Accent5 2 9 2 2 3 2" xfId="39976"/>
    <cellStyle name="40% - Accent5 2 9 2 2 3 2 2" xfId="39977"/>
    <cellStyle name="40% - Accent5 2 9 2 2 3 3" xfId="39978"/>
    <cellStyle name="40% - Accent5 2 9 2 2 4" xfId="39979"/>
    <cellStyle name="40% - Accent5 2 9 2 2 4 2" xfId="39980"/>
    <cellStyle name="40% - Accent5 2 9 2 2 5" xfId="39981"/>
    <cellStyle name="40% - Accent5 2 9 2 3" xfId="39982"/>
    <cellStyle name="40% - Accent5 2 9 2 3 2" xfId="39983"/>
    <cellStyle name="40% - Accent5 2 9 2 3 2 2" xfId="39984"/>
    <cellStyle name="40% - Accent5 2 9 2 3 2 2 2" xfId="39985"/>
    <cellStyle name="40% - Accent5 2 9 2 3 2 2 2 2" xfId="39986"/>
    <cellStyle name="40% - Accent5 2 9 2 3 2 2 3" xfId="39987"/>
    <cellStyle name="40% - Accent5 2 9 2 3 2 3" xfId="39988"/>
    <cellStyle name="40% - Accent5 2 9 2 3 2 3 2" xfId="39989"/>
    <cellStyle name="40% - Accent5 2 9 2 3 2 4" xfId="39990"/>
    <cellStyle name="40% - Accent5 2 9 2 3 3" xfId="39991"/>
    <cellStyle name="40% - Accent5 2 9 2 3 3 2" xfId="39992"/>
    <cellStyle name="40% - Accent5 2 9 2 3 3 2 2" xfId="39993"/>
    <cellStyle name="40% - Accent5 2 9 2 3 3 3" xfId="39994"/>
    <cellStyle name="40% - Accent5 2 9 2 3 4" xfId="39995"/>
    <cellStyle name="40% - Accent5 2 9 2 3 4 2" xfId="39996"/>
    <cellStyle name="40% - Accent5 2 9 2 3 5" xfId="39997"/>
    <cellStyle name="40% - Accent5 2 9 2 4" xfId="39998"/>
    <cellStyle name="40% - Accent5 2 9 2 4 2" xfId="39999"/>
    <cellStyle name="40% - Accent5 2 9 2 4 2 2" xfId="40000"/>
    <cellStyle name="40% - Accent5 2 9 2 4 2 2 2" xfId="40001"/>
    <cellStyle name="40% - Accent5 2 9 2 4 2 2 2 2" xfId="40002"/>
    <cellStyle name="40% - Accent5 2 9 2 4 2 2 3" xfId="40003"/>
    <cellStyle name="40% - Accent5 2 9 2 4 2 3" xfId="40004"/>
    <cellStyle name="40% - Accent5 2 9 2 4 2 3 2" xfId="40005"/>
    <cellStyle name="40% - Accent5 2 9 2 4 2 4" xfId="40006"/>
    <cellStyle name="40% - Accent5 2 9 2 4 3" xfId="40007"/>
    <cellStyle name="40% - Accent5 2 9 2 4 3 2" xfId="40008"/>
    <cellStyle name="40% - Accent5 2 9 2 4 3 2 2" xfId="40009"/>
    <cellStyle name="40% - Accent5 2 9 2 4 3 3" xfId="40010"/>
    <cellStyle name="40% - Accent5 2 9 2 4 4" xfId="40011"/>
    <cellStyle name="40% - Accent5 2 9 2 4 4 2" xfId="40012"/>
    <cellStyle name="40% - Accent5 2 9 2 4 5" xfId="40013"/>
    <cellStyle name="40% - Accent5 2 9 2 5" xfId="40014"/>
    <cellStyle name="40% - Accent5 2 9 2 5 2" xfId="40015"/>
    <cellStyle name="40% - Accent5 2 9 2 5 2 2" xfId="40016"/>
    <cellStyle name="40% - Accent5 2 9 2 5 2 2 2" xfId="40017"/>
    <cellStyle name="40% - Accent5 2 9 2 5 2 2 2 2" xfId="40018"/>
    <cellStyle name="40% - Accent5 2 9 2 5 2 2 3" xfId="40019"/>
    <cellStyle name="40% - Accent5 2 9 2 5 2 3" xfId="40020"/>
    <cellStyle name="40% - Accent5 2 9 2 5 2 3 2" xfId="40021"/>
    <cellStyle name="40% - Accent5 2 9 2 5 2 4" xfId="40022"/>
    <cellStyle name="40% - Accent5 2 9 2 5 3" xfId="40023"/>
    <cellStyle name="40% - Accent5 2 9 2 5 3 2" xfId="40024"/>
    <cellStyle name="40% - Accent5 2 9 2 5 3 2 2" xfId="40025"/>
    <cellStyle name="40% - Accent5 2 9 2 5 3 3" xfId="40026"/>
    <cellStyle name="40% - Accent5 2 9 2 5 4" xfId="40027"/>
    <cellStyle name="40% - Accent5 2 9 2 5 4 2" xfId="40028"/>
    <cellStyle name="40% - Accent5 2 9 2 5 5" xfId="40029"/>
    <cellStyle name="40% - Accent5 2 9 2 6" xfId="40030"/>
    <cellStyle name="40% - Accent5 2 9 2 6 2" xfId="40031"/>
    <cellStyle name="40% - Accent5 2 9 2 6 2 2" xfId="40032"/>
    <cellStyle name="40% - Accent5 2 9 2 6 2 2 2" xfId="40033"/>
    <cellStyle name="40% - Accent5 2 9 2 6 2 2 2 2" xfId="40034"/>
    <cellStyle name="40% - Accent5 2 9 2 6 2 2 3" xfId="40035"/>
    <cellStyle name="40% - Accent5 2 9 2 6 2 3" xfId="40036"/>
    <cellStyle name="40% - Accent5 2 9 2 6 2 3 2" xfId="40037"/>
    <cellStyle name="40% - Accent5 2 9 2 6 2 4" xfId="40038"/>
    <cellStyle name="40% - Accent5 2 9 2 6 3" xfId="40039"/>
    <cellStyle name="40% - Accent5 2 9 2 6 3 2" xfId="40040"/>
    <cellStyle name="40% - Accent5 2 9 2 6 3 2 2" xfId="40041"/>
    <cellStyle name="40% - Accent5 2 9 2 6 3 3" xfId="40042"/>
    <cellStyle name="40% - Accent5 2 9 2 6 4" xfId="40043"/>
    <cellStyle name="40% - Accent5 2 9 2 6 4 2" xfId="40044"/>
    <cellStyle name="40% - Accent5 2 9 2 6 5" xfId="40045"/>
    <cellStyle name="40% - Accent5 2 9 2 7" xfId="40046"/>
    <cellStyle name="40% - Accent5 2 9 2 7 2" xfId="40047"/>
    <cellStyle name="40% - Accent5 2 9 2 7 2 2" xfId="40048"/>
    <cellStyle name="40% - Accent5 2 9 2 7 2 2 2" xfId="40049"/>
    <cellStyle name="40% - Accent5 2 9 2 7 2 3" xfId="40050"/>
    <cellStyle name="40% - Accent5 2 9 2 7 3" xfId="40051"/>
    <cellStyle name="40% - Accent5 2 9 2 7 3 2" xfId="40052"/>
    <cellStyle name="40% - Accent5 2 9 2 7 4" xfId="40053"/>
    <cellStyle name="40% - Accent5 2 9 2 8" xfId="40054"/>
    <cellStyle name="40% - Accent5 2 9 2 8 2" xfId="40055"/>
    <cellStyle name="40% - Accent5 2 9 2 8 2 2" xfId="40056"/>
    <cellStyle name="40% - Accent5 2 9 2 8 3" xfId="40057"/>
    <cellStyle name="40% - Accent5 2 9 2 9" xfId="40058"/>
    <cellStyle name="40% - Accent5 2 9 2 9 2" xfId="40059"/>
    <cellStyle name="40% - Accent5 2 9 3" xfId="40060"/>
    <cellStyle name="40% - Accent5 2 9 3 2" xfId="40061"/>
    <cellStyle name="40% - Accent5 2 9 3 2 2" xfId="40062"/>
    <cellStyle name="40% - Accent5 2 9 3 2 2 2" xfId="40063"/>
    <cellStyle name="40% - Accent5 2 9 3 2 2 2 2" xfId="40064"/>
    <cellStyle name="40% - Accent5 2 9 3 2 2 3" xfId="40065"/>
    <cellStyle name="40% - Accent5 2 9 3 2 3" xfId="40066"/>
    <cellStyle name="40% - Accent5 2 9 3 2 3 2" xfId="40067"/>
    <cellStyle name="40% - Accent5 2 9 3 2 4" xfId="40068"/>
    <cellStyle name="40% - Accent5 2 9 3 3" xfId="40069"/>
    <cellStyle name="40% - Accent5 2 9 3 3 2" xfId="40070"/>
    <cellStyle name="40% - Accent5 2 9 3 3 2 2" xfId="40071"/>
    <cellStyle name="40% - Accent5 2 9 3 3 3" xfId="40072"/>
    <cellStyle name="40% - Accent5 2 9 3 4" xfId="40073"/>
    <cellStyle name="40% - Accent5 2 9 3 4 2" xfId="40074"/>
    <cellStyle name="40% - Accent5 2 9 3 5" xfId="40075"/>
    <cellStyle name="40% - Accent5 2 9 4" xfId="40076"/>
    <cellStyle name="40% - Accent5 2 9 4 2" xfId="40077"/>
    <cellStyle name="40% - Accent5 2 9 4 2 2" xfId="40078"/>
    <cellStyle name="40% - Accent5 2 9 4 2 2 2" xfId="40079"/>
    <cellStyle name="40% - Accent5 2 9 4 2 2 2 2" xfId="40080"/>
    <cellStyle name="40% - Accent5 2 9 4 2 2 3" xfId="40081"/>
    <cellStyle name="40% - Accent5 2 9 4 2 3" xfId="40082"/>
    <cellStyle name="40% - Accent5 2 9 4 2 3 2" xfId="40083"/>
    <cellStyle name="40% - Accent5 2 9 4 2 4" xfId="40084"/>
    <cellStyle name="40% - Accent5 2 9 4 3" xfId="40085"/>
    <cellStyle name="40% - Accent5 2 9 4 3 2" xfId="40086"/>
    <cellStyle name="40% - Accent5 2 9 4 3 2 2" xfId="40087"/>
    <cellStyle name="40% - Accent5 2 9 4 3 3" xfId="40088"/>
    <cellStyle name="40% - Accent5 2 9 4 4" xfId="40089"/>
    <cellStyle name="40% - Accent5 2 9 4 4 2" xfId="40090"/>
    <cellStyle name="40% - Accent5 2 9 4 5" xfId="40091"/>
    <cellStyle name="40% - Accent5 2 9 5" xfId="40092"/>
    <cellStyle name="40% - Accent5 2 9 5 2" xfId="40093"/>
    <cellStyle name="40% - Accent5 2 9 5 2 2" xfId="40094"/>
    <cellStyle name="40% - Accent5 2 9 5 2 2 2" xfId="40095"/>
    <cellStyle name="40% - Accent5 2 9 5 2 2 2 2" xfId="40096"/>
    <cellStyle name="40% - Accent5 2 9 5 2 2 3" xfId="40097"/>
    <cellStyle name="40% - Accent5 2 9 5 2 3" xfId="40098"/>
    <cellStyle name="40% - Accent5 2 9 5 2 3 2" xfId="40099"/>
    <cellStyle name="40% - Accent5 2 9 5 2 4" xfId="40100"/>
    <cellStyle name="40% - Accent5 2 9 5 3" xfId="40101"/>
    <cellStyle name="40% - Accent5 2 9 5 3 2" xfId="40102"/>
    <cellStyle name="40% - Accent5 2 9 5 3 2 2" xfId="40103"/>
    <cellStyle name="40% - Accent5 2 9 5 3 3" xfId="40104"/>
    <cellStyle name="40% - Accent5 2 9 5 4" xfId="40105"/>
    <cellStyle name="40% - Accent5 2 9 5 4 2" xfId="40106"/>
    <cellStyle name="40% - Accent5 2 9 5 5" xfId="40107"/>
    <cellStyle name="40% - Accent5 2 9 6" xfId="40108"/>
    <cellStyle name="40% - Accent5 2 9 6 2" xfId="40109"/>
    <cellStyle name="40% - Accent5 2 9 6 2 2" xfId="40110"/>
    <cellStyle name="40% - Accent5 2 9 6 2 2 2" xfId="40111"/>
    <cellStyle name="40% - Accent5 2 9 6 2 2 2 2" xfId="40112"/>
    <cellStyle name="40% - Accent5 2 9 6 2 2 3" xfId="40113"/>
    <cellStyle name="40% - Accent5 2 9 6 2 3" xfId="40114"/>
    <cellStyle name="40% - Accent5 2 9 6 2 3 2" xfId="40115"/>
    <cellStyle name="40% - Accent5 2 9 6 2 4" xfId="40116"/>
    <cellStyle name="40% - Accent5 2 9 6 3" xfId="40117"/>
    <cellStyle name="40% - Accent5 2 9 6 3 2" xfId="40118"/>
    <cellStyle name="40% - Accent5 2 9 6 3 2 2" xfId="40119"/>
    <cellStyle name="40% - Accent5 2 9 6 3 3" xfId="40120"/>
    <cellStyle name="40% - Accent5 2 9 6 4" xfId="40121"/>
    <cellStyle name="40% - Accent5 2 9 6 4 2" xfId="40122"/>
    <cellStyle name="40% - Accent5 2 9 6 5" xfId="40123"/>
    <cellStyle name="40% - Accent5 2 9 7" xfId="40124"/>
    <cellStyle name="40% - Accent5 2 9 7 2" xfId="40125"/>
    <cellStyle name="40% - Accent5 2 9 7 2 2" xfId="40126"/>
    <cellStyle name="40% - Accent5 2 9 7 2 2 2" xfId="40127"/>
    <cellStyle name="40% - Accent5 2 9 7 2 2 2 2" xfId="40128"/>
    <cellStyle name="40% - Accent5 2 9 7 2 2 3" xfId="40129"/>
    <cellStyle name="40% - Accent5 2 9 7 2 3" xfId="40130"/>
    <cellStyle name="40% - Accent5 2 9 7 2 3 2" xfId="40131"/>
    <cellStyle name="40% - Accent5 2 9 7 2 4" xfId="40132"/>
    <cellStyle name="40% - Accent5 2 9 7 3" xfId="40133"/>
    <cellStyle name="40% - Accent5 2 9 7 3 2" xfId="40134"/>
    <cellStyle name="40% - Accent5 2 9 7 3 2 2" xfId="40135"/>
    <cellStyle name="40% - Accent5 2 9 7 3 3" xfId="40136"/>
    <cellStyle name="40% - Accent5 2 9 7 4" xfId="40137"/>
    <cellStyle name="40% - Accent5 2 9 7 4 2" xfId="40138"/>
    <cellStyle name="40% - Accent5 2 9 7 5" xfId="40139"/>
    <cellStyle name="40% - Accent5 2 9 8" xfId="40140"/>
    <cellStyle name="40% - Accent5 2 9 8 2" xfId="40141"/>
    <cellStyle name="40% - Accent5 2 9 8 2 2" xfId="40142"/>
    <cellStyle name="40% - Accent5 2 9 8 2 2 2" xfId="40143"/>
    <cellStyle name="40% - Accent5 2 9 8 2 3" xfId="40144"/>
    <cellStyle name="40% - Accent5 2 9 8 3" xfId="40145"/>
    <cellStyle name="40% - Accent5 2 9 8 3 2" xfId="40146"/>
    <cellStyle name="40% - Accent5 2 9 8 4" xfId="40147"/>
    <cellStyle name="40% - Accent5 2 9 9" xfId="40148"/>
    <cellStyle name="40% - Accent5 2 9 9 2" xfId="40149"/>
    <cellStyle name="40% - Accent5 2 9 9 2 2" xfId="40150"/>
    <cellStyle name="40% - Accent5 2 9 9 3" xfId="40151"/>
    <cellStyle name="40% - Accent5 20" xfId="40152"/>
    <cellStyle name="40% - Accent5 20 2" xfId="40153"/>
    <cellStyle name="40% - Accent5 20 2 2" xfId="40154"/>
    <cellStyle name="40% - Accent5 20 2 2 2" xfId="40155"/>
    <cellStyle name="40% - Accent5 20 2 2 2 2" xfId="40156"/>
    <cellStyle name="40% - Accent5 20 2 2 3" xfId="40157"/>
    <cellStyle name="40% - Accent5 20 2 3" xfId="40158"/>
    <cellStyle name="40% - Accent5 20 2 3 2" xfId="40159"/>
    <cellStyle name="40% - Accent5 20 2 4" xfId="40160"/>
    <cellStyle name="40% - Accent5 20 3" xfId="40161"/>
    <cellStyle name="40% - Accent5 20 3 2" xfId="40162"/>
    <cellStyle name="40% - Accent5 20 3 2 2" xfId="40163"/>
    <cellStyle name="40% - Accent5 20 3 3" xfId="40164"/>
    <cellStyle name="40% - Accent5 20 4" xfId="40165"/>
    <cellStyle name="40% - Accent5 20 4 2" xfId="40166"/>
    <cellStyle name="40% - Accent5 20 5" xfId="40167"/>
    <cellStyle name="40% - Accent5 21" xfId="40168"/>
    <cellStyle name="40% - Accent5 21 2" xfId="40169"/>
    <cellStyle name="40% - Accent5 21 2 2" xfId="40170"/>
    <cellStyle name="40% - Accent5 21 2 2 2" xfId="40171"/>
    <cellStyle name="40% - Accent5 21 2 3" xfId="40172"/>
    <cellStyle name="40% - Accent5 21 3" xfId="40173"/>
    <cellStyle name="40% - Accent5 21 3 2" xfId="40174"/>
    <cellStyle name="40% - Accent5 21 4" xfId="40175"/>
    <cellStyle name="40% - Accent5 22" xfId="40176"/>
    <cellStyle name="40% - Accent5 22 2" xfId="40177"/>
    <cellStyle name="40% - Accent5 22 2 2" xfId="40178"/>
    <cellStyle name="40% - Accent5 22 3" xfId="40179"/>
    <cellStyle name="40% - Accent5 23" xfId="40180"/>
    <cellStyle name="40% - Accent5 23 2" xfId="40181"/>
    <cellStyle name="40% - Accent5 24" xfId="40182"/>
    <cellStyle name="40% - Accent5 3" xfId="40183"/>
    <cellStyle name="40% - Accent5 3 10" xfId="40184"/>
    <cellStyle name="40% - Accent5 3 10 2" xfId="40185"/>
    <cellStyle name="40% - Accent5 3 11" xfId="40186"/>
    <cellStyle name="40% - Accent5 3 2" xfId="40187"/>
    <cellStyle name="40% - Accent5 3 2 10" xfId="40188"/>
    <cellStyle name="40% - Accent5 3 2 2" xfId="40189"/>
    <cellStyle name="40% - Accent5 3 2 2 2" xfId="40190"/>
    <cellStyle name="40% - Accent5 3 2 2 2 2" xfId="40191"/>
    <cellStyle name="40% - Accent5 3 2 2 2 2 2" xfId="40192"/>
    <cellStyle name="40% - Accent5 3 2 2 2 2 2 2" xfId="40193"/>
    <cellStyle name="40% - Accent5 3 2 2 2 2 3" xfId="40194"/>
    <cellStyle name="40% - Accent5 3 2 2 2 3" xfId="40195"/>
    <cellStyle name="40% - Accent5 3 2 2 2 3 2" xfId="40196"/>
    <cellStyle name="40% - Accent5 3 2 2 2 4" xfId="40197"/>
    <cellStyle name="40% - Accent5 3 2 2 3" xfId="40198"/>
    <cellStyle name="40% - Accent5 3 2 2 3 2" xfId="40199"/>
    <cellStyle name="40% - Accent5 3 2 2 3 2 2" xfId="40200"/>
    <cellStyle name="40% - Accent5 3 2 2 3 3" xfId="40201"/>
    <cellStyle name="40% - Accent5 3 2 2 4" xfId="40202"/>
    <cellStyle name="40% - Accent5 3 2 2 4 2" xfId="40203"/>
    <cellStyle name="40% - Accent5 3 2 2 5" xfId="40204"/>
    <cellStyle name="40% - Accent5 3 2 3" xfId="40205"/>
    <cellStyle name="40% - Accent5 3 2 3 2" xfId="40206"/>
    <cellStyle name="40% - Accent5 3 2 3 2 2" xfId="40207"/>
    <cellStyle name="40% - Accent5 3 2 3 2 2 2" xfId="40208"/>
    <cellStyle name="40% - Accent5 3 2 3 2 2 2 2" xfId="40209"/>
    <cellStyle name="40% - Accent5 3 2 3 2 2 3" xfId="40210"/>
    <cellStyle name="40% - Accent5 3 2 3 2 3" xfId="40211"/>
    <cellStyle name="40% - Accent5 3 2 3 2 3 2" xfId="40212"/>
    <cellStyle name="40% - Accent5 3 2 3 2 4" xfId="40213"/>
    <cellStyle name="40% - Accent5 3 2 3 3" xfId="40214"/>
    <cellStyle name="40% - Accent5 3 2 3 3 2" xfId="40215"/>
    <cellStyle name="40% - Accent5 3 2 3 3 2 2" xfId="40216"/>
    <cellStyle name="40% - Accent5 3 2 3 3 3" xfId="40217"/>
    <cellStyle name="40% - Accent5 3 2 3 4" xfId="40218"/>
    <cellStyle name="40% - Accent5 3 2 3 4 2" xfId="40219"/>
    <cellStyle name="40% - Accent5 3 2 3 5" xfId="40220"/>
    <cellStyle name="40% - Accent5 3 2 4" xfId="40221"/>
    <cellStyle name="40% - Accent5 3 2 4 2" xfId="40222"/>
    <cellStyle name="40% - Accent5 3 2 4 2 2" xfId="40223"/>
    <cellStyle name="40% - Accent5 3 2 4 2 2 2" xfId="40224"/>
    <cellStyle name="40% - Accent5 3 2 4 2 2 2 2" xfId="40225"/>
    <cellStyle name="40% - Accent5 3 2 4 2 2 3" xfId="40226"/>
    <cellStyle name="40% - Accent5 3 2 4 2 3" xfId="40227"/>
    <cellStyle name="40% - Accent5 3 2 4 2 3 2" xfId="40228"/>
    <cellStyle name="40% - Accent5 3 2 4 2 4" xfId="40229"/>
    <cellStyle name="40% - Accent5 3 2 4 3" xfId="40230"/>
    <cellStyle name="40% - Accent5 3 2 4 3 2" xfId="40231"/>
    <cellStyle name="40% - Accent5 3 2 4 3 2 2" xfId="40232"/>
    <cellStyle name="40% - Accent5 3 2 4 3 3" xfId="40233"/>
    <cellStyle name="40% - Accent5 3 2 4 4" xfId="40234"/>
    <cellStyle name="40% - Accent5 3 2 4 4 2" xfId="40235"/>
    <cellStyle name="40% - Accent5 3 2 4 5" xfId="40236"/>
    <cellStyle name="40% - Accent5 3 2 5" xfId="40237"/>
    <cellStyle name="40% - Accent5 3 2 5 2" xfId="40238"/>
    <cellStyle name="40% - Accent5 3 2 5 2 2" xfId="40239"/>
    <cellStyle name="40% - Accent5 3 2 5 2 2 2" xfId="40240"/>
    <cellStyle name="40% - Accent5 3 2 5 2 2 2 2" xfId="40241"/>
    <cellStyle name="40% - Accent5 3 2 5 2 2 3" xfId="40242"/>
    <cellStyle name="40% - Accent5 3 2 5 2 3" xfId="40243"/>
    <cellStyle name="40% - Accent5 3 2 5 2 3 2" xfId="40244"/>
    <cellStyle name="40% - Accent5 3 2 5 2 4" xfId="40245"/>
    <cellStyle name="40% - Accent5 3 2 5 3" xfId="40246"/>
    <cellStyle name="40% - Accent5 3 2 5 3 2" xfId="40247"/>
    <cellStyle name="40% - Accent5 3 2 5 3 2 2" xfId="40248"/>
    <cellStyle name="40% - Accent5 3 2 5 3 3" xfId="40249"/>
    <cellStyle name="40% - Accent5 3 2 5 4" xfId="40250"/>
    <cellStyle name="40% - Accent5 3 2 5 4 2" xfId="40251"/>
    <cellStyle name="40% - Accent5 3 2 5 5" xfId="40252"/>
    <cellStyle name="40% - Accent5 3 2 6" xfId="40253"/>
    <cellStyle name="40% - Accent5 3 2 6 2" xfId="40254"/>
    <cellStyle name="40% - Accent5 3 2 6 2 2" xfId="40255"/>
    <cellStyle name="40% - Accent5 3 2 6 2 2 2" xfId="40256"/>
    <cellStyle name="40% - Accent5 3 2 6 2 2 2 2" xfId="40257"/>
    <cellStyle name="40% - Accent5 3 2 6 2 2 3" xfId="40258"/>
    <cellStyle name="40% - Accent5 3 2 6 2 3" xfId="40259"/>
    <cellStyle name="40% - Accent5 3 2 6 2 3 2" xfId="40260"/>
    <cellStyle name="40% - Accent5 3 2 6 2 4" xfId="40261"/>
    <cellStyle name="40% - Accent5 3 2 6 3" xfId="40262"/>
    <cellStyle name="40% - Accent5 3 2 6 3 2" xfId="40263"/>
    <cellStyle name="40% - Accent5 3 2 6 3 2 2" xfId="40264"/>
    <cellStyle name="40% - Accent5 3 2 6 3 3" xfId="40265"/>
    <cellStyle name="40% - Accent5 3 2 6 4" xfId="40266"/>
    <cellStyle name="40% - Accent5 3 2 6 4 2" xfId="40267"/>
    <cellStyle name="40% - Accent5 3 2 6 5" xfId="40268"/>
    <cellStyle name="40% - Accent5 3 2 7" xfId="40269"/>
    <cellStyle name="40% - Accent5 3 2 7 2" xfId="40270"/>
    <cellStyle name="40% - Accent5 3 2 7 2 2" xfId="40271"/>
    <cellStyle name="40% - Accent5 3 2 7 2 2 2" xfId="40272"/>
    <cellStyle name="40% - Accent5 3 2 7 2 3" xfId="40273"/>
    <cellStyle name="40% - Accent5 3 2 7 3" xfId="40274"/>
    <cellStyle name="40% - Accent5 3 2 7 3 2" xfId="40275"/>
    <cellStyle name="40% - Accent5 3 2 7 4" xfId="40276"/>
    <cellStyle name="40% - Accent5 3 2 8" xfId="40277"/>
    <cellStyle name="40% - Accent5 3 2 8 2" xfId="40278"/>
    <cellStyle name="40% - Accent5 3 2 8 2 2" xfId="40279"/>
    <cellStyle name="40% - Accent5 3 2 8 3" xfId="40280"/>
    <cellStyle name="40% - Accent5 3 2 9" xfId="40281"/>
    <cellStyle name="40% - Accent5 3 2 9 2" xfId="40282"/>
    <cellStyle name="40% - Accent5 3 3" xfId="40283"/>
    <cellStyle name="40% - Accent5 3 3 2" xfId="40284"/>
    <cellStyle name="40% - Accent5 3 3 2 2" xfId="40285"/>
    <cellStyle name="40% - Accent5 3 3 2 2 2" xfId="40286"/>
    <cellStyle name="40% - Accent5 3 3 2 2 2 2" xfId="40287"/>
    <cellStyle name="40% - Accent5 3 3 2 2 3" xfId="40288"/>
    <cellStyle name="40% - Accent5 3 3 2 3" xfId="40289"/>
    <cellStyle name="40% - Accent5 3 3 2 3 2" xfId="40290"/>
    <cellStyle name="40% - Accent5 3 3 2 4" xfId="40291"/>
    <cellStyle name="40% - Accent5 3 3 3" xfId="40292"/>
    <cellStyle name="40% - Accent5 3 3 3 2" xfId="40293"/>
    <cellStyle name="40% - Accent5 3 3 3 2 2" xfId="40294"/>
    <cellStyle name="40% - Accent5 3 3 3 3" xfId="40295"/>
    <cellStyle name="40% - Accent5 3 3 4" xfId="40296"/>
    <cellStyle name="40% - Accent5 3 3 4 2" xfId="40297"/>
    <cellStyle name="40% - Accent5 3 3 5" xfId="40298"/>
    <cellStyle name="40% - Accent5 3 4" xfId="40299"/>
    <cellStyle name="40% - Accent5 3 4 2" xfId="40300"/>
    <cellStyle name="40% - Accent5 3 4 2 2" xfId="40301"/>
    <cellStyle name="40% - Accent5 3 4 2 2 2" xfId="40302"/>
    <cellStyle name="40% - Accent5 3 4 2 2 2 2" xfId="40303"/>
    <cellStyle name="40% - Accent5 3 4 2 2 3" xfId="40304"/>
    <cellStyle name="40% - Accent5 3 4 2 3" xfId="40305"/>
    <cellStyle name="40% - Accent5 3 4 2 3 2" xfId="40306"/>
    <cellStyle name="40% - Accent5 3 4 2 4" xfId="40307"/>
    <cellStyle name="40% - Accent5 3 4 3" xfId="40308"/>
    <cellStyle name="40% - Accent5 3 4 3 2" xfId="40309"/>
    <cellStyle name="40% - Accent5 3 4 3 2 2" xfId="40310"/>
    <cellStyle name="40% - Accent5 3 4 3 3" xfId="40311"/>
    <cellStyle name="40% - Accent5 3 4 4" xfId="40312"/>
    <cellStyle name="40% - Accent5 3 4 4 2" xfId="40313"/>
    <cellStyle name="40% - Accent5 3 4 5" xfId="40314"/>
    <cellStyle name="40% - Accent5 3 5" xfId="40315"/>
    <cellStyle name="40% - Accent5 3 5 2" xfId="40316"/>
    <cellStyle name="40% - Accent5 3 5 2 2" xfId="40317"/>
    <cellStyle name="40% - Accent5 3 5 2 2 2" xfId="40318"/>
    <cellStyle name="40% - Accent5 3 5 2 2 2 2" xfId="40319"/>
    <cellStyle name="40% - Accent5 3 5 2 2 3" xfId="40320"/>
    <cellStyle name="40% - Accent5 3 5 2 3" xfId="40321"/>
    <cellStyle name="40% - Accent5 3 5 2 3 2" xfId="40322"/>
    <cellStyle name="40% - Accent5 3 5 2 4" xfId="40323"/>
    <cellStyle name="40% - Accent5 3 5 3" xfId="40324"/>
    <cellStyle name="40% - Accent5 3 5 3 2" xfId="40325"/>
    <cellStyle name="40% - Accent5 3 5 3 2 2" xfId="40326"/>
    <cellStyle name="40% - Accent5 3 5 3 3" xfId="40327"/>
    <cellStyle name="40% - Accent5 3 5 4" xfId="40328"/>
    <cellStyle name="40% - Accent5 3 5 4 2" xfId="40329"/>
    <cellStyle name="40% - Accent5 3 5 5" xfId="40330"/>
    <cellStyle name="40% - Accent5 3 6" xfId="40331"/>
    <cellStyle name="40% - Accent5 3 6 2" xfId="40332"/>
    <cellStyle name="40% - Accent5 3 6 2 2" xfId="40333"/>
    <cellStyle name="40% - Accent5 3 6 2 2 2" xfId="40334"/>
    <cellStyle name="40% - Accent5 3 6 2 2 2 2" xfId="40335"/>
    <cellStyle name="40% - Accent5 3 6 2 2 3" xfId="40336"/>
    <cellStyle name="40% - Accent5 3 6 2 3" xfId="40337"/>
    <cellStyle name="40% - Accent5 3 6 2 3 2" xfId="40338"/>
    <cellStyle name="40% - Accent5 3 6 2 4" xfId="40339"/>
    <cellStyle name="40% - Accent5 3 6 3" xfId="40340"/>
    <cellStyle name="40% - Accent5 3 6 3 2" xfId="40341"/>
    <cellStyle name="40% - Accent5 3 6 3 2 2" xfId="40342"/>
    <cellStyle name="40% - Accent5 3 6 3 3" xfId="40343"/>
    <cellStyle name="40% - Accent5 3 6 4" xfId="40344"/>
    <cellStyle name="40% - Accent5 3 6 4 2" xfId="40345"/>
    <cellStyle name="40% - Accent5 3 6 5" xfId="40346"/>
    <cellStyle name="40% - Accent5 3 7" xfId="40347"/>
    <cellStyle name="40% - Accent5 3 7 2" xfId="40348"/>
    <cellStyle name="40% - Accent5 3 7 2 2" xfId="40349"/>
    <cellStyle name="40% - Accent5 3 7 2 2 2" xfId="40350"/>
    <cellStyle name="40% - Accent5 3 7 2 2 2 2" xfId="40351"/>
    <cellStyle name="40% - Accent5 3 7 2 2 3" xfId="40352"/>
    <cellStyle name="40% - Accent5 3 7 2 3" xfId="40353"/>
    <cellStyle name="40% - Accent5 3 7 2 3 2" xfId="40354"/>
    <cellStyle name="40% - Accent5 3 7 2 4" xfId="40355"/>
    <cellStyle name="40% - Accent5 3 7 3" xfId="40356"/>
    <cellStyle name="40% - Accent5 3 7 3 2" xfId="40357"/>
    <cellStyle name="40% - Accent5 3 7 3 2 2" xfId="40358"/>
    <cellStyle name="40% - Accent5 3 7 3 3" xfId="40359"/>
    <cellStyle name="40% - Accent5 3 7 4" xfId="40360"/>
    <cellStyle name="40% - Accent5 3 7 4 2" xfId="40361"/>
    <cellStyle name="40% - Accent5 3 7 5" xfId="40362"/>
    <cellStyle name="40% - Accent5 3 8" xfId="40363"/>
    <cellStyle name="40% - Accent5 3 8 2" xfId="40364"/>
    <cellStyle name="40% - Accent5 3 8 2 2" xfId="40365"/>
    <cellStyle name="40% - Accent5 3 8 2 2 2" xfId="40366"/>
    <cellStyle name="40% - Accent5 3 8 2 3" xfId="40367"/>
    <cellStyle name="40% - Accent5 3 8 3" xfId="40368"/>
    <cellStyle name="40% - Accent5 3 8 3 2" xfId="40369"/>
    <cellStyle name="40% - Accent5 3 8 4" xfId="40370"/>
    <cellStyle name="40% - Accent5 3 9" xfId="40371"/>
    <cellStyle name="40% - Accent5 3 9 2" xfId="40372"/>
    <cellStyle name="40% - Accent5 3 9 2 2" xfId="40373"/>
    <cellStyle name="40% - Accent5 3 9 3" xfId="40374"/>
    <cellStyle name="40% - Accent5 4" xfId="40375"/>
    <cellStyle name="40% - Accent5 4 10" xfId="40376"/>
    <cellStyle name="40% - Accent5 4 10 2" xfId="40377"/>
    <cellStyle name="40% - Accent5 4 11" xfId="40378"/>
    <cellStyle name="40% - Accent5 4 2" xfId="40379"/>
    <cellStyle name="40% - Accent5 4 2 10" xfId="40380"/>
    <cellStyle name="40% - Accent5 4 2 2" xfId="40381"/>
    <cellStyle name="40% - Accent5 4 2 2 2" xfId="40382"/>
    <cellStyle name="40% - Accent5 4 2 2 2 2" xfId="40383"/>
    <cellStyle name="40% - Accent5 4 2 2 2 2 2" xfId="40384"/>
    <cellStyle name="40% - Accent5 4 2 2 2 2 2 2" xfId="40385"/>
    <cellStyle name="40% - Accent5 4 2 2 2 2 3" xfId="40386"/>
    <cellStyle name="40% - Accent5 4 2 2 2 3" xfId="40387"/>
    <cellStyle name="40% - Accent5 4 2 2 2 3 2" xfId="40388"/>
    <cellStyle name="40% - Accent5 4 2 2 2 4" xfId="40389"/>
    <cellStyle name="40% - Accent5 4 2 2 3" xfId="40390"/>
    <cellStyle name="40% - Accent5 4 2 2 3 2" xfId="40391"/>
    <cellStyle name="40% - Accent5 4 2 2 3 2 2" xfId="40392"/>
    <cellStyle name="40% - Accent5 4 2 2 3 3" xfId="40393"/>
    <cellStyle name="40% - Accent5 4 2 2 4" xfId="40394"/>
    <cellStyle name="40% - Accent5 4 2 2 4 2" xfId="40395"/>
    <cellStyle name="40% - Accent5 4 2 2 5" xfId="40396"/>
    <cellStyle name="40% - Accent5 4 2 3" xfId="40397"/>
    <cellStyle name="40% - Accent5 4 2 3 2" xfId="40398"/>
    <cellStyle name="40% - Accent5 4 2 3 2 2" xfId="40399"/>
    <cellStyle name="40% - Accent5 4 2 3 2 2 2" xfId="40400"/>
    <cellStyle name="40% - Accent5 4 2 3 2 2 2 2" xfId="40401"/>
    <cellStyle name="40% - Accent5 4 2 3 2 2 3" xfId="40402"/>
    <cellStyle name="40% - Accent5 4 2 3 2 3" xfId="40403"/>
    <cellStyle name="40% - Accent5 4 2 3 2 3 2" xfId="40404"/>
    <cellStyle name="40% - Accent5 4 2 3 2 4" xfId="40405"/>
    <cellStyle name="40% - Accent5 4 2 3 3" xfId="40406"/>
    <cellStyle name="40% - Accent5 4 2 3 3 2" xfId="40407"/>
    <cellStyle name="40% - Accent5 4 2 3 3 2 2" xfId="40408"/>
    <cellStyle name="40% - Accent5 4 2 3 3 3" xfId="40409"/>
    <cellStyle name="40% - Accent5 4 2 3 4" xfId="40410"/>
    <cellStyle name="40% - Accent5 4 2 3 4 2" xfId="40411"/>
    <cellStyle name="40% - Accent5 4 2 3 5" xfId="40412"/>
    <cellStyle name="40% - Accent5 4 2 4" xfId="40413"/>
    <cellStyle name="40% - Accent5 4 2 4 2" xfId="40414"/>
    <cellStyle name="40% - Accent5 4 2 4 2 2" xfId="40415"/>
    <cellStyle name="40% - Accent5 4 2 4 2 2 2" xfId="40416"/>
    <cellStyle name="40% - Accent5 4 2 4 2 2 2 2" xfId="40417"/>
    <cellStyle name="40% - Accent5 4 2 4 2 2 3" xfId="40418"/>
    <cellStyle name="40% - Accent5 4 2 4 2 3" xfId="40419"/>
    <cellStyle name="40% - Accent5 4 2 4 2 3 2" xfId="40420"/>
    <cellStyle name="40% - Accent5 4 2 4 2 4" xfId="40421"/>
    <cellStyle name="40% - Accent5 4 2 4 3" xfId="40422"/>
    <cellStyle name="40% - Accent5 4 2 4 3 2" xfId="40423"/>
    <cellStyle name="40% - Accent5 4 2 4 3 2 2" xfId="40424"/>
    <cellStyle name="40% - Accent5 4 2 4 3 3" xfId="40425"/>
    <cellStyle name="40% - Accent5 4 2 4 4" xfId="40426"/>
    <cellStyle name="40% - Accent5 4 2 4 4 2" xfId="40427"/>
    <cellStyle name="40% - Accent5 4 2 4 5" xfId="40428"/>
    <cellStyle name="40% - Accent5 4 2 5" xfId="40429"/>
    <cellStyle name="40% - Accent5 4 2 5 2" xfId="40430"/>
    <cellStyle name="40% - Accent5 4 2 5 2 2" xfId="40431"/>
    <cellStyle name="40% - Accent5 4 2 5 2 2 2" xfId="40432"/>
    <cellStyle name="40% - Accent5 4 2 5 2 2 2 2" xfId="40433"/>
    <cellStyle name="40% - Accent5 4 2 5 2 2 3" xfId="40434"/>
    <cellStyle name="40% - Accent5 4 2 5 2 3" xfId="40435"/>
    <cellStyle name="40% - Accent5 4 2 5 2 3 2" xfId="40436"/>
    <cellStyle name="40% - Accent5 4 2 5 2 4" xfId="40437"/>
    <cellStyle name="40% - Accent5 4 2 5 3" xfId="40438"/>
    <cellStyle name="40% - Accent5 4 2 5 3 2" xfId="40439"/>
    <cellStyle name="40% - Accent5 4 2 5 3 2 2" xfId="40440"/>
    <cellStyle name="40% - Accent5 4 2 5 3 3" xfId="40441"/>
    <cellStyle name="40% - Accent5 4 2 5 4" xfId="40442"/>
    <cellStyle name="40% - Accent5 4 2 5 4 2" xfId="40443"/>
    <cellStyle name="40% - Accent5 4 2 5 5" xfId="40444"/>
    <cellStyle name="40% - Accent5 4 2 6" xfId="40445"/>
    <cellStyle name="40% - Accent5 4 2 6 2" xfId="40446"/>
    <cellStyle name="40% - Accent5 4 2 6 2 2" xfId="40447"/>
    <cellStyle name="40% - Accent5 4 2 6 2 2 2" xfId="40448"/>
    <cellStyle name="40% - Accent5 4 2 6 2 2 2 2" xfId="40449"/>
    <cellStyle name="40% - Accent5 4 2 6 2 2 3" xfId="40450"/>
    <cellStyle name="40% - Accent5 4 2 6 2 3" xfId="40451"/>
    <cellStyle name="40% - Accent5 4 2 6 2 3 2" xfId="40452"/>
    <cellStyle name="40% - Accent5 4 2 6 2 4" xfId="40453"/>
    <cellStyle name="40% - Accent5 4 2 6 3" xfId="40454"/>
    <cellStyle name="40% - Accent5 4 2 6 3 2" xfId="40455"/>
    <cellStyle name="40% - Accent5 4 2 6 3 2 2" xfId="40456"/>
    <cellStyle name="40% - Accent5 4 2 6 3 3" xfId="40457"/>
    <cellStyle name="40% - Accent5 4 2 6 4" xfId="40458"/>
    <cellStyle name="40% - Accent5 4 2 6 4 2" xfId="40459"/>
    <cellStyle name="40% - Accent5 4 2 6 5" xfId="40460"/>
    <cellStyle name="40% - Accent5 4 2 7" xfId="40461"/>
    <cellStyle name="40% - Accent5 4 2 7 2" xfId="40462"/>
    <cellStyle name="40% - Accent5 4 2 7 2 2" xfId="40463"/>
    <cellStyle name="40% - Accent5 4 2 7 2 2 2" xfId="40464"/>
    <cellStyle name="40% - Accent5 4 2 7 2 3" xfId="40465"/>
    <cellStyle name="40% - Accent5 4 2 7 3" xfId="40466"/>
    <cellStyle name="40% - Accent5 4 2 7 3 2" xfId="40467"/>
    <cellStyle name="40% - Accent5 4 2 7 4" xfId="40468"/>
    <cellStyle name="40% - Accent5 4 2 8" xfId="40469"/>
    <cellStyle name="40% - Accent5 4 2 8 2" xfId="40470"/>
    <cellStyle name="40% - Accent5 4 2 8 2 2" xfId="40471"/>
    <cellStyle name="40% - Accent5 4 2 8 3" xfId="40472"/>
    <cellStyle name="40% - Accent5 4 2 9" xfId="40473"/>
    <cellStyle name="40% - Accent5 4 2 9 2" xfId="40474"/>
    <cellStyle name="40% - Accent5 4 3" xfId="40475"/>
    <cellStyle name="40% - Accent5 4 3 2" xfId="40476"/>
    <cellStyle name="40% - Accent5 4 3 2 2" xfId="40477"/>
    <cellStyle name="40% - Accent5 4 3 2 2 2" xfId="40478"/>
    <cellStyle name="40% - Accent5 4 3 2 2 2 2" xfId="40479"/>
    <cellStyle name="40% - Accent5 4 3 2 2 3" xfId="40480"/>
    <cellStyle name="40% - Accent5 4 3 2 3" xfId="40481"/>
    <cellStyle name="40% - Accent5 4 3 2 3 2" xfId="40482"/>
    <cellStyle name="40% - Accent5 4 3 2 4" xfId="40483"/>
    <cellStyle name="40% - Accent5 4 3 3" xfId="40484"/>
    <cellStyle name="40% - Accent5 4 3 3 2" xfId="40485"/>
    <cellStyle name="40% - Accent5 4 3 3 2 2" xfId="40486"/>
    <cellStyle name="40% - Accent5 4 3 3 3" xfId="40487"/>
    <cellStyle name="40% - Accent5 4 3 4" xfId="40488"/>
    <cellStyle name="40% - Accent5 4 3 4 2" xfId="40489"/>
    <cellStyle name="40% - Accent5 4 3 5" xfId="40490"/>
    <cellStyle name="40% - Accent5 4 4" xfId="40491"/>
    <cellStyle name="40% - Accent5 4 4 2" xfId="40492"/>
    <cellStyle name="40% - Accent5 4 4 2 2" xfId="40493"/>
    <cellStyle name="40% - Accent5 4 4 2 2 2" xfId="40494"/>
    <cellStyle name="40% - Accent5 4 4 2 2 2 2" xfId="40495"/>
    <cellStyle name="40% - Accent5 4 4 2 2 3" xfId="40496"/>
    <cellStyle name="40% - Accent5 4 4 2 3" xfId="40497"/>
    <cellStyle name="40% - Accent5 4 4 2 3 2" xfId="40498"/>
    <cellStyle name="40% - Accent5 4 4 2 4" xfId="40499"/>
    <cellStyle name="40% - Accent5 4 4 3" xfId="40500"/>
    <cellStyle name="40% - Accent5 4 4 3 2" xfId="40501"/>
    <cellStyle name="40% - Accent5 4 4 3 2 2" xfId="40502"/>
    <cellStyle name="40% - Accent5 4 4 3 3" xfId="40503"/>
    <cellStyle name="40% - Accent5 4 4 4" xfId="40504"/>
    <cellStyle name="40% - Accent5 4 4 4 2" xfId="40505"/>
    <cellStyle name="40% - Accent5 4 4 5" xfId="40506"/>
    <cellStyle name="40% - Accent5 4 5" xfId="40507"/>
    <cellStyle name="40% - Accent5 4 5 2" xfId="40508"/>
    <cellStyle name="40% - Accent5 4 5 2 2" xfId="40509"/>
    <cellStyle name="40% - Accent5 4 5 2 2 2" xfId="40510"/>
    <cellStyle name="40% - Accent5 4 5 2 2 2 2" xfId="40511"/>
    <cellStyle name="40% - Accent5 4 5 2 2 3" xfId="40512"/>
    <cellStyle name="40% - Accent5 4 5 2 3" xfId="40513"/>
    <cellStyle name="40% - Accent5 4 5 2 3 2" xfId="40514"/>
    <cellStyle name="40% - Accent5 4 5 2 4" xfId="40515"/>
    <cellStyle name="40% - Accent5 4 5 3" xfId="40516"/>
    <cellStyle name="40% - Accent5 4 5 3 2" xfId="40517"/>
    <cellStyle name="40% - Accent5 4 5 3 2 2" xfId="40518"/>
    <cellStyle name="40% - Accent5 4 5 3 3" xfId="40519"/>
    <cellStyle name="40% - Accent5 4 5 4" xfId="40520"/>
    <cellStyle name="40% - Accent5 4 5 4 2" xfId="40521"/>
    <cellStyle name="40% - Accent5 4 5 5" xfId="40522"/>
    <cellStyle name="40% - Accent5 4 6" xfId="40523"/>
    <cellStyle name="40% - Accent5 4 6 2" xfId="40524"/>
    <cellStyle name="40% - Accent5 4 6 2 2" xfId="40525"/>
    <cellStyle name="40% - Accent5 4 6 2 2 2" xfId="40526"/>
    <cellStyle name="40% - Accent5 4 6 2 2 2 2" xfId="40527"/>
    <cellStyle name="40% - Accent5 4 6 2 2 3" xfId="40528"/>
    <cellStyle name="40% - Accent5 4 6 2 3" xfId="40529"/>
    <cellStyle name="40% - Accent5 4 6 2 3 2" xfId="40530"/>
    <cellStyle name="40% - Accent5 4 6 2 4" xfId="40531"/>
    <cellStyle name="40% - Accent5 4 6 3" xfId="40532"/>
    <cellStyle name="40% - Accent5 4 6 3 2" xfId="40533"/>
    <cellStyle name="40% - Accent5 4 6 3 2 2" xfId="40534"/>
    <cellStyle name="40% - Accent5 4 6 3 3" xfId="40535"/>
    <cellStyle name="40% - Accent5 4 6 4" xfId="40536"/>
    <cellStyle name="40% - Accent5 4 6 4 2" xfId="40537"/>
    <cellStyle name="40% - Accent5 4 6 5" xfId="40538"/>
    <cellStyle name="40% - Accent5 4 7" xfId="40539"/>
    <cellStyle name="40% - Accent5 4 7 2" xfId="40540"/>
    <cellStyle name="40% - Accent5 4 7 2 2" xfId="40541"/>
    <cellStyle name="40% - Accent5 4 7 2 2 2" xfId="40542"/>
    <cellStyle name="40% - Accent5 4 7 2 2 2 2" xfId="40543"/>
    <cellStyle name="40% - Accent5 4 7 2 2 3" xfId="40544"/>
    <cellStyle name="40% - Accent5 4 7 2 3" xfId="40545"/>
    <cellStyle name="40% - Accent5 4 7 2 3 2" xfId="40546"/>
    <cellStyle name="40% - Accent5 4 7 2 4" xfId="40547"/>
    <cellStyle name="40% - Accent5 4 7 3" xfId="40548"/>
    <cellStyle name="40% - Accent5 4 7 3 2" xfId="40549"/>
    <cellStyle name="40% - Accent5 4 7 3 2 2" xfId="40550"/>
    <cellStyle name="40% - Accent5 4 7 3 3" xfId="40551"/>
    <cellStyle name="40% - Accent5 4 7 4" xfId="40552"/>
    <cellStyle name="40% - Accent5 4 7 4 2" xfId="40553"/>
    <cellStyle name="40% - Accent5 4 7 5" xfId="40554"/>
    <cellStyle name="40% - Accent5 4 8" xfId="40555"/>
    <cellStyle name="40% - Accent5 4 8 2" xfId="40556"/>
    <cellStyle name="40% - Accent5 4 8 2 2" xfId="40557"/>
    <cellStyle name="40% - Accent5 4 8 2 2 2" xfId="40558"/>
    <cellStyle name="40% - Accent5 4 8 2 3" xfId="40559"/>
    <cellStyle name="40% - Accent5 4 8 3" xfId="40560"/>
    <cellStyle name="40% - Accent5 4 8 3 2" xfId="40561"/>
    <cellStyle name="40% - Accent5 4 8 4" xfId="40562"/>
    <cellStyle name="40% - Accent5 4 9" xfId="40563"/>
    <cellStyle name="40% - Accent5 4 9 2" xfId="40564"/>
    <cellStyle name="40% - Accent5 4 9 2 2" xfId="40565"/>
    <cellStyle name="40% - Accent5 4 9 3" xfId="40566"/>
    <cellStyle name="40% - Accent5 5" xfId="40567"/>
    <cellStyle name="40% - Accent5 5 10" xfId="40568"/>
    <cellStyle name="40% - Accent5 5 10 2" xfId="40569"/>
    <cellStyle name="40% - Accent5 5 11" xfId="40570"/>
    <cellStyle name="40% - Accent5 5 2" xfId="40571"/>
    <cellStyle name="40% - Accent5 5 2 10" xfId="40572"/>
    <cellStyle name="40% - Accent5 5 2 2" xfId="40573"/>
    <cellStyle name="40% - Accent5 5 2 2 2" xfId="40574"/>
    <cellStyle name="40% - Accent5 5 2 2 2 2" xfId="40575"/>
    <cellStyle name="40% - Accent5 5 2 2 2 2 2" xfId="40576"/>
    <cellStyle name="40% - Accent5 5 2 2 2 2 2 2" xfId="40577"/>
    <cellStyle name="40% - Accent5 5 2 2 2 2 3" xfId="40578"/>
    <cellStyle name="40% - Accent5 5 2 2 2 3" xfId="40579"/>
    <cellStyle name="40% - Accent5 5 2 2 2 3 2" xfId="40580"/>
    <cellStyle name="40% - Accent5 5 2 2 2 4" xfId="40581"/>
    <cellStyle name="40% - Accent5 5 2 2 3" xfId="40582"/>
    <cellStyle name="40% - Accent5 5 2 2 3 2" xfId="40583"/>
    <cellStyle name="40% - Accent5 5 2 2 3 2 2" xfId="40584"/>
    <cellStyle name="40% - Accent5 5 2 2 3 3" xfId="40585"/>
    <cellStyle name="40% - Accent5 5 2 2 4" xfId="40586"/>
    <cellStyle name="40% - Accent5 5 2 2 4 2" xfId="40587"/>
    <cellStyle name="40% - Accent5 5 2 2 5" xfId="40588"/>
    <cellStyle name="40% - Accent5 5 2 3" xfId="40589"/>
    <cellStyle name="40% - Accent5 5 2 3 2" xfId="40590"/>
    <cellStyle name="40% - Accent5 5 2 3 2 2" xfId="40591"/>
    <cellStyle name="40% - Accent5 5 2 3 2 2 2" xfId="40592"/>
    <cellStyle name="40% - Accent5 5 2 3 2 2 2 2" xfId="40593"/>
    <cellStyle name="40% - Accent5 5 2 3 2 2 3" xfId="40594"/>
    <cellStyle name="40% - Accent5 5 2 3 2 3" xfId="40595"/>
    <cellStyle name="40% - Accent5 5 2 3 2 3 2" xfId="40596"/>
    <cellStyle name="40% - Accent5 5 2 3 2 4" xfId="40597"/>
    <cellStyle name="40% - Accent5 5 2 3 3" xfId="40598"/>
    <cellStyle name="40% - Accent5 5 2 3 3 2" xfId="40599"/>
    <cellStyle name="40% - Accent5 5 2 3 3 2 2" xfId="40600"/>
    <cellStyle name="40% - Accent5 5 2 3 3 3" xfId="40601"/>
    <cellStyle name="40% - Accent5 5 2 3 4" xfId="40602"/>
    <cellStyle name="40% - Accent5 5 2 3 4 2" xfId="40603"/>
    <cellStyle name="40% - Accent5 5 2 3 5" xfId="40604"/>
    <cellStyle name="40% - Accent5 5 2 4" xfId="40605"/>
    <cellStyle name="40% - Accent5 5 2 4 2" xfId="40606"/>
    <cellStyle name="40% - Accent5 5 2 4 2 2" xfId="40607"/>
    <cellStyle name="40% - Accent5 5 2 4 2 2 2" xfId="40608"/>
    <cellStyle name="40% - Accent5 5 2 4 2 2 2 2" xfId="40609"/>
    <cellStyle name="40% - Accent5 5 2 4 2 2 3" xfId="40610"/>
    <cellStyle name="40% - Accent5 5 2 4 2 3" xfId="40611"/>
    <cellStyle name="40% - Accent5 5 2 4 2 3 2" xfId="40612"/>
    <cellStyle name="40% - Accent5 5 2 4 2 4" xfId="40613"/>
    <cellStyle name="40% - Accent5 5 2 4 3" xfId="40614"/>
    <cellStyle name="40% - Accent5 5 2 4 3 2" xfId="40615"/>
    <cellStyle name="40% - Accent5 5 2 4 3 2 2" xfId="40616"/>
    <cellStyle name="40% - Accent5 5 2 4 3 3" xfId="40617"/>
    <cellStyle name="40% - Accent5 5 2 4 4" xfId="40618"/>
    <cellStyle name="40% - Accent5 5 2 4 4 2" xfId="40619"/>
    <cellStyle name="40% - Accent5 5 2 4 5" xfId="40620"/>
    <cellStyle name="40% - Accent5 5 2 5" xfId="40621"/>
    <cellStyle name="40% - Accent5 5 2 5 2" xfId="40622"/>
    <cellStyle name="40% - Accent5 5 2 5 2 2" xfId="40623"/>
    <cellStyle name="40% - Accent5 5 2 5 2 2 2" xfId="40624"/>
    <cellStyle name="40% - Accent5 5 2 5 2 2 2 2" xfId="40625"/>
    <cellStyle name="40% - Accent5 5 2 5 2 2 3" xfId="40626"/>
    <cellStyle name="40% - Accent5 5 2 5 2 3" xfId="40627"/>
    <cellStyle name="40% - Accent5 5 2 5 2 3 2" xfId="40628"/>
    <cellStyle name="40% - Accent5 5 2 5 2 4" xfId="40629"/>
    <cellStyle name="40% - Accent5 5 2 5 3" xfId="40630"/>
    <cellStyle name="40% - Accent5 5 2 5 3 2" xfId="40631"/>
    <cellStyle name="40% - Accent5 5 2 5 3 2 2" xfId="40632"/>
    <cellStyle name="40% - Accent5 5 2 5 3 3" xfId="40633"/>
    <cellStyle name="40% - Accent5 5 2 5 4" xfId="40634"/>
    <cellStyle name="40% - Accent5 5 2 5 4 2" xfId="40635"/>
    <cellStyle name="40% - Accent5 5 2 5 5" xfId="40636"/>
    <cellStyle name="40% - Accent5 5 2 6" xfId="40637"/>
    <cellStyle name="40% - Accent5 5 2 6 2" xfId="40638"/>
    <cellStyle name="40% - Accent5 5 2 6 2 2" xfId="40639"/>
    <cellStyle name="40% - Accent5 5 2 6 2 2 2" xfId="40640"/>
    <cellStyle name="40% - Accent5 5 2 6 2 2 2 2" xfId="40641"/>
    <cellStyle name="40% - Accent5 5 2 6 2 2 3" xfId="40642"/>
    <cellStyle name="40% - Accent5 5 2 6 2 3" xfId="40643"/>
    <cellStyle name="40% - Accent5 5 2 6 2 3 2" xfId="40644"/>
    <cellStyle name="40% - Accent5 5 2 6 2 4" xfId="40645"/>
    <cellStyle name="40% - Accent5 5 2 6 3" xfId="40646"/>
    <cellStyle name="40% - Accent5 5 2 6 3 2" xfId="40647"/>
    <cellStyle name="40% - Accent5 5 2 6 3 2 2" xfId="40648"/>
    <cellStyle name="40% - Accent5 5 2 6 3 3" xfId="40649"/>
    <cellStyle name="40% - Accent5 5 2 6 4" xfId="40650"/>
    <cellStyle name="40% - Accent5 5 2 6 4 2" xfId="40651"/>
    <cellStyle name="40% - Accent5 5 2 6 5" xfId="40652"/>
    <cellStyle name="40% - Accent5 5 2 7" xfId="40653"/>
    <cellStyle name="40% - Accent5 5 2 7 2" xfId="40654"/>
    <cellStyle name="40% - Accent5 5 2 7 2 2" xfId="40655"/>
    <cellStyle name="40% - Accent5 5 2 7 2 2 2" xfId="40656"/>
    <cellStyle name="40% - Accent5 5 2 7 2 3" xfId="40657"/>
    <cellStyle name="40% - Accent5 5 2 7 3" xfId="40658"/>
    <cellStyle name="40% - Accent5 5 2 7 3 2" xfId="40659"/>
    <cellStyle name="40% - Accent5 5 2 7 4" xfId="40660"/>
    <cellStyle name="40% - Accent5 5 2 8" xfId="40661"/>
    <cellStyle name="40% - Accent5 5 2 8 2" xfId="40662"/>
    <cellStyle name="40% - Accent5 5 2 8 2 2" xfId="40663"/>
    <cellStyle name="40% - Accent5 5 2 8 3" xfId="40664"/>
    <cellStyle name="40% - Accent5 5 2 9" xfId="40665"/>
    <cellStyle name="40% - Accent5 5 2 9 2" xfId="40666"/>
    <cellStyle name="40% - Accent5 5 3" xfId="40667"/>
    <cellStyle name="40% - Accent5 5 3 2" xfId="40668"/>
    <cellStyle name="40% - Accent5 5 3 2 2" xfId="40669"/>
    <cellStyle name="40% - Accent5 5 3 2 2 2" xfId="40670"/>
    <cellStyle name="40% - Accent5 5 3 2 2 2 2" xfId="40671"/>
    <cellStyle name="40% - Accent5 5 3 2 2 3" xfId="40672"/>
    <cellStyle name="40% - Accent5 5 3 2 3" xfId="40673"/>
    <cellStyle name="40% - Accent5 5 3 2 3 2" xfId="40674"/>
    <cellStyle name="40% - Accent5 5 3 2 4" xfId="40675"/>
    <cellStyle name="40% - Accent5 5 3 3" xfId="40676"/>
    <cellStyle name="40% - Accent5 5 3 3 2" xfId="40677"/>
    <cellStyle name="40% - Accent5 5 3 3 2 2" xfId="40678"/>
    <cellStyle name="40% - Accent5 5 3 3 3" xfId="40679"/>
    <cellStyle name="40% - Accent5 5 3 4" xfId="40680"/>
    <cellStyle name="40% - Accent5 5 3 4 2" xfId="40681"/>
    <cellStyle name="40% - Accent5 5 3 5" xfId="40682"/>
    <cellStyle name="40% - Accent5 5 4" xfId="40683"/>
    <cellStyle name="40% - Accent5 5 4 2" xfId="40684"/>
    <cellStyle name="40% - Accent5 5 4 2 2" xfId="40685"/>
    <cellStyle name="40% - Accent5 5 4 2 2 2" xfId="40686"/>
    <cellStyle name="40% - Accent5 5 4 2 2 2 2" xfId="40687"/>
    <cellStyle name="40% - Accent5 5 4 2 2 3" xfId="40688"/>
    <cellStyle name="40% - Accent5 5 4 2 3" xfId="40689"/>
    <cellStyle name="40% - Accent5 5 4 2 3 2" xfId="40690"/>
    <cellStyle name="40% - Accent5 5 4 2 4" xfId="40691"/>
    <cellStyle name="40% - Accent5 5 4 3" xfId="40692"/>
    <cellStyle name="40% - Accent5 5 4 3 2" xfId="40693"/>
    <cellStyle name="40% - Accent5 5 4 3 2 2" xfId="40694"/>
    <cellStyle name="40% - Accent5 5 4 3 3" xfId="40695"/>
    <cellStyle name="40% - Accent5 5 4 4" xfId="40696"/>
    <cellStyle name="40% - Accent5 5 4 4 2" xfId="40697"/>
    <cellStyle name="40% - Accent5 5 4 5" xfId="40698"/>
    <cellStyle name="40% - Accent5 5 5" xfId="40699"/>
    <cellStyle name="40% - Accent5 5 5 2" xfId="40700"/>
    <cellStyle name="40% - Accent5 5 5 2 2" xfId="40701"/>
    <cellStyle name="40% - Accent5 5 5 2 2 2" xfId="40702"/>
    <cellStyle name="40% - Accent5 5 5 2 2 2 2" xfId="40703"/>
    <cellStyle name="40% - Accent5 5 5 2 2 3" xfId="40704"/>
    <cellStyle name="40% - Accent5 5 5 2 3" xfId="40705"/>
    <cellStyle name="40% - Accent5 5 5 2 3 2" xfId="40706"/>
    <cellStyle name="40% - Accent5 5 5 2 4" xfId="40707"/>
    <cellStyle name="40% - Accent5 5 5 3" xfId="40708"/>
    <cellStyle name="40% - Accent5 5 5 3 2" xfId="40709"/>
    <cellStyle name="40% - Accent5 5 5 3 2 2" xfId="40710"/>
    <cellStyle name="40% - Accent5 5 5 3 3" xfId="40711"/>
    <cellStyle name="40% - Accent5 5 5 4" xfId="40712"/>
    <cellStyle name="40% - Accent5 5 5 4 2" xfId="40713"/>
    <cellStyle name="40% - Accent5 5 5 5" xfId="40714"/>
    <cellStyle name="40% - Accent5 5 6" xfId="40715"/>
    <cellStyle name="40% - Accent5 5 6 2" xfId="40716"/>
    <cellStyle name="40% - Accent5 5 6 2 2" xfId="40717"/>
    <cellStyle name="40% - Accent5 5 6 2 2 2" xfId="40718"/>
    <cellStyle name="40% - Accent5 5 6 2 2 2 2" xfId="40719"/>
    <cellStyle name="40% - Accent5 5 6 2 2 3" xfId="40720"/>
    <cellStyle name="40% - Accent5 5 6 2 3" xfId="40721"/>
    <cellStyle name="40% - Accent5 5 6 2 3 2" xfId="40722"/>
    <cellStyle name="40% - Accent5 5 6 2 4" xfId="40723"/>
    <cellStyle name="40% - Accent5 5 6 3" xfId="40724"/>
    <cellStyle name="40% - Accent5 5 6 3 2" xfId="40725"/>
    <cellStyle name="40% - Accent5 5 6 3 2 2" xfId="40726"/>
    <cellStyle name="40% - Accent5 5 6 3 3" xfId="40727"/>
    <cellStyle name="40% - Accent5 5 6 4" xfId="40728"/>
    <cellStyle name="40% - Accent5 5 6 4 2" xfId="40729"/>
    <cellStyle name="40% - Accent5 5 6 5" xfId="40730"/>
    <cellStyle name="40% - Accent5 5 7" xfId="40731"/>
    <cellStyle name="40% - Accent5 5 7 2" xfId="40732"/>
    <cellStyle name="40% - Accent5 5 7 2 2" xfId="40733"/>
    <cellStyle name="40% - Accent5 5 7 2 2 2" xfId="40734"/>
    <cellStyle name="40% - Accent5 5 7 2 2 2 2" xfId="40735"/>
    <cellStyle name="40% - Accent5 5 7 2 2 3" xfId="40736"/>
    <cellStyle name="40% - Accent5 5 7 2 3" xfId="40737"/>
    <cellStyle name="40% - Accent5 5 7 2 3 2" xfId="40738"/>
    <cellStyle name="40% - Accent5 5 7 2 4" xfId="40739"/>
    <cellStyle name="40% - Accent5 5 7 3" xfId="40740"/>
    <cellStyle name="40% - Accent5 5 7 3 2" xfId="40741"/>
    <cellStyle name="40% - Accent5 5 7 3 2 2" xfId="40742"/>
    <cellStyle name="40% - Accent5 5 7 3 3" xfId="40743"/>
    <cellStyle name="40% - Accent5 5 7 4" xfId="40744"/>
    <cellStyle name="40% - Accent5 5 7 4 2" xfId="40745"/>
    <cellStyle name="40% - Accent5 5 7 5" xfId="40746"/>
    <cellStyle name="40% - Accent5 5 8" xfId="40747"/>
    <cellStyle name="40% - Accent5 5 8 2" xfId="40748"/>
    <cellStyle name="40% - Accent5 5 8 2 2" xfId="40749"/>
    <cellStyle name="40% - Accent5 5 8 2 2 2" xfId="40750"/>
    <cellStyle name="40% - Accent5 5 8 2 3" xfId="40751"/>
    <cellStyle name="40% - Accent5 5 8 3" xfId="40752"/>
    <cellStyle name="40% - Accent5 5 8 3 2" xfId="40753"/>
    <cellStyle name="40% - Accent5 5 8 4" xfId="40754"/>
    <cellStyle name="40% - Accent5 5 9" xfId="40755"/>
    <cellStyle name="40% - Accent5 5 9 2" xfId="40756"/>
    <cellStyle name="40% - Accent5 5 9 2 2" xfId="40757"/>
    <cellStyle name="40% - Accent5 5 9 3" xfId="40758"/>
    <cellStyle name="40% - Accent5 6" xfId="40759"/>
    <cellStyle name="40% - Accent5 6 10" xfId="40760"/>
    <cellStyle name="40% - Accent5 6 10 2" xfId="40761"/>
    <cellStyle name="40% - Accent5 6 11" xfId="40762"/>
    <cellStyle name="40% - Accent5 6 2" xfId="40763"/>
    <cellStyle name="40% - Accent5 6 2 10" xfId="40764"/>
    <cellStyle name="40% - Accent5 6 2 2" xfId="40765"/>
    <cellStyle name="40% - Accent5 6 2 2 2" xfId="40766"/>
    <cellStyle name="40% - Accent5 6 2 2 2 2" xfId="40767"/>
    <cellStyle name="40% - Accent5 6 2 2 2 2 2" xfId="40768"/>
    <cellStyle name="40% - Accent5 6 2 2 2 2 2 2" xfId="40769"/>
    <cellStyle name="40% - Accent5 6 2 2 2 2 3" xfId="40770"/>
    <cellStyle name="40% - Accent5 6 2 2 2 3" xfId="40771"/>
    <cellStyle name="40% - Accent5 6 2 2 2 3 2" xfId="40772"/>
    <cellStyle name="40% - Accent5 6 2 2 2 4" xfId="40773"/>
    <cellStyle name="40% - Accent5 6 2 2 3" xfId="40774"/>
    <cellStyle name="40% - Accent5 6 2 2 3 2" xfId="40775"/>
    <cellStyle name="40% - Accent5 6 2 2 3 2 2" xfId="40776"/>
    <cellStyle name="40% - Accent5 6 2 2 3 3" xfId="40777"/>
    <cellStyle name="40% - Accent5 6 2 2 4" xfId="40778"/>
    <cellStyle name="40% - Accent5 6 2 2 4 2" xfId="40779"/>
    <cellStyle name="40% - Accent5 6 2 2 5" xfId="40780"/>
    <cellStyle name="40% - Accent5 6 2 3" xfId="40781"/>
    <cellStyle name="40% - Accent5 6 2 3 2" xfId="40782"/>
    <cellStyle name="40% - Accent5 6 2 3 2 2" xfId="40783"/>
    <cellStyle name="40% - Accent5 6 2 3 2 2 2" xfId="40784"/>
    <cellStyle name="40% - Accent5 6 2 3 2 2 2 2" xfId="40785"/>
    <cellStyle name="40% - Accent5 6 2 3 2 2 3" xfId="40786"/>
    <cellStyle name="40% - Accent5 6 2 3 2 3" xfId="40787"/>
    <cellStyle name="40% - Accent5 6 2 3 2 3 2" xfId="40788"/>
    <cellStyle name="40% - Accent5 6 2 3 2 4" xfId="40789"/>
    <cellStyle name="40% - Accent5 6 2 3 3" xfId="40790"/>
    <cellStyle name="40% - Accent5 6 2 3 3 2" xfId="40791"/>
    <cellStyle name="40% - Accent5 6 2 3 3 2 2" xfId="40792"/>
    <cellStyle name="40% - Accent5 6 2 3 3 3" xfId="40793"/>
    <cellStyle name="40% - Accent5 6 2 3 4" xfId="40794"/>
    <cellStyle name="40% - Accent5 6 2 3 4 2" xfId="40795"/>
    <cellStyle name="40% - Accent5 6 2 3 5" xfId="40796"/>
    <cellStyle name="40% - Accent5 6 2 4" xfId="40797"/>
    <cellStyle name="40% - Accent5 6 2 4 2" xfId="40798"/>
    <cellStyle name="40% - Accent5 6 2 4 2 2" xfId="40799"/>
    <cellStyle name="40% - Accent5 6 2 4 2 2 2" xfId="40800"/>
    <cellStyle name="40% - Accent5 6 2 4 2 2 2 2" xfId="40801"/>
    <cellStyle name="40% - Accent5 6 2 4 2 2 3" xfId="40802"/>
    <cellStyle name="40% - Accent5 6 2 4 2 3" xfId="40803"/>
    <cellStyle name="40% - Accent5 6 2 4 2 3 2" xfId="40804"/>
    <cellStyle name="40% - Accent5 6 2 4 2 4" xfId="40805"/>
    <cellStyle name="40% - Accent5 6 2 4 3" xfId="40806"/>
    <cellStyle name="40% - Accent5 6 2 4 3 2" xfId="40807"/>
    <cellStyle name="40% - Accent5 6 2 4 3 2 2" xfId="40808"/>
    <cellStyle name="40% - Accent5 6 2 4 3 3" xfId="40809"/>
    <cellStyle name="40% - Accent5 6 2 4 4" xfId="40810"/>
    <cellStyle name="40% - Accent5 6 2 4 4 2" xfId="40811"/>
    <cellStyle name="40% - Accent5 6 2 4 5" xfId="40812"/>
    <cellStyle name="40% - Accent5 6 2 5" xfId="40813"/>
    <cellStyle name="40% - Accent5 6 2 5 2" xfId="40814"/>
    <cellStyle name="40% - Accent5 6 2 5 2 2" xfId="40815"/>
    <cellStyle name="40% - Accent5 6 2 5 2 2 2" xfId="40816"/>
    <cellStyle name="40% - Accent5 6 2 5 2 2 2 2" xfId="40817"/>
    <cellStyle name="40% - Accent5 6 2 5 2 2 3" xfId="40818"/>
    <cellStyle name="40% - Accent5 6 2 5 2 3" xfId="40819"/>
    <cellStyle name="40% - Accent5 6 2 5 2 3 2" xfId="40820"/>
    <cellStyle name="40% - Accent5 6 2 5 2 4" xfId="40821"/>
    <cellStyle name="40% - Accent5 6 2 5 3" xfId="40822"/>
    <cellStyle name="40% - Accent5 6 2 5 3 2" xfId="40823"/>
    <cellStyle name="40% - Accent5 6 2 5 3 2 2" xfId="40824"/>
    <cellStyle name="40% - Accent5 6 2 5 3 3" xfId="40825"/>
    <cellStyle name="40% - Accent5 6 2 5 4" xfId="40826"/>
    <cellStyle name="40% - Accent5 6 2 5 4 2" xfId="40827"/>
    <cellStyle name="40% - Accent5 6 2 5 5" xfId="40828"/>
    <cellStyle name="40% - Accent5 6 2 6" xfId="40829"/>
    <cellStyle name="40% - Accent5 6 2 6 2" xfId="40830"/>
    <cellStyle name="40% - Accent5 6 2 6 2 2" xfId="40831"/>
    <cellStyle name="40% - Accent5 6 2 6 2 2 2" xfId="40832"/>
    <cellStyle name="40% - Accent5 6 2 6 2 2 2 2" xfId="40833"/>
    <cellStyle name="40% - Accent5 6 2 6 2 2 3" xfId="40834"/>
    <cellStyle name="40% - Accent5 6 2 6 2 3" xfId="40835"/>
    <cellStyle name="40% - Accent5 6 2 6 2 3 2" xfId="40836"/>
    <cellStyle name="40% - Accent5 6 2 6 2 4" xfId="40837"/>
    <cellStyle name="40% - Accent5 6 2 6 3" xfId="40838"/>
    <cellStyle name="40% - Accent5 6 2 6 3 2" xfId="40839"/>
    <cellStyle name="40% - Accent5 6 2 6 3 2 2" xfId="40840"/>
    <cellStyle name="40% - Accent5 6 2 6 3 3" xfId="40841"/>
    <cellStyle name="40% - Accent5 6 2 6 4" xfId="40842"/>
    <cellStyle name="40% - Accent5 6 2 6 4 2" xfId="40843"/>
    <cellStyle name="40% - Accent5 6 2 6 5" xfId="40844"/>
    <cellStyle name="40% - Accent5 6 2 7" xfId="40845"/>
    <cellStyle name="40% - Accent5 6 2 7 2" xfId="40846"/>
    <cellStyle name="40% - Accent5 6 2 7 2 2" xfId="40847"/>
    <cellStyle name="40% - Accent5 6 2 7 2 2 2" xfId="40848"/>
    <cellStyle name="40% - Accent5 6 2 7 2 3" xfId="40849"/>
    <cellStyle name="40% - Accent5 6 2 7 3" xfId="40850"/>
    <cellStyle name="40% - Accent5 6 2 7 3 2" xfId="40851"/>
    <cellStyle name="40% - Accent5 6 2 7 4" xfId="40852"/>
    <cellStyle name="40% - Accent5 6 2 8" xfId="40853"/>
    <cellStyle name="40% - Accent5 6 2 8 2" xfId="40854"/>
    <cellStyle name="40% - Accent5 6 2 8 2 2" xfId="40855"/>
    <cellStyle name="40% - Accent5 6 2 8 3" xfId="40856"/>
    <cellStyle name="40% - Accent5 6 2 9" xfId="40857"/>
    <cellStyle name="40% - Accent5 6 2 9 2" xfId="40858"/>
    <cellStyle name="40% - Accent5 6 3" xfId="40859"/>
    <cellStyle name="40% - Accent5 6 3 2" xfId="40860"/>
    <cellStyle name="40% - Accent5 6 3 2 2" xfId="40861"/>
    <cellStyle name="40% - Accent5 6 3 2 2 2" xfId="40862"/>
    <cellStyle name="40% - Accent5 6 3 2 2 2 2" xfId="40863"/>
    <cellStyle name="40% - Accent5 6 3 2 2 3" xfId="40864"/>
    <cellStyle name="40% - Accent5 6 3 2 3" xfId="40865"/>
    <cellStyle name="40% - Accent5 6 3 2 3 2" xfId="40866"/>
    <cellStyle name="40% - Accent5 6 3 2 4" xfId="40867"/>
    <cellStyle name="40% - Accent5 6 3 3" xfId="40868"/>
    <cellStyle name="40% - Accent5 6 3 3 2" xfId="40869"/>
    <cellStyle name="40% - Accent5 6 3 3 2 2" xfId="40870"/>
    <cellStyle name="40% - Accent5 6 3 3 3" xfId="40871"/>
    <cellStyle name="40% - Accent5 6 3 4" xfId="40872"/>
    <cellStyle name="40% - Accent5 6 3 4 2" xfId="40873"/>
    <cellStyle name="40% - Accent5 6 3 5" xfId="40874"/>
    <cellStyle name="40% - Accent5 6 4" xfId="40875"/>
    <cellStyle name="40% - Accent5 6 4 2" xfId="40876"/>
    <cellStyle name="40% - Accent5 6 4 2 2" xfId="40877"/>
    <cellStyle name="40% - Accent5 6 4 2 2 2" xfId="40878"/>
    <cellStyle name="40% - Accent5 6 4 2 2 2 2" xfId="40879"/>
    <cellStyle name="40% - Accent5 6 4 2 2 3" xfId="40880"/>
    <cellStyle name="40% - Accent5 6 4 2 3" xfId="40881"/>
    <cellStyle name="40% - Accent5 6 4 2 3 2" xfId="40882"/>
    <cellStyle name="40% - Accent5 6 4 2 4" xfId="40883"/>
    <cellStyle name="40% - Accent5 6 4 3" xfId="40884"/>
    <cellStyle name="40% - Accent5 6 4 3 2" xfId="40885"/>
    <cellStyle name="40% - Accent5 6 4 3 2 2" xfId="40886"/>
    <cellStyle name="40% - Accent5 6 4 3 3" xfId="40887"/>
    <cellStyle name="40% - Accent5 6 4 4" xfId="40888"/>
    <cellStyle name="40% - Accent5 6 4 4 2" xfId="40889"/>
    <cellStyle name="40% - Accent5 6 4 5" xfId="40890"/>
    <cellStyle name="40% - Accent5 6 5" xfId="40891"/>
    <cellStyle name="40% - Accent5 6 5 2" xfId="40892"/>
    <cellStyle name="40% - Accent5 6 5 2 2" xfId="40893"/>
    <cellStyle name="40% - Accent5 6 5 2 2 2" xfId="40894"/>
    <cellStyle name="40% - Accent5 6 5 2 2 2 2" xfId="40895"/>
    <cellStyle name="40% - Accent5 6 5 2 2 3" xfId="40896"/>
    <cellStyle name="40% - Accent5 6 5 2 3" xfId="40897"/>
    <cellStyle name="40% - Accent5 6 5 2 3 2" xfId="40898"/>
    <cellStyle name="40% - Accent5 6 5 2 4" xfId="40899"/>
    <cellStyle name="40% - Accent5 6 5 3" xfId="40900"/>
    <cellStyle name="40% - Accent5 6 5 3 2" xfId="40901"/>
    <cellStyle name="40% - Accent5 6 5 3 2 2" xfId="40902"/>
    <cellStyle name="40% - Accent5 6 5 3 3" xfId="40903"/>
    <cellStyle name="40% - Accent5 6 5 4" xfId="40904"/>
    <cellStyle name="40% - Accent5 6 5 4 2" xfId="40905"/>
    <cellStyle name="40% - Accent5 6 5 5" xfId="40906"/>
    <cellStyle name="40% - Accent5 6 6" xfId="40907"/>
    <cellStyle name="40% - Accent5 6 6 2" xfId="40908"/>
    <cellStyle name="40% - Accent5 6 6 2 2" xfId="40909"/>
    <cellStyle name="40% - Accent5 6 6 2 2 2" xfId="40910"/>
    <cellStyle name="40% - Accent5 6 6 2 2 2 2" xfId="40911"/>
    <cellStyle name="40% - Accent5 6 6 2 2 3" xfId="40912"/>
    <cellStyle name="40% - Accent5 6 6 2 3" xfId="40913"/>
    <cellStyle name="40% - Accent5 6 6 2 3 2" xfId="40914"/>
    <cellStyle name="40% - Accent5 6 6 2 4" xfId="40915"/>
    <cellStyle name="40% - Accent5 6 6 3" xfId="40916"/>
    <cellStyle name="40% - Accent5 6 6 3 2" xfId="40917"/>
    <cellStyle name="40% - Accent5 6 6 3 2 2" xfId="40918"/>
    <cellStyle name="40% - Accent5 6 6 3 3" xfId="40919"/>
    <cellStyle name="40% - Accent5 6 6 4" xfId="40920"/>
    <cellStyle name="40% - Accent5 6 6 4 2" xfId="40921"/>
    <cellStyle name="40% - Accent5 6 6 5" xfId="40922"/>
    <cellStyle name="40% - Accent5 6 7" xfId="40923"/>
    <cellStyle name="40% - Accent5 6 7 2" xfId="40924"/>
    <cellStyle name="40% - Accent5 6 7 2 2" xfId="40925"/>
    <cellStyle name="40% - Accent5 6 7 2 2 2" xfId="40926"/>
    <cellStyle name="40% - Accent5 6 7 2 2 2 2" xfId="40927"/>
    <cellStyle name="40% - Accent5 6 7 2 2 3" xfId="40928"/>
    <cellStyle name="40% - Accent5 6 7 2 3" xfId="40929"/>
    <cellStyle name="40% - Accent5 6 7 2 3 2" xfId="40930"/>
    <cellStyle name="40% - Accent5 6 7 2 4" xfId="40931"/>
    <cellStyle name="40% - Accent5 6 7 3" xfId="40932"/>
    <cellStyle name="40% - Accent5 6 7 3 2" xfId="40933"/>
    <cellStyle name="40% - Accent5 6 7 3 2 2" xfId="40934"/>
    <cellStyle name="40% - Accent5 6 7 3 3" xfId="40935"/>
    <cellStyle name="40% - Accent5 6 7 4" xfId="40936"/>
    <cellStyle name="40% - Accent5 6 7 4 2" xfId="40937"/>
    <cellStyle name="40% - Accent5 6 7 5" xfId="40938"/>
    <cellStyle name="40% - Accent5 6 8" xfId="40939"/>
    <cellStyle name="40% - Accent5 6 8 2" xfId="40940"/>
    <cellStyle name="40% - Accent5 6 8 2 2" xfId="40941"/>
    <cellStyle name="40% - Accent5 6 8 2 2 2" xfId="40942"/>
    <cellStyle name="40% - Accent5 6 8 2 3" xfId="40943"/>
    <cellStyle name="40% - Accent5 6 8 3" xfId="40944"/>
    <cellStyle name="40% - Accent5 6 8 3 2" xfId="40945"/>
    <cellStyle name="40% - Accent5 6 8 4" xfId="40946"/>
    <cellStyle name="40% - Accent5 6 9" xfId="40947"/>
    <cellStyle name="40% - Accent5 6 9 2" xfId="40948"/>
    <cellStyle name="40% - Accent5 6 9 2 2" xfId="40949"/>
    <cellStyle name="40% - Accent5 6 9 3" xfId="40950"/>
    <cellStyle name="40% - Accent5 7" xfId="40951"/>
    <cellStyle name="40% - Accent5 7 10" xfId="40952"/>
    <cellStyle name="40% - Accent5 7 10 2" xfId="40953"/>
    <cellStyle name="40% - Accent5 7 11" xfId="40954"/>
    <cellStyle name="40% - Accent5 7 2" xfId="40955"/>
    <cellStyle name="40% - Accent5 7 2 10" xfId="40956"/>
    <cellStyle name="40% - Accent5 7 2 2" xfId="40957"/>
    <cellStyle name="40% - Accent5 7 2 2 2" xfId="40958"/>
    <cellStyle name="40% - Accent5 7 2 2 2 2" xfId="40959"/>
    <cellStyle name="40% - Accent5 7 2 2 2 2 2" xfId="40960"/>
    <cellStyle name="40% - Accent5 7 2 2 2 2 2 2" xfId="40961"/>
    <cellStyle name="40% - Accent5 7 2 2 2 2 3" xfId="40962"/>
    <cellStyle name="40% - Accent5 7 2 2 2 3" xfId="40963"/>
    <cellStyle name="40% - Accent5 7 2 2 2 3 2" xfId="40964"/>
    <cellStyle name="40% - Accent5 7 2 2 2 4" xfId="40965"/>
    <cellStyle name="40% - Accent5 7 2 2 3" xfId="40966"/>
    <cellStyle name="40% - Accent5 7 2 2 3 2" xfId="40967"/>
    <cellStyle name="40% - Accent5 7 2 2 3 2 2" xfId="40968"/>
    <cellStyle name="40% - Accent5 7 2 2 3 3" xfId="40969"/>
    <cellStyle name="40% - Accent5 7 2 2 4" xfId="40970"/>
    <cellStyle name="40% - Accent5 7 2 2 4 2" xfId="40971"/>
    <cellStyle name="40% - Accent5 7 2 2 5" xfId="40972"/>
    <cellStyle name="40% - Accent5 7 2 3" xfId="40973"/>
    <cellStyle name="40% - Accent5 7 2 3 2" xfId="40974"/>
    <cellStyle name="40% - Accent5 7 2 3 2 2" xfId="40975"/>
    <cellStyle name="40% - Accent5 7 2 3 2 2 2" xfId="40976"/>
    <cellStyle name="40% - Accent5 7 2 3 2 2 2 2" xfId="40977"/>
    <cellStyle name="40% - Accent5 7 2 3 2 2 3" xfId="40978"/>
    <cellStyle name="40% - Accent5 7 2 3 2 3" xfId="40979"/>
    <cellStyle name="40% - Accent5 7 2 3 2 3 2" xfId="40980"/>
    <cellStyle name="40% - Accent5 7 2 3 2 4" xfId="40981"/>
    <cellStyle name="40% - Accent5 7 2 3 3" xfId="40982"/>
    <cellStyle name="40% - Accent5 7 2 3 3 2" xfId="40983"/>
    <cellStyle name="40% - Accent5 7 2 3 3 2 2" xfId="40984"/>
    <cellStyle name="40% - Accent5 7 2 3 3 3" xfId="40985"/>
    <cellStyle name="40% - Accent5 7 2 3 4" xfId="40986"/>
    <cellStyle name="40% - Accent5 7 2 3 4 2" xfId="40987"/>
    <cellStyle name="40% - Accent5 7 2 3 5" xfId="40988"/>
    <cellStyle name="40% - Accent5 7 2 4" xfId="40989"/>
    <cellStyle name="40% - Accent5 7 2 4 2" xfId="40990"/>
    <cellStyle name="40% - Accent5 7 2 4 2 2" xfId="40991"/>
    <cellStyle name="40% - Accent5 7 2 4 2 2 2" xfId="40992"/>
    <cellStyle name="40% - Accent5 7 2 4 2 2 2 2" xfId="40993"/>
    <cellStyle name="40% - Accent5 7 2 4 2 2 3" xfId="40994"/>
    <cellStyle name="40% - Accent5 7 2 4 2 3" xfId="40995"/>
    <cellStyle name="40% - Accent5 7 2 4 2 3 2" xfId="40996"/>
    <cellStyle name="40% - Accent5 7 2 4 2 4" xfId="40997"/>
    <cellStyle name="40% - Accent5 7 2 4 3" xfId="40998"/>
    <cellStyle name="40% - Accent5 7 2 4 3 2" xfId="40999"/>
    <cellStyle name="40% - Accent5 7 2 4 3 2 2" xfId="41000"/>
    <cellStyle name="40% - Accent5 7 2 4 3 3" xfId="41001"/>
    <cellStyle name="40% - Accent5 7 2 4 4" xfId="41002"/>
    <cellStyle name="40% - Accent5 7 2 4 4 2" xfId="41003"/>
    <cellStyle name="40% - Accent5 7 2 4 5" xfId="41004"/>
    <cellStyle name="40% - Accent5 7 2 5" xfId="41005"/>
    <cellStyle name="40% - Accent5 7 2 5 2" xfId="41006"/>
    <cellStyle name="40% - Accent5 7 2 5 2 2" xfId="41007"/>
    <cellStyle name="40% - Accent5 7 2 5 2 2 2" xfId="41008"/>
    <cellStyle name="40% - Accent5 7 2 5 2 2 2 2" xfId="41009"/>
    <cellStyle name="40% - Accent5 7 2 5 2 2 3" xfId="41010"/>
    <cellStyle name="40% - Accent5 7 2 5 2 3" xfId="41011"/>
    <cellStyle name="40% - Accent5 7 2 5 2 3 2" xfId="41012"/>
    <cellStyle name="40% - Accent5 7 2 5 2 4" xfId="41013"/>
    <cellStyle name="40% - Accent5 7 2 5 3" xfId="41014"/>
    <cellStyle name="40% - Accent5 7 2 5 3 2" xfId="41015"/>
    <cellStyle name="40% - Accent5 7 2 5 3 2 2" xfId="41016"/>
    <cellStyle name="40% - Accent5 7 2 5 3 3" xfId="41017"/>
    <cellStyle name="40% - Accent5 7 2 5 4" xfId="41018"/>
    <cellStyle name="40% - Accent5 7 2 5 4 2" xfId="41019"/>
    <cellStyle name="40% - Accent5 7 2 5 5" xfId="41020"/>
    <cellStyle name="40% - Accent5 7 2 6" xfId="41021"/>
    <cellStyle name="40% - Accent5 7 2 6 2" xfId="41022"/>
    <cellStyle name="40% - Accent5 7 2 6 2 2" xfId="41023"/>
    <cellStyle name="40% - Accent5 7 2 6 2 2 2" xfId="41024"/>
    <cellStyle name="40% - Accent5 7 2 6 2 2 2 2" xfId="41025"/>
    <cellStyle name="40% - Accent5 7 2 6 2 2 3" xfId="41026"/>
    <cellStyle name="40% - Accent5 7 2 6 2 3" xfId="41027"/>
    <cellStyle name="40% - Accent5 7 2 6 2 3 2" xfId="41028"/>
    <cellStyle name="40% - Accent5 7 2 6 2 4" xfId="41029"/>
    <cellStyle name="40% - Accent5 7 2 6 3" xfId="41030"/>
    <cellStyle name="40% - Accent5 7 2 6 3 2" xfId="41031"/>
    <cellStyle name="40% - Accent5 7 2 6 3 2 2" xfId="41032"/>
    <cellStyle name="40% - Accent5 7 2 6 3 3" xfId="41033"/>
    <cellStyle name="40% - Accent5 7 2 6 4" xfId="41034"/>
    <cellStyle name="40% - Accent5 7 2 6 4 2" xfId="41035"/>
    <cellStyle name="40% - Accent5 7 2 6 5" xfId="41036"/>
    <cellStyle name="40% - Accent5 7 2 7" xfId="41037"/>
    <cellStyle name="40% - Accent5 7 2 7 2" xfId="41038"/>
    <cellStyle name="40% - Accent5 7 2 7 2 2" xfId="41039"/>
    <cellStyle name="40% - Accent5 7 2 7 2 2 2" xfId="41040"/>
    <cellStyle name="40% - Accent5 7 2 7 2 3" xfId="41041"/>
    <cellStyle name="40% - Accent5 7 2 7 3" xfId="41042"/>
    <cellStyle name="40% - Accent5 7 2 7 3 2" xfId="41043"/>
    <cellStyle name="40% - Accent5 7 2 7 4" xfId="41044"/>
    <cellStyle name="40% - Accent5 7 2 8" xfId="41045"/>
    <cellStyle name="40% - Accent5 7 2 8 2" xfId="41046"/>
    <cellStyle name="40% - Accent5 7 2 8 2 2" xfId="41047"/>
    <cellStyle name="40% - Accent5 7 2 8 3" xfId="41048"/>
    <cellStyle name="40% - Accent5 7 2 9" xfId="41049"/>
    <cellStyle name="40% - Accent5 7 2 9 2" xfId="41050"/>
    <cellStyle name="40% - Accent5 7 3" xfId="41051"/>
    <cellStyle name="40% - Accent5 7 3 2" xfId="41052"/>
    <cellStyle name="40% - Accent5 7 3 2 2" xfId="41053"/>
    <cellStyle name="40% - Accent5 7 3 2 2 2" xfId="41054"/>
    <cellStyle name="40% - Accent5 7 3 2 2 2 2" xfId="41055"/>
    <cellStyle name="40% - Accent5 7 3 2 2 3" xfId="41056"/>
    <cellStyle name="40% - Accent5 7 3 2 3" xfId="41057"/>
    <cellStyle name="40% - Accent5 7 3 2 3 2" xfId="41058"/>
    <cellStyle name="40% - Accent5 7 3 2 4" xfId="41059"/>
    <cellStyle name="40% - Accent5 7 3 3" xfId="41060"/>
    <cellStyle name="40% - Accent5 7 3 3 2" xfId="41061"/>
    <cellStyle name="40% - Accent5 7 3 3 2 2" xfId="41062"/>
    <cellStyle name="40% - Accent5 7 3 3 3" xfId="41063"/>
    <cellStyle name="40% - Accent5 7 3 4" xfId="41064"/>
    <cellStyle name="40% - Accent5 7 3 4 2" xfId="41065"/>
    <cellStyle name="40% - Accent5 7 3 5" xfId="41066"/>
    <cellStyle name="40% - Accent5 7 4" xfId="41067"/>
    <cellStyle name="40% - Accent5 7 4 2" xfId="41068"/>
    <cellStyle name="40% - Accent5 7 4 2 2" xfId="41069"/>
    <cellStyle name="40% - Accent5 7 4 2 2 2" xfId="41070"/>
    <cellStyle name="40% - Accent5 7 4 2 2 2 2" xfId="41071"/>
    <cellStyle name="40% - Accent5 7 4 2 2 3" xfId="41072"/>
    <cellStyle name="40% - Accent5 7 4 2 3" xfId="41073"/>
    <cellStyle name="40% - Accent5 7 4 2 3 2" xfId="41074"/>
    <cellStyle name="40% - Accent5 7 4 2 4" xfId="41075"/>
    <cellStyle name="40% - Accent5 7 4 3" xfId="41076"/>
    <cellStyle name="40% - Accent5 7 4 3 2" xfId="41077"/>
    <cellStyle name="40% - Accent5 7 4 3 2 2" xfId="41078"/>
    <cellStyle name="40% - Accent5 7 4 3 3" xfId="41079"/>
    <cellStyle name="40% - Accent5 7 4 4" xfId="41080"/>
    <cellStyle name="40% - Accent5 7 4 4 2" xfId="41081"/>
    <cellStyle name="40% - Accent5 7 4 5" xfId="41082"/>
    <cellStyle name="40% - Accent5 7 5" xfId="41083"/>
    <cellStyle name="40% - Accent5 7 5 2" xfId="41084"/>
    <cellStyle name="40% - Accent5 7 5 2 2" xfId="41085"/>
    <cellStyle name="40% - Accent5 7 5 2 2 2" xfId="41086"/>
    <cellStyle name="40% - Accent5 7 5 2 2 2 2" xfId="41087"/>
    <cellStyle name="40% - Accent5 7 5 2 2 3" xfId="41088"/>
    <cellStyle name="40% - Accent5 7 5 2 3" xfId="41089"/>
    <cellStyle name="40% - Accent5 7 5 2 3 2" xfId="41090"/>
    <cellStyle name="40% - Accent5 7 5 2 4" xfId="41091"/>
    <cellStyle name="40% - Accent5 7 5 3" xfId="41092"/>
    <cellStyle name="40% - Accent5 7 5 3 2" xfId="41093"/>
    <cellStyle name="40% - Accent5 7 5 3 2 2" xfId="41094"/>
    <cellStyle name="40% - Accent5 7 5 3 3" xfId="41095"/>
    <cellStyle name="40% - Accent5 7 5 4" xfId="41096"/>
    <cellStyle name="40% - Accent5 7 5 4 2" xfId="41097"/>
    <cellStyle name="40% - Accent5 7 5 5" xfId="41098"/>
    <cellStyle name="40% - Accent5 7 6" xfId="41099"/>
    <cellStyle name="40% - Accent5 7 6 2" xfId="41100"/>
    <cellStyle name="40% - Accent5 7 6 2 2" xfId="41101"/>
    <cellStyle name="40% - Accent5 7 6 2 2 2" xfId="41102"/>
    <cellStyle name="40% - Accent5 7 6 2 2 2 2" xfId="41103"/>
    <cellStyle name="40% - Accent5 7 6 2 2 3" xfId="41104"/>
    <cellStyle name="40% - Accent5 7 6 2 3" xfId="41105"/>
    <cellStyle name="40% - Accent5 7 6 2 3 2" xfId="41106"/>
    <cellStyle name="40% - Accent5 7 6 2 4" xfId="41107"/>
    <cellStyle name="40% - Accent5 7 6 3" xfId="41108"/>
    <cellStyle name="40% - Accent5 7 6 3 2" xfId="41109"/>
    <cellStyle name="40% - Accent5 7 6 3 2 2" xfId="41110"/>
    <cellStyle name="40% - Accent5 7 6 3 3" xfId="41111"/>
    <cellStyle name="40% - Accent5 7 6 4" xfId="41112"/>
    <cellStyle name="40% - Accent5 7 6 4 2" xfId="41113"/>
    <cellStyle name="40% - Accent5 7 6 5" xfId="41114"/>
    <cellStyle name="40% - Accent5 7 7" xfId="41115"/>
    <cellStyle name="40% - Accent5 7 7 2" xfId="41116"/>
    <cellStyle name="40% - Accent5 7 7 2 2" xfId="41117"/>
    <cellStyle name="40% - Accent5 7 7 2 2 2" xfId="41118"/>
    <cellStyle name="40% - Accent5 7 7 2 2 2 2" xfId="41119"/>
    <cellStyle name="40% - Accent5 7 7 2 2 3" xfId="41120"/>
    <cellStyle name="40% - Accent5 7 7 2 3" xfId="41121"/>
    <cellStyle name="40% - Accent5 7 7 2 3 2" xfId="41122"/>
    <cellStyle name="40% - Accent5 7 7 2 4" xfId="41123"/>
    <cellStyle name="40% - Accent5 7 7 3" xfId="41124"/>
    <cellStyle name="40% - Accent5 7 7 3 2" xfId="41125"/>
    <cellStyle name="40% - Accent5 7 7 3 2 2" xfId="41126"/>
    <cellStyle name="40% - Accent5 7 7 3 3" xfId="41127"/>
    <cellStyle name="40% - Accent5 7 7 4" xfId="41128"/>
    <cellStyle name="40% - Accent5 7 7 4 2" xfId="41129"/>
    <cellStyle name="40% - Accent5 7 7 5" xfId="41130"/>
    <cellStyle name="40% - Accent5 7 8" xfId="41131"/>
    <cellStyle name="40% - Accent5 7 8 2" xfId="41132"/>
    <cellStyle name="40% - Accent5 7 8 2 2" xfId="41133"/>
    <cellStyle name="40% - Accent5 7 8 2 2 2" xfId="41134"/>
    <cellStyle name="40% - Accent5 7 8 2 3" xfId="41135"/>
    <cellStyle name="40% - Accent5 7 8 3" xfId="41136"/>
    <cellStyle name="40% - Accent5 7 8 3 2" xfId="41137"/>
    <cellStyle name="40% - Accent5 7 8 4" xfId="41138"/>
    <cellStyle name="40% - Accent5 7 9" xfId="41139"/>
    <cellStyle name="40% - Accent5 7 9 2" xfId="41140"/>
    <cellStyle name="40% - Accent5 7 9 2 2" xfId="41141"/>
    <cellStyle name="40% - Accent5 7 9 3" xfId="41142"/>
    <cellStyle name="40% - Accent5 8" xfId="41143"/>
    <cellStyle name="40% - Accent5 8 10" xfId="41144"/>
    <cellStyle name="40% - Accent5 8 10 2" xfId="41145"/>
    <cellStyle name="40% - Accent5 8 11" xfId="41146"/>
    <cellStyle name="40% - Accent5 8 2" xfId="41147"/>
    <cellStyle name="40% - Accent5 8 2 10" xfId="41148"/>
    <cellStyle name="40% - Accent5 8 2 2" xfId="41149"/>
    <cellStyle name="40% - Accent5 8 2 2 2" xfId="41150"/>
    <cellStyle name="40% - Accent5 8 2 2 2 2" xfId="41151"/>
    <cellStyle name="40% - Accent5 8 2 2 2 2 2" xfId="41152"/>
    <cellStyle name="40% - Accent5 8 2 2 2 2 2 2" xfId="41153"/>
    <cellStyle name="40% - Accent5 8 2 2 2 2 3" xfId="41154"/>
    <cellStyle name="40% - Accent5 8 2 2 2 3" xfId="41155"/>
    <cellStyle name="40% - Accent5 8 2 2 2 3 2" xfId="41156"/>
    <cellStyle name="40% - Accent5 8 2 2 2 4" xfId="41157"/>
    <cellStyle name="40% - Accent5 8 2 2 3" xfId="41158"/>
    <cellStyle name="40% - Accent5 8 2 2 3 2" xfId="41159"/>
    <cellStyle name="40% - Accent5 8 2 2 3 2 2" xfId="41160"/>
    <cellStyle name="40% - Accent5 8 2 2 3 3" xfId="41161"/>
    <cellStyle name="40% - Accent5 8 2 2 4" xfId="41162"/>
    <cellStyle name="40% - Accent5 8 2 2 4 2" xfId="41163"/>
    <cellStyle name="40% - Accent5 8 2 2 5" xfId="41164"/>
    <cellStyle name="40% - Accent5 8 2 3" xfId="41165"/>
    <cellStyle name="40% - Accent5 8 2 3 2" xfId="41166"/>
    <cellStyle name="40% - Accent5 8 2 3 2 2" xfId="41167"/>
    <cellStyle name="40% - Accent5 8 2 3 2 2 2" xfId="41168"/>
    <cellStyle name="40% - Accent5 8 2 3 2 2 2 2" xfId="41169"/>
    <cellStyle name="40% - Accent5 8 2 3 2 2 3" xfId="41170"/>
    <cellStyle name="40% - Accent5 8 2 3 2 3" xfId="41171"/>
    <cellStyle name="40% - Accent5 8 2 3 2 3 2" xfId="41172"/>
    <cellStyle name="40% - Accent5 8 2 3 2 4" xfId="41173"/>
    <cellStyle name="40% - Accent5 8 2 3 3" xfId="41174"/>
    <cellStyle name="40% - Accent5 8 2 3 3 2" xfId="41175"/>
    <cellStyle name="40% - Accent5 8 2 3 3 2 2" xfId="41176"/>
    <cellStyle name="40% - Accent5 8 2 3 3 3" xfId="41177"/>
    <cellStyle name="40% - Accent5 8 2 3 4" xfId="41178"/>
    <cellStyle name="40% - Accent5 8 2 3 4 2" xfId="41179"/>
    <cellStyle name="40% - Accent5 8 2 3 5" xfId="41180"/>
    <cellStyle name="40% - Accent5 8 2 4" xfId="41181"/>
    <cellStyle name="40% - Accent5 8 2 4 2" xfId="41182"/>
    <cellStyle name="40% - Accent5 8 2 4 2 2" xfId="41183"/>
    <cellStyle name="40% - Accent5 8 2 4 2 2 2" xfId="41184"/>
    <cellStyle name="40% - Accent5 8 2 4 2 2 2 2" xfId="41185"/>
    <cellStyle name="40% - Accent5 8 2 4 2 2 3" xfId="41186"/>
    <cellStyle name="40% - Accent5 8 2 4 2 3" xfId="41187"/>
    <cellStyle name="40% - Accent5 8 2 4 2 3 2" xfId="41188"/>
    <cellStyle name="40% - Accent5 8 2 4 2 4" xfId="41189"/>
    <cellStyle name="40% - Accent5 8 2 4 3" xfId="41190"/>
    <cellStyle name="40% - Accent5 8 2 4 3 2" xfId="41191"/>
    <cellStyle name="40% - Accent5 8 2 4 3 2 2" xfId="41192"/>
    <cellStyle name="40% - Accent5 8 2 4 3 3" xfId="41193"/>
    <cellStyle name="40% - Accent5 8 2 4 4" xfId="41194"/>
    <cellStyle name="40% - Accent5 8 2 4 4 2" xfId="41195"/>
    <cellStyle name="40% - Accent5 8 2 4 5" xfId="41196"/>
    <cellStyle name="40% - Accent5 8 2 5" xfId="41197"/>
    <cellStyle name="40% - Accent5 8 2 5 2" xfId="41198"/>
    <cellStyle name="40% - Accent5 8 2 5 2 2" xfId="41199"/>
    <cellStyle name="40% - Accent5 8 2 5 2 2 2" xfId="41200"/>
    <cellStyle name="40% - Accent5 8 2 5 2 2 2 2" xfId="41201"/>
    <cellStyle name="40% - Accent5 8 2 5 2 2 3" xfId="41202"/>
    <cellStyle name="40% - Accent5 8 2 5 2 3" xfId="41203"/>
    <cellStyle name="40% - Accent5 8 2 5 2 3 2" xfId="41204"/>
    <cellStyle name="40% - Accent5 8 2 5 2 4" xfId="41205"/>
    <cellStyle name="40% - Accent5 8 2 5 3" xfId="41206"/>
    <cellStyle name="40% - Accent5 8 2 5 3 2" xfId="41207"/>
    <cellStyle name="40% - Accent5 8 2 5 3 2 2" xfId="41208"/>
    <cellStyle name="40% - Accent5 8 2 5 3 3" xfId="41209"/>
    <cellStyle name="40% - Accent5 8 2 5 4" xfId="41210"/>
    <cellStyle name="40% - Accent5 8 2 5 4 2" xfId="41211"/>
    <cellStyle name="40% - Accent5 8 2 5 5" xfId="41212"/>
    <cellStyle name="40% - Accent5 8 2 6" xfId="41213"/>
    <cellStyle name="40% - Accent5 8 2 6 2" xfId="41214"/>
    <cellStyle name="40% - Accent5 8 2 6 2 2" xfId="41215"/>
    <cellStyle name="40% - Accent5 8 2 6 2 2 2" xfId="41216"/>
    <cellStyle name="40% - Accent5 8 2 6 2 2 2 2" xfId="41217"/>
    <cellStyle name="40% - Accent5 8 2 6 2 2 3" xfId="41218"/>
    <cellStyle name="40% - Accent5 8 2 6 2 3" xfId="41219"/>
    <cellStyle name="40% - Accent5 8 2 6 2 3 2" xfId="41220"/>
    <cellStyle name="40% - Accent5 8 2 6 2 4" xfId="41221"/>
    <cellStyle name="40% - Accent5 8 2 6 3" xfId="41222"/>
    <cellStyle name="40% - Accent5 8 2 6 3 2" xfId="41223"/>
    <cellStyle name="40% - Accent5 8 2 6 3 2 2" xfId="41224"/>
    <cellStyle name="40% - Accent5 8 2 6 3 3" xfId="41225"/>
    <cellStyle name="40% - Accent5 8 2 6 4" xfId="41226"/>
    <cellStyle name="40% - Accent5 8 2 6 4 2" xfId="41227"/>
    <cellStyle name="40% - Accent5 8 2 6 5" xfId="41228"/>
    <cellStyle name="40% - Accent5 8 2 7" xfId="41229"/>
    <cellStyle name="40% - Accent5 8 2 7 2" xfId="41230"/>
    <cellStyle name="40% - Accent5 8 2 7 2 2" xfId="41231"/>
    <cellStyle name="40% - Accent5 8 2 7 2 2 2" xfId="41232"/>
    <cellStyle name="40% - Accent5 8 2 7 2 3" xfId="41233"/>
    <cellStyle name="40% - Accent5 8 2 7 3" xfId="41234"/>
    <cellStyle name="40% - Accent5 8 2 7 3 2" xfId="41235"/>
    <cellStyle name="40% - Accent5 8 2 7 4" xfId="41236"/>
    <cellStyle name="40% - Accent5 8 2 8" xfId="41237"/>
    <cellStyle name="40% - Accent5 8 2 8 2" xfId="41238"/>
    <cellStyle name="40% - Accent5 8 2 8 2 2" xfId="41239"/>
    <cellStyle name="40% - Accent5 8 2 8 3" xfId="41240"/>
    <cellStyle name="40% - Accent5 8 2 9" xfId="41241"/>
    <cellStyle name="40% - Accent5 8 2 9 2" xfId="41242"/>
    <cellStyle name="40% - Accent5 8 3" xfId="41243"/>
    <cellStyle name="40% - Accent5 8 3 2" xfId="41244"/>
    <cellStyle name="40% - Accent5 8 3 2 2" xfId="41245"/>
    <cellStyle name="40% - Accent5 8 3 2 2 2" xfId="41246"/>
    <cellStyle name="40% - Accent5 8 3 2 2 2 2" xfId="41247"/>
    <cellStyle name="40% - Accent5 8 3 2 2 3" xfId="41248"/>
    <cellStyle name="40% - Accent5 8 3 2 3" xfId="41249"/>
    <cellStyle name="40% - Accent5 8 3 2 3 2" xfId="41250"/>
    <cellStyle name="40% - Accent5 8 3 2 4" xfId="41251"/>
    <cellStyle name="40% - Accent5 8 3 3" xfId="41252"/>
    <cellStyle name="40% - Accent5 8 3 3 2" xfId="41253"/>
    <cellStyle name="40% - Accent5 8 3 3 2 2" xfId="41254"/>
    <cellStyle name="40% - Accent5 8 3 3 3" xfId="41255"/>
    <cellStyle name="40% - Accent5 8 3 4" xfId="41256"/>
    <cellStyle name="40% - Accent5 8 3 4 2" xfId="41257"/>
    <cellStyle name="40% - Accent5 8 3 5" xfId="41258"/>
    <cellStyle name="40% - Accent5 8 4" xfId="41259"/>
    <cellStyle name="40% - Accent5 8 4 2" xfId="41260"/>
    <cellStyle name="40% - Accent5 8 4 2 2" xfId="41261"/>
    <cellStyle name="40% - Accent5 8 4 2 2 2" xfId="41262"/>
    <cellStyle name="40% - Accent5 8 4 2 2 2 2" xfId="41263"/>
    <cellStyle name="40% - Accent5 8 4 2 2 3" xfId="41264"/>
    <cellStyle name="40% - Accent5 8 4 2 3" xfId="41265"/>
    <cellStyle name="40% - Accent5 8 4 2 3 2" xfId="41266"/>
    <cellStyle name="40% - Accent5 8 4 2 4" xfId="41267"/>
    <cellStyle name="40% - Accent5 8 4 3" xfId="41268"/>
    <cellStyle name="40% - Accent5 8 4 3 2" xfId="41269"/>
    <cellStyle name="40% - Accent5 8 4 3 2 2" xfId="41270"/>
    <cellStyle name="40% - Accent5 8 4 3 3" xfId="41271"/>
    <cellStyle name="40% - Accent5 8 4 4" xfId="41272"/>
    <cellStyle name="40% - Accent5 8 4 4 2" xfId="41273"/>
    <cellStyle name="40% - Accent5 8 4 5" xfId="41274"/>
    <cellStyle name="40% - Accent5 8 5" xfId="41275"/>
    <cellStyle name="40% - Accent5 8 5 2" xfId="41276"/>
    <cellStyle name="40% - Accent5 8 5 2 2" xfId="41277"/>
    <cellStyle name="40% - Accent5 8 5 2 2 2" xfId="41278"/>
    <cellStyle name="40% - Accent5 8 5 2 2 2 2" xfId="41279"/>
    <cellStyle name="40% - Accent5 8 5 2 2 3" xfId="41280"/>
    <cellStyle name="40% - Accent5 8 5 2 3" xfId="41281"/>
    <cellStyle name="40% - Accent5 8 5 2 3 2" xfId="41282"/>
    <cellStyle name="40% - Accent5 8 5 2 4" xfId="41283"/>
    <cellStyle name="40% - Accent5 8 5 3" xfId="41284"/>
    <cellStyle name="40% - Accent5 8 5 3 2" xfId="41285"/>
    <cellStyle name="40% - Accent5 8 5 3 2 2" xfId="41286"/>
    <cellStyle name="40% - Accent5 8 5 3 3" xfId="41287"/>
    <cellStyle name="40% - Accent5 8 5 4" xfId="41288"/>
    <cellStyle name="40% - Accent5 8 5 4 2" xfId="41289"/>
    <cellStyle name="40% - Accent5 8 5 5" xfId="41290"/>
    <cellStyle name="40% - Accent5 8 6" xfId="41291"/>
    <cellStyle name="40% - Accent5 8 6 2" xfId="41292"/>
    <cellStyle name="40% - Accent5 8 6 2 2" xfId="41293"/>
    <cellStyle name="40% - Accent5 8 6 2 2 2" xfId="41294"/>
    <cellStyle name="40% - Accent5 8 6 2 2 2 2" xfId="41295"/>
    <cellStyle name="40% - Accent5 8 6 2 2 3" xfId="41296"/>
    <cellStyle name="40% - Accent5 8 6 2 3" xfId="41297"/>
    <cellStyle name="40% - Accent5 8 6 2 3 2" xfId="41298"/>
    <cellStyle name="40% - Accent5 8 6 2 4" xfId="41299"/>
    <cellStyle name="40% - Accent5 8 6 3" xfId="41300"/>
    <cellStyle name="40% - Accent5 8 6 3 2" xfId="41301"/>
    <cellStyle name="40% - Accent5 8 6 3 2 2" xfId="41302"/>
    <cellStyle name="40% - Accent5 8 6 3 3" xfId="41303"/>
    <cellStyle name="40% - Accent5 8 6 4" xfId="41304"/>
    <cellStyle name="40% - Accent5 8 6 4 2" xfId="41305"/>
    <cellStyle name="40% - Accent5 8 6 5" xfId="41306"/>
    <cellStyle name="40% - Accent5 8 7" xfId="41307"/>
    <cellStyle name="40% - Accent5 8 7 2" xfId="41308"/>
    <cellStyle name="40% - Accent5 8 7 2 2" xfId="41309"/>
    <cellStyle name="40% - Accent5 8 7 2 2 2" xfId="41310"/>
    <cellStyle name="40% - Accent5 8 7 2 2 2 2" xfId="41311"/>
    <cellStyle name="40% - Accent5 8 7 2 2 3" xfId="41312"/>
    <cellStyle name="40% - Accent5 8 7 2 3" xfId="41313"/>
    <cellStyle name="40% - Accent5 8 7 2 3 2" xfId="41314"/>
    <cellStyle name="40% - Accent5 8 7 2 4" xfId="41315"/>
    <cellStyle name="40% - Accent5 8 7 3" xfId="41316"/>
    <cellStyle name="40% - Accent5 8 7 3 2" xfId="41317"/>
    <cellStyle name="40% - Accent5 8 7 3 2 2" xfId="41318"/>
    <cellStyle name="40% - Accent5 8 7 3 3" xfId="41319"/>
    <cellStyle name="40% - Accent5 8 7 4" xfId="41320"/>
    <cellStyle name="40% - Accent5 8 7 4 2" xfId="41321"/>
    <cellStyle name="40% - Accent5 8 7 5" xfId="41322"/>
    <cellStyle name="40% - Accent5 8 8" xfId="41323"/>
    <cellStyle name="40% - Accent5 8 8 2" xfId="41324"/>
    <cellStyle name="40% - Accent5 8 8 2 2" xfId="41325"/>
    <cellStyle name="40% - Accent5 8 8 2 2 2" xfId="41326"/>
    <cellStyle name="40% - Accent5 8 8 2 3" xfId="41327"/>
    <cellStyle name="40% - Accent5 8 8 3" xfId="41328"/>
    <cellStyle name="40% - Accent5 8 8 3 2" xfId="41329"/>
    <cellStyle name="40% - Accent5 8 8 4" xfId="41330"/>
    <cellStyle name="40% - Accent5 8 9" xfId="41331"/>
    <cellStyle name="40% - Accent5 8 9 2" xfId="41332"/>
    <cellStyle name="40% - Accent5 8 9 2 2" xfId="41333"/>
    <cellStyle name="40% - Accent5 8 9 3" xfId="41334"/>
    <cellStyle name="40% - Accent5 9" xfId="41335"/>
    <cellStyle name="40% - Accent5 9 10" xfId="41336"/>
    <cellStyle name="40% - Accent5 9 10 2" xfId="41337"/>
    <cellStyle name="40% - Accent5 9 11" xfId="41338"/>
    <cellStyle name="40% - Accent5 9 2" xfId="41339"/>
    <cellStyle name="40% - Accent5 9 2 10" xfId="41340"/>
    <cellStyle name="40% - Accent5 9 2 2" xfId="41341"/>
    <cellStyle name="40% - Accent5 9 2 2 2" xfId="41342"/>
    <cellStyle name="40% - Accent5 9 2 2 2 2" xfId="41343"/>
    <cellStyle name="40% - Accent5 9 2 2 2 2 2" xfId="41344"/>
    <cellStyle name="40% - Accent5 9 2 2 2 2 2 2" xfId="41345"/>
    <cellStyle name="40% - Accent5 9 2 2 2 2 3" xfId="41346"/>
    <cellStyle name="40% - Accent5 9 2 2 2 3" xfId="41347"/>
    <cellStyle name="40% - Accent5 9 2 2 2 3 2" xfId="41348"/>
    <cellStyle name="40% - Accent5 9 2 2 2 4" xfId="41349"/>
    <cellStyle name="40% - Accent5 9 2 2 3" xfId="41350"/>
    <cellStyle name="40% - Accent5 9 2 2 3 2" xfId="41351"/>
    <cellStyle name="40% - Accent5 9 2 2 3 2 2" xfId="41352"/>
    <cellStyle name="40% - Accent5 9 2 2 3 3" xfId="41353"/>
    <cellStyle name="40% - Accent5 9 2 2 4" xfId="41354"/>
    <cellStyle name="40% - Accent5 9 2 2 4 2" xfId="41355"/>
    <cellStyle name="40% - Accent5 9 2 2 5" xfId="41356"/>
    <cellStyle name="40% - Accent5 9 2 3" xfId="41357"/>
    <cellStyle name="40% - Accent5 9 2 3 2" xfId="41358"/>
    <cellStyle name="40% - Accent5 9 2 3 2 2" xfId="41359"/>
    <cellStyle name="40% - Accent5 9 2 3 2 2 2" xfId="41360"/>
    <cellStyle name="40% - Accent5 9 2 3 2 2 2 2" xfId="41361"/>
    <cellStyle name="40% - Accent5 9 2 3 2 2 3" xfId="41362"/>
    <cellStyle name="40% - Accent5 9 2 3 2 3" xfId="41363"/>
    <cellStyle name="40% - Accent5 9 2 3 2 3 2" xfId="41364"/>
    <cellStyle name="40% - Accent5 9 2 3 2 4" xfId="41365"/>
    <cellStyle name="40% - Accent5 9 2 3 3" xfId="41366"/>
    <cellStyle name="40% - Accent5 9 2 3 3 2" xfId="41367"/>
    <cellStyle name="40% - Accent5 9 2 3 3 2 2" xfId="41368"/>
    <cellStyle name="40% - Accent5 9 2 3 3 3" xfId="41369"/>
    <cellStyle name="40% - Accent5 9 2 3 4" xfId="41370"/>
    <cellStyle name="40% - Accent5 9 2 3 4 2" xfId="41371"/>
    <cellStyle name="40% - Accent5 9 2 3 5" xfId="41372"/>
    <cellStyle name="40% - Accent5 9 2 4" xfId="41373"/>
    <cellStyle name="40% - Accent5 9 2 4 2" xfId="41374"/>
    <cellStyle name="40% - Accent5 9 2 4 2 2" xfId="41375"/>
    <cellStyle name="40% - Accent5 9 2 4 2 2 2" xfId="41376"/>
    <cellStyle name="40% - Accent5 9 2 4 2 2 2 2" xfId="41377"/>
    <cellStyle name="40% - Accent5 9 2 4 2 2 3" xfId="41378"/>
    <cellStyle name="40% - Accent5 9 2 4 2 3" xfId="41379"/>
    <cellStyle name="40% - Accent5 9 2 4 2 3 2" xfId="41380"/>
    <cellStyle name="40% - Accent5 9 2 4 2 4" xfId="41381"/>
    <cellStyle name="40% - Accent5 9 2 4 3" xfId="41382"/>
    <cellStyle name="40% - Accent5 9 2 4 3 2" xfId="41383"/>
    <cellStyle name="40% - Accent5 9 2 4 3 2 2" xfId="41384"/>
    <cellStyle name="40% - Accent5 9 2 4 3 3" xfId="41385"/>
    <cellStyle name="40% - Accent5 9 2 4 4" xfId="41386"/>
    <cellStyle name="40% - Accent5 9 2 4 4 2" xfId="41387"/>
    <cellStyle name="40% - Accent5 9 2 4 5" xfId="41388"/>
    <cellStyle name="40% - Accent5 9 2 5" xfId="41389"/>
    <cellStyle name="40% - Accent5 9 2 5 2" xfId="41390"/>
    <cellStyle name="40% - Accent5 9 2 5 2 2" xfId="41391"/>
    <cellStyle name="40% - Accent5 9 2 5 2 2 2" xfId="41392"/>
    <cellStyle name="40% - Accent5 9 2 5 2 2 2 2" xfId="41393"/>
    <cellStyle name="40% - Accent5 9 2 5 2 2 3" xfId="41394"/>
    <cellStyle name="40% - Accent5 9 2 5 2 3" xfId="41395"/>
    <cellStyle name="40% - Accent5 9 2 5 2 3 2" xfId="41396"/>
    <cellStyle name="40% - Accent5 9 2 5 2 4" xfId="41397"/>
    <cellStyle name="40% - Accent5 9 2 5 3" xfId="41398"/>
    <cellStyle name="40% - Accent5 9 2 5 3 2" xfId="41399"/>
    <cellStyle name="40% - Accent5 9 2 5 3 2 2" xfId="41400"/>
    <cellStyle name="40% - Accent5 9 2 5 3 3" xfId="41401"/>
    <cellStyle name="40% - Accent5 9 2 5 4" xfId="41402"/>
    <cellStyle name="40% - Accent5 9 2 5 4 2" xfId="41403"/>
    <cellStyle name="40% - Accent5 9 2 5 5" xfId="41404"/>
    <cellStyle name="40% - Accent5 9 2 6" xfId="41405"/>
    <cellStyle name="40% - Accent5 9 2 6 2" xfId="41406"/>
    <cellStyle name="40% - Accent5 9 2 6 2 2" xfId="41407"/>
    <cellStyle name="40% - Accent5 9 2 6 2 2 2" xfId="41408"/>
    <cellStyle name="40% - Accent5 9 2 6 2 2 2 2" xfId="41409"/>
    <cellStyle name="40% - Accent5 9 2 6 2 2 3" xfId="41410"/>
    <cellStyle name="40% - Accent5 9 2 6 2 3" xfId="41411"/>
    <cellStyle name="40% - Accent5 9 2 6 2 3 2" xfId="41412"/>
    <cellStyle name="40% - Accent5 9 2 6 2 4" xfId="41413"/>
    <cellStyle name="40% - Accent5 9 2 6 3" xfId="41414"/>
    <cellStyle name="40% - Accent5 9 2 6 3 2" xfId="41415"/>
    <cellStyle name="40% - Accent5 9 2 6 3 2 2" xfId="41416"/>
    <cellStyle name="40% - Accent5 9 2 6 3 3" xfId="41417"/>
    <cellStyle name="40% - Accent5 9 2 6 4" xfId="41418"/>
    <cellStyle name="40% - Accent5 9 2 6 4 2" xfId="41419"/>
    <cellStyle name="40% - Accent5 9 2 6 5" xfId="41420"/>
    <cellStyle name="40% - Accent5 9 2 7" xfId="41421"/>
    <cellStyle name="40% - Accent5 9 2 7 2" xfId="41422"/>
    <cellStyle name="40% - Accent5 9 2 7 2 2" xfId="41423"/>
    <cellStyle name="40% - Accent5 9 2 7 2 2 2" xfId="41424"/>
    <cellStyle name="40% - Accent5 9 2 7 2 3" xfId="41425"/>
    <cellStyle name="40% - Accent5 9 2 7 3" xfId="41426"/>
    <cellStyle name="40% - Accent5 9 2 7 3 2" xfId="41427"/>
    <cellStyle name="40% - Accent5 9 2 7 4" xfId="41428"/>
    <cellStyle name="40% - Accent5 9 2 8" xfId="41429"/>
    <cellStyle name="40% - Accent5 9 2 8 2" xfId="41430"/>
    <cellStyle name="40% - Accent5 9 2 8 2 2" xfId="41431"/>
    <cellStyle name="40% - Accent5 9 2 8 3" xfId="41432"/>
    <cellStyle name="40% - Accent5 9 2 9" xfId="41433"/>
    <cellStyle name="40% - Accent5 9 2 9 2" xfId="41434"/>
    <cellStyle name="40% - Accent5 9 3" xfId="41435"/>
    <cellStyle name="40% - Accent5 9 3 2" xfId="41436"/>
    <cellStyle name="40% - Accent5 9 3 2 2" xfId="41437"/>
    <cellStyle name="40% - Accent5 9 3 2 2 2" xfId="41438"/>
    <cellStyle name="40% - Accent5 9 3 2 2 2 2" xfId="41439"/>
    <cellStyle name="40% - Accent5 9 3 2 2 3" xfId="41440"/>
    <cellStyle name="40% - Accent5 9 3 2 3" xfId="41441"/>
    <cellStyle name="40% - Accent5 9 3 2 3 2" xfId="41442"/>
    <cellStyle name="40% - Accent5 9 3 2 4" xfId="41443"/>
    <cellStyle name="40% - Accent5 9 3 3" xfId="41444"/>
    <cellStyle name="40% - Accent5 9 3 3 2" xfId="41445"/>
    <cellStyle name="40% - Accent5 9 3 3 2 2" xfId="41446"/>
    <cellStyle name="40% - Accent5 9 3 3 3" xfId="41447"/>
    <cellStyle name="40% - Accent5 9 3 4" xfId="41448"/>
    <cellStyle name="40% - Accent5 9 3 4 2" xfId="41449"/>
    <cellStyle name="40% - Accent5 9 3 5" xfId="41450"/>
    <cellStyle name="40% - Accent5 9 4" xfId="41451"/>
    <cellStyle name="40% - Accent5 9 4 2" xfId="41452"/>
    <cellStyle name="40% - Accent5 9 4 2 2" xfId="41453"/>
    <cellStyle name="40% - Accent5 9 4 2 2 2" xfId="41454"/>
    <cellStyle name="40% - Accent5 9 4 2 2 2 2" xfId="41455"/>
    <cellStyle name="40% - Accent5 9 4 2 2 3" xfId="41456"/>
    <cellStyle name="40% - Accent5 9 4 2 3" xfId="41457"/>
    <cellStyle name="40% - Accent5 9 4 2 3 2" xfId="41458"/>
    <cellStyle name="40% - Accent5 9 4 2 4" xfId="41459"/>
    <cellStyle name="40% - Accent5 9 4 3" xfId="41460"/>
    <cellStyle name="40% - Accent5 9 4 3 2" xfId="41461"/>
    <cellStyle name="40% - Accent5 9 4 3 2 2" xfId="41462"/>
    <cellStyle name="40% - Accent5 9 4 3 3" xfId="41463"/>
    <cellStyle name="40% - Accent5 9 4 4" xfId="41464"/>
    <cellStyle name="40% - Accent5 9 4 4 2" xfId="41465"/>
    <cellStyle name="40% - Accent5 9 4 5" xfId="41466"/>
    <cellStyle name="40% - Accent5 9 5" xfId="41467"/>
    <cellStyle name="40% - Accent5 9 5 2" xfId="41468"/>
    <cellStyle name="40% - Accent5 9 5 2 2" xfId="41469"/>
    <cellStyle name="40% - Accent5 9 5 2 2 2" xfId="41470"/>
    <cellStyle name="40% - Accent5 9 5 2 2 2 2" xfId="41471"/>
    <cellStyle name="40% - Accent5 9 5 2 2 3" xfId="41472"/>
    <cellStyle name="40% - Accent5 9 5 2 3" xfId="41473"/>
    <cellStyle name="40% - Accent5 9 5 2 3 2" xfId="41474"/>
    <cellStyle name="40% - Accent5 9 5 2 4" xfId="41475"/>
    <cellStyle name="40% - Accent5 9 5 3" xfId="41476"/>
    <cellStyle name="40% - Accent5 9 5 3 2" xfId="41477"/>
    <cellStyle name="40% - Accent5 9 5 3 2 2" xfId="41478"/>
    <cellStyle name="40% - Accent5 9 5 3 3" xfId="41479"/>
    <cellStyle name="40% - Accent5 9 5 4" xfId="41480"/>
    <cellStyle name="40% - Accent5 9 5 4 2" xfId="41481"/>
    <cellStyle name="40% - Accent5 9 5 5" xfId="41482"/>
    <cellStyle name="40% - Accent5 9 6" xfId="41483"/>
    <cellStyle name="40% - Accent5 9 6 2" xfId="41484"/>
    <cellStyle name="40% - Accent5 9 6 2 2" xfId="41485"/>
    <cellStyle name="40% - Accent5 9 6 2 2 2" xfId="41486"/>
    <cellStyle name="40% - Accent5 9 6 2 2 2 2" xfId="41487"/>
    <cellStyle name="40% - Accent5 9 6 2 2 3" xfId="41488"/>
    <cellStyle name="40% - Accent5 9 6 2 3" xfId="41489"/>
    <cellStyle name="40% - Accent5 9 6 2 3 2" xfId="41490"/>
    <cellStyle name="40% - Accent5 9 6 2 4" xfId="41491"/>
    <cellStyle name="40% - Accent5 9 6 3" xfId="41492"/>
    <cellStyle name="40% - Accent5 9 6 3 2" xfId="41493"/>
    <cellStyle name="40% - Accent5 9 6 3 2 2" xfId="41494"/>
    <cellStyle name="40% - Accent5 9 6 3 3" xfId="41495"/>
    <cellStyle name="40% - Accent5 9 6 4" xfId="41496"/>
    <cellStyle name="40% - Accent5 9 6 4 2" xfId="41497"/>
    <cellStyle name="40% - Accent5 9 6 5" xfId="41498"/>
    <cellStyle name="40% - Accent5 9 7" xfId="41499"/>
    <cellStyle name="40% - Accent5 9 7 2" xfId="41500"/>
    <cellStyle name="40% - Accent5 9 7 2 2" xfId="41501"/>
    <cellStyle name="40% - Accent5 9 7 2 2 2" xfId="41502"/>
    <cellStyle name="40% - Accent5 9 7 2 2 2 2" xfId="41503"/>
    <cellStyle name="40% - Accent5 9 7 2 2 3" xfId="41504"/>
    <cellStyle name="40% - Accent5 9 7 2 3" xfId="41505"/>
    <cellStyle name="40% - Accent5 9 7 2 3 2" xfId="41506"/>
    <cellStyle name="40% - Accent5 9 7 2 4" xfId="41507"/>
    <cellStyle name="40% - Accent5 9 7 3" xfId="41508"/>
    <cellStyle name="40% - Accent5 9 7 3 2" xfId="41509"/>
    <cellStyle name="40% - Accent5 9 7 3 2 2" xfId="41510"/>
    <cellStyle name="40% - Accent5 9 7 3 3" xfId="41511"/>
    <cellStyle name="40% - Accent5 9 7 4" xfId="41512"/>
    <cellStyle name="40% - Accent5 9 7 4 2" xfId="41513"/>
    <cellStyle name="40% - Accent5 9 7 5" xfId="41514"/>
    <cellStyle name="40% - Accent5 9 8" xfId="41515"/>
    <cellStyle name="40% - Accent5 9 8 2" xfId="41516"/>
    <cellStyle name="40% - Accent5 9 8 2 2" xfId="41517"/>
    <cellStyle name="40% - Accent5 9 8 2 2 2" xfId="41518"/>
    <cellStyle name="40% - Accent5 9 8 2 3" xfId="41519"/>
    <cellStyle name="40% - Accent5 9 8 3" xfId="41520"/>
    <cellStyle name="40% - Accent5 9 8 3 2" xfId="41521"/>
    <cellStyle name="40% - Accent5 9 8 4" xfId="41522"/>
    <cellStyle name="40% - Accent5 9 9" xfId="41523"/>
    <cellStyle name="40% - Accent5 9 9 2" xfId="41524"/>
    <cellStyle name="40% - Accent5 9 9 2 2" xfId="41525"/>
    <cellStyle name="40% - Accent5 9 9 3" xfId="41526"/>
    <cellStyle name="40% - Accent6 10" xfId="41527"/>
    <cellStyle name="40% - Accent6 10 10" xfId="41528"/>
    <cellStyle name="40% - Accent6 10 10 2" xfId="41529"/>
    <cellStyle name="40% - Accent6 10 11" xfId="41530"/>
    <cellStyle name="40% - Accent6 10 2" xfId="41531"/>
    <cellStyle name="40% - Accent6 10 2 10" xfId="41532"/>
    <cellStyle name="40% - Accent6 10 2 2" xfId="41533"/>
    <cellStyle name="40% - Accent6 10 2 2 2" xfId="41534"/>
    <cellStyle name="40% - Accent6 10 2 2 2 2" xfId="41535"/>
    <cellStyle name="40% - Accent6 10 2 2 2 2 2" xfId="41536"/>
    <cellStyle name="40% - Accent6 10 2 2 2 2 2 2" xfId="41537"/>
    <cellStyle name="40% - Accent6 10 2 2 2 2 3" xfId="41538"/>
    <cellStyle name="40% - Accent6 10 2 2 2 3" xfId="41539"/>
    <cellStyle name="40% - Accent6 10 2 2 2 3 2" xfId="41540"/>
    <cellStyle name="40% - Accent6 10 2 2 2 4" xfId="41541"/>
    <cellStyle name="40% - Accent6 10 2 2 3" xfId="41542"/>
    <cellStyle name="40% - Accent6 10 2 2 3 2" xfId="41543"/>
    <cellStyle name="40% - Accent6 10 2 2 3 2 2" xfId="41544"/>
    <cellStyle name="40% - Accent6 10 2 2 3 3" xfId="41545"/>
    <cellStyle name="40% - Accent6 10 2 2 4" xfId="41546"/>
    <cellStyle name="40% - Accent6 10 2 2 4 2" xfId="41547"/>
    <cellStyle name="40% - Accent6 10 2 2 5" xfId="41548"/>
    <cellStyle name="40% - Accent6 10 2 3" xfId="41549"/>
    <cellStyle name="40% - Accent6 10 2 3 2" xfId="41550"/>
    <cellStyle name="40% - Accent6 10 2 3 2 2" xfId="41551"/>
    <cellStyle name="40% - Accent6 10 2 3 2 2 2" xfId="41552"/>
    <cellStyle name="40% - Accent6 10 2 3 2 2 2 2" xfId="41553"/>
    <cellStyle name="40% - Accent6 10 2 3 2 2 3" xfId="41554"/>
    <cellStyle name="40% - Accent6 10 2 3 2 3" xfId="41555"/>
    <cellStyle name="40% - Accent6 10 2 3 2 3 2" xfId="41556"/>
    <cellStyle name="40% - Accent6 10 2 3 2 4" xfId="41557"/>
    <cellStyle name="40% - Accent6 10 2 3 3" xfId="41558"/>
    <cellStyle name="40% - Accent6 10 2 3 3 2" xfId="41559"/>
    <cellStyle name="40% - Accent6 10 2 3 3 2 2" xfId="41560"/>
    <cellStyle name="40% - Accent6 10 2 3 3 3" xfId="41561"/>
    <cellStyle name="40% - Accent6 10 2 3 4" xfId="41562"/>
    <cellStyle name="40% - Accent6 10 2 3 4 2" xfId="41563"/>
    <cellStyle name="40% - Accent6 10 2 3 5" xfId="41564"/>
    <cellStyle name="40% - Accent6 10 2 4" xfId="41565"/>
    <cellStyle name="40% - Accent6 10 2 4 2" xfId="41566"/>
    <cellStyle name="40% - Accent6 10 2 4 2 2" xfId="41567"/>
    <cellStyle name="40% - Accent6 10 2 4 2 2 2" xfId="41568"/>
    <cellStyle name="40% - Accent6 10 2 4 2 2 2 2" xfId="41569"/>
    <cellStyle name="40% - Accent6 10 2 4 2 2 3" xfId="41570"/>
    <cellStyle name="40% - Accent6 10 2 4 2 3" xfId="41571"/>
    <cellStyle name="40% - Accent6 10 2 4 2 3 2" xfId="41572"/>
    <cellStyle name="40% - Accent6 10 2 4 2 4" xfId="41573"/>
    <cellStyle name="40% - Accent6 10 2 4 3" xfId="41574"/>
    <cellStyle name="40% - Accent6 10 2 4 3 2" xfId="41575"/>
    <cellStyle name="40% - Accent6 10 2 4 3 2 2" xfId="41576"/>
    <cellStyle name="40% - Accent6 10 2 4 3 3" xfId="41577"/>
    <cellStyle name="40% - Accent6 10 2 4 4" xfId="41578"/>
    <cellStyle name="40% - Accent6 10 2 4 4 2" xfId="41579"/>
    <cellStyle name="40% - Accent6 10 2 4 5" xfId="41580"/>
    <cellStyle name="40% - Accent6 10 2 5" xfId="41581"/>
    <cellStyle name="40% - Accent6 10 2 5 2" xfId="41582"/>
    <cellStyle name="40% - Accent6 10 2 5 2 2" xfId="41583"/>
    <cellStyle name="40% - Accent6 10 2 5 2 2 2" xfId="41584"/>
    <cellStyle name="40% - Accent6 10 2 5 2 2 2 2" xfId="41585"/>
    <cellStyle name="40% - Accent6 10 2 5 2 2 3" xfId="41586"/>
    <cellStyle name="40% - Accent6 10 2 5 2 3" xfId="41587"/>
    <cellStyle name="40% - Accent6 10 2 5 2 3 2" xfId="41588"/>
    <cellStyle name="40% - Accent6 10 2 5 2 4" xfId="41589"/>
    <cellStyle name="40% - Accent6 10 2 5 3" xfId="41590"/>
    <cellStyle name="40% - Accent6 10 2 5 3 2" xfId="41591"/>
    <cellStyle name="40% - Accent6 10 2 5 3 2 2" xfId="41592"/>
    <cellStyle name="40% - Accent6 10 2 5 3 3" xfId="41593"/>
    <cellStyle name="40% - Accent6 10 2 5 4" xfId="41594"/>
    <cellStyle name="40% - Accent6 10 2 5 4 2" xfId="41595"/>
    <cellStyle name="40% - Accent6 10 2 5 5" xfId="41596"/>
    <cellStyle name="40% - Accent6 10 2 6" xfId="41597"/>
    <cellStyle name="40% - Accent6 10 2 6 2" xfId="41598"/>
    <cellStyle name="40% - Accent6 10 2 6 2 2" xfId="41599"/>
    <cellStyle name="40% - Accent6 10 2 6 2 2 2" xfId="41600"/>
    <cellStyle name="40% - Accent6 10 2 6 2 2 2 2" xfId="41601"/>
    <cellStyle name="40% - Accent6 10 2 6 2 2 3" xfId="41602"/>
    <cellStyle name="40% - Accent6 10 2 6 2 3" xfId="41603"/>
    <cellStyle name="40% - Accent6 10 2 6 2 3 2" xfId="41604"/>
    <cellStyle name="40% - Accent6 10 2 6 2 4" xfId="41605"/>
    <cellStyle name="40% - Accent6 10 2 6 3" xfId="41606"/>
    <cellStyle name="40% - Accent6 10 2 6 3 2" xfId="41607"/>
    <cellStyle name="40% - Accent6 10 2 6 3 2 2" xfId="41608"/>
    <cellStyle name="40% - Accent6 10 2 6 3 3" xfId="41609"/>
    <cellStyle name="40% - Accent6 10 2 6 4" xfId="41610"/>
    <cellStyle name="40% - Accent6 10 2 6 4 2" xfId="41611"/>
    <cellStyle name="40% - Accent6 10 2 6 5" xfId="41612"/>
    <cellStyle name="40% - Accent6 10 2 7" xfId="41613"/>
    <cellStyle name="40% - Accent6 10 2 7 2" xfId="41614"/>
    <cellStyle name="40% - Accent6 10 2 7 2 2" xfId="41615"/>
    <cellStyle name="40% - Accent6 10 2 7 2 2 2" xfId="41616"/>
    <cellStyle name="40% - Accent6 10 2 7 2 3" xfId="41617"/>
    <cellStyle name="40% - Accent6 10 2 7 3" xfId="41618"/>
    <cellStyle name="40% - Accent6 10 2 7 3 2" xfId="41619"/>
    <cellStyle name="40% - Accent6 10 2 7 4" xfId="41620"/>
    <cellStyle name="40% - Accent6 10 2 8" xfId="41621"/>
    <cellStyle name="40% - Accent6 10 2 8 2" xfId="41622"/>
    <cellStyle name="40% - Accent6 10 2 8 2 2" xfId="41623"/>
    <cellStyle name="40% - Accent6 10 2 8 3" xfId="41624"/>
    <cellStyle name="40% - Accent6 10 2 9" xfId="41625"/>
    <cellStyle name="40% - Accent6 10 2 9 2" xfId="41626"/>
    <cellStyle name="40% - Accent6 10 3" xfId="41627"/>
    <cellStyle name="40% - Accent6 10 3 2" xfId="41628"/>
    <cellStyle name="40% - Accent6 10 3 2 2" xfId="41629"/>
    <cellStyle name="40% - Accent6 10 3 2 2 2" xfId="41630"/>
    <cellStyle name="40% - Accent6 10 3 2 2 2 2" xfId="41631"/>
    <cellStyle name="40% - Accent6 10 3 2 2 3" xfId="41632"/>
    <cellStyle name="40% - Accent6 10 3 2 3" xfId="41633"/>
    <cellStyle name="40% - Accent6 10 3 2 3 2" xfId="41634"/>
    <cellStyle name="40% - Accent6 10 3 2 4" xfId="41635"/>
    <cellStyle name="40% - Accent6 10 3 3" xfId="41636"/>
    <cellStyle name="40% - Accent6 10 3 3 2" xfId="41637"/>
    <cellStyle name="40% - Accent6 10 3 3 2 2" xfId="41638"/>
    <cellStyle name="40% - Accent6 10 3 3 3" xfId="41639"/>
    <cellStyle name="40% - Accent6 10 3 4" xfId="41640"/>
    <cellStyle name="40% - Accent6 10 3 4 2" xfId="41641"/>
    <cellStyle name="40% - Accent6 10 3 5" xfId="41642"/>
    <cellStyle name="40% - Accent6 10 4" xfId="41643"/>
    <cellStyle name="40% - Accent6 10 4 2" xfId="41644"/>
    <cellStyle name="40% - Accent6 10 4 2 2" xfId="41645"/>
    <cellStyle name="40% - Accent6 10 4 2 2 2" xfId="41646"/>
    <cellStyle name="40% - Accent6 10 4 2 2 2 2" xfId="41647"/>
    <cellStyle name="40% - Accent6 10 4 2 2 3" xfId="41648"/>
    <cellStyle name="40% - Accent6 10 4 2 3" xfId="41649"/>
    <cellStyle name="40% - Accent6 10 4 2 3 2" xfId="41650"/>
    <cellStyle name="40% - Accent6 10 4 2 4" xfId="41651"/>
    <cellStyle name="40% - Accent6 10 4 3" xfId="41652"/>
    <cellStyle name="40% - Accent6 10 4 3 2" xfId="41653"/>
    <cellStyle name="40% - Accent6 10 4 3 2 2" xfId="41654"/>
    <cellStyle name="40% - Accent6 10 4 3 3" xfId="41655"/>
    <cellStyle name="40% - Accent6 10 4 4" xfId="41656"/>
    <cellStyle name="40% - Accent6 10 4 4 2" xfId="41657"/>
    <cellStyle name="40% - Accent6 10 4 5" xfId="41658"/>
    <cellStyle name="40% - Accent6 10 5" xfId="41659"/>
    <cellStyle name="40% - Accent6 10 5 2" xfId="41660"/>
    <cellStyle name="40% - Accent6 10 5 2 2" xfId="41661"/>
    <cellStyle name="40% - Accent6 10 5 2 2 2" xfId="41662"/>
    <cellStyle name="40% - Accent6 10 5 2 2 2 2" xfId="41663"/>
    <cellStyle name="40% - Accent6 10 5 2 2 3" xfId="41664"/>
    <cellStyle name="40% - Accent6 10 5 2 3" xfId="41665"/>
    <cellStyle name="40% - Accent6 10 5 2 3 2" xfId="41666"/>
    <cellStyle name="40% - Accent6 10 5 2 4" xfId="41667"/>
    <cellStyle name="40% - Accent6 10 5 3" xfId="41668"/>
    <cellStyle name="40% - Accent6 10 5 3 2" xfId="41669"/>
    <cellStyle name="40% - Accent6 10 5 3 2 2" xfId="41670"/>
    <cellStyle name="40% - Accent6 10 5 3 3" xfId="41671"/>
    <cellStyle name="40% - Accent6 10 5 4" xfId="41672"/>
    <cellStyle name="40% - Accent6 10 5 4 2" xfId="41673"/>
    <cellStyle name="40% - Accent6 10 5 5" xfId="41674"/>
    <cellStyle name="40% - Accent6 10 6" xfId="41675"/>
    <cellStyle name="40% - Accent6 10 6 2" xfId="41676"/>
    <cellStyle name="40% - Accent6 10 6 2 2" xfId="41677"/>
    <cellStyle name="40% - Accent6 10 6 2 2 2" xfId="41678"/>
    <cellStyle name="40% - Accent6 10 6 2 2 2 2" xfId="41679"/>
    <cellStyle name="40% - Accent6 10 6 2 2 3" xfId="41680"/>
    <cellStyle name="40% - Accent6 10 6 2 3" xfId="41681"/>
    <cellStyle name="40% - Accent6 10 6 2 3 2" xfId="41682"/>
    <cellStyle name="40% - Accent6 10 6 2 4" xfId="41683"/>
    <cellStyle name="40% - Accent6 10 6 3" xfId="41684"/>
    <cellStyle name="40% - Accent6 10 6 3 2" xfId="41685"/>
    <cellStyle name="40% - Accent6 10 6 3 2 2" xfId="41686"/>
    <cellStyle name="40% - Accent6 10 6 3 3" xfId="41687"/>
    <cellStyle name="40% - Accent6 10 6 4" xfId="41688"/>
    <cellStyle name="40% - Accent6 10 6 4 2" xfId="41689"/>
    <cellStyle name="40% - Accent6 10 6 5" xfId="41690"/>
    <cellStyle name="40% - Accent6 10 7" xfId="41691"/>
    <cellStyle name="40% - Accent6 10 7 2" xfId="41692"/>
    <cellStyle name="40% - Accent6 10 7 2 2" xfId="41693"/>
    <cellStyle name="40% - Accent6 10 7 2 2 2" xfId="41694"/>
    <cellStyle name="40% - Accent6 10 7 2 2 2 2" xfId="41695"/>
    <cellStyle name="40% - Accent6 10 7 2 2 3" xfId="41696"/>
    <cellStyle name="40% - Accent6 10 7 2 3" xfId="41697"/>
    <cellStyle name="40% - Accent6 10 7 2 3 2" xfId="41698"/>
    <cellStyle name="40% - Accent6 10 7 2 4" xfId="41699"/>
    <cellStyle name="40% - Accent6 10 7 3" xfId="41700"/>
    <cellStyle name="40% - Accent6 10 7 3 2" xfId="41701"/>
    <cellStyle name="40% - Accent6 10 7 3 2 2" xfId="41702"/>
    <cellStyle name="40% - Accent6 10 7 3 3" xfId="41703"/>
    <cellStyle name="40% - Accent6 10 7 4" xfId="41704"/>
    <cellStyle name="40% - Accent6 10 7 4 2" xfId="41705"/>
    <cellStyle name="40% - Accent6 10 7 5" xfId="41706"/>
    <cellStyle name="40% - Accent6 10 8" xfId="41707"/>
    <cellStyle name="40% - Accent6 10 8 2" xfId="41708"/>
    <cellStyle name="40% - Accent6 10 8 2 2" xfId="41709"/>
    <cellStyle name="40% - Accent6 10 8 2 2 2" xfId="41710"/>
    <cellStyle name="40% - Accent6 10 8 2 3" xfId="41711"/>
    <cellStyle name="40% - Accent6 10 8 3" xfId="41712"/>
    <cellStyle name="40% - Accent6 10 8 3 2" xfId="41713"/>
    <cellStyle name="40% - Accent6 10 8 4" xfId="41714"/>
    <cellStyle name="40% - Accent6 10 9" xfId="41715"/>
    <cellStyle name="40% - Accent6 10 9 2" xfId="41716"/>
    <cellStyle name="40% - Accent6 10 9 2 2" xfId="41717"/>
    <cellStyle name="40% - Accent6 10 9 3" xfId="41718"/>
    <cellStyle name="40% - Accent6 11" xfId="41719"/>
    <cellStyle name="40% - Accent6 11 10" xfId="41720"/>
    <cellStyle name="40% - Accent6 11 10 2" xfId="41721"/>
    <cellStyle name="40% - Accent6 11 11" xfId="41722"/>
    <cellStyle name="40% - Accent6 11 2" xfId="41723"/>
    <cellStyle name="40% - Accent6 11 2 10" xfId="41724"/>
    <cellStyle name="40% - Accent6 11 2 2" xfId="41725"/>
    <cellStyle name="40% - Accent6 11 2 2 2" xfId="41726"/>
    <cellStyle name="40% - Accent6 11 2 2 2 2" xfId="41727"/>
    <cellStyle name="40% - Accent6 11 2 2 2 2 2" xfId="41728"/>
    <cellStyle name="40% - Accent6 11 2 2 2 2 2 2" xfId="41729"/>
    <cellStyle name="40% - Accent6 11 2 2 2 2 3" xfId="41730"/>
    <cellStyle name="40% - Accent6 11 2 2 2 3" xfId="41731"/>
    <cellStyle name="40% - Accent6 11 2 2 2 3 2" xfId="41732"/>
    <cellStyle name="40% - Accent6 11 2 2 2 4" xfId="41733"/>
    <cellStyle name="40% - Accent6 11 2 2 3" xfId="41734"/>
    <cellStyle name="40% - Accent6 11 2 2 3 2" xfId="41735"/>
    <cellStyle name="40% - Accent6 11 2 2 3 2 2" xfId="41736"/>
    <cellStyle name="40% - Accent6 11 2 2 3 3" xfId="41737"/>
    <cellStyle name="40% - Accent6 11 2 2 4" xfId="41738"/>
    <cellStyle name="40% - Accent6 11 2 2 4 2" xfId="41739"/>
    <cellStyle name="40% - Accent6 11 2 2 5" xfId="41740"/>
    <cellStyle name="40% - Accent6 11 2 3" xfId="41741"/>
    <cellStyle name="40% - Accent6 11 2 3 2" xfId="41742"/>
    <cellStyle name="40% - Accent6 11 2 3 2 2" xfId="41743"/>
    <cellStyle name="40% - Accent6 11 2 3 2 2 2" xfId="41744"/>
    <cellStyle name="40% - Accent6 11 2 3 2 2 2 2" xfId="41745"/>
    <cellStyle name="40% - Accent6 11 2 3 2 2 3" xfId="41746"/>
    <cellStyle name="40% - Accent6 11 2 3 2 3" xfId="41747"/>
    <cellStyle name="40% - Accent6 11 2 3 2 3 2" xfId="41748"/>
    <cellStyle name="40% - Accent6 11 2 3 2 4" xfId="41749"/>
    <cellStyle name="40% - Accent6 11 2 3 3" xfId="41750"/>
    <cellStyle name="40% - Accent6 11 2 3 3 2" xfId="41751"/>
    <cellStyle name="40% - Accent6 11 2 3 3 2 2" xfId="41752"/>
    <cellStyle name="40% - Accent6 11 2 3 3 3" xfId="41753"/>
    <cellStyle name="40% - Accent6 11 2 3 4" xfId="41754"/>
    <cellStyle name="40% - Accent6 11 2 3 4 2" xfId="41755"/>
    <cellStyle name="40% - Accent6 11 2 3 5" xfId="41756"/>
    <cellStyle name="40% - Accent6 11 2 4" xfId="41757"/>
    <cellStyle name="40% - Accent6 11 2 4 2" xfId="41758"/>
    <cellStyle name="40% - Accent6 11 2 4 2 2" xfId="41759"/>
    <cellStyle name="40% - Accent6 11 2 4 2 2 2" xfId="41760"/>
    <cellStyle name="40% - Accent6 11 2 4 2 2 2 2" xfId="41761"/>
    <cellStyle name="40% - Accent6 11 2 4 2 2 3" xfId="41762"/>
    <cellStyle name="40% - Accent6 11 2 4 2 3" xfId="41763"/>
    <cellStyle name="40% - Accent6 11 2 4 2 3 2" xfId="41764"/>
    <cellStyle name="40% - Accent6 11 2 4 2 4" xfId="41765"/>
    <cellStyle name="40% - Accent6 11 2 4 3" xfId="41766"/>
    <cellStyle name="40% - Accent6 11 2 4 3 2" xfId="41767"/>
    <cellStyle name="40% - Accent6 11 2 4 3 2 2" xfId="41768"/>
    <cellStyle name="40% - Accent6 11 2 4 3 3" xfId="41769"/>
    <cellStyle name="40% - Accent6 11 2 4 4" xfId="41770"/>
    <cellStyle name="40% - Accent6 11 2 4 4 2" xfId="41771"/>
    <cellStyle name="40% - Accent6 11 2 4 5" xfId="41772"/>
    <cellStyle name="40% - Accent6 11 2 5" xfId="41773"/>
    <cellStyle name="40% - Accent6 11 2 5 2" xfId="41774"/>
    <cellStyle name="40% - Accent6 11 2 5 2 2" xfId="41775"/>
    <cellStyle name="40% - Accent6 11 2 5 2 2 2" xfId="41776"/>
    <cellStyle name="40% - Accent6 11 2 5 2 2 2 2" xfId="41777"/>
    <cellStyle name="40% - Accent6 11 2 5 2 2 3" xfId="41778"/>
    <cellStyle name="40% - Accent6 11 2 5 2 3" xfId="41779"/>
    <cellStyle name="40% - Accent6 11 2 5 2 3 2" xfId="41780"/>
    <cellStyle name="40% - Accent6 11 2 5 2 4" xfId="41781"/>
    <cellStyle name="40% - Accent6 11 2 5 3" xfId="41782"/>
    <cellStyle name="40% - Accent6 11 2 5 3 2" xfId="41783"/>
    <cellStyle name="40% - Accent6 11 2 5 3 2 2" xfId="41784"/>
    <cellStyle name="40% - Accent6 11 2 5 3 3" xfId="41785"/>
    <cellStyle name="40% - Accent6 11 2 5 4" xfId="41786"/>
    <cellStyle name="40% - Accent6 11 2 5 4 2" xfId="41787"/>
    <cellStyle name="40% - Accent6 11 2 5 5" xfId="41788"/>
    <cellStyle name="40% - Accent6 11 2 6" xfId="41789"/>
    <cellStyle name="40% - Accent6 11 2 6 2" xfId="41790"/>
    <cellStyle name="40% - Accent6 11 2 6 2 2" xfId="41791"/>
    <cellStyle name="40% - Accent6 11 2 6 2 2 2" xfId="41792"/>
    <cellStyle name="40% - Accent6 11 2 6 2 2 2 2" xfId="41793"/>
    <cellStyle name="40% - Accent6 11 2 6 2 2 3" xfId="41794"/>
    <cellStyle name="40% - Accent6 11 2 6 2 3" xfId="41795"/>
    <cellStyle name="40% - Accent6 11 2 6 2 3 2" xfId="41796"/>
    <cellStyle name="40% - Accent6 11 2 6 2 4" xfId="41797"/>
    <cellStyle name="40% - Accent6 11 2 6 3" xfId="41798"/>
    <cellStyle name="40% - Accent6 11 2 6 3 2" xfId="41799"/>
    <cellStyle name="40% - Accent6 11 2 6 3 2 2" xfId="41800"/>
    <cellStyle name="40% - Accent6 11 2 6 3 3" xfId="41801"/>
    <cellStyle name="40% - Accent6 11 2 6 4" xfId="41802"/>
    <cellStyle name="40% - Accent6 11 2 6 4 2" xfId="41803"/>
    <cellStyle name="40% - Accent6 11 2 6 5" xfId="41804"/>
    <cellStyle name="40% - Accent6 11 2 7" xfId="41805"/>
    <cellStyle name="40% - Accent6 11 2 7 2" xfId="41806"/>
    <cellStyle name="40% - Accent6 11 2 7 2 2" xfId="41807"/>
    <cellStyle name="40% - Accent6 11 2 7 2 2 2" xfId="41808"/>
    <cellStyle name="40% - Accent6 11 2 7 2 3" xfId="41809"/>
    <cellStyle name="40% - Accent6 11 2 7 3" xfId="41810"/>
    <cellStyle name="40% - Accent6 11 2 7 3 2" xfId="41811"/>
    <cellStyle name="40% - Accent6 11 2 7 4" xfId="41812"/>
    <cellStyle name="40% - Accent6 11 2 8" xfId="41813"/>
    <cellStyle name="40% - Accent6 11 2 8 2" xfId="41814"/>
    <cellStyle name="40% - Accent6 11 2 8 2 2" xfId="41815"/>
    <cellStyle name="40% - Accent6 11 2 8 3" xfId="41816"/>
    <cellStyle name="40% - Accent6 11 2 9" xfId="41817"/>
    <cellStyle name="40% - Accent6 11 2 9 2" xfId="41818"/>
    <cellStyle name="40% - Accent6 11 3" xfId="41819"/>
    <cellStyle name="40% - Accent6 11 3 2" xfId="41820"/>
    <cellStyle name="40% - Accent6 11 3 2 2" xfId="41821"/>
    <cellStyle name="40% - Accent6 11 3 2 2 2" xfId="41822"/>
    <cellStyle name="40% - Accent6 11 3 2 2 2 2" xfId="41823"/>
    <cellStyle name="40% - Accent6 11 3 2 2 3" xfId="41824"/>
    <cellStyle name="40% - Accent6 11 3 2 3" xfId="41825"/>
    <cellStyle name="40% - Accent6 11 3 2 3 2" xfId="41826"/>
    <cellStyle name="40% - Accent6 11 3 2 4" xfId="41827"/>
    <cellStyle name="40% - Accent6 11 3 3" xfId="41828"/>
    <cellStyle name="40% - Accent6 11 3 3 2" xfId="41829"/>
    <cellStyle name="40% - Accent6 11 3 3 2 2" xfId="41830"/>
    <cellStyle name="40% - Accent6 11 3 3 3" xfId="41831"/>
    <cellStyle name="40% - Accent6 11 3 4" xfId="41832"/>
    <cellStyle name="40% - Accent6 11 3 4 2" xfId="41833"/>
    <cellStyle name="40% - Accent6 11 3 5" xfId="41834"/>
    <cellStyle name="40% - Accent6 11 4" xfId="41835"/>
    <cellStyle name="40% - Accent6 11 4 2" xfId="41836"/>
    <cellStyle name="40% - Accent6 11 4 2 2" xfId="41837"/>
    <cellStyle name="40% - Accent6 11 4 2 2 2" xfId="41838"/>
    <cellStyle name="40% - Accent6 11 4 2 2 2 2" xfId="41839"/>
    <cellStyle name="40% - Accent6 11 4 2 2 3" xfId="41840"/>
    <cellStyle name="40% - Accent6 11 4 2 3" xfId="41841"/>
    <cellStyle name="40% - Accent6 11 4 2 3 2" xfId="41842"/>
    <cellStyle name="40% - Accent6 11 4 2 4" xfId="41843"/>
    <cellStyle name="40% - Accent6 11 4 3" xfId="41844"/>
    <cellStyle name="40% - Accent6 11 4 3 2" xfId="41845"/>
    <cellStyle name="40% - Accent6 11 4 3 2 2" xfId="41846"/>
    <cellStyle name="40% - Accent6 11 4 3 3" xfId="41847"/>
    <cellStyle name="40% - Accent6 11 4 4" xfId="41848"/>
    <cellStyle name="40% - Accent6 11 4 4 2" xfId="41849"/>
    <cellStyle name="40% - Accent6 11 4 5" xfId="41850"/>
    <cellStyle name="40% - Accent6 11 5" xfId="41851"/>
    <cellStyle name="40% - Accent6 11 5 2" xfId="41852"/>
    <cellStyle name="40% - Accent6 11 5 2 2" xfId="41853"/>
    <cellStyle name="40% - Accent6 11 5 2 2 2" xfId="41854"/>
    <cellStyle name="40% - Accent6 11 5 2 2 2 2" xfId="41855"/>
    <cellStyle name="40% - Accent6 11 5 2 2 3" xfId="41856"/>
    <cellStyle name="40% - Accent6 11 5 2 3" xfId="41857"/>
    <cellStyle name="40% - Accent6 11 5 2 3 2" xfId="41858"/>
    <cellStyle name="40% - Accent6 11 5 2 4" xfId="41859"/>
    <cellStyle name="40% - Accent6 11 5 3" xfId="41860"/>
    <cellStyle name="40% - Accent6 11 5 3 2" xfId="41861"/>
    <cellStyle name="40% - Accent6 11 5 3 2 2" xfId="41862"/>
    <cellStyle name="40% - Accent6 11 5 3 3" xfId="41863"/>
    <cellStyle name="40% - Accent6 11 5 4" xfId="41864"/>
    <cellStyle name="40% - Accent6 11 5 4 2" xfId="41865"/>
    <cellStyle name="40% - Accent6 11 5 5" xfId="41866"/>
    <cellStyle name="40% - Accent6 11 6" xfId="41867"/>
    <cellStyle name="40% - Accent6 11 6 2" xfId="41868"/>
    <cellStyle name="40% - Accent6 11 6 2 2" xfId="41869"/>
    <cellStyle name="40% - Accent6 11 6 2 2 2" xfId="41870"/>
    <cellStyle name="40% - Accent6 11 6 2 2 2 2" xfId="41871"/>
    <cellStyle name="40% - Accent6 11 6 2 2 3" xfId="41872"/>
    <cellStyle name="40% - Accent6 11 6 2 3" xfId="41873"/>
    <cellStyle name="40% - Accent6 11 6 2 3 2" xfId="41874"/>
    <cellStyle name="40% - Accent6 11 6 2 4" xfId="41875"/>
    <cellStyle name="40% - Accent6 11 6 3" xfId="41876"/>
    <cellStyle name="40% - Accent6 11 6 3 2" xfId="41877"/>
    <cellStyle name="40% - Accent6 11 6 3 2 2" xfId="41878"/>
    <cellStyle name="40% - Accent6 11 6 3 3" xfId="41879"/>
    <cellStyle name="40% - Accent6 11 6 4" xfId="41880"/>
    <cellStyle name="40% - Accent6 11 6 4 2" xfId="41881"/>
    <cellStyle name="40% - Accent6 11 6 5" xfId="41882"/>
    <cellStyle name="40% - Accent6 11 7" xfId="41883"/>
    <cellStyle name="40% - Accent6 11 7 2" xfId="41884"/>
    <cellStyle name="40% - Accent6 11 7 2 2" xfId="41885"/>
    <cellStyle name="40% - Accent6 11 7 2 2 2" xfId="41886"/>
    <cellStyle name="40% - Accent6 11 7 2 2 2 2" xfId="41887"/>
    <cellStyle name="40% - Accent6 11 7 2 2 3" xfId="41888"/>
    <cellStyle name="40% - Accent6 11 7 2 3" xfId="41889"/>
    <cellStyle name="40% - Accent6 11 7 2 3 2" xfId="41890"/>
    <cellStyle name="40% - Accent6 11 7 2 4" xfId="41891"/>
    <cellStyle name="40% - Accent6 11 7 3" xfId="41892"/>
    <cellStyle name="40% - Accent6 11 7 3 2" xfId="41893"/>
    <cellStyle name="40% - Accent6 11 7 3 2 2" xfId="41894"/>
    <cellStyle name="40% - Accent6 11 7 3 3" xfId="41895"/>
    <cellStyle name="40% - Accent6 11 7 4" xfId="41896"/>
    <cellStyle name="40% - Accent6 11 7 4 2" xfId="41897"/>
    <cellStyle name="40% - Accent6 11 7 5" xfId="41898"/>
    <cellStyle name="40% - Accent6 11 8" xfId="41899"/>
    <cellStyle name="40% - Accent6 11 8 2" xfId="41900"/>
    <cellStyle name="40% - Accent6 11 8 2 2" xfId="41901"/>
    <cellStyle name="40% - Accent6 11 8 2 2 2" xfId="41902"/>
    <cellStyle name="40% - Accent6 11 8 2 3" xfId="41903"/>
    <cellStyle name="40% - Accent6 11 8 3" xfId="41904"/>
    <cellStyle name="40% - Accent6 11 8 3 2" xfId="41905"/>
    <cellStyle name="40% - Accent6 11 8 4" xfId="41906"/>
    <cellStyle name="40% - Accent6 11 9" xfId="41907"/>
    <cellStyle name="40% - Accent6 11 9 2" xfId="41908"/>
    <cellStyle name="40% - Accent6 11 9 2 2" xfId="41909"/>
    <cellStyle name="40% - Accent6 11 9 3" xfId="41910"/>
    <cellStyle name="40% - Accent6 12" xfId="41911"/>
    <cellStyle name="40% - Accent6 12 10" xfId="41912"/>
    <cellStyle name="40% - Accent6 12 2" xfId="41913"/>
    <cellStyle name="40% - Accent6 12 2 2" xfId="41914"/>
    <cellStyle name="40% - Accent6 12 2 2 2" xfId="41915"/>
    <cellStyle name="40% - Accent6 12 2 2 2 2" xfId="41916"/>
    <cellStyle name="40% - Accent6 12 2 2 2 2 2" xfId="41917"/>
    <cellStyle name="40% - Accent6 12 2 2 2 3" xfId="41918"/>
    <cellStyle name="40% - Accent6 12 2 2 3" xfId="41919"/>
    <cellStyle name="40% - Accent6 12 2 2 3 2" xfId="41920"/>
    <cellStyle name="40% - Accent6 12 2 2 4" xfId="41921"/>
    <cellStyle name="40% - Accent6 12 2 3" xfId="41922"/>
    <cellStyle name="40% - Accent6 12 2 3 2" xfId="41923"/>
    <cellStyle name="40% - Accent6 12 2 3 2 2" xfId="41924"/>
    <cellStyle name="40% - Accent6 12 2 3 3" xfId="41925"/>
    <cellStyle name="40% - Accent6 12 2 4" xfId="41926"/>
    <cellStyle name="40% - Accent6 12 2 4 2" xfId="41927"/>
    <cellStyle name="40% - Accent6 12 2 5" xfId="41928"/>
    <cellStyle name="40% - Accent6 12 3" xfId="41929"/>
    <cellStyle name="40% - Accent6 12 3 2" xfId="41930"/>
    <cellStyle name="40% - Accent6 12 3 2 2" xfId="41931"/>
    <cellStyle name="40% - Accent6 12 3 2 2 2" xfId="41932"/>
    <cellStyle name="40% - Accent6 12 3 2 2 2 2" xfId="41933"/>
    <cellStyle name="40% - Accent6 12 3 2 2 3" xfId="41934"/>
    <cellStyle name="40% - Accent6 12 3 2 3" xfId="41935"/>
    <cellStyle name="40% - Accent6 12 3 2 3 2" xfId="41936"/>
    <cellStyle name="40% - Accent6 12 3 2 4" xfId="41937"/>
    <cellStyle name="40% - Accent6 12 3 3" xfId="41938"/>
    <cellStyle name="40% - Accent6 12 3 3 2" xfId="41939"/>
    <cellStyle name="40% - Accent6 12 3 3 2 2" xfId="41940"/>
    <cellStyle name="40% - Accent6 12 3 3 3" xfId="41941"/>
    <cellStyle name="40% - Accent6 12 3 4" xfId="41942"/>
    <cellStyle name="40% - Accent6 12 3 4 2" xfId="41943"/>
    <cellStyle name="40% - Accent6 12 3 5" xfId="41944"/>
    <cellStyle name="40% - Accent6 12 4" xfId="41945"/>
    <cellStyle name="40% - Accent6 12 4 2" xfId="41946"/>
    <cellStyle name="40% - Accent6 12 4 2 2" xfId="41947"/>
    <cellStyle name="40% - Accent6 12 4 2 2 2" xfId="41948"/>
    <cellStyle name="40% - Accent6 12 4 2 2 2 2" xfId="41949"/>
    <cellStyle name="40% - Accent6 12 4 2 2 3" xfId="41950"/>
    <cellStyle name="40% - Accent6 12 4 2 3" xfId="41951"/>
    <cellStyle name="40% - Accent6 12 4 2 3 2" xfId="41952"/>
    <cellStyle name="40% - Accent6 12 4 2 4" xfId="41953"/>
    <cellStyle name="40% - Accent6 12 4 3" xfId="41954"/>
    <cellStyle name="40% - Accent6 12 4 3 2" xfId="41955"/>
    <cellStyle name="40% - Accent6 12 4 3 2 2" xfId="41956"/>
    <cellStyle name="40% - Accent6 12 4 3 3" xfId="41957"/>
    <cellStyle name="40% - Accent6 12 4 4" xfId="41958"/>
    <cellStyle name="40% - Accent6 12 4 4 2" xfId="41959"/>
    <cellStyle name="40% - Accent6 12 4 5" xfId="41960"/>
    <cellStyle name="40% - Accent6 12 5" xfId="41961"/>
    <cellStyle name="40% - Accent6 12 5 2" xfId="41962"/>
    <cellStyle name="40% - Accent6 12 5 2 2" xfId="41963"/>
    <cellStyle name="40% - Accent6 12 5 2 2 2" xfId="41964"/>
    <cellStyle name="40% - Accent6 12 5 2 2 2 2" xfId="41965"/>
    <cellStyle name="40% - Accent6 12 5 2 2 3" xfId="41966"/>
    <cellStyle name="40% - Accent6 12 5 2 3" xfId="41967"/>
    <cellStyle name="40% - Accent6 12 5 2 3 2" xfId="41968"/>
    <cellStyle name="40% - Accent6 12 5 2 4" xfId="41969"/>
    <cellStyle name="40% - Accent6 12 5 3" xfId="41970"/>
    <cellStyle name="40% - Accent6 12 5 3 2" xfId="41971"/>
    <cellStyle name="40% - Accent6 12 5 3 2 2" xfId="41972"/>
    <cellStyle name="40% - Accent6 12 5 3 3" xfId="41973"/>
    <cellStyle name="40% - Accent6 12 5 4" xfId="41974"/>
    <cellStyle name="40% - Accent6 12 5 4 2" xfId="41975"/>
    <cellStyle name="40% - Accent6 12 5 5" xfId="41976"/>
    <cellStyle name="40% - Accent6 12 6" xfId="41977"/>
    <cellStyle name="40% - Accent6 12 6 2" xfId="41978"/>
    <cellStyle name="40% - Accent6 12 6 2 2" xfId="41979"/>
    <cellStyle name="40% - Accent6 12 6 2 2 2" xfId="41980"/>
    <cellStyle name="40% - Accent6 12 6 2 2 2 2" xfId="41981"/>
    <cellStyle name="40% - Accent6 12 6 2 2 3" xfId="41982"/>
    <cellStyle name="40% - Accent6 12 6 2 3" xfId="41983"/>
    <cellStyle name="40% - Accent6 12 6 2 3 2" xfId="41984"/>
    <cellStyle name="40% - Accent6 12 6 2 4" xfId="41985"/>
    <cellStyle name="40% - Accent6 12 6 3" xfId="41986"/>
    <cellStyle name="40% - Accent6 12 6 3 2" xfId="41987"/>
    <cellStyle name="40% - Accent6 12 6 3 2 2" xfId="41988"/>
    <cellStyle name="40% - Accent6 12 6 3 3" xfId="41989"/>
    <cellStyle name="40% - Accent6 12 6 4" xfId="41990"/>
    <cellStyle name="40% - Accent6 12 6 4 2" xfId="41991"/>
    <cellStyle name="40% - Accent6 12 6 5" xfId="41992"/>
    <cellStyle name="40% - Accent6 12 7" xfId="41993"/>
    <cellStyle name="40% - Accent6 12 7 2" xfId="41994"/>
    <cellStyle name="40% - Accent6 12 7 2 2" xfId="41995"/>
    <cellStyle name="40% - Accent6 12 7 2 2 2" xfId="41996"/>
    <cellStyle name="40% - Accent6 12 7 2 3" xfId="41997"/>
    <cellStyle name="40% - Accent6 12 7 3" xfId="41998"/>
    <cellStyle name="40% - Accent6 12 7 3 2" xfId="41999"/>
    <cellStyle name="40% - Accent6 12 7 4" xfId="42000"/>
    <cellStyle name="40% - Accent6 12 8" xfId="42001"/>
    <cellStyle name="40% - Accent6 12 8 2" xfId="42002"/>
    <cellStyle name="40% - Accent6 12 8 2 2" xfId="42003"/>
    <cellStyle name="40% - Accent6 12 8 3" xfId="42004"/>
    <cellStyle name="40% - Accent6 12 9" xfId="42005"/>
    <cellStyle name="40% - Accent6 12 9 2" xfId="42006"/>
    <cellStyle name="40% - Accent6 13" xfId="42007"/>
    <cellStyle name="40% - Accent6 13 10" xfId="42008"/>
    <cellStyle name="40% - Accent6 13 2" xfId="42009"/>
    <cellStyle name="40% - Accent6 13 2 2" xfId="42010"/>
    <cellStyle name="40% - Accent6 13 2 2 2" xfId="42011"/>
    <cellStyle name="40% - Accent6 13 2 2 2 2" xfId="42012"/>
    <cellStyle name="40% - Accent6 13 2 2 2 2 2" xfId="42013"/>
    <cellStyle name="40% - Accent6 13 2 2 2 3" xfId="42014"/>
    <cellStyle name="40% - Accent6 13 2 2 3" xfId="42015"/>
    <cellStyle name="40% - Accent6 13 2 2 3 2" xfId="42016"/>
    <cellStyle name="40% - Accent6 13 2 2 4" xfId="42017"/>
    <cellStyle name="40% - Accent6 13 2 3" xfId="42018"/>
    <cellStyle name="40% - Accent6 13 2 3 2" xfId="42019"/>
    <cellStyle name="40% - Accent6 13 2 3 2 2" xfId="42020"/>
    <cellStyle name="40% - Accent6 13 2 3 3" xfId="42021"/>
    <cellStyle name="40% - Accent6 13 2 4" xfId="42022"/>
    <cellStyle name="40% - Accent6 13 2 4 2" xfId="42023"/>
    <cellStyle name="40% - Accent6 13 2 5" xfId="42024"/>
    <cellStyle name="40% - Accent6 13 3" xfId="42025"/>
    <cellStyle name="40% - Accent6 13 3 2" xfId="42026"/>
    <cellStyle name="40% - Accent6 13 3 2 2" xfId="42027"/>
    <cellStyle name="40% - Accent6 13 3 2 2 2" xfId="42028"/>
    <cellStyle name="40% - Accent6 13 3 2 2 2 2" xfId="42029"/>
    <cellStyle name="40% - Accent6 13 3 2 2 3" xfId="42030"/>
    <cellStyle name="40% - Accent6 13 3 2 3" xfId="42031"/>
    <cellStyle name="40% - Accent6 13 3 2 3 2" xfId="42032"/>
    <cellStyle name="40% - Accent6 13 3 2 4" xfId="42033"/>
    <cellStyle name="40% - Accent6 13 3 3" xfId="42034"/>
    <cellStyle name="40% - Accent6 13 3 3 2" xfId="42035"/>
    <cellStyle name="40% - Accent6 13 3 3 2 2" xfId="42036"/>
    <cellStyle name="40% - Accent6 13 3 3 3" xfId="42037"/>
    <cellStyle name="40% - Accent6 13 3 4" xfId="42038"/>
    <cellStyle name="40% - Accent6 13 3 4 2" xfId="42039"/>
    <cellStyle name="40% - Accent6 13 3 5" xfId="42040"/>
    <cellStyle name="40% - Accent6 13 4" xfId="42041"/>
    <cellStyle name="40% - Accent6 13 4 2" xfId="42042"/>
    <cellStyle name="40% - Accent6 13 4 2 2" xfId="42043"/>
    <cellStyle name="40% - Accent6 13 4 2 2 2" xfId="42044"/>
    <cellStyle name="40% - Accent6 13 4 2 2 2 2" xfId="42045"/>
    <cellStyle name="40% - Accent6 13 4 2 2 3" xfId="42046"/>
    <cellStyle name="40% - Accent6 13 4 2 3" xfId="42047"/>
    <cellStyle name="40% - Accent6 13 4 2 3 2" xfId="42048"/>
    <cellStyle name="40% - Accent6 13 4 2 4" xfId="42049"/>
    <cellStyle name="40% - Accent6 13 4 3" xfId="42050"/>
    <cellStyle name="40% - Accent6 13 4 3 2" xfId="42051"/>
    <cellStyle name="40% - Accent6 13 4 3 2 2" xfId="42052"/>
    <cellStyle name="40% - Accent6 13 4 3 3" xfId="42053"/>
    <cellStyle name="40% - Accent6 13 4 4" xfId="42054"/>
    <cellStyle name="40% - Accent6 13 4 4 2" xfId="42055"/>
    <cellStyle name="40% - Accent6 13 4 5" xfId="42056"/>
    <cellStyle name="40% - Accent6 13 5" xfId="42057"/>
    <cellStyle name="40% - Accent6 13 5 2" xfId="42058"/>
    <cellStyle name="40% - Accent6 13 5 2 2" xfId="42059"/>
    <cellStyle name="40% - Accent6 13 5 2 2 2" xfId="42060"/>
    <cellStyle name="40% - Accent6 13 5 2 2 2 2" xfId="42061"/>
    <cellStyle name="40% - Accent6 13 5 2 2 3" xfId="42062"/>
    <cellStyle name="40% - Accent6 13 5 2 3" xfId="42063"/>
    <cellStyle name="40% - Accent6 13 5 2 3 2" xfId="42064"/>
    <cellStyle name="40% - Accent6 13 5 2 4" xfId="42065"/>
    <cellStyle name="40% - Accent6 13 5 3" xfId="42066"/>
    <cellStyle name="40% - Accent6 13 5 3 2" xfId="42067"/>
    <cellStyle name="40% - Accent6 13 5 3 2 2" xfId="42068"/>
    <cellStyle name="40% - Accent6 13 5 3 3" xfId="42069"/>
    <cellStyle name="40% - Accent6 13 5 4" xfId="42070"/>
    <cellStyle name="40% - Accent6 13 5 4 2" xfId="42071"/>
    <cellStyle name="40% - Accent6 13 5 5" xfId="42072"/>
    <cellStyle name="40% - Accent6 13 6" xfId="42073"/>
    <cellStyle name="40% - Accent6 13 6 2" xfId="42074"/>
    <cellStyle name="40% - Accent6 13 6 2 2" xfId="42075"/>
    <cellStyle name="40% - Accent6 13 6 2 2 2" xfId="42076"/>
    <cellStyle name="40% - Accent6 13 6 2 2 2 2" xfId="42077"/>
    <cellStyle name="40% - Accent6 13 6 2 2 3" xfId="42078"/>
    <cellStyle name="40% - Accent6 13 6 2 3" xfId="42079"/>
    <cellStyle name="40% - Accent6 13 6 2 3 2" xfId="42080"/>
    <cellStyle name="40% - Accent6 13 6 2 4" xfId="42081"/>
    <cellStyle name="40% - Accent6 13 6 3" xfId="42082"/>
    <cellStyle name="40% - Accent6 13 6 3 2" xfId="42083"/>
    <cellStyle name="40% - Accent6 13 6 3 2 2" xfId="42084"/>
    <cellStyle name="40% - Accent6 13 6 3 3" xfId="42085"/>
    <cellStyle name="40% - Accent6 13 6 4" xfId="42086"/>
    <cellStyle name="40% - Accent6 13 6 4 2" xfId="42087"/>
    <cellStyle name="40% - Accent6 13 6 5" xfId="42088"/>
    <cellStyle name="40% - Accent6 13 7" xfId="42089"/>
    <cellStyle name="40% - Accent6 13 7 2" xfId="42090"/>
    <cellStyle name="40% - Accent6 13 7 2 2" xfId="42091"/>
    <cellStyle name="40% - Accent6 13 7 2 2 2" xfId="42092"/>
    <cellStyle name="40% - Accent6 13 7 2 3" xfId="42093"/>
    <cellStyle name="40% - Accent6 13 7 3" xfId="42094"/>
    <cellStyle name="40% - Accent6 13 7 3 2" xfId="42095"/>
    <cellStyle name="40% - Accent6 13 7 4" xfId="42096"/>
    <cellStyle name="40% - Accent6 13 8" xfId="42097"/>
    <cellStyle name="40% - Accent6 13 8 2" xfId="42098"/>
    <cellStyle name="40% - Accent6 13 8 2 2" xfId="42099"/>
    <cellStyle name="40% - Accent6 13 8 3" xfId="42100"/>
    <cellStyle name="40% - Accent6 13 9" xfId="42101"/>
    <cellStyle name="40% - Accent6 13 9 2" xfId="42102"/>
    <cellStyle name="40% - Accent6 14" xfId="42103"/>
    <cellStyle name="40% - Accent6 14 2" xfId="42104"/>
    <cellStyle name="40% - Accent6 14 2 2" xfId="42105"/>
    <cellStyle name="40% - Accent6 14 2 2 2" xfId="42106"/>
    <cellStyle name="40% - Accent6 14 2 2 2 2" xfId="42107"/>
    <cellStyle name="40% - Accent6 14 2 2 3" xfId="42108"/>
    <cellStyle name="40% - Accent6 14 2 3" xfId="42109"/>
    <cellStyle name="40% - Accent6 14 2 3 2" xfId="42110"/>
    <cellStyle name="40% - Accent6 14 2 4" xfId="42111"/>
    <cellStyle name="40% - Accent6 14 3" xfId="42112"/>
    <cellStyle name="40% - Accent6 14 3 2" xfId="42113"/>
    <cellStyle name="40% - Accent6 14 3 2 2" xfId="42114"/>
    <cellStyle name="40% - Accent6 14 3 3" xfId="42115"/>
    <cellStyle name="40% - Accent6 14 4" xfId="42116"/>
    <cellStyle name="40% - Accent6 14 4 2" xfId="42117"/>
    <cellStyle name="40% - Accent6 14 5" xfId="42118"/>
    <cellStyle name="40% - Accent6 15" xfId="42119"/>
    <cellStyle name="40% - Accent6 15 2" xfId="42120"/>
    <cellStyle name="40% - Accent6 15 2 2" xfId="42121"/>
    <cellStyle name="40% - Accent6 15 2 2 2" xfId="42122"/>
    <cellStyle name="40% - Accent6 15 2 2 2 2" xfId="42123"/>
    <cellStyle name="40% - Accent6 15 2 2 3" xfId="42124"/>
    <cellStyle name="40% - Accent6 15 2 3" xfId="42125"/>
    <cellStyle name="40% - Accent6 15 2 3 2" xfId="42126"/>
    <cellStyle name="40% - Accent6 15 2 4" xfId="42127"/>
    <cellStyle name="40% - Accent6 15 3" xfId="42128"/>
    <cellStyle name="40% - Accent6 15 3 2" xfId="42129"/>
    <cellStyle name="40% - Accent6 15 3 2 2" xfId="42130"/>
    <cellStyle name="40% - Accent6 15 3 3" xfId="42131"/>
    <cellStyle name="40% - Accent6 15 4" xfId="42132"/>
    <cellStyle name="40% - Accent6 15 4 2" xfId="42133"/>
    <cellStyle name="40% - Accent6 15 5" xfId="42134"/>
    <cellStyle name="40% - Accent6 16" xfId="42135"/>
    <cellStyle name="40% - Accent6 16 2" xfId="42136"/>
    <cellStyle name="40% - Accent6 16 2 2" xfId="42137"/>
    <cellStyle name="40% - Accent6 16 2 2 2" xfId="42138"/>
    <cellStyle name="40% - Accent6 16 2 2 2 2" xfId="42139"/>
    <cellStyle name="40% - Accent6 16 2 2 3" xfId="42140"/>
    <cellStyle name="40% - Accent6 16 2 3" xfId="42141"/>
    <cellStyle name="40% - Accent6 16 2 3 2" xfId="42142"/>
    <cellStyle name="40% - Accent6 16 2 4" xfId="42143"/>
    <cellStyle name="40% - Accent6 16 3" xfId="42144"/>
    <cellStyle name="40% - Accent6 16 3 2" xfId="42145"/>
    <cellStyle name="40% - Accent6 16 3 2 2" xfId="42146"/>
    <cellStyle name="40% - Accent6 16 3 3" xfId="42147"/>
    <cellStyle name="40% - Accent6 16 4" xfId="42148"/>
    <cellStyle name="40% - Accent6 16 4 2" xfId="42149"/>
    <cellStyle name="40% - Accent6 16 5" xfId="42150"/>
    <cellStyle name="40% - Accent6 17" xfId="42151"/>
    <cellStyle name="40% - Accent6 17 2" xfId="42152"/>
    <cellStyle name="40% - Accent6 17 2 2" xfId="42153"/>
    <cellStyle name="40% - Accent6 17 2 2 2" xfId="42154"/>
    <cellStyle name="40% - Accent6 17 2 2 2 2" xfId="42155"/>
    <cellStyle name="40% - Accent6 17 2 2 3" xfId="42156"/>
    <cellStyle name="40% - Accent6 17 2 3" xfId="42157"/>
    <cellStyle name="40% - Accent6 17 2 3 2" xfId="42158"/>
    <cellStyle name="40% - Accent6 17 2 4" xfId="42159"/>
    <cellStyle name="40% - Accent6 17 3" xfId="42160"/>
    <cellStyle name="40% - Accent6 17 3 2" xfId="42161"/>
    <cellStyle name="40% - Accent6 17 3 2 2" xfId="42162"/>
    <cellStyle name="40% - Accent6 17 3 3" xfId="42163"/>
    <cellStyle name="40% - Accent6 17 4" xfId="42164"/>
    <cellStyle name="40% - Accent6 17 4 2" xfId="42165"/>
    <cellStyle name="40% - Accent6 17 5" xfId="42166"/>
    <cellStyle name="40% - Accent6 18" xfId="42167"/>
    <cellStyle name="40% - Accent6 18 2" xfId="42168"/>
    <cellStyle name="40% - Accent6 18 2 2" xfId="42169"/>
    <cellStyle name="40% - Accent6 18 2 2 2" xfId="42170"/>
    <cellStyle name="40% - Accent6 18 2 2 2 2" xfId="42171"/>
    <cellStyle name="40% - Accent6 18 2 2 3" xfId="42172"/>
    <cellStyle name="40% - Accent6 18 2 3" xfId="42173"/>
    <cellStyle name="40% - Accent6 18 2 3 2" xfId="42174"/>
    <cellStyle name="40% - Accent6 18 2 4" xfId="42175"/>
    <cellStyle name="40% - Accent6 18 3" xfId="42176"/>
    <cellStyle name="40% - Accent6 18 3 2" xfId="42177"/>
    <cellStyle name="40% - Accent6 18 3 2 2" xfId="42178"/>
    <cellStyle name="40% - Accent6 18 3 3" xfId="42179"/>
    <cellStyle name="40% - Accent6 18 4" xfId="42180"/>
    <cellStyle name="40% - Accent6 18 4 2" xfId="42181"/>
    <cellStyle name="40% - Accent6 18 5" xfId="42182"/>
    <cellStyle name="40% - Accent6 19" xfId="42183"/>
    <cellStyle name="40% - Accent6 19 2" xfId="42184"/>
    <cellStyle name="40% - Accent6 19 2 2" xfId="42185"/>
    <cellStyle name="40% - Accent6 19 2 2 2" xfId="42186"/>
    <cellStyle name="40% - Accent6 19 2 2 2 2" xfId="42187"/>
    <cellStyle name="40% - Accent6 19 2 2 3" xfId="42188"/>
    <cellStyle name="40% - Accent6 19 2 3" xfId="42189"/>
    <cellStyle name="40% - Accent6 19 2 3 2" xfId="42190"/>
    <cellStyle name="40% - Accent6 19 2 4" xfId="42191"/>
    <cellStyle name="40% - Accent6 19 3" xfId="42192"/>
    <cellStyle name="40% - Accent6 19 3 2" xfId="42193"/>
    <cellStyle name="40% - Accent6 19 3 2 2" xfId="42194"/>
    <cellStyle name="40% - Accent6 19 3 3" xfId="42195"/>
    <cellStyle name="40% - Accent6 19 4" xfId="42196"/>
    <cellStyle name="40% - Accent6 19 4 2" xfId="42197"/>
    <cellStyle name="40% - Accent6 19 5" xfId="42198"/>
    <cellStyle name="40% - Accent6 2" xfId="42199"/>
    <cellStyle name="40% - Accent6 2 10" xfId="42200"/>
    <cellStyle name="40% - Accent6 2 10 10" xfId="42201"/>
    <cellStyle name="40% - Accent6 2 10 2" xfId="42202"/>
    <cellStyle name="40% - Accent6 2 10 2 2" xfId="42203"/>
    <cellStyle name="40% - Accent6 2 10 2 2 2" xfId="42204"/>
    <cellStyle name="40% - Accent6 2 10 2 2 2 2" xfId="42205"/>
    <cellStyle name="40% - Accent6 2 10 2 2 2 2 2" xfId="42206"/>
    <cellStyle name="40% - Accent6 2 10 2 2 2 3" xfId="42207"/>
    <cellStyle name="40% - Accent6 2 10 2 2 3" xfId="42208"/>
    <cellStyle name="40% - Accent6 2 10 2 2 3 2" xfId="42209"/>
    <cellStyle name="40% - Accent6 2 10 2 2 4" xfId="42210"/>
    <cellStyle name="40% - Accent6 2 10 2 3" xfId="42211"/>
    <cellStyle name="40% - Accent6 2 10 2 3 2" xfId="42212"/>
    <cellStyle name="40% - Accent6 2 10 2 3 2 2" xfId="42213"/>
    <cellStyle name="40% - Accent6 2 10 2 3 3" xfId="42214"/>
    <cellStyle name="40% - Accent6 2 10 2 4" xfId="42215"/>
    <cellStyle name="40% - Accent6 2 10 2 4 2" xfId="42216"/>
    <cellStyle name="40% - Accent6 2 10 2 5" xfId="42217"/>
    <cellStyle name="40% - Accent6 2 10 3" xfId="42218"/>
    <cellStyle name="40% - Accent6 2 10 3 2" xfId="42219"/>
    <cellStyle name="40% - Accent6 2 10 3 2 2" xfId="42220"/>
    <cellStyle name="40% - Accent6 2 10 3 2 2 2" xfId="42221"/>
    <cellStyle name="40% - Accent6 2 10 3 2 2 2 2" xfId="42222"/>
    <cellStyle name="40% - Accent6 2 10 3 2 2 3" xfId="42223"/>
    <cellStyle name="40% - Accent6 2 10 3 2 3" xfId="42224"/>
    <cellStyle name="40% - Accent6 2 10 3 2 3 2" xfId="42225"/>
    <cellStyle name="40% - Accent6 2 10 3 2 4" xfId="42226"/>
    <cellStyle name="40% - Accent6 2 10 3 3" xfId="42227"/>
    <cellStyle name="40% - Accent6 2 10 3 3 2" xfId="42228"/>
    <cellStyle name="40% - Accent6 2 10 3 3 2 2" xfId="42229"/>
    <cellStyle name="40% - Accent6 2 10 3 3 3" xfId="42230"/>
    <cellStyle name="40% - Accent6 2 10 3 4" xfId="42231"/>
    <cellStyle name="40% - Accent6 2 10 3 4 2" xfId="42232"/>
    <cellStyle name="40% - Accent6 2 10 3 5" xfId="42233"/>
    <cellStyle name="40% - Accent6 2 10 4" xfId="42234"/>
    <cellStyle name="40% - Accent6 2 10 4 2" xfId="42235"/>
    <cellStyle name="40% - Accent6 2 10 4 2 2" xfId="42236"/>
    <cellStyle name="40% - Accent6 2 10 4 2 2 2" xfId="42237"/>
    <cellStyle name="40% - Accent6 2 10 4 2 2 2 2" xfId="42238"/>
    <cellStyle name="40% - Accent6 2 10 4 2 2 3" xfId="42239"/>
    <cellStyle name="40% - Accent6 2 10 4 2 3" xfId="42240"/>
    <cellStyle name="40% - Accent6 2 10 4 2 3 2" xfId="42241"/>
    <cellStyle name="40% - Accent6 2 10 4 2 4" xfId="42242"/>
    <cellStyle name="40% - Accent6 2 10 4 3" xfId="42243"/>
    <cellStyle name="40% - Accent6 2 10 4 3 2" xfId="42244"/>
    <cellStyle name="40% - Accent6 2 10 4 3 2 2" xfId="42245"/>
    <cellStyle name="40% - Accent6 2 10 4 3 3" xfId="42246"/>
    <cellStyle name="40% - Accent6 2 10 4 4" xfId="42247"/>
    <cellStyle name="40% - Accent6 2 10 4 4 2" xfId="42248"/>
    <cellStyle name="40% - Accent6 2 10 4 5" xfId="42249"/>
    <cellStyle name="40% - Accent6 2 10 5" xfId="42250"/>
    <cellStyle name="40% - Accent6 2 10 5 2" xfId="42251"/>
    <cellStyle name="40% - Accent6 2 10 5 2 2" xfId="42252"/>
    <cellStyle name="40% - Accent6 2 10 5 2 2 2" xfId="42253"/>
    <cellStyle name="40% - Accent6 2 10 5 2 2 2 2" xfId="42254"/>
    <cellStyle name="40% - Accent6 2 10 5 2 2 3" xfId="42255"/>
    <cellStyle name="40% - Accent6 2 10 5 2 3" xfId="42256"/>
    <cellStyle name="40% - Accent6 2 10 5 2 3 2" xfId="42257"/>
    <cellStyle name="40% - Accent6 2 10 5 2 4" xfId="42258"/>
    <cellStyle name="40% - Accent6 2 10 5 3" xfId="42259"/>
    <cellStyle name="40% - Accent6 2 10 5 3 2" xfId="42260"/>
    <cellStyle name="40% - Accent6 2 10 5 3 2 2" xfId="42261"/>
    <cellStyle name="40% - Accent6 2 10 5 3 3" xfId="42262"/>
    <cellStyle name="40% - Accent6 2 10 5 4" xfId="42263"/>
    <cellStyle name="40% - Accent6 2 10 5 4 2" xfId="42264"/>
    <cellStyle name="40% - Accent6 2 10 5 5" xfId="42265"/>
    <cellStyle name="40% - Accent6 2 10 6" xfId="42266"/>
    <cellStyle name="40% - Accent6 2 10 6 2" xfId="42267"/>
    <cellStyle name="40% - Accent6 2 10 6 2 2" xfId="42268"/>
    <cellStyle name="40% - Accent6 2 10 6 2 2 2" xfId="42269"/>
    <cellStyle name="40% - Accent6 2 10 6 2 2 2 2" xfId="42270"/>
    <cellStyle name="40% - Accent6 2 10 6 2 2 3" xfId="42271"/>
    <cellStyle name="40% - Accent6 2 10 6 2 3" xfId="42272"/>
    <cellStyle name="40% - Accent6 2 10 6 2 3 2" xfId="42273"/>
    <cellStyle name="40% - Accent6 2 10 6 2 4" xfId="42274"/>
    <cellStyle name="40% - Accent6 2 10 6 3" xfId="42275"/>
    <cellStyle name="40% - Accent6 2 10 6 3 2" xfId="42276"/>
    <cellStyle name="40% - Accent6 2 10 6 3 2 2" xfId="42277"/>
    <cellStyle name="40% - Accent6 2 10 6 3 3" xfId="42278"/>
    <cellStyle name="40% - Accent6 2 10 6 4" xfId="42279"/>
    <cellStyle name="40% - Accent6 2 10 6 4 2" xfId="42280"/>
    <cellStyle name="40% - Accent6 2 10 6 5" xfId="42281"/>
    <cellStyle name="40% - Accent6 2 10 7" xfId="42282"/>
    <cellStyle name="40% - Accent6 2 10 7 2" xfId="42283"/>
    <cellStyle name="40% - Accent6 2 10 7 2 2" xfId="42284"/>
    <cellStyle name="40% - Accent6 2 10 7 2 2 2" xfId="42285"/>
    <cellStyle name="40% - Accent6 2 10 7 2 3" xfId="42286"/>
    <cellStyle name="40% - Accent6 2 10 7 3" xfId="42287"/>
    <cellStyle name="40% - Accent6 2 10 7 3 2" xfId="42288"/>
    <cellStyle name="40% - Accent6 2 10 7 4" xfId="42289"/>
    <cellStyle name="40% - Accent6 2 10 8" xfId="42290"/>
    <cellStyle name="40% - Accent6 2 10 8 2" xfId="42291"/>
    <cellStyle name="40% - Accent6 2 10 8 2 2" xfId="42292"/>
    <cellStyle name="40% - Accent6 2 10 8 3" xfId="42293"/>
    <cellStyle name="40% - Accent6 2 10 9" xfId="42294"/>
    <cellStyle name="40% - Accent6 2 10 9 2" xfId="42295"/>
    <cellStyle name="40% - Accent6 2 11" xfId="42296"/>
    <cellStyle name="40% - Accent6 2 11 2" xfId="42297"/>
    <cellStyle name="40% - Accent6 2 11 2 2" xfId="42298"/>
    <cellStyle name="40% - Accent6 2 11 2 2 2" xfId="42299"/>
    <cellStyle name="40% - Accent6 2 11 2 2 2 2" xfId="42300"/>
    <cellStyle name="40% - Accent6 2 11 2 2 3" xfId="42301"/>
    <cellStyle name="40% - Accent6 2 11 2 3" xfId="42302"/>
    <cellStyle name="40% - Accent6 2 11 2 3 2" xfId="42303"/>
    <cellStyle name="40% - Accent6 2 11 2 4" xfId="42304"/>
    <cellStyle name="40% - Accent6 2 11 3" xfId="42305"/>
    <cellStyle name="40% - Accent6 2 11 3 2" xfId="42306"/>
    <cellStyle name="40% - Accent6 2 11 3 2 2" xfId="42307"/>
    <cellStyle name="40% - Accent6 2 11 3 3" xfId="42308"/>
    <cellStyle name="40% - Accent6 2 11 4" xfId="42309"/>
    <cellStyle name="40% - Accent6 2 11 4 2" xfId="42310"/>
    <cellStyle name="40% - Accent6 2 11 5" xfId="42311"/>
    <cellStyle name="40% - Accent6 2 12" xfId="42312"/>
    <cellStyle name="40% - Accent6 2 12 2" xfId="42313"/>
    <cellStyle name="40% - Accent6 2 12 2 2" xfId="42314"/>
    <cellStyle name="40% - Accent6 2 12 2 2 2" xfId="42315"/>
    <cellStyle name="40% - Accent6 2 12 2 2 2 2" xfId="42316"/>
    <cellStyle name="40% - Accent6 2 12 2 2 3" xfId="42317"/>
    <cellStyle name="40% - Accent6 2 12 2 3" xfId="42318"/>
    <cellStyle name="40% - Accent6 2 12 2 3 2" xfId="42319"/>
    <cellStyle name="40% - Accent6 2 12 2 4" xfId="42320"/>
    <cellStyle name="40% - Accent6 2 12 3" xfId="42321"/>
    <cellStyle name="40% - Accent6 2 12 3 2" xfId="42322"/>
    <cellStyle name="40% - Accent6 2 12 3 2 2" xfId="42323"/>
    <cellStyle name="40% - Accent6 2 12 3 3" xfId="42324"/>
    <cellStyle name="40% - Accent6 2 12 4" xfId="42325"/>
    <cellStyle name="40% - Accent6 2 12 4 2" xfId="42326"/>
    <cellStyle name="40% - Accent6 2 12 5" xfId="42327"/>
    <cellStyle name="40% - Accent6 2 13" xfId="42328"/>
    <cellStyle name="40% - Accent6 2 13 2" xfId="42329"/>
    <cellStyle name="40% - Accent6 2 13 2 2" xfId="42330"/>
    <cellStyle name="40% - Accent6 2 13 2 2 2" xfId="42331"/>
    <cellStyle name="40% - Accent6 2 13 2 2 2 2" xfId="42332"/>
    <cellStyle name="40% - Accent6 2 13 2 2 3" xfId="42333"/>
    <cellStyle name="40% - Accent6 2 13 2 3" xfId="42334"/>
    <cellStyle name="40% - Accent6 2 13 2 3 2" xfId="42335"/>
    <cellStyle name="40% - Accent6 2 13 2 4" xfId="42336"/>
    <cellStyle name="40% - Accent6 2 13 3" xfId="42337"/>
    <cellStyle name="40% - Accent6 2 13 3 2" xfId="42338"/>
    <cellStyle name="40% - Accent6 2 13 3 2 2" xfId="42339"/>
    <cellStyle name="40% - Accent6 2 13 3 3" xfId="42340"/>
    <cellStyle name="40% - Accent6 2 13 4" xfId="42341"/>
    <cellStyle name="40% - Accent6 2 13 4 2" xfId="42342"/>
    <cellStyle name="40% - Accent6 2 13 5" xfId="42343"/>
    <cellStyle name="40% - Accent6 2 14" xfId="42344"/>
    <cellStyle name="40% - Accent6 2 14 2" xfId="42345"/>
    <cellStyle name="40% - Accent6 2 14 2 2" xfId="42346"/>
    <cellStyle name="40% - Accent6 2 14 2 2 2" xfId="42347"/>
    <cellStyle name="40% - Accent6 2 14 2 2 2 2" xfId="42348"/>
    <cellStyle name="40% - Accent6 2 14 2 2 3" xfId="42349"/>
    <cellStyle name="40% - Accent6 2 14 2 3" xfId="42350"/>
    <cellStyle name="40% - Accent6 2 14 2 3 2" xfId="42351"/>
    <cellStyle name="40% - Accent6 2 14 2 4" xfId="42352"/>
    <cellStyle name="40% - Accent6 2 14 3" xfId="42353"/>
    <cellStyle name="40% - Accent6 2 14 3 2" xfId="42354"/>
    <cellStyle name="40% - Accent6 2 14 3 2 2" xfId="42355"/>
    <cellStyle name="40% - Accent6 2 14 3 3" xfId="42356"/>
    <cellStyle name="40% - Accent6 2 14 4" xfId="42357"/>
    <cellStyle name="40% - Accent6 2 14 4 2" xfId="42358"/>
    <cellStyle name="40% - Accent6 2 14 5" xfId="42359"/>
    <cellStyle name="40% - Accent6 2 15" xfId="42360"/>
    <cellStyle name="40% - Accent6 2 15 2" xfId="42361"/>
    <cellStyle name="40% - Accent6 2 15 2 2" xfId="42362"/>
    <cellStyle name="40% - Accent6 2 15 2 2 2" xfId="42363"/>
    <cellStyle name="40% - Accent6 2 15 2 2 2 2" xfId="42364"/>
    <cellStyle name="40% - Accent6 2 15 2 2 3" xfId="42365"/>
    <cellStyle name="40% - Accent6 2 15 2 3" xfId="42366"/>
    <cellStyle name="40% - Accent6 2 15 2 3 2" xfId="42367"/>
    <cellStyle name="40% - Accent6 2 15 2 4" xfId="42368"/>
    <cellStyle name="40% - Accent6 2 15 3" xfId="42369"/>
    <cellStyle name="40% - Accent6 2 15 3 2" xfId="42370"/>
    <cellStyle name="40% - Accent6 2 15 3 2 2" xfId="42371"/>
    <cellStyle name="40% - Accent6 2 15 3 3" xfId="42372"/>
    <cellStyle name="40% - Accent6 2 15 4" xfId="42373"/>
    <cellStyle name="40% - Accent6 2 15 4 2" xfId="42374"/>
    <cellStyle name="40% - Accent6 2 15 5" xfId="42375"/>
    <cellStyle name="40% - Accent6 2 16" xfId="42376"/>
    <cellStyle name="40% - Accent6 2 16 2" xfId="42377"/>
    <cellStyle name="40% - Accent6 2 16 2 2" xfId="42378"/>
    <cellStyle name="40% - Accent6 2 16 2 2 2" xfId="42379"/>
    <cellStyle name="40% - Accent6 2 16 2 3" xfId="42380"/>
    <cellStyle name="40% - Accent6 2 16 3" xfId="42381"/>
    <cellStyle name="40% - Accent6 2 16 3 2" xfId="42382"/>
    <cellStyle name="40% - Accent6 2 16 4" xfId="42383"/>
    <cellStyle name="40% - Accent6 2 17" xfId="42384"/>
    <cellStyle name="40% - Accent6 2 17 2" xfId="42385"/>
    <cellStyle name="40% - Accent6 2 17 2 2" xfId="42386"/>
    <cellStyle name="40% - Accent6 2 17 3" xfId="42387"/>
    <cellStyle name="40% - Accent6 2 18" xfId="42388"/>
    <cellStyle name="40% - Accent6 2 18 2" xfId="42389"/>
    <cellStyle name="40% - Accent6 2 19" xfId="42390"/>
    <cellStyle name="40% - Accent6 2 2" xfId="42391"/>
    <cellStyle name="40% - Accent6 2 2 10" xfId="42392"/>
    <cellStyle name="40% - Accent6 2 2 10 2" xfId="42393"/>
    <cellStyle name="40% - Accent6 2 2 11" xfId="42394"/>
    <cellStyle name="40% - Accent6 2 2 2" xfId="42395"/>
    <cellStyle name="40% - Accent6 2 2 2 10" xfId="42396"/>
    <cellStyle name="40% - Accent6 2 2 2 2" xfId="42397"/>
    <cellStyle name="40% - Accent6 2 2 2 2 2" xfId="42398"/>
    <cellStyle name="40% - Accent6 2 2 2 2 2 2" xfId="42399"/>
    <cellStyle name="40% - Accent6 2 2 2 2 2 2 2" xfId="42400"/>
    <cellStyle name="40% - Accent6 2 2 2 2 2 2 2 2" xfId="42401"/>
    <cellStyle name="40% - Accent6 2 2 2 2 2 2 3" xfId="42402"/>
    <cellStyle name="40% - Accent6 2 2 2 2 2 3" xfId="42403"/>
    <cellStyle name="40% - Accent6 2 2 2 2 2 3 2" xfId="42404"/>
    <cellStyle name="40% - Accent6 2 2 2 2 2 4" xfId="42405"/>
    <cellStyle name="40% - Accent6 2 2 2 2 3" xfId="42406"/>
    <cellStyle name="40% - Accent6 2 2 2 2 3 2" xfId="42407"/>
    <cellStyle name="40% - Accent6 2 2 2 2 3 2 2" xfId="42408"/>
    <cellStyle name="40% - Accent6 2 2 2 2 3 3" xfId="42409"/>
    <cellStyle name="40% - Accent6 2 2 2 2 4" xfId="42410"/>
    <cellStyle name="40% - Accent6 2 2 2 2 4 2" xfId="42411"/>
    <cellStyle name="40% - Accent6 2 2 2 2 5" xfId="42412"/>
    <cellStyle name="40% - Accent6 2 2 2 3" xfId="42413"/>
    <cellStyle name="40% - Accent6 2 2 2 3 2" xfId="42414"/>
    <cellStyle name="40% - Accent6 2 2 2 3 2 2" xfId="42415"/>
    <cellStyle name="40% - Accent6 2 2 2 3 2 2 2" xfId="42416"/>
    <cellStyle name="40% - Accent6 2 2 2 3 2 2 2 2" xfId="42417"/>
    <cellStyle name="40% - Accent6 2 2 2 3 2 2 3" xfId="42418"/>
    <cellStyle name="40% - Accent6 2 2 2 3 2 3" xfId="42419"/>
    <cellStyle name="40% - Accent6 2 2 2 3 2 3 2" xfId="42420"/>
    <cellStyle name="40% - Accent6 2 2 2 3 2 4" xfId="42421"/>
    <cellStyle name="40% - Accent6 2 2 2 3 3" xfId="42422"/>
    <cellStyle name="40% - Accent6 2 2 2 3 3 2" xfId="42423"/>
    <cellStyle name="40% - Accent6 2 2 2 3 3 2 2" xfId="42424"/>
    <cellStyle name="40% - Accent6 2 2 2 3 3 3" xfId="42425"/>
    <cellStyle name="40% - Accent6 2 2 2 3 4" xfId="42426"/>
    <cellStyle name="40% - Accent6 2 2 2 3 4 2" xfId="42427"/>
    <cellStyle name="40% - Accent6 2 2 2 3 5" xfId="42428"/>
    <cellStyle name="40% - Accent6 2 2 2 4" xfId="42429"/>
    <cellStyle name="40% - Accent6 2 2 2 4 2" xfId="42430"/>
    <cellStyle name="40% - Accent6 2 2 2 4 2 2" xfId="42431"/>
    <cellStyle name="40% - Accent6 2 2 2 4 2 2 2" xfId="42432"/>
    <cellStyle name="40% - Accent6 2 2 2 4 2 2 2 2" xfId="42433"/>
    <cellStyle name="40% - Accent6 2 2 2 4 2 2 3" xfId="42434"/>
    <cellStyle name="40% - Accent6 2 2 2 4 2 3" xfId="42435"/>
    <cellStyle name="40% - Accent6 2 2 2 4 2 3 2" xfId="42436"/>
    <cellStyle name="40% - Accent6 2 2 2 4 2 4" xfId="42437"/>
    <cellStyle name="40% - Accent6 2 2 2 4 3" xfId="42438"/>
    <cellStyle name="40% - Accent6 2 2 2 4 3 2" xfId="42439"/>
    <cellStyle name="40% - Accent6 2 2 2 4 3 2 2" xfId="42440"/>
    <cellStyle name="40% - Accent6 2 2 2 4 3 3" xfId="42441"/>
    <cellStyle name="40% - Accent6 2 2 2 4 4" xfId="42442"/>
    <cellStyle name="40% - Accent6 2 2 2 4 4 2" xfId="42443"/>
    <cellStyle name="40% - Accent6 2 2 2 4 5" xfId="42444"/>
    <cellStyle name="40% - Accent6 2 2 2 5" xfId="42445"/>
    <cellStyle name="40% - Accent6 2 2 2 5 2" xfId="42446"/>
    <cellStyle name="40% - Accent6 2 2 2 5 2 2" xfId="42447"/>
    <cellStyle name="40% - Accent6 2 2 2 5 2 2 2" xfId="42448"/>
    <cellStyle name="40% - Accent6 2 2 2 5 2 2 2 2" xfId="42449"/>
    <cellStyle name="40% - Accent6 2 2 2 5 2 2 3" xfId="42450"/>
    <cellStyle name="40% - Accent6 2 2 2 5 2 3" xfId="42451"/>
    <cellStyle name="40% - Accent6 2 2 2 5 2 3 2" xfId="42452"/>
    <cellStyle name="40% - Accent6 2 2 2 5 2 4" xfId="42453"/>
    <cellStyle name="40% - Accent6 2 2 2 5 3" xfId="42454"/>
    <cellStyle name="40% - Accent6 2 2 2 5 3 2" xfId="42455"/>
    <cellStyle name="40% - Accent6 2 2 2 5 3 2 2" xfId="42456"/>
    <cellStyle name="40% - Accent6 2 2 2 5 3 3" xfId="42457"/>
    <cellStyle name="40% - Accent6 2 2 2 5 4" xfId="42458"/>
    <cellStyle name="40% - Accent6 2 2 2 5 4 2" xfId="42459"/>
    <cellStyle name="40% - Accent6 2 2 2 5 5" xfId="42460"/>
    <cellStyle name="40% - Accent6 2 2 2 6" xfId="42461"/>
    <cellStyle name="40% - Accent6 2 2 2 6 2" xfId="42462"/>
    <cellStyle name="40% - Accent6 2 2 2 6 2 2" xfId="42463"/>
    <cellStyle name="40% - Accent6 2 2 2 6 2 2 2" xfId="42464"/>
    <cellStyle name="40% - Accent6 2 2 2 6 2 2 2 2" xfId="42465"/>
    <cellStyle name="40% - Accent6 2 2 2 6 2 2 3" xfId="42466"/>
    <cellStyle name="40% - Accent6 2 2 2 6 2 3" xfId="42467"/>
    <cellStyle name="40% - Accent6 2 2 2 6 2 3 2" xfId="42468"/>
    <cellStyle name="40% - Accent6 2 2 2 6 2 4" xfId="42469"/>
    <cellStyle name="40% - Accent6 2 2 2 6 3" xfId="42470"/>
    <cellStyle name="40% - Accent6 2 2 2 6 3 2" xfId="42471"/>
    <cellStyle name="40% - Accent6 2 2 2 6 3 2 2" xfId="42472"/>
    <cellStyle name="40% - Accent6 2 2 2 6 3 3" xfId="42473"/>
    <cellStyle name="40% - Accent6 2 2 2 6 4" xfId="42474"/>
    <cellStyle name="40% - Accent6 2 2 2 6 4 2" xfId="42475"/>
    <cellStyle name="40% - Accent6 2 2 2 6 5" xfId="42476"/>
    <cellStyle name="40% - Accent6 2 2 2 7" xfId="42477"/>
    <cellStyle name="40% - Accent6 2 2 2 7 2" xfId="42478"/>
    <cellStyle name="40% - Accent6 2 2 2 7 2 2" xfId="42479"/>
    <cellStyle name="40% - Accent6 2 2 2 7 2 2 2" xfId="42480"/>
    <cellStyle name="40% - Accent6 2 2 2 7 2 3" xfId="42481"/>
    <cellStyle name="40% - Accent6 2 2 2 7 3" xfId="42482"/>
    <cellStyle name="40% - Accent6 2 2 2 7 3 2" xfId="42483"/>
    <cellStyle name="40% - Accent6 2 2 2 7 4" xfId="42484"/>
    <cellStyle name="40% - Accent6 2 2 2 8" xfId="42485"/>
    <cellStyle name="40% - Accent6 2 2 2 8 2" xfId="42486"/>
    <cellStyle name="40% - Accent6 2 2 2 8 2 2" xfId="42487"/>
    <cellStyle name="40% - Accent6 2 2 2 8 3" xfId="42488"/>
    <cellStyle name="40% - Accent6 2 2 2 9" xfId="42489"/>
    <cellStyle name="40% - Accent6 2 2 2 9 2" xfId="42490"/>
    <cellStyle name="40% - Accent6 2 2 3" xfId="42491"/>
    <cellStyle name="40% - Accent6 2 2 3 2" xfId="42492"/>
    <cellStyle name="40% - Accent6 2 2 3 2 2" xfId="42493"/>
    <cellStyle name="40% - Accent6 2 2 3 2 2 2" xfId="42494"/>
    <cellStyle name="40% - Accent6 2 2 3 2 2 2 2" xfId="42495"/>
    <cellStyle name="40% - Accent6 2 2 3 2 2 3" xfId="42496"/>
    <cellStyle name="40% - Accent6 2 2 3 2 3" xfId="42497"/>
    <cellStyle name="40% - Accent6 2 2 3 2 3 2" xfId="42498"/>
    <cellStyle name="40% - Accent6 2 2 3 2 4" xfId="42499"/>
    <cellStyle name="40% - Accent6 2 2 3 3" xfId="42500"/>
    <cellStyle name="40% - Accent6 2 2 3 3 2" xfId="42501"/>
    <cellStyle name="40% - Accent6 2 2 3 3 2 2" xfId="42502"/>
    <cellStyle name="40% - Accent6 2 2 3 3 3" xfId="42503"/>
    <cellStyle name="40% - Accent6 2 2 3 4" xfId="42504"/>
    <cellStyle name="40% - Accent6 2 2 3 4 2" xfId="42505"/>
    <cellStyle name="40% - Accent6 2 2 3 5" xfId="42506"/>
    <cellStyle name="40% - Accent6 2 2 4" xfId="42507"/>
    <cellStyle name="40% - Accent6 2 2 4 2" xfId="42508"/>
    <cellStyle name="40% - Accent6 2 2 4 2 2" xfId="42509"/>
    <cellStyle name="40% - Accent6 2 2 4 2 2 2" xfId="42510"/>
    <cellStyle name="40% - Accent6 2 2 4 2 2 2 2" xfId="42511"/>
    <cellStyle name="40% - Accent6 2 2 4 2 2 3" xfId="42512"/>
    <cellStyle name="40% - Accent6 2 2 4 2 3" xfId="42513"/>
    <cellStyle name="40% - Accent6 2 2 4 2 3 2" xfId="42514"/>
    <cellStyle name="40% - Accent6 2 2 4 2 4" xfId="42515"/>
    <cellStyle name="40% - Accent6 2 2 4 3" xfId="42516"/>
    <cellStyle name="40% - Accent6 2 2 4 3 2" xfId="42517"/>
    <cellStyle name="40% - Accent6 2 2 4 3 2 2" xfId="42518"/>
    <cellStyle name="40% - Accent6 2 2 4 3 3" xfId="42519"/>
    <cellStyle name="40% - Accent6 2 2 4 4" xfId="42520"/>
    <cellStyle name="40% - Accent6 2 2 4 4 2" xfId="42521"/>
    <cellStyle name="40% - Accent6 2 2 4 5" xfId="42522"/>
    <cellStyle name="40% - Accent6 2 2 5" xfId="42523"/>
    <cellStyle name="40% - Accent6 2 2 5 2" xfId="42524"/>
    <cellStyle name="40% - Accent6 2 2 5 2 2" xfId="42525"/>
    <cellStyle name="40% - Accent6 2 2 5 2 2 2" xfId="42526"/>
    <cellStyle name="40% - Accent6 2 2 5 2 2 2 2" xfId="42527"/>
    <cellStyle name="40% - Accent6 2 2 5 2 2 3" xfId="42528"/>
    <cellStyle name="40% - Accent6 2 2 5 2 3" xfId="42529"/>
    <cellStyle name="40% - Accent6 2 2 5 2 3 2" xfId="42530"/>
    <cellStyle name="40% - Accent6 2 2 5 2 4" xfId="42531"/>
    <cellStyle name="40% - Accent6 2 2 5 3" xfId="42532"/>
    <cellStyle name="40% - Accent6 2 2 5 3 2" xfId="42533"/>
    <cellStyle name="40% - Accent6 2 2 5 3 2 2" xfId="42534"/>
    <cellStyle name="40% - Accent6 2 2 5 3 3" xfId="42535"/>
    <cellStyle name="40% - Accent6 2 2 5 4" xfId="42536"/>
    <cellStyle name="40% - Accent6 2 2 5 4 2" xfId="42537"/>
    <cellStyle name="40% - Accent6 2 2 5 5" xfId="42538"/>
    <cellStyle name="40% - Accent6 2 2 6" xfId="42539"/>
    <cellStyle name="40% - Accent6 2 2 6 2" xfId="42540"/>
    <cellStyle name="40% - Accent6 2 2 6 2 2" xfId="42541"/>
    <cellStyle name="40% - Accent6 2 2 6 2 2 2" xfId="42542"/>
    <cellStyle name="40% - Accent6 2 2 6 2 2 2 2" xfId="42543"/>
    <cellStyle name="40% - Accent6 2 2 6 2 2 3" xfId="42544"/>
    <cellStyle name="40% - Accent6 2 2 6 2 3" xfId="42545"/>
    <cellStyle name="40% - Accent6 2 2 6 2 3 2" xfId="42546"/>
    <cellStyle name="40% - Accent6 2 2 6 2 4" xfId="42547"/>
    <cellStyle name="40% - Accent6 2 2 6 3" xfId="42548"/>
    <cellStyle name="40% - Accent6 2 2 6 3 2" xfId="42549"/>
    <cellStyle name="40% - Accent6 2 2 6 3 2 2" xfId="42550"/>
    <cellStyle name="40% - Accent6 2 2 6 3 3" xfId="42551"/>
    <cellStyle name="40% - Accent6 2 2 6 4" xfId="42552"/>
    <cellStyle name="40% - Accent6 2 2 6 4 2" xfId="42553"/>
    <cellStyle name="40% - Accent6 2 2 6 5" xfId="42554"/>
    <cellStyle name="40% - Accent6 2 2 7" xfId="42555"/>
    <cellStyle name="40% - Accent6 2 2 7 2" xfId="42556"/>
    <cellStyle name="40% - Accent6 2 2 7 2 2" xfId="42557"/>
    <cellStyle name="40% - Accent6 2 2 7 2 2 2" xfId="42558"/>
    <cellStyle name="40% - Accent6 2 2 7 2 2 2 2" xfId="42559"/>
    <cellStyle name="40% - Accent6 2 2 7 2 2 3" xfId="42560"/>
    <cellStyle name="40% - Accent6 2 2 7 2 3" xfId="42561"/>
    <cellStyle name="40% - Accent6 2 2 7 2 3 2" xfId="42562"/>
    <cellStyle name="40% - Accent6 2 2 7 2 4" xfId="42563"/>
    <cellStyle name="40% - Accent6 2 2 7 3" xfId="42564"/>
    <cellStyle name="40% - Accent6 2 2 7 3 2" xfId="42565"/>
    <cellStyle name="40% - Accent6 2 2 7 3 2 2" xfId="42566"/>
    <cellStyle name="40% - Accent6 2 2 7 3 3" xfId="42567"/>
    <cellStyle name="40% - Accent6 2 2 7 4" xfId="42568"/>
    <cellStyle name="40% - Accent6 2 2 7 4 2" xfId="42569"/>
    <cellStyle name="40% - Accent6 2 2 7 5" xfId="42570"/>
    <cellStyle name="40% - Accent6 2 2 8" xfId="42571"/>
    <cellStyle name="40% - Accent6 2 2 8 2" xfId="42572"/>
    <cellStyle name="40% - Accent6 2 2 8 2 2" xfId="42573"/>
    <cellStyle name="40% - Accent6 2 2 8 2 2 2" xfId="42574"/>
    <cellStyle name="40% - Accent6 2 2 8 2 3" xfId="42575"/>
    <cellStyle name="40% - Accent6 2 2 8 3" xfId="42576"/>
    <cellStyle name="40% - Accent6 2 2 8 3 2" xfId="42577"/>
    <cellStyle name="40% - Accent6 2 2 8 4" xfId="42578"/>
    <cellStyle name="40% - Accent6 2 2 9" xfId="42579"/>
    <cellStyle name="40% - Accent6 2 2 9 2" xfId="42580"/>
    <cellStyle name="40% - Accent6 2 2 9 2 2" xfId="42581"/>
    <cellStyle name="40% - Accent6 2 2 9 3" xfId="42582"/>
    <cellStyle name="40% - Accent6 2 3" xfId="42583"/>
    <cellStyle name="40% - Accent6 2 3 10" xfId="42584"/>
    <cellStyle name="40% - Accent6 2 3 10 2" xfId="42585"/>
    <cellStyle name="40% - Accent6 2 3 11" xfId="42586"/>
    <cellStyle name="40% - Accent6 2 3 2" xfId="42587"/>
    <cellStyle name="40% - Accent6 2 3 2 10" xfId="42588"/>
    <cellStyle name="40% - Accent6 2 3 2 2" xfId="42589"/>
    <cellStyle name="40% - Accent6 2 3 2 2 2" xfId="42590"/>
    <cellStyle name="40% - Accent6 2 3 2 2 2 2" xfId="42591"/>
    <cellStyle name="40% - Accent6 2 3 2 2 2 2 2" xfId="42592"/>
    <cellStyle name="40% - Accent6 2 3 2 2 2 2 2 2" xfId="42593"/>
    <cellStyle name="40% - Accent6 2 3 2 2 2 2 3" xfId="42594"/>
    <cellStyle name="40% - Accent6 2 3 2 2 2 3" xfId="42595"/>
    <cellStyle name="40% - Accent6 2 3 2 2 2 3 2" xfId="42596"/>
    <cellStyle name="40% - Accent6 2 3 2 2 2 4" xfId="42597"/>
    <cellStyle name="40% - Accent6 2 3 2 2 3" xfId="42598"/>
    <cellStyle name="40% - Accent6 2 3 2 2 3 2" xfId="42599"/>
    <cellStyle name="40% - Accent6 2 3 2 2 3 2 2" xfId="42600"/>
    <cellStyle name="40% - Accent6 2 3 2 2 3 3" xfId="42601"/>
    <cellStyle name="40% - Accent6 2 3 2 2 4" xfId="42602"/>
    <cellStyle name="40% - Accent6 2 3 2 2 4 2" xfId="42603"/>
    <cellStyle name="40% - Accent6 2 3 2 2 5" xfId="42604"/>
    <cellStyle name="40% - Accent6 2 3 2 3" xfId="42605"/>
    <cellStyle name="40% - Accent6 2 3 2 3 2" xfId="42606"/>
    <cellStyle name="40% - Accent6 2 3 2 3 2 2" xfId="42607"/>
    <cellStyle name="40% - Accent6 2 3 2 3 2 2 2" xfId="42608"/>
    <cellStyle name="40% - Accent6 2 3 2 3 2 2 2 2" xfId="42609"/>
    <cellStyle name="40% - Accent6 2 3 2 3 2 2 3" xfId="42610"/>
    <cellStyle name="40% - Accent6 2 3 2 3 2 3" xfId="42611"/>
    <cellStyle name="40% - Accent6 2 3 2 3 2 3 2" xfId="42612"/>
    <cellStyle name="40% - Accent6 2 3 2 3 2 4" xfId="42613"/>
    <cellStyle name="40% - Accent6 2 3 2 3 3" xfId="42614"/>
    <cellStyle name="40% - Accent6 2 3 2 3 3 2" xfId="42615"/>
    <cellStyle name="40% - Accent6 2 3 2 3 3 2 2" xfId="42616"/>
    <cellStyle name="40% - Accent6 2 3 2 3 3 3" xfId="42617"/>
    <cellStyle name="40% - Accent6 2 3 2 3 4" xfId="42618"/>
    <cellStyle name="40% - Accent6 2 3 2 3 4 2" xfId="42619"/>
    <cellStyle name="40% - Accent6 2 3 2 3 5" xfId="42620"/>
    <cellStyle name="40% - Accent6 2 3 2 4" xfId="42621"/>
    <cellStyle name="40% - Accent6 2 3 2 4 2" xfId="42622"/>
    <cellStyle name="40% - Accent6 2 3 2 4 2 2" xfId="42623"/>
    <cellStyle name="40% - Accent6 2 3 2 4 2 2 2" xfId="42624"/>
    <cellStyle name="40% - Accent6 2 3 2 4 2 2 2 2" xfId="42625"/>
    <cellStyle name="40% - Accent6 2 3 2 4 2 2 3" xfId="42626"/>
    <cellStyle name="40% - Accent6 2 3 2 4 2 3" xfId="42627"/>
    <cellStyle name="40% - Accent6 2 3 2 4 2 3 2" xfId="42628"/>
    <cellStyle name="40% - Accent6 2 3 2 4 2 4" xfId="42629"/>
    <cellStyle name="40% - Accent6 2 3 2 4 3" xfId="42630"/>
    <cellStyle name="40% - Accent6 2 3 2 4 3 2" xfId="42631"/>
    <cellStyle name="40% - Accent6 2 3 2 4 3 2 2" xfId="42632"/>
    <cellStyle name="40% - Accent6 2 3 2 4 3 3" xfId="42633"/>
    <cellStyle name="40% - Accent6 2 3 2 4 4" xfId="42634"/>
    <cellStyle name="40% - Accent6 2 3 2 4 4 2" xfId="42635"/>
    <cellStyle name="40% - Accent6 2 3 2 4 5" xfId="42636"/>
    <cellStyle name="40% - Accent6 2 3 2 5" xfId="42637"/>
    <cellStyle name="40% - Accent6 2 3 2 5 2" xfId="42638"/>
    <cellStyle name="40% - Accent6 2 3 2 5 2 2" xfId="42639"/>
    <cellStyle name="40% - Accent6 2 3 2 5 2 2 2" xfId="42640"/>
    <cellStyle name="40% - Accent6 2 3 2 5 2 2 2 2" xfId="42641"/>
    <cellStyle name="40% - Accent6 2 3 2 5 2 2 3" xfId="42642"/>
    <cellStyle name="40% - Accent6 2 3 2 5 2 3" xfId="42643"/>
    <cellStyle name="40% - Accent6 2 3 2 5 2 3 2" xfId="42644"/>
    <cellStyle name="40% - Accent6 2 3 2 5 2 4" xfId="42645"/>
    <cellStyle name="40% - Accent6 2 3 2 5 3" xfId="42646"/>
    <cellStyle name="40% - Accent6 2 3 2 5 3 2" xfId="42647"/>
    <cellStyle name="40% - Accent6 2 3 2 5 3 2 2" xfId="42648"/>
    <cellStyle name="40% - Accent6 2 3 2 5 3 3" xfId="42649"/>
    <cellStyle name="40% - Accent6 2 3 2 5 4" xfId="42650"/>
    <cellStyle name="40% - Accent6 2 3 2 5 4 2" xfId="42651"/>
    <cellStyle name="40% - Accent6 2 3 2 5 5" xfId="42652"/>
    <cellStyle name="40% - Accent6 2 3 2 6" xfId="42653"/>
    <cellStyle name="40% - Accent6 2 3 2 6 2" xfId="42654"/>
    <cellStyle name="40% - Accent6 2 3 2 6 2 2" xfId="42655"/>
    <cellStyle name="40% - Accent6 2 3 2 6 2 2 2" xfId="42656"/>
    <cellStyle name="40% - Accent6 2 3 2 6 2 2 2 2" xfId="42657"/>
    <cellStyle name="40% - Accent6 2 3 2 6 2 2 3" xfId="42658"/>
    <cellStyle name="40% - Accent6 2 3 2 6 2 3" xfId="42659"/>
    <cellStyle name="40% - Accent6 2 3 2 6 2 3 2" xfId="42660"/>
    <cellStyle name="40% - Accent6 2 3 2 6 2 4" xfId="42661"/>
    <cellStyle name="40% - Accent6 2 3 2 6 3" xfId="42662"/>
    <cellStyle name="40% - Accent6 2 3 2 6 3 2" xfId="42663"/>
    <cellStyle name="40% - Accent6 2 3 2 6 3 2 2" xfId="42664"/>
    <cellStyle name="40% - Accent6 2 3 2 6 3 3" xfId="42665"/>
    <cellStyle name="40% - Accent6 2 3 2 6 4" xfId="42666"/>
    <cellStyle name="40% - Accent6 2 3 2 6 4 2" xfId="42667"/>
    <cellStyle name="40% - Accent6 2 3 2 6 5" xfId="42668"/>
    <cellStyle name="40% - Accent6 2 3 2 7" xfId="42669"/>
    <cellStyle name="40% - Accent6 2 3 2 7 2" xfId="42670"/>
    <cellStyle name="40% - Accent6 2 3 2 7 2 2" xfId="42671"/>
    <cellStyle name="40% - Accent6 2 3 2 7 2 2 2" xfId="42672"/>
    <cellStyle name="40% - Accent6 2 3 2 7 2 3" xfId="42673"/>
    <cellStyle name="40% - Accent6 2 3 2 7 3" xfId="42674"/>
    <cellStyle name="40% - Accent6 2 3 2 7 3 2" xfId="42675"/>
    <cellStyle name="40% - Accent6 2 3 2 7 4" xfId="42676"/>
    <cellStyle name="40% - Accent6 2 3 2 8" xfId="42677"/>
    <cellStyle name="40% - Accent6 2 3 2 8 2" xfId="42678"/>
    <cellStyle name="40% - Accent6 2 3 2 8 2 2" xfId="42679"/>
    <cellStyle name="40% - Accent6 2 3 2 8 3" xfId="42680"/>
    <cellStyle name="40% - Accent6 2 3 2 9" xfId="42681"/>
    <cellStyle name="40% - Accent6 2 3 2 9 2" xfId="42682"/>
    <cellStyle name="40% - Accent6 2 3 3" xfId="42683"/>
    <cellStyle name="40% - Accent6 2 3 3 2" xfId="42684"/>
    <cellStyle name="40% - Accent6 2 3 3 2 2" xfId="42685"/>
    <cellStyle name="40% - Accent6 2 3 3 2 2 2" xfId="42686"/>
    <cellStyle name="40% - Accent6 2 3 3 2 2 2 2" xfId="42687"/>
    <cellStyle name="40% - Accent6 2 3 3 2 2 3" xfId="42688"/>
    <cellStyle name="40% - Accent6 2 3 3 2 3" xfId="42689"/>
    <cellStyle name="40% - Accent6 2 3 3 2 3 2" xfId="42690"/>
    <cellStyle name="40% - Accent6 2 3 3 2 4" xfId="42691"/>
    <cellStyle name="40% - Accent6 2 3 3 3" xfId="42692"/>
    <cellStyle name="40% - Accent6 2 3 3 3 2" xfId="42693"/>
    <cellStyle name="40% - Accent6 2 3 3 3 2 2" xfId="42694"/>
    <cellStyle name="40% - Accent6 2 3 3 3 3" xfId="42695"/>
    <cellStyle name="40% - Accent6 2 3 3 4" xfId="42696"/>
    <cellStyle name="40% - Accent6 2 3 3 4 2" xfId="42697"/>
    <cellStyle name="40% - Accent6 2 3 3 5" xfId="42698"/>
    <cellStyle name="40% - Accent6 2 3 4" xfId="42699"/>
    <cellStyle name="40% - Accent6 2 3 4 2" xfId="42700"/>
    <cellStyle name="40% - Accent6 2 3 4 2 2" xfId="42701"/>
    <cellStyle name="40% - Accent6 2 3 4 2 2 2" xfId="42702"/>
    <cellStyle name="40% - Accent6 2 3 4 2 2 2 2" xfId="42703"/>
    <cellStyle name="40% - Accent6 2 3 4 2 2 3" xfId="42704"/>
    <cellStyle name="40% - Accent6 2 3 4 2 3" xfId="42705"/>
    <cellStyle name="40% - Accent6 2 3 4 2 3 2" xfId="42706"/>
    <cellStyle name="40% - Accent6 2 3 4 2 4" xfId="42707"/>
    <cellStyle name="40% - Accent6 2 3 4 3" xfId="42708"/>
    <cellStyle name="40% - Accent6 2 3 4 3 2" xfId="42709"/>
    <cellStyle name="40% - Accent6 2 3 4 3 2 2" xfId="42710"/>
    <cellStyle name="40% - Accent6 2 3 4 3 3" xfId="42711"/>
    <cellStyle name="40% - Accent6 2 3 4 4" xfId="42712"/>
    <cellStyle name="40% - Accent6 2 3 4 4 2" xfId="42713"/>
    <cellStyle name="40% - Accent6 2 3 4 5" xfId="42714"/>
    <cellStyle name="40% - Accent6 2 3 5" xfId="42715"/>
    <cellStyle name="40% - Accent6 2 3 5 2" xfId="42716"/>
    <cellStyle name="40% - Accent6 2 3 5 2 2" xfId="42717"/>
    <cellStyle name="40% - Accent6 2 3 5 2 2 2" xfId="42718"/>
    <cellStyle name="40% - Accent6 2 3 5 2 2 2 2" xfId="42719"/>
    <cellStyle name="40% - Accent6 2 3 5 2 2 3" xfId="42720"/>
    <cellStyle name="40% - Accent6 2 3 5 2 3" xfId="42721"/>
    <cellStyle name="40% - Accent6 2 3 5 2 3 2" xfId="42722"/>
    <cellStyle name="40% - Accent6 2 3 5 2 4" xfId="42723"/>
    <cellStyle name="40% - Accent6 2 3 5 3" xfId="42724"/>
    <cellStyle name="40% - Accent6 2 3 5 3 2" xfId="42725"/>
    <cellStyle name="40% - Accent6 2 3 5 3 2 2" xfId="42726"/>
    <cellStyle name="40% - Accent6 2 3 5 3 3" xfId="42727"/>
    <cellStyle name="40% - Accent6 2 3 5 4" xfId="42728"/>
    <cellStyle name="40% - Accent6 2 3 5 4 2" xfId="42729"/>
    <cellStyle name="40% - Accent6 2 3 5 5" xfId="42730"/>
    <cellStyle name="40% - Accent6 2 3 6" xfId="42731"/>
    <cellStyle name="40% - Accent6 2 3 6 2" xfId="42732"/>
    <cellStyle name="40% - Accent6 2 3 6 2 2" xfId="42733"/>
    <cellStyle name="40% - Accent6 2 3 6 2 2 2" xfId="42734"/>
    <cellStyle name="40% - Accent6 2 3 6 2 2 2 2" xfId="42735"/>
    <cellStyle name="40% - Accent6 2 3 6 2 2 3" xfId="42736"/>
    <cellStyle name="40% - Accent6 2 3 6 2 3" xfId="42737"/>
    <cellStyle name="40% - Accent6 2 3 6 2 3 2" xfId="42738"/>
    <cellStyle name="40% - Accent6 2 3 6 2 4" xfId="42739"/>
    <cellStyle name="40% - Accent6 2 3 6 3" xfId="42740"/>
    <cellStyle name="40% - Accent6 2 3 6 3 2" xfId="42741"/>
    <cellStyle name="40% - Accent6 2 3 6 3 2 2" xfId="42742"/>
    <cellStyle name="40% - Accent6 2 3 6 3 3" xfId="42743"/>
    <cellStyle name="40% - Accent6 2 3 6 4" xfId="42744"/>
    <cellStyle name="40% - Accent6 2 3 6 4 2" xfId="42745"/>
    <cellStyle name="40% - Accent6 2 3 6 5" xfId="42746"/>
    <cellStyle name="40% - Accent6 2 3 7" xfId="42747"/>
    <cellStyle name="40% - Accent6 2 3 7 2" xfId="42748"/>
    <cellStyle name="40% - Accent6 2 3 7 2 2" xfId="42749"/>
    <cellStyle name="40% - Accent6 2 3 7 2 2 2" xfId="42750"/>
    <cellStyle name="40% - Accent6 2 3 7 2 2 2 2" xfId="42751"/>
    <cellStyle name="40% - Accent6 2 3 7 2 2 3" xfId="42752"/>
    <cellStyle name="40% - Accent6 2 3 7 2 3" xfId="42753"/>
    <cellStyle name="40% - Accent6 2 3 7 2 3 2" xfId="42754"/>
    <cellStyle name="40% - Accent6 2 3 7 2 4" xfId="42755"/>
    <cellStyle name="40% - Accent6 2 3 7 3" xfId="42756"/>
    <cellStyle name="40% - Accent6 2 3 7 3 2" xfId="42757"/>
    <cellStyle name="40% - Accent6 2 3 7 3 2 2" xfId="42758"/>
    <cellStyle name="40% - Accent6 2 3 7 3 3" xfId="42759"/>
    <cellStyle name="40% - Accent6 2 3 7 4" xfId="42760"/>
    <cellStyle name="40% - Accent6 2 3 7 4 2" xfId="42761"/>
    <cellStyle name="40% - Accent6 2 3 7 5" xfId="42762"/>
    <cellStyle name="40% - Accent6 2 3 8" xfId="42763"/>
    <cellStyle name="40% - Accent6 2 3 8 2" xfId="42764"/>
    <cellStyle name="40% - Accent6 2 3 8 2 2" xfId="42765"/>
    <cellStyle name="40% - Accent6 2 3 8 2 2 2" xfId="42766"/>
    <cellStyle name="40% - Accent6 2 3 8 2 3" xfId="42767"/>
    <cellStyle name="40% - Accent6 2 3 8 3" xfId="42768"/>
    <cellStyle name="40% - Accent6 2 3 8 3 2" xfId="42769"/>
    <cellStyle name="40% - Accent6 2 3 8 4" xfId="42770"/>
    <cellStyle name="40% - Accent6 2 3 9" xfId="42771"/>
    <cellStyle name="40% - Accent6 2 3 9 2" xfId="42772"/>
    <cellStyle name="40% - Accent6 2 3 9 2 2" xfId="42773"/>
    <cellStyle name="40% - Accent6 2 3 9 3" xfId="42774"/>
    <cellStyle name="40% - Accent6 2 4" xfId="42775"/>
    <cellStyle name="40% - Accent6 2 4 10" xfId="42776"/>
    <cellStyle name="40% - Accent6 2 4 10 2" xfId="42777"/>
    <cellStyle name="40% - Accent6 2 4 11" xfId="42778"/>
    <cellStyle name="40% - Accent6 2 4 2" xfId="42779"/>
    <cellStyle name="40% - Accent6 2 4 2 10" xfId="42780"/>
    <cellStyle name="40% - Accent6 2 4 2 2" xfId="42781"/>
    <cellStyle name="40% - Accent6 2 4 2 2 2" xfId="42782"/>
    <cellStyle name="40% - Accent6 2 4 2 2 2 2" xfId="42783"/>
    <cellStyle name="40% - Accent6 2 4 2 2 2 2 2" xfId="42784"/>
    <cellStyle name="40% - Accent6 2 4 2 2 2 2 2 2" xfId="42785"/>
    <cellStyle name="40% - Accent6 2 4 2 2 2 2 3" xfId="42786"/>
    <cellStyle name="40% - Accent6 2 4 2 2 2 3" xfId="42787"/>
    <cellStyle name="40% - Accent6 2 4 2 2 2 3 2" xfId="42788"/>
    <cellStyle name="40% - Accent6 2 4 2 2 2 4" xfId="42789"/>
    <cellStyle name="40% - Accent6 2 4 2 2 3" xfId="42790"/>
    <cellStyle name="40% - Accent6 2 4 2 2 3 2" xfId="42791"/>
    <cellStyle name="40% - Accent6 2 4 2 2 3 2 2" xfId="42792"/>
    <cellStyle name="40% - Accent6 2 4 2 2 3 3" xfId="42793"/>
    <cellStyle name="40% - Accent6 2 4 2 2 4" xfId="42794"/>
    <cellStyle name="40% - Accent6 2 4 2 2 4 2" xfId="42795"/>
    <cellStyle name="40% - Accent6 2 4 2 2 5" xfId="42796"/>
    <cellStyle name="40% - Accent6 2 4 2 3" xfId="42797"/>
    <cellStyle name="40% - Accent6 2 4 2 3 2" xfId="42798"/>
    <cellStyle name="40% - Accent6 2 4 2 3 2 2" xfId="42799"/>
    <cellStyle name="40% - Accent6 2 4 2 3 2 2 2" xfId="42800"/>
    <cellStyle name="40% - Accent6 2 4 2 3 2 2 2 2" xfId="42801"/>
    <cellStyle name="40% - Accent6 2 4 2 3 2 2 3" xfId="42802"/>
    <cellStyle name="40% - Accent6 2 4 2 3 2 3" xfId="42803"/>
    <cellStyle name="40% - Accent6 2 4 2 3 2 3 2" xfId="42804"/>
    <cellStyle name="40% - Accent6 2 4 2 3 2 4" xfId="42805"/>
    <cellStyle name="40% - Accent6 2 4 2 3 3" xfId="42806"/>
    <cellStyle name="40% - Accent6 2 4 2 3 3 2" xfId="42807"/>
    <cellStyle name="40% - Accent6 2 4 2 3 3 2 2" xfId="42808"/>
    <cellStyle name="40% - Accent6 2 4 2 3 3 3" xfId="42809"/>
    <cellStyle name="40% - Accent6 2 4 2 3 4" xfId="42810"/>
    <cellStyle name="40% - Accent6 2 4 2 3 4 2" xfId="42811"/>
    <cellStyle name="40% - Accent6 2 4 2 3 5" xfId="42812"/>
    <cellStyle name="40% - Accent6 2 4 2 4" xfId="42813"/>
    <cellStyle name="40% - Accent6 2 4 2 4 2" xfId="42814"/>
    <cellStyle name="40% - Accent6 2 4 2 4 2 2" xfId="42815"/>
    <cellStyle name="40% - Accent6 2 4 2 4 2 2 2" xfId="42816"/>
    <cellStyle name="40% - Accent6 2 4 2 4 2 2 2 2" xfId="42817"/>
    <cellStyle name="40% - Accent6 2 4 2 4 2 2 3" xfId="42818"/>
    <cellStyle name="40% - Accent6 2 4 2 4 2 3" xfId="42819"/>
    <cellStyle name="40% - Accent6 2 4 2 4 2 3 2" xfId="42820"/>
    <cellStyle name="40% - Accent6 2 4 2 4 2 4" xfId="42821"/>
    <cellStyle name="40% - Accent6 2 4 2 4 3" xfId="42822"/>
    <cellStyle name="40% - Accent6 2 4 2 4 3 2" xfId="42823"/>
    <cellStyle name="40% - Accent6 2 4 2 4 3 2 2" xfId="42824"/>
    <cellStyle name="40% - Accent6 2 4 2 4 3 3" xfId="42825"/>
    <cellStyle name="40% - Accent6 2 4 2 4 4" xfId="42826"/>
    <cellStyle name="40% - Accent6 2 4 2 4 4 2" xfId="42827"/>
    <cellStyle name="40% - Accent6 2 4 2 4 5" xfId="42828"/>
    <cellStyle name="40% - Accent6 2 4 2 5" xfId="42829"/>
    <cellStyle name="40% - Accent6 2 4 2 5 2" xfId="42830"/>
    <cellStyle name="40% - Accent6 2 4 2 5 2 2" xfId="42831"/>
    <cellStyle name="40% - Accent6 2 4 2 5 2 2 2" xfId="42832"/>
    <cellStyle name="40% - Accent6 2 4 2 5 2 2 2 2" xfId="42833"/>
    <cellStyle name="40% - Accent6 2 4 2 5 2 2 3" xfId="42834"/>
    <cellStyle name="40% - Accent6 2 4 2 5 2 3" xfId="42835"/>
    <cellStyle name="40% - Accent6 2 4 2 5 2 3 2" xfId="42836"/>
    <cellStyle name="40% - Accent6 2 4 2 5 2 4" xfId="42837"/>
    <cellStyle name="40% - Accent6 2 4 2 5 3" xfId="42838"/>
    <cellStyle name="40% - Accent6 2 4 2 5 3 2" xfId="42839"/>
    <cellStyle name="40% - Accent6 2 4 2 5 3 2 2" xfId="42840"/>
    <cellStyle name="40% - Accent6 2 4 2 5 3 3" xfId="42841"/>
    <cellStyle name="40% - Accent6 2 4 2 5 4" xfId="42842"/>
    <cellStyle name="40% - Accent6 2 4 2 5 4 2" xfId="42843"/>
    <cellStyle name="40% - Accent6 2 4 2 5 5" xfId="42844"/>
    <cellStyle name="40% - Accent6 2 4 2 6" xfId="42845"/>
    <cellStyle name="40% - Accent6 2 4 2 6 2" xfId="42846"/>
    <cellStyle name="40% - Accent6 2 4 2 6 2 2" xfId="42847"/>
    <cellStyle name="40% - Accent6 2 4 2 6 2 2 2" xfId="42848"/>
    <cellStyle name="40% - Accent6 2 4 2 6 2 2 2 2" xfId="42849"/>
    <cellStyle name="40% - Accent6 2 4 2 6 2 2 3" xfId="42850"/>
    <cellStyle name="40% - Accent6 2 4 2 6 2 3" xfId="42851"/>
    <cellStyle name="40% - Accent6 2 4 2 6 2 3 2" xfId="42852"/>
    <cellStyle name="40% - Accent6 2 4 2 6 2 4" xfId="42853"/>
    <cellStyle name="40% - Accent6 2 4 2 6 3" xfId="42854"/>
    <cellStyle name="40% - Accent6 2 4 2 6 3 2" xfId="42855"/>
    <cellStyle name="40% - Accent6 2 4 2 6 3 2 2" xfId="42856"/>
    <cellStyle name="40% - Accent6 2 4 2 6 3 3" xfId="42857"/>
    <cellStyle name="40% - Accent6 2 4 2 6 4" xfId="42858"/>
    <cellStyle name="40% - Accent6 2 4 2 6 4 2" xfId="42859"/>
    <cellStyle name="40% - Accent6 2 4 2 6 5" xfId="42860"/>
    <cellStyle name="40% - Accent6 2 4 2 7" xfId="42861"/>
    <cellStyle name="40% - Accent6 2 4 2 7 2" xfId="42862"/>
    <cellStyle name="40% - Accent6 2 4 2 7 2 2" xfId="42863"/>
    <cellStyle name="40% - Accent6 2 4 2 7 2 2 2" xfId="42864"/>
    <cellStyle name="40% - Accent6 2 4 2 7 2 3" xfId="42865"/>
    <cellStyle name="40% - Accent6 2 4 2 7 3" xfId="42866"/>
    <cellStyle name="40% - Accent6 2 4 2 7 3 2" xfId="42867"/>
    <cellStyle name="40% - Accent6 2 4 2 7 4" xfId="42868"/>
    <cellStyle name="40% - Accent6 2 4 2 8" xfId="42869"/>
    <cellStyle name="40% - Accent6 2 4 2 8 2" xfId="42870"/>
    <cellStyle name="40% - Accent6 2 4 2 8 2 2" xfId="42871"/>
    <cellStyle name="40% - Accent6 2 4 2 8 3" xfId="42872"/>
    <cellStyle name="40% - Accent6 2 4 2 9" xfId="42873"/>
    <cellStyle name="40% - Accent6 2 4 2 9 2" xfId="42874"/>
    <cellStyle name="40% - Accent6 2 4 3" xfId="42875"/>
    <cellStyle name="40% - Accent6 2 4 3 2" xfId="42876"/>
    <cellStyle name="40% - Accent6 2 4 3 2 2" xfId="42877"/>
    <cellStyle name="40% - Accent6 2 4 3 2 2 2" xfId="42878"/>
    <cellStyle name="40% - Accent6 2 4 3 2 2 2 2" xfId="42879"/>
    <cellStyle name="40% - Accent6 2 4 3 2 2 3" xfId="42880"/>
    <cellStyle name="40% - Accent6 2 4 3 2 3" xfId="42881"/>
    <cellStyle name="40% - Accent6 2 4 3 2 3 2" xfId="42882"/>
    <cellStyle name="40% - Accent6 2 4 3 2 4" xfId="42883"/>
    <cellStyle name="40% - Accent6 2 4 3 3" xfId="42884"/>
    <cellStyle name="40% - Accent6 2 4 3 3 2" xfId="42885"/>
    <cellStyle name="40% - Accent6 2 4 3 3 2 2" xfId="42886"/>
    <cellStyle name="40% - Accent6 2 4 3 3 3" xfId="42887"/>
    <cellStyle name="40% - Accent6 2 4 3 4" xfId="42888"/>
    <cellStyle name="40% - Accent6 2 4 3 4 2" xfId="42889"/>
    <cellStyle name="40% - Accent6 2 4 3 5" xfId="42890"/>
    <cellStyle name="40% - Accent6 2 4 4" xfId="42891"/>
    <cellStyle name="40% - Accent6 2 4 4 2" xfId="42892"/>
    <cellStyle name="40% - Accent6 2 4 4 2 2" xfId="42893"/>
    <cellStyle name="40% - Accent6 2 4 4 2 2 2" xfId="42894"/>
    <cellStyle name="40% - Accent6 2 4 4 2 2 2 2" xfId="42895"/>
    <cellStyle name="40% - Accent6 2 4 4 2 2 3" xfId="42896"/>
    <cellStyle name="40% - Accent6 2 4 4 2 3" xfId="42897"/>
    <cellStyle name="40% - Accent6 2 4 4 2 3 2" xfId="42898"/>
    <cellStyle name="40% - Accent6 2 4 4 2 4" xfId="42899"/>
    <cellStyle name="40% - Accent6 2 4 4 3" xfId="42900"/>
    <cellStyle name="40% - Accent6 2 4 4 3 2" xfId="42901"/>
    <cellStyle name="40% - Accent6 2 4 4 3 2 2" xfId="42902"/>
    <cellStyle name="40% - Accent6 2 4 4 3 3" xfId="42903"/>
    <cellStyle name="40% - Accent6 2 4 4 4" xfId="42904"/>
    <cellStyle name="40% - Accent6 2 4 4 4 2" xfId="42905"/>
    <cellStyle name="40% - Accent6 2 4 4 5" xfId="42906"/>
    <cellStyle name="40% - Accent6 2 4 5" xfId="42907"/>
    <cellStyle name="40% - Accent6 2 4 5 2" xfId="42908"/>
    <cellStyle name="40% - Accent6 2 4 5 2 2" xfId="42909"/>
    <cellStyle name="40% - Accent6 2 4 5 2 2 2" xfId="42910"/>
    <cellStyle name="40% - Accent6 2 4 5 2 2 2 2" xfId="42911"/>
    <cellStyle name="40% - Accent6 2 4 5 2 2 3" xfId="42912"/>
    <cellStyle name="40% - Accent6 2 4 5 2 3" xfId="42913"/>
    <cellStyle name="40% - Accent6 2 4 5 2 3 2" xfId="42914"/>
    <cellStyle name="40% - Accent6 2 4 5 2 4" xfId="42915"/>
    <cellStyle name="40% - Accent6 2 4 5 3" xfId="42916"/>
    <cellStyle name="40% - Accent6 2 4 5 3 2" xfId="42917"/>
    <cellStyle name="40% - Accent6 2 4 5 3 2 2" xfId="42918"/>
    <cellStyle name="40% - Accent6 2 4 5 3 3" xfId="42919"/>
    <cellStyle name="40% - Accent6 2 4 5 4" xfId="42920"/>
    <cellStyle name="40% - Accent6 2 4 5 4 2" xfId="42921"/>
    <cellStyle name="40% - Accent6 2 4 5 5" xfId="42922"/>
    <cellStyle name="40% - Accent6 2 4 6" xfId="42923"/>
    <cellStyle name="40% - Accent6 2 4 6 2" xfId="42924"/>
    <cellStyle name="40% - Accent6 2 4 6 2 2" xfId="42925"/>
    <cellStyle name="40% - Accent6 2 4 6 2 2 2" xfId="42926"/>
    <cellStyle name="40% - Accent6 2 4 6 2 2 2 2" xfId="42927"/>
    <cellStyle name="40% - Accent6 2 4 6 2 2 3" xfId="42928"/>
    <cellStyle name="40% - Accent6 2 4 6 2 3" xfId="42929"/>
    <cellStyle name="40% - Accent6 2 4 6 2 3 2" xfId="42930"/>
    <cellStyle name="40% - Accent6 2 4 6 2 4" xfId="42931"/>
    <cellStyle name="40% - Accent6 2 4 6 3" xfId="42932"/>
    <cellStyle name="40% - Accent6 2 4 6 3 2" xfId="42933"/>
    <cellStyle name="40% - Accent6 2 4 6 3 2 2" xfId="42934"/>
    <cellStyle name="40% - Accent6 2 4 6 3 3" xfId="42935"/>
    <cellStyle name="40% - Accent6 2 4 6 4" xfId="42936"/>
    <cellStyle name="40% - Accent6 2 4 6 4 2" xfId="42937"/>
    <cellStyle name="40% - Accent6 2 4 6 5" xfId="42938"/>
    <cellStyle name="40% - Accent6 2 4 7" xfId="42939"/>
    <cellStyle name="40% - Accent6 2 4 7 2" xfId="42940"/>
    <cellStyle name="40% - Accent6 2 4 7 2 2" xfId="42941"/>
    <cellStyle name="40% - Accent6 2 4 7 2 2 2" xfId="42942"/>
    <cellStyle name="40% - Accent6 2 4 7 2 2 2 2" xfId="42943"/>
    <cellStyle name="40% - Accent6 2 4 7 2 2 3" xfId="42944"/>
    <cellStyle name="40% - Accent6 2 4 7 2 3" xfId="42945"/>
    <cellStyle name="40% - Accent6 2 4 7 2 3 2" xfId="42946"/>
    <cellStyle name="40% - Accent6 2 4 7 2 4" xfId="42947"/>
    <cellStyle name="40% - Accent6 2 4 7 3" xfId="42948"/>
    <cellStyle name="40% - Accent6 2 4 7 3 2" xfId="42949"/>
    <cellStyle name="40% - Accent6 2 4 7 3 2 2" xfId="42950"/>
    <cellStyle name="40% - Accent6 2 4 7 3 3" xfId="42951"/>
    <cellStyle name="40% - Accent6 2 4 7 4" xfId="42952"/>
    <cellStyle name="40% - Accent6 2 4 7 4 2" xfId="42953"/>
    <cellStyle name="40% - Accent6 2 4 7 5" xfId="42954"/>
    <cellStyle name="40% - Accent6 2 4 8" xfId="42955"/>
    <cellStyle name="40% - Accent6 2 4 8 2" xfId="42956"/>
    <cellStyle name="40% - Accent6 2 4 8 2 2" xfId="42957"/>
    <cellStyle name="40% - Accent6 2 4 8 2 2 2" xfId="42958"/>
    <cellStyle name="40% - Accent6 2 4 8 2 3" xfId="42959"/>
    <cellStyle name="40% - Accent6 2 4 8 3" xfId="42960"/>
    <cellStyle name="40% - Accent6 2 4 8 3 2" xfId="42961"/>
    <cellStyle name="40% - Accent6 2 4 8 4" xfId="42962"/>
    <cellStyle name="40% - Accent6 2 4 9" xfId="42963"/>
    <cellStyle name="40% - Accent6 2 4 9 2" xfId="42964"/>
    <cellStyle name="40% - Accent6 2 4 9 2 2" xfId="42965"/>
    <cellStyle name="40% - Accent6 2 4 9 3" xfId="42966"/>
    <cellStyle name="40% - Accent6 2 5" xfId="42967"/>
    <cellStyle name="40% - Accent6 2 5 10" xfId="42968"/>
    <cellStyle name="40% - Accent6 2 5 10 2" xfId="42969"/>
    <cellStyle name="40% - Accent6 2 5 11" xfId="42970"/>
    <cellStyle name="40% - Accent6 2 5 2" xfId="42971"/>
    <cellStyle name="40% - Accent6 2 5 2 10" xfId="42972"/>
    <cellStyle name="40% - Accent6 2 5 2 2" xfId="42973"/>
    <cellStyle name="40% - Accent6 2 5 2 2 2" xfId="42974"/>
    <cellStyle name="40% - Accent6 2 5 2 2 2 2" xfId="42975"/>
    <cellStyle name="40% - Accent6 2 5 2 2 2 2 2" xfId="42976"/>
    <cellStyle name="40% - Accent6 2 5 2 2 2 2 2 2" xfId="42977"/>
    <cellStyle name="40% - Accent6 2 5 2 2 2 2 3" xfId="42978"/>
    <cellStyle name="40% - Accent6 2 5 2 2 2 3" xfId="42979"/>
    <cellStyle name="40% - Accent6 2 5 2 2 2 3 2" xfId="42980"/>
    <cellStyle name="40% - Accent6 2 5 2 2 2 4" xfId="42981"/>
    <cellStyle name="40% - Accent6 2 5 2 2 3" xfId="42982"/>
    <cellStyle name="40% - Accent6 2 5 2 2 3 2" xfId="42983"/>
    <cellStyle name="40% - Accent6 2 5 2 2 3 2 2" xfId="42984"/>
    <cellStyle name="40% - Accent6 2 5 2 2 3 3" xfId="42985"/>
    <cellStyle name="40% - Accent6 2 5 2 2 4" xfId="42986"/>
    <cellStyle name="40% - Accent6 2 5 2 2 4 2" xfId="42987"/>
    <cellStyle name="40% - Accent6 2 5 2 2 5" xfId="42988"/>
    <cellStyle name="40% - Accent6 2 5 2 3" xfId="42989"/>
    <cellStyle name="40% - Accent6 2 5 2 3 2" xfId="42990"/>
    <cellStyle name="40% - Accent6 2 5 2 3 2 2" xfId="42991"/>
    <cellStyle name="40% - Accent6 2 5 2 3 2 2 2" xfId="42992"/>
    <cellStyle name="40% - Accent6 2 5 2 3 2 2 2 2" xfId="42993"/>
    <cellStyle name="40% - Accent6 2 5 2 3 2 2 3" xfId="42994"/>
    <cellStyle name="40% - Accent6 2 5 2 3 2 3" xfId="42995"/>
    <cellStyle name="40% - Accent6 2 5 2 3 2 3 2" xfId="42996"/>
    <cellStyle name="40% - Accent6 2 5 2 3 2 4" xfId="42997"/>
    <cellStyle name="40% - Accent6 2 5 2 3 3" xfId="42998"/>
    <cellStyle name="40% - Accent6 2 5 2 3 3 2" xfId="42999"/>
    <cellStyle name="40% - Accent6 2 5 2 3 3 2 2" xfId="43000"/>
    <cellStyle name="40% - Accent6 2 5 2 3 3 3" xfId="43001"/>
    <cellStyle name="40% - Accent6 2 5 2 3 4" xfId="43002"/>
    <cellStyle name="40% - Accent6 2 5 2 3 4 2" xfId="43003"/>
    <cellStyle name="40% - Accent6 2 5 2 3 5" xfId="43004"/>
    <cellStyle name="40% - Accent6 2 5 2 4" xfId="43005"/>
    <cellStyle name="40% - Accent6 2 5 2 4 2" xfId="43006"/>
    <cellStyle name="40% - Accent6 2 5 2 4 2 2" xfId="43007"/>
    <cellStyle name="40% - Accent6 2 5 2 4 2 2 2" xfId="43008"/>
    <cellStyle name="40% - Accent6 2 5 2 4 2 2 2 2" xfId="43009"/>
    <cellStyle name="40% - Accent6 2 5 2 4 2 2 3" xfId="43010"/>
    <cellStyle name="40% - Accent6 2 5 2 4 2 3" xfId="43011"/>
    <cellStyle name="40% - Accent6 2 5 2 4 2 3 2" xfId="43012"/>
    <cellStyle name="40% - Accent6 2 5 2 4 2 4" xfId="43013"/>
    <cellStyle name="40% - Accent6 2 5 2 4 3" xfId="43014"/>
    <cellStyle name="40% - Accent6 2 5 2 4 3 2" xfId="43015"/>
    <cellStyle name="40% - Accent6 2 5 2 4 3 2 2" xfId="43016"/>
    <cellStyle name="40% - Accent6 2 5 2 4 3 3" xfId="43017"/>
    <cellStyle name="40% - Accent6 2 5 2 4 4" xfId="43018"/>
    <cellStyle name="40% - Accent6 2 5 2 4 4 2" xfId="43019"/>
    <cellStyle name="40% - Accent6 2 5 2 4 5" xfId="43020"/>
    <cellStyle name="40% - Accent6 2 5 2 5" xfId="43021"/>
    <cellStyle name="40% - Accent6 2 5 2 5 2" xfId="43022"/>
    <cellStyle name="40% - Accent6 2 5 2 5 2 2" xfId="43023"/>
    <cellStyle name="40% - Accent6 2 5 2 5 2 2 2" xfId="43024"/>
    <cellStyle name="40% - Accent6 2 5 2 5 2 2 2 2" xfId="43025"/>
    <cellStyle name="40% - Accent6 2 5 2 5 2 2 3" xfId="43026"/>
    <cellStyle name="40% - Accent6 2 5 2 5 2 3" xfId="43027"/>
    <cellStyle name="40% - Accent6 2 5 2 5 2 3 2" xfId="43028"/>
    <cellStyle name="40% - Accent6 2 5 2 5 2 4" xfId="43029"/>
    <cellStyle name="40% - Accent6 2 5 2 5 3" xfId="43030"/>
    <cellStyle name="40% - Accent6 2 5 2 5 3 2" xfId="43031"/>
    <cellStyle name="40% - Accent6 2 5 2 5 3 2 2" xfId="43032"/>
    <cellStyle name="40% - Accent6 2 5 2 5 3 3" xfId="43033"/>
    <cellStyle name="40% - Accent6 2 5 2 5 4" xfId="43034"/>
    <cellStyle name="40% - Accent6 2 5 2 5 4 2" xfId="43035"/>
    <cellStyle name="40% - Accent6 2 5 2 5 5" xfId="43036"/>
    <cellStyle name="40% - Accent6 2 5 2 6" xfId="43037"/>
    <cellStyle name="40% - Accent6 2 5 2 6 2" xfId="43038"/>
    <cellStyle name="40% - Accent6 2 5 2 6 2 2" xfId="43039"/>
    <cellStyle name="40% - Accent6 2 5 2 6 2 2 2" xfId="43040"/>
    <cellStyle name="40% - Accent6 2 5 2 6 2 2 2 2" xfId="43041"/>
    <cellStyle name="40% - Accent6 2 5 2 6 2 2 3" xfId="43042"/>
    <cellStyle name="40% - Accent6 2 5 2 6 2 3" xfId="43043"/>
    <cellStyle name="40% - Accent6 2 5 2 6 2 3 2" xfId="43044"/>
    <cellStyle name="40% - Accent6 2 5 2 6 2 4" xfId="43045"/>
    <cellStyle name="40% - Accent6 2 5 2 6 3" xfId="43046"/>
    <cellStyle name="40% - Accent6 2 5 2 6 3 2" xfId="43047"/>
    <cellStyle name="40% - Accent6 2 5 2 6 3 2 2" xfId="43048"/>
    <cellStyle name="40% - Accent6 2 5 2 6 3 3" xfId="43049"/>
    <cellStyle name="40% - Accent6 2 5 2 6 4" xfId="43050"/>
    <cellStyle name="40% - Accent6 2 5 2 6 4 2" xfId="43051"/>
    <cellStyle name="40% - Accent6 2 5 2 6 5" xfId="43052"/>
    <cellStyle name="40% - Accent6 2 5 2 7" xfId="43053"/>
    <cellStyle name="40% - Accent6 2 5 2 7 2" xfId="43054"/>
    <cellStyle name="40% - Accent6 2 5 2 7 2 2" xfId="43055"/>
    <cellStyle name="40% - Accent6 2 5 2 7 2 2 2" xfId="43056"/>
    <cellStyle name="40% - Accent6 2 5 2 7 2 3" xfId="43057"/>
    <cellStyle name="40% - Accent6 2 5 2 7 3" xfId="43058"/>
    <cellStyle name="40% - Accent6 2 5 2 7 3 2" xfId="43059"/>
    <cellStyle name="40% - Accent6 2 5 2 7 4" xfId="43060"/>
    <cellStyle name="40% - Accent6 2 5 2 8" xfId="43061"/>
    <cellStyle name="40% - Accent6 2 5 2 8 2" xfId="43062"/>
    <cellStyle name="40% - Accent6 2 5 2 8 2 2" xfId="43063"/>
    <cellStyle name="40% - Accent6 2 5 2 8 3" xfId="43064"/>
    <cellStyle name="40% - Accent6 2 5 2 9" xfId="43065"/>
    <cellStyle name="40% - Accent6 2 5 2 9 2" xfId="43066"/>
    <cellStyle name="40% - Accent6 2 5 3" xfId="43067"/>
    <cellStyle name="40% - Accent6 2 5 3 2" xfId="43068"/>
    <cellStyle name="40% - Accent6 2 5 3 2 2" xfId="43069"/>
    <cellStyle name="40% - Accent6 2 5 3 2 2 2" xfId="43070"/>
    <cellStyle name="40% - Accent6 2 5 3 2 2 2 2" xfId="43071"/>
    <cellStyle name="40% - Accent6 2 5 3 2 2 3" xfId="43072"/>
    <cellStyle name="40% - Accent6 2 5 3 2 3" xfId="43073"/>
    <cellStyle name="40% - Accent6 2 5 3 2 3 2" xfId="43074"/>
    <cellStyle name="40% - Accent6 2 5 3 2 4" xfId="43075"/>
    <cellStyle name="40% - Accent6 2 5 3 3" xfId="43076"/>
    <cellStyle name="40% - Accent6 2 5 3 3 2" xfId="43077"/>
    <cellStyle name="40% - Accent6 2 5 3 3 2 2" xfId="43078"/>
    <cellStyle name="40% - Accent6 2 5 3 3 3" xfId="43079"/>
    <cellStyle name="40% - Accent6 2 5 3 4" xfId="43080"/>
    <cellStyle name="40% - Accent6 2 5 3 4 2" xfId="43081"/>
    <cellStyle name="40% - Accent6 2 5 3 5" xfId="43082"/>
    <cellStyle name="40% - Accent6 2 5 4" xfId="43083"/>
    <cellStyle name="40% - Accent6 2 5 4 2" xfId="43084"/>
    <cellStyle name="40% - Accent6 2 5 4 2 2" xfId="43085"/>
    <cellStyle name="40% - Accent6 2 5 4 2 2 2" xfId="43086"/>
    <cellStyle name="40% - Accent6 2 5 4 2 2 2 2" xfId="43087"/>
    <cellStyle name="40% - Accent6 2 5 4 2 2 3" xfId="43088"/>
    <cellStyle name="40% - Accent6 2 5 4 2 3" xfId="43089"/>
    <cellStyle name="40% - Accent6 2 5 4 2 3 2" xfId="43090"/>
    <cellStyle name="40% - Accent6 2 5 4 2 4" xfId="43091"/>
    <cellStyle name="40% - Accent6 2 5 4 3" xfId="43092"/>
    <cellStyle name="40% - Accent6 2 5 4 3 2" xfId="43093"/>
    <cellStyle name="40% - Accent6 2 5 4 3 2 2" xfId="43094"/>
    <cellStyle name="40% - Accent6 2 5 4 3 3" xfId="43095"/>
    <cellStyle name="40% - Accent6 2 5 4 4" xfId="43096"/>
    <cellStyle name="40% - Accent6 2 5 4 4 2" xfId="43097"/>
    <cellStyle name="40% - Accent6 2 5 4 5" xfId="43098"/>
    <cellStyle name="40% - Accent6 2 5 5" xfId="43099"/>
    <cellStyle name="40% - Accent6 2 5 5 2" xfId="43100"/>
    <cellStyle name="40% - Accent6 2 5 5 2 2" xfId="43101"/>
    <cellStyle name="40% - Accent6 2 5 5 2 2 2" xfId="43102"/>
    <cellStyle name="40% - Accent6 2 5 5 2 2 2 2" xfId="43103"/>
    <cellStyle name="40% - Accent6 2 5 5 2 2 3" xfId="43104"/>
    <cellStyle name="40% - Accent6 2 5 5 2 3" xfId="43105"/>
    <cellStyle name="40% - Accent6 2 5 5 2 3 2" xfId="43106"/>
    <cellStyle name="40% - Accent6 2 5 5 2 4" xfId="43107"/>
    <cellStyle name="40% - Accent6 2 5 5 3" xfId="43108"/>
    <cellStyle name="40% - Accent6 2 5 5 3 2" xfId="43109"/>
    <cellStyle name="40% - Accent6 2 5 5 3 2 2" xfId="43110"/>
    <cellStyle name="40% - Accent6 2 5 5 3 3" xfId="43111"/>
    <cellStyle name="40% - Accent6 2 5 5 4" xfId="43112"/>
    <cellStyle name="40% - Accent6 2 5 5 4 2" xfId="43113"/>
    <cellStyle name="40% - Accent6 2 5 5 5" xfId="43114"/>
    <cellStyle name="40% - Accent6 2 5 6" xfId="43115"/>
    <cellStyle name="40% - Accent6 2 5 6 2" xfId="43116"/>
    <cellStyle name="40% - Accent6 2 5 6 2 2" xfId="43117"/>
    <cellStyle name="40% - Accent6 2 5 6 2 2 2" xfId="43118"/>
    <cellStyle name="40% - Accent6 2 5 6 2 2 2 2" xfId="43119"/>
    <cellStyle name="40% - Accent6 2 5 6 2 2 3" xfId="43120"/>
    <cellStyle name="40% - Accent6 2 5 6 2 3" xfId="43121"/>
    <cellStyle name="40% - Accent6 2 5 6 2 3 2" xfId="43122"/>
    <cellStyle name="40% - Accent6 2 5 6 2 4" xfId="43123"/>
    <cellStyle name="40% - Accent6 2 5 6 3" xfId="43124"/>
    <cellStyle name="40% - Accent6 2 5 6 3 2" xfId="43125"/>
    <cellStyle name="40% - Accent6 2 5 6 3 2 2" xfId="43126"/>
    <cellStyle name="40% - Accent6 2 5 6 3 3" xfId="43127"/>
    <cellStyle name="40% - Accent6 2 5 6 4" xfId="43128"/>
    <cellStyle name="40% - Accent6 2 5 6 4 2" xfId="43129"/>
    <cellStyle name="40% - Accent6 2 5 6 5" xfId="43130"/>
    <cellStyle name="40% - Accent6 2 5 7" xfId="43131"/>
    <cellStyle name="40% - Accent6 2 5 7 2" xfId="43132"/>
    <cellStyle name="40% - Accent6 2 5 7 2 2" xfId="43133"/>
    <cellStyle name="40% - Accent6 2 5 7 2 2 2" xfId="43134"/>
    <cellStyle name="40% - Accent6 2 5 7 2 2 2 2" xfId="43135"/>
    <cellStyle name="40% - Accent6 2 5 7 2 2 3" xfId="43136"/>
    <cellStyle name="40% - Accent6 2 5 7 2 3" xfId="43137"/>
    <cellStyle name="40% - Accent6 2 5 7 2 3 2" xfId="43138"/>
    <cellStyle name="40% - Accent6 2 5 7 2 4" xfId="43139"/>
    <cellStyle name="40% - Accent6 2 5 7 3" xfId="43140"/>
    <cellStyle name="40% - Accent6 2 5 7 3 2" xfId="43141"/>
    <cellStyle name="40% - Accent6 2 5 7 3 2 2" xfId="43142"/>
    <cellStyle name="40% - Accent6 2 5 7 3 3" xfId="43143"/>
    <cellStyle name="40% - Accent6 2 5 7 4" xfId="43144"/>
    <cellStyle name="40% - Accent6 2 5 7 4 2" xfId="43145"/>
    <cellStyle name="40% - Accent6 2 5 7 5" xfId="43146"/>
    <cellStyle name="40% - Accent6 2 5 8" xfId="43147"/>
    <cellStyle name="40% - Accent6 2 5 8 2" xfId="43148"/>
    <cellStyle name="40% - Accent6 2 5 8 2 2" xfId="43149"/>
    <cellStyle name="40% - Accent6 2 5 8 2 2 2" xfId="43150"/>
    <cellStyle name="40% - Accent6 2 5 8 2 3" xfId="43151"/>
    <cellStyle name="40% - Accent6 2 5 8 3" xfId="43152"/>
    <cellStyle name="40% - Accent6 2 5 8 3 2" xfId="43153"/>
    <cellStyle name="40% - Accent6 2 5 8 4" xfId="43154"/>
    <cellStyle name="40% - Accent6 2 5 9" xfId="43155"/>
    <cellStyle name="40% - Accent6 2 5 9 2" xfId="43156"/>
    <cellStyle name="40% - Accent6 2 5 9 2 2" xfId="43157"/>
    <cellStyle name="40% - Accent6 2 5 9 3" xfId="43158"/>
    <cellStyle name="40% - Accent6 2 6" xfId="43159"/>
    <cellStyle name="40% - Accent6 2 6 10" xfId="43160"/>
    <cellStyle name="40% - Accent6 2 6 10 2" xfId="43161"/>
    <cellStyle name="40% - Accent6 2 6 11" xfId="43162"/>
    <cellStyle name="40% - Accent6 2 6 2" xfId="43163"/>
    <cellStyle name="40% - Accent6 2 6 2 10" xfId="43164"/>
    <cellStyle name="40% - Accent6 2 6 2 2" xfId="43165"/>
    <cellStyle name="40% - Accent6 2 6 2 2 2" xfId="43166"/>
    <cellStyle name="40% - Accent6 2 6 2 2 2 2" xfId="43167"/>
    <cellStyle name="40% - Accent6 2 6 2 2 2 2 2" xfId="43168"/>
    <cellStyle name="40% - Accent6 2 6 2 2 2 2 2 2" xfId="43169"/>
    <cellStyle name="40% - Accent6 2 6 2 2 2 2 3" xfId="43170"/>
    <cellStyle name="40% - Accent6 2 6 2 2 2 3" xfId="43171"/>
    <cellStyle name="40% - Accent6 2 6 2 2 2 3 2" xfId="43172"/>
    <cellStyle name="40% - Accent6 2 6 2 2 2 4" xfId="43173"/>
    <cellStyle name="40% - Accent6 2 6 2 2 3" xfId="43174"/>
    <cellStyle name="40% - Accent6 2 6 2 2 3 2" xfId="43175"/>
    <cellStyle name="40% - Accent6 2 6 2 2 3 2 2" xfId="43176"/>
    <cellStyle name="40% - Accent6 2 6 2 2 3 3" xfId="43177"/>
    <cellStyle name="40% - Accent6 2 6 2 2 4" xfId="43178"/>
    <cellStyle name="40% - Accent6 2 6 2 2 4 2" xfId="43179"/>
    <cellStyle name="40% - Accent6 2 6 2 2 5" xfId="43180"/>
    <cellStyle name="40% - Accent6 2 6 2 3" xfId="43181"/>
    <cellStyle name="40% - Accent6 2 6 2 3 2" xfId="43182"/>
    <cellStyle name="40% - Accent6 2 6 2 3 2 2" xfId="43183"/>
    <cellStyle name="40% - Accent6 2 6 2 3 2 2 2" xfId="43184"/>
    <cellStyle name="40% - Accent6 2 6 2 3 2 2 2 2" xfId="43185"/>
    <cellStyle name="40% - Accent6 2 6 2 3 2 2 3" xfId="43186"/>
    <cellStyle name="40% - Accent6 2 6 2 3 2 3" xfId="43187"/>
    <cellStyle name="40% - Accent6 2 6 2 3 2 3 2" xfId="43188"/>
    <cellStyle name="40% - Accent6 2 6 2 3 2 4" xfId="43189"/>
    <cellStyle name="40% - Accent6 2 6 2 3 3" xfId="43190"/>
    <cellStyle name="40% - Accent6 2 6 2 3 3 2" xfId="43191"/>
    <cellStyle name="40% - Accent6 2 6 2 3 3 2 2" xfId="43192"/>
    <cellStyle name="40% - Accent6 2 6 2 3 3 3" xfId="43193"/>
    <cellStyle name="40% - Accent6 2 6 2 3 4" xfId="43194"/>
    <cellStyle name="40% - Accent6 2 6 2 3 4 2" xfId="43195"/>
    <cellStyle name="40% - Accent6 2 6 2 3 5" xfId="43196"/>
    <cellStyle name="40% - Accent6 2 6 2 4" xfId="43197"/>
    <cellStyle name="40% - Accent6 2 6 2 4 2" xfId="43198"/>
    <cellStyle name="40% - Accent6 2 6 2 4 2 2" xfId="43199"/>
    <cellStyle name="40% - Accent6 2 6 2 4 2 2 2" xfId="43200"/>
    <cellStyle name="40% - Accent6 2 6 2 4 2 2 2 2" xfId="43201"/>
    <cellStyle name="40% - Accent6 2 6 2 4 2 2 3" xfId="43202"/>
    <cellStyle name="40% - Accent6 2 6 2 4 2 3" xfId="43203"/>
    <cellStyle name="40% - Accent6 2 6 2 4 2 3 2" xfId="43204"/>
    <cellStyle name="40% - Accent6 2 6 2 4 2 4" xfId="43205"/>
    <cellStyle name="40% - Accent6 2 6 2 4 3" xfId="43206"/>
    <cellStyle name="40% - Accent6 2 6 2 4 3 2" xfId="43207"/>
    <cellStyle name="40% - Accent6 2 6 2 4 3 2 2" xfId="43208"/>
    <cellStyle name="40% - Accent6 2 6 2 4 3 3" xfId="43209"/>
    <cellStyle name="40% - Accent6 2 6 2 4 4" xfId="43210"/>
    <cellStyle name="40% - Accent6 2 6 2 4 4 2" xfId="43211"/>
    <cellStyle name="40% - Accent6 2 6 2 4 5" xfId="43212"/>
    <cellStyle name="40% - Accent6 2 6 2 5" xfId="43213"/>
    <cellStyle name="40% - Accent6 2 6 2 5 2" xfId="43214"/>
    <cellStyle name="40% - Accent6 2 6 2 5 2 2" xfId="43215"/>
    <cellStyle name="40% - Accent6 2 6 2 5 2 2 2" xfId="43216"/>
    <cellStyle name="40% - Accent6 2 6 2 5 2 2 2 2" xfId="43217"/>
    <cellStyle name="40% - Accent6 2 6 2 5 2 2 3" xfId="43218"/>
    <cellStyle name="40% - Accent6 2 6 2 5 2 3" xfId="43219"/>
    <cellStyle name="40% - Accent6 2 6 2 5 2 3 2" xfId="43220"/>
    <cellStyle name="40% - Accent6 2 6 2 5 2 4" xfId="43221"/>
    <cellStyle name="40% - Accent6 2 6 2 5 3" xfId="43222"/>
    <cellStyle name="40% - Accent6 2 6 2 5 3 2" xfId="43223"/>
    <cellStyle name="40% - Accent6 2 6 2 5 3 2 2" xfId="43224"/>
    <cellStyle name="40% - Accent6 2 6 2 5 3 3" xfId="43225"/>
    <cellStyle name="40% - Accent6 2 6 2 5 4" xfId="43226"/>
    <cellStyle name="40% - Accent6 2 6 2 5 4 2" xfId="43227"/>
    <cellStyle name="40% - Accent6 2 6 2 5 5" xfId="43228"/>
    <cellStyle name="40% - Accent6 2 6 2 6" xfId="43229"/>
    <cellStyle name="40% - Accent6 2 6 2 6 2" xfId="43230"/>
    <cellStyle name="40% - Accent6 2 6 2 6 2 2" xfId="43231"/>
    <cellStyle name="40% - Accent6 2 6 2 6 2 2 2" xfId="43232"/>
    <cellStyle name="40% - Accent6 2 6 2 6 2 2 2 2" xfId="43233"/>
    <cellStyle name="40% - Accent6 2 6 2 6 2 2 3" xfId="43234"/>
    <cellStyle name="40% - Accent6 2 6 2 6 2 3" xfId="43235"/>
    <cellStyle name="40% - Accent6 2 6 2 6 2 3 2" xfId="43236"/>
    <cellStyle name="40% - Accent6 2 6 2 6 2 4" xfId="43237"/>
    <cellStyle name="40% - Accent6 2 6 2 6 3" xfId="43238"/>
    <cellStyle name="40% - Accent6 2 6 2 6 3 2" xfId="43239"/>
    <cellStyle name="40% - Accent6 2 6 2 6 3 2 2" xfId="43240"/>
    <cellStyle name="40% - Accent6 2 6 2 6 3 3" xfId="43241"/>
    <cellStyle name="40% - Accent6 2 6 2 6 4" xfId="43242"/>
    <cellStyle name="40% - Accent6 2 6 2 6 4 2" xfId="43243"/>
    <cellStyle name="40% - Accent6 2 6 2 6 5" xfId="43244"/>
    <cellStyle name="40% - Accent6 2 6 2 7" xfId="43245"/>
    <cellStyle name="40% - Accent6 2 6 2 7 2" xfId="43246"/>
    <cellStyle name="40% - Accent6 2 6 2 7 2 2" xfId="43247"/>
    <cellStyle name="40% - Accent6 2 6 2 7 2 2 2" xfId="43248"/>
    <cellStyle name="40% - Accent6 2 6 2 7 2 3" xfId="43249"/>
    <cellStyle name="40% - Accent6 2 6 2 7 3" xfId="43250"/>
    <cellStyle name="40% - Accent6 2 6 2 7 3 2" xfId="43251"/>
    <cellStyle name="40% - Accent6 2 6 2 7 4" xfId="43252"/>
    <cellStyle name="40% - Accent6 2 6 2 8" xfId="43253"/>
    <cellStyle name="40% - Accent6 2 6 2 8 2" xfId="43254"/>
    <cellStyle name="40% - Accent6 2 6 2 8 2 2" xfId="43255"/>
    <cellStyle name="40% - Accent6 2 6 2 8 3" xfId="43256"/>
    <cellStyle name="40% - Accent6 2 6 2 9" xfId="43257"/>
    <cellStyle name="40% - Accent6 2 6 2 9 2" xfId="43258"/>
    <cellStyle name="40% - Accent6 2 6 3" xfId="43259"/>
    <cellStyle name="40% - Accent6 2 6 3 2" xfId="43260"/>
    <cellStyle name="40% - Accent6 2 6 3 2 2" xfId="43261"/>
    <cellStyle name="40% - Accent6 2 6 3 2 2 2" xfId="43262"/>
    <cellStyle name="40% - Accent6 2 6 3 2 2 2 2" xfId="43263"/>
    <cellStyle name="40% - Accent6 2 6 3 2 2 3" xfId="43264"/>
    <cellStyle name="40% - Accent6 2 6 3 2 3" xfId="43265"/>
    <cellStyle name="40% - Accent6 2 6 3 2 3 2" xfId="43266"/>
    <cellStyle name="40% - Accent6 2 6 3 2 4" xfId="43267"/>
    <cellStyle name="40% - Accent6 2 6 3 3" xfId="43268"/>
    <cellStyle name="40% - Accent6 2 6 3 3 2" xfId="43269"/>
    <cellStyle name="40% - Accent6 2 6 3 3 2 2" xfId="43270"/>
    <cellStyle name="40% - Accent6 2 6 3 3 3" xfId="43271"/>
    <cellStyle name="40% - Accent6 2 6 3 4" xfId="43272"/>
    <cellStyle name="40% - Accent6 2 6 3 4 2" xfId="43273"/>
    <cellStyle name="40% - Accent6 2 6 3 5" xfId="43274"/>
    <cellStyle name="40% - Accent6 2 6 4" xfId="43275"/>
    <cellStyle name="40% - Accent6 2 6 4 2" xfId="43276"/>
    <cellStyle name="40% - Accent6 2 6 4 2 2" xfId="43277"/>
    <cellStyle name="40% - Accent6 2 6 4 2 2 2" xfId="43278"/>
    <cellStyle name="40% - Accent6 2 6 4 2 2 2 2" xfId="43279"/>
    <cellStyle name="40% - Accent6 2 6 4 2 2 3" xfId="43280"/>
    <cellStyle name="40% - Accent6 2 6 4 2 3" xfId="43281"/>
    <cellStyle name="40% - Accent6 2 6 4 2 3 2" xfId="43282"/>
    <cellStyle name="40% - Accent6 2 6 4 2 4" xfId="43283"/>
    <cellStyle name="40% - Accent6 2 6 4 3" xfId="43284"/>
    <cellStyle name="40% - Accent6 2 6 4 3 2" xfId="43285"/>
    <cellStyle name="40% - Accent6 2 6 4 3 2 2" xfId="43286"/>
    <cellStyle name="40% - Accent6 2 6 4 3 3" xfId="43287"/>
    <cellStyle name="40% - Accent6 2 6 4 4" xfId="43288"/>
    <cellStyle name="40% - Accent6 2 6 4 4 2" xfId="43289"/>
    <cellStyle name="40% - Accent6 2 6 4 5" xfId="43290"/>
    <cellStyle name="40% - Accent6 2 6 5" xfId="43291"/>
    <cellStyle name="40% - Accent6 2 6 5 2" xfId="43292"/>
    <cellStyle name="40% - Accent6 2 6 5 2 2" xfId="43293"/>
    <cellStyle name="40% - Accent6 2 6 5 2 2 2" xfId="43294"/>
    <cellStyle name="40% - Accent6 2 6 5 2 2 2 2" xfId="43295"/>
    <cellStyle name="40% - Accent6 2 6 5 2 2 3" xfId="43296"/>
    <cellStyle name="40% - Accent6 2 6 5 2 3" xfId="43297"/>
    <cellStyle name="40% - Accent6 2 6 5 2 3 2" xfId="43298"/>
    <cellStyle name="40% - Accent6 2 6 5 2 4" xfId="43299"/>
    <cellStyle name="40% - Accent6 2 6 5 3" xfId="43300"/>
    <cellStyle name="40% - Accent6 2 6 5 3 2" xfId="43301"/>
    <cellStyle name="40% - Accent6 2 6 5 3 2 2" xfId="43302"/>
    <cellStyle name="40% - Accent6 2 6 5 3 3" xfId="43303"/>
    <cellStyle name="40% - Accent6 2 6 5 4" xfId="43304"/>
    <cellStyle name="40% - Accent6 2 6 5 4 2" xfId="43305"/>
    <cellStyle name="40% - Accent6 2 6 5 5" xfId="43306"/>
    <cellStyle name="40% - Accent6 2 6 6" xfId="43307"/>
    <cellStyle name="40% - Accent6 2 6 6 2" xfId="43308"/>
    <cellStyle name="40% - Accent6 2 6 6 2 2" xfId="43309"/>
    <cellStyle name="40% - Accent6 2 6 6 2 2 2" xfId="43310"/>
    <cellStyle name="40% - Accent6 2 6 6 2 2 2 2" xfId="43311"/>
    <cellStyle name="40% - Accent6 2 6 6 2 2 3" xfId="43312"/>
    <cellStyle name="40% - Accent6 2 6 6 2 3" xfId="43313"/>
    <cellStyle name="40% - Accent6 2 6 6 2 3 2" xfId="43314"/>
    <cellStyle name="40% - Accent6 2 6 6 2 4" xfId="43315"/>
    <cellStyle name="40% - Accent6 2 6 6 3" xfId="43316"/>
    <cellStyle name="40% - Accent6 2 6 6 3 2" xfId="43317"/>
    <cellStyle name="40% - Accent6 2 6 6 3 2 2" xfId="43318"/>
    <cellStyle name="40% - Accent6 2 6 6 3 3" xfId="43319"/>
    <cellStyle name="40% - Accent6 2 6 6 4" xfId="43320"/>
    <cellStyle name="40% - Accent6 2 6 6 4 2" xfId="43321"/>
    <cellStyle name="40% - Accent6 2 6 6 5" xfId="43322"/>
    <cellStyle name="40% - Accent6 2 6 7" xfId="43323"/>
    <cellStyle name="40% - Accent6 2 6 7 2" xfId="43324"/>
    <cellStyle name="40% - Accent6 2 6 7 2 2" xfId="43325"/>
    <cellStyle name="40% - Accent6 2 6 7 2 2 2" xfId="43326"/>
    <cellStyle name="40% - Accent6 2 6 7 2 2 2 2" xfId="43327"/>
    <cellStyle name="40% - Accent6 2 6 7 2 2 3" xfId="43328"/>
    <cellStyle name="40% - Accent6 2 6 7 2 3" xfId="43329"/>
    <cellStyle name="40% - Accent6 2 6 7 2 3 2" xfId="43330"/>
    <cellStyle name="40% - Accent6 2 6 7 2 4" xfId="43331"/>
    <cellStyle name="40% - Accent6 2 6 7 3" xfId="43332"/>
    <cellStyle name="40% - Accent6 2 6 7 3 2" xfId="43333"/>
    <cellStyle name="40% - Accent6 2 6 7 3 2 2" xfId="43334"/>
    <cellStyle name="40% - Accent6 2 6 7 3 3" xfId="43335"/>
    <cellStyle name="40% - Accent6 2 6 7 4" xfId="43336"/>
    <cellStyle name="40% - Accent6 2 6 7 4 2" xfId="43337"/>
    <cellStyle name="40% - Accent6 2 6 7 5" xfId="43338"/>
    <cellStyle name="40% - Accent6 2 6 8" xfId="43339"/>
    <cellStyle name="40% - Accent6 2 6 8 2" xfId="43340"/>
    <cellStyle name="40% - Accent6 2 6 8 2 2" xfId="43341"/>
    <cellStyle name="40% - Accent6 2 6 8 2 2 2" xfId="43342"/>
    <cellStyle name="40% - Accent6 2 6 8 2 3" xfId="43343"/>
    <cellStyle name="40% - Accent6 2 6 8 3" xfId="43344"/>
    <cellStyle name="40% - Accent6 2 6 8 3 2" xfId="43345"/>
    <cellStyle name="40% - Accent6 2 6 8 4" xfId="43346"/>
    <cellStyle name="40% - Accent6 2 6 9" xfId="43347"/>
    <cellStyle name="40% - Accent6 2 6 9 2" xfId="43348"/>
    <cellStyle name="40% - Accent6 2 6 9 2 2" xfId="43349"/>
    <cellStyle name="40% - Accent6 2 6 9 3" xfId="43350"/>
    <cellStyle name="40% - Accent6 2 7" xfId="43351"/>
    <cellStyle name="40% - Accent6 2 7 10" xfId="43352"/>
    <cellStyle name="40% - Accent6 2 7 10 2" xfId="43353"/>
    <cellStyle name="40% - Accent6 2 7 11" xfId="43354"/>
    <cellStyle name="40% - Accent6 2 7 2" xfId="43355"/>
    <cellStyle name="40% - Accent6 2 7 2 10" xfId="43356"/>
    <cellStyle name="40% - Accent6 2 7 2 2" xfId="43357"/>
    <cellStyle name="40% - Accent6 2 7 2 2 2" xfId="43358"/>
    <cellStyle name="40% - Accent6 2 7 2 2 2 2" xfId="43359"/>
    <cellStyle name="40% - Accent6 2 7 2 2 2 2 2" xfId="43360"/>
    <cellStyle name="40% - Accent6 2 7 2 2 2 2 2 2" xfId="43361"/>
    <cellStyle name="40% - Accent6 2 7 2 2 2 2 3" xfId="43362"/>
    <cellStyle name="40% - Accent6 2 7 2 2 2 3" xfId="43363"/>
    <cellStyle name="40% - Accent6 2 7 2 2 2 3 2" xfId="43364"/>
    <cellStyle name="40% - Accent6 2 7 2 2 2 4" xfId="43365"/>
    <cellStyle name="40% - Accent6 2 7 2 2 3" xfId="43366"/>
    <cellStyle name="40% - Accent6 2 7 2 2 3 2" xfId="43367"/>
    <cellStyle name="40% - Accent6 2 7 2 2 3 2 2" xfId="43368"/>
    <cellStyle name="40% - Accent6 2 7 2 2 3 3" xfId="43369"/>
    <cellStyle name="40% - Accent6 2 7 2 2 4" xfId="43370"/>
    <cellStyle name="40% - Accent6 2 7 2 2 4 2" xfId="43371"/>
    <cellStyle name="40% - Accent6 2 7 2 2 5" xfId="43372"/>
    <cellStyle name="40% - Accent6 2 7 2 3" xfId="43373"/>
    <cellStyle name="40% - Accent6 2 7 2 3 2" xfId="43374"/>
    <cellStyle name="40% - Accent6 2 7 2 3 2 2" xfId="43375"/>
    <cellStyle name="40% - Accent6 2 7 2 3 2 2 2" xfId="43376"/>
    <cellStyle name="40% - Accent6 2 7 2 3 2 2 2 2" xfId="43377"/>
    <cellStyle name="40% - Accent6 2 7 2 3 2 2 3" xfId="43378"/>
    <cellStyle name="40% - Accent6 2 7 2 3 2 3" xfId="43379"/>
    <cellStyle name="40% - Accent6 2 7 2 3 2 3 2" xfId="43380"/>
    <cellStyle name="40% - Accent6 2 7 2 3 2 4" xfId="43381"/>
    <cellStyle name="40% - Accent6 2 7 2 3 3" xfId="43382"/>
    <cellStyle name="40% - Accent6 2 7 2 3 3 2" xfId="43383"/>
    <cellStyle name="40% - Accent6 2 7 2 3 3 2 2" xfId="43384"/>
    <cellStyle name="40% - Accent6 2 7 2 3 3 3" xfId="43385"/>
    <cellStyle name="40% - Accent6 2 7 2 3 4" xfId="43386"/>
    <cellStyle name="40% - Accent6 2 7 2 3 4 2" xfId="43387"/>
    <cellStyle name="40% - Accent6 2 7 2 3 5" xfId="43388"/>
    <cellStyle name="40% - Accent6 2 7 2 4" xfId="43389"/>
    <cellStyle name="40% - Accent6 2 7 2 4 2" xfId="43390"/>
    <cellStyle name="40% - Accent6 2 7 2 4 2 2" xfId="43391"/>
    <cellStyle name="40% - Accent6 2 7 2 4 2 2 2" xfId="43392"/>
    <cellStyle name="40% - Accent6 2 7 2 4 2 2 2 2" xfId="43393"/>
    <cellStyle name="40% - Accent6 2 7 2 4 2 2 3" xfId="43394"/>
    <cellStyle name="40% - Accent6 2 7 2 4 2 3" xfId="43395"/>
    <cellStyle name="40% - Accent6 2 7 2 4 2 3 2" xfId="43396"/>
    <cellStyle name="40% - Accent6 2 7 2 4 2 4" xfId="43397"/>
    <cellStyle name="40% - Accent6 2 7 2 4 3" xfId="43398"/>
    <cellStyle name="40% - Accent6 2 7 2 4 3 2" xfId="43399"/>
    <cellStyle name="40% - Accent6 2 7 2 4 3 2 2" xfId="43400"/>
    <cellStyle name="40% - Accent6 2 7 2 4 3 3" xfId="43401"/>
    <cellStyle name="40% - Accent6 2 7 2 4 4" xfId="43402"/>
    <cellStyle name="40% - Accent6 2 7 2 4 4 2" xfId="43403"/>
    <cellStyle name="40% - Accent6 2 7 2 4 5" xfId="43404"/>
    <cellStyle name="40% - Accent6 2 7 2 5" xfId="43405"/>
    <cellStyle name="40% - Accent6 2 7 2 5 2" xfId="43406"/>
    <cellStyle name="40% - Accent6 2 7 2 5 2 2" xfId="43407"/>
    <cellStyle name="40% - Accent6 2 7 2 5 2 2 2" xfId="43408"/>
    <cellStyle name="40% - Accent6 2 7 2 5 2 2 2 2" xfId="43409"/>
    <cellStyle name="40% - Accent6 2 7 2 5 2 2 3" xfId="43410"/>
    <cellStyle name="40% - Accent6 2 7 2 5 2 3" xfId="43411"/>
    <cellStyle name="40% - Accent6 2 7 2 5 2 3 2" xfId="43412"/>
    <cellStyle name="40% - Accent6 2 7 2 5 2 4" xfId="43413"/>
    <cellStyle name="40% - Accent6 2 7 2 5 3" xfId="43414"/>
    <cellStyle name="40% - Accent6 2 7 2 5 3 2" xfId="43415"/>
    <cellStyle name="40% - Accent6 2 7 2 5 3 2 2" xfId="43416"/>
    <cellStyle name="40% - Accent6 2 7 2 5 3 3" xfId="43417"/>
    <cellStyle name="40% - Accent6 2 7 2 5 4" xfId="43418"/>
    <cellStyle name="40% - Accent6 2 7 2 5 4 2" xfId="43419"/>
    <cellStyle name="40% - Accent6 2 7 2 5 5" xfId="43420"/>
    <cellStyle name="40% - Accent6 2 7 2 6" xfId="43421"/>
    <cellStyle name="40% - Accent6 2 7 2 6 2" xfId="43422"/>
    <cellStyle name="40% - Accent6 2 7 2 6 2 2" xfId="43423"/>
    <cellStyle name="40% - Accent6 2 7 2 6 2 2 2" xfId="43424"/>
    <cellStyle name="40% - Accent6 2 7 2 6 2 2 2 2" xfId="43425"/>
    <cellStyle name="40% - Accent6 2 7 2 6 2 2 3" xfId="43426"/>
    <cellStyle name="40% - Accent6 2 7 2 6 2 3" xfId="43427"/>
    <cellStyle name="40% - Accent6 2 7 2 6 2 3 2" xfId="43428"/>
    <cellStyle name="40% - Accent6 2 7 2 6 2 4" xfId="43429"/>
    <cellStyle name="40% - Accent6 2 7 2 6 3" xfId="43430"/>
    <cellStyle name="40% - Accent6 2 7 2 6 3 2" xfId="43431"/>
    <cellStyle name="40% - Accent6 2 7 2 6 3 2 2" xfId="43432"/>
    <cellStyle name="40% - Accent6 2 7 2 6 3 3" xfId="43433"/>
    <cellStyle name="40% - Accent6 2 7 2 6 4" xfId="43434"/>
    <cellStyle name="40% - Accent6 2 7 2 6 4 2" xfId="43435"/>
    <cellStyle name="40% - Accent6 2 7 2 6 5" xfId="43436"/>
    <cellStyle name="40% - Accent6 2 7 2 7" xfId="43437"/>
    <cellStyle name="40% - Accent6 2 7 2 7 2" xfId="43438"/>
    <cellStyle name="40% - Accent6 2 7 2 7 2 2" xfId="43439"/>
    <cellStyle name="40% - Accent6 2 7 2 7 2 2 2" xfId="43440"/>
    <cellStyle name="40% - Accent6 2 7 2 7 2 3" xfId="43441"/>
    <cellStyle name="40% - Accent6 2 7 2 7 3" xfId="43442"/>
    <cellStyle name="40% - Accent6 2 7 2 7 3 2" xfId="43443"/>
    <cellStyle name="40% - Accent6 2 7 2 7 4" xfId="43444"/>
    <cellStyle name="40% - Accent6 2 7 2 8" xfId="43445"/>
    <cellStyle name="40% - Accent6 2 7 2 8 2" xfId="43446"/>
    <cellStyle name="40% - Accent6 2 7 2 8 2 2" xfId="43447"/>
    <cellStyle name="40% - Accent6 2 7 2 8 3" xfId="43448"/>
    <cellStyle name="40% - Accent6 2 7 2 9" xfId="43449"/>
    <cellStyle name="40% - Accent6 2 7 2 9 2" xfId="43450"/>
    <cellStyle name="40% - Accent6 2 7 3" xfId="43451"/>
    <cellStyle name="40% - Accent6 2 7 3 2" xfId="43452"/>
    <cellStyle name="40% - Accent6 2 7 3 2 2" xfId="43453"/>
    <cellStyle name="40% - Accent6 2 7 3 2 2 2" xfId="43454"/>
    <cellStyle name="40% - Accent6 2 7 3 2 2 2 2" xfId="43455"/>
    <cellStyle name="40% - Accent6 2 7 3 2 2 3" xfId="43456"/>
    <cellStyle name="40% - Accent6 2 7 3 2 3" xfId="43457"/>
    <cellStyle name="40% - Accent6 2 7 3 2 3 2" xfId="43458"/>
    <cellStyle name="40% - Accent6 2 7 3 2 4" xfId="43459"/>
    <cellStyle name="40% - Accent6 2 7 3 3" xfId="43460"/>
    <cellStyle name="40% - Accent6 2 7 3 3 2" xfId="43461"/>
    <cellStyle name="40% - Accent6 2 7 3 3 2 2" xfId="43462"/>
    <cellStyle name="40% - Accent6 2 7 3 3 3" xfId="43463"/>
    <cellStyle name="40% - Accent6 2 7 3 4" xfId="43464"/>
    <cellStyle name="40% - Accent6 2 7 3 4 2" xfId="43465"/>
    <cellStyle name="40% - Accent6 2 7 3 5" xfId="43466"/>
    <cellStyle name="40% - Accent6 2 7 4" xfId="43467"/>
    <cellStyle name="40% - Accent6 2 7 4 2" xfId="43468"/>
    <cellStyle name="40% - Accent6 2 7 4 2 2" xfId="43469"/>
    <cellStyle name="40% - Accent6 2 7 4 2 2 2" xfId="43470"/>
    <cellStyle name="40% - Accent6 2 7 4 2 2 2 2" xfId="43471"/>
    <cellStyle name="40% - Accent6 2 7 4 2 2 3" xfId="43472"/>
    <cellStyle name="40% - Accent6 2 7 4 2 3" xfId="43473"/>
    <cellStyle name="40% - Accent6 2 7 4 2 3 2" xfId="43474"/>
    <cellStyle name="40% - Accent6 2 7 4 2 4" xfId="43475"/>
    <cellStyle name="40% - Accent6 2 7 4 3" xfId="43476"/>
    <cellStyle name="40% - Accent6 2 7 4 3 2" xfId="43477"/>
    <cellStyle name="40% - Accent6 2 7 4 3 2 2" xfId="43478"/>
    <cellStyle name="40% - Accent6 2 7 4 3 3" xfId="43479"/>
    <cellStyle name="40% - Accent6 2 7 4 4" xfId="43480"/>
    <cellStyle name="40% - Accent6 2 7 4 4 2" xfId="43481"/>
    <cellStyle name="40% - Accent6 2 7 4 5" xfId="43482"/>
    <cellStyle name="40% - Accent6 2 7 5" xfId="43483"/>
    <cellStyle name="40% - Accent6 2 7 5 2" xfId="43484"/>
    <cellStyle name="40% - Accent6 2 7 5 2 2" xfId="43485"/>
    <cellStyle name="40% - Accent6 2 7 5 2 2 2" xfId="43486"/>
    <cellStyle name="40% - Accent6 2 7 5 2 2 2 2" xfId="43487"/>
    <cellStyle name="40% - Accent6 2 7 5 2 2 3" xfId="43488"/>
    <cellStyle name="40% - Accent6 2 7 5 2 3" xfId="43489"/>
    <cellStyle name="40% - Accent6 2 7 5 2 3 2" xfId="43490"/>
    <cellStyle name="40% - Accent6 2 7 5 2 4" xfId="43491"/>
    <cellStyle name="40% - Accent6 2 7 5 3" xfId="43492"/>
    <cellStyle name="40% - Accent6 2 7 5 3 2" xfId="43493"/>
    <cellStyle name="40% - Accent6 2 7 5 3 2 2" xfId="43494"/>
    <cellStyle name="40% - Accent6 2 7 5 3 3" xfId="43495"/>
    <cellStyle name="40% - Accent6 2 7 5 4" xfId="43496"/>
    <cellStyle name="40% - Accent6 2 7 5 4 2" xfId="43497"/>
    <cellStyle name="40% - Accent6 2 7 5 5" xfId="43498"/>
    <cellStyle name="40% - Accent6 2 7 6" xfId="43499"/>
    <cellStyle name="40% - Accent6 2 7 6 2" xfId="43500"/>
    <cellStyle name="40% - Accent6 2 7 6 2 2" xfId="43501"/>
    <cellStyle name="40% - Accent6 2 7 6 2 2 2" xfId="43502"/>
    <cellStyle name="40% - Accent6 2 7 6 2 2 2 2" xfId="43503"/>
    <cellStyle name="40% - Accent6 2 7 6 2 2 3" xfId="43504"/>
    <cellStyle name="40% - Accent6 2 7 6 2 3" xfId="43505"/>
    <cellStyle name="40% - Accent6 2 7 6 2 3 2" xfId="43506"/>
    <cellStyle name="40% - Accent6 2 7 6 2 4" xfId="43507"/>
    <cellStyle name="40% - Accent6 2 7 6 3" xfId="43508"/>
    <cellStyle name="40% - Accent6 2 7 6 3 2" xfId="43509"/>
    <cellStyle name="40% - Accent6 2 7 6 3 2 2" xfId="43510"/>
    <cellStyle name="40% - Accent6 2 7 6 3 3" xfId="43511"/>
    <cellStyle name="40% - Accent6 2 7 6 4" xfId="43512"/>
    <cellStyle name="40% - Accent6 2 7 6 4 2" xfId="43513"/>
    <cellStyle name="40% - Accent6 2 7 6 5" xfId="43514"/>
    <cellStyle name="40% - Accent6 2 7 7" xfId="43515"/>
    <cellStyle name="40% - Accent6 2 7 7 2" xfId="43516"/>
    <cellStyle name="40% - Accent6 2 7 7 2 2" xfId="43517"/>
    <cellStyle name="40% - Accent6 2 7 7 2 2 2" xfId="43518"/>
    <cellStyle name="40% - Accent6 2 7 7 2 2 2 2" xfId="43519"/>
    <cellStyle name="40% - Accent6 2 7 7 2 2 3" xfId="43520"/>
    <cellStyle name="40% - Accent6 2 7 7 2 3" xfId="43521"/>
    <cellStyle name="40% - Accent6 2 7 7 2 3 2" xfId="43522"/>
    <cellStyle name="40% - Accent6 2 7 7 2 4" xfId="43523"/>
    <cellStyle name="40% - Accent6 2 7 7 3" xfId="43524"/>
    <cellStyle name="40% - Accent6 2 7 7 3 2" xfId="43525"/>
    <cellStyle name="40% - Accent6 2 7 7 3 2 2" xfId="43526"/>
    <cellStyle name="40% - Accent6 2 7 7 3 3" xfId="43527"/>
    <cellStyle name="40% - Accent6 2 7 7 4" xfId="43528"/>
    <cellStyle name="40% - Accent6 2 7 7 4 2" xfId="43529"/>
    <cellStyle name="40% - Accent6 2 7 7 5" xfId="43530"/>
    <cellStyle name="40% - Accent6 2 7 8" xfId="43531"/>
    <cellStyle name="40% - Accent6 2 7 8 2" xfId="43532"/>
    <cellStyle name="40% - Accent6 2 7 8 2 2" xfId="43533"/>
    <cellStyle name="40% - Accent6 2 7 8 2 2 2" xfId="43534"/>
    <cellStyle name="40% - Accent6 2 7 8 2 3" xfId="43535"/>
    <cellStyle name="40% - Accent6 2 7 8 3" xfId="43536"/>
    <cellStyle name="40% - Accent6 2 7 8 3 2" xfId="43537"/>
    <cellStyle name="40% - Accent6 2 7 8 4" xfId="43538"/>
    <cellStyle name="40% - Accent6 2 7 9" xfId="43539"/>
    <cellStyle name="40% - Accent6 2 7 9 2" xfId="43540"/>
    <cellStyle name="40% - Accent6 2 7 9 2 2" xfId="43541"/>
    <cellStyle name="40% - Accent6 2 7 9 3" xfId="43542"/>
    <cellStyle name="40% - Accent6 2 8" xfId="43543"/>
    <cellStyle name="40% - Accent6 2 8 10" xfId="43544"/>
    <cellStyle name="40% - Accent6 2 8 10 2" xfId="43545"/>
    <cellStyle name="40% - Accent6 2 8 11" xfId="43546"/>
    <cellStyle name="40% - Accent6 2 8 2" xfId="43547"/>
    <cellStyle name="40% - Accent6 2 8 2 10" xfId="43548"/>
    <cellStyle name="40% - Accent6 2 8 2 2" xfId="43549"/>
    <cellStyle name="40% - Accent6 2 8 2 2 2" xfId="43550"/>
    <cellStyle name="40% - Accent6 2 8 2 2 2 2" xfId="43551"/>
    <cellStyle name="40% - Accent6 2 8 2 2 2 2 2" xfId="43552"/>
    <cellStyle name="40% - Accent6 2 8 2 2 2 2 2 2" xfId="43553"/>
    <cellStyle name="40% - Accent6 2 8 2 2 2 2 3" xfId="43554"/>
    <cellStyle name="40% - Accent6 2 8 2 2 2 3" xfId="43555"/>
    <cellStyle name="40% - Accent6 2 8 2 2 2 3 2" xfId="43556"/>
    <cellStyle name="40% - Accent6 2 8 2 2 2 4" xfId="43557"/>
    <cellStyle name="40% - Accent6 2 8 2 2 3" xfId="43558"/>
    <cellStyle name="40% - Accent6 2 8 2 2 3 2" xfId="43559"/>
    <cellStyle name="40% - Accent6 2 8 2 2 3 2 2" xfId="43560"/>
    <cellStyle name="40% - Accent6 2 8 2 2 3 3" xfId="43561"/>
    <cellStyle name="40% - Accent6 2 8 2 2 4" xfId="43562"/>
    <cellStyle name="40% - Accent6 2 8 2 2 4 2" xfId="43563"/>
    <cellStyle name="40% - Accent6 2 8 2 2 5" xfId="43564"/>
    <cellStyle name="40% - Accent6 2 8 2 3" xfId="43565"/>
    <cellStyle name="40% - Accent6 2 8 2 3 2" xfId="43566"/>
    <cellStyle name="40% - Accent6 2 8 2 3 2 2" xfId="43567"/>
    <cellStyle name="40% - Accent6 2 8 2 3 2 2 2" xfId="43568"/>
    <cellStyle name="40% - Accent6 2 8 2 3 2 2 2 2" xfId="43569"/>
    <cellStyle name="40% - Accent6 2 8 2 3 2 2 3" xfId="43570"/>
    <cellStyle name="40% - Accent6 2 8 2 3 2 3" xfId="43571"/>
    <cellStyle name="40% - Accent6 2 8 2 3 2 3 2" xfId="43572"/>
    <cellStyle name="40% - Accent6 2 8 2 3 2 4" xfId="43573"/>
    <cellStyle name="40% - Accent6 2 8 2 3 3" xfId="43574"/>
    <cellStyle name="40% - Accent6 2 8 2 3 3 2" xfId="43575"/>
    <cellStyle name="40% - Accent6 2 8 2 3 3 2 2" xfId="43576"/>
    <cellStyle name="40% - Accent6 2 8 2 3 3 3" xfId="43577"/>
    <cellStyle name="40% - Accent6 2 8 2 3 4" xfId="43578"/>
    <cellStyle name="40% - Accent6 2 8 2 3 4 2" xfId="43579"/>
    <cellStyle name="40% - Accent6 2 8 2 3 5" xfId="43580"/>
    <cellStyle name="40% - Accent6 2 8 2 4" xfId="43581"/>
    <cellStyle name="40% - Accent6 2 8 2 4 2" xfId="43582"/>
    <cellStyle name="40% - Accent6 2 8 2 4 2 2" xfId="43583"/>
    <cellStyle name="40% - Accent6 2 8 2 4 2 2 2" xfId="43584"/>
    <cellStyle name="40% - Accent6 2 8 2 4 2 2 2 2" xfId="43585"/>
    <cellStyle name="40% - Accent6 2 8 2 4 2 2 3" xfId="43586"/>
    <cellStyle name="40% - Accent6 2 8 2 4 2 3" xfId="43587"/>
    <cellStyle name="40% - Accent6 2 8 2 4 2 3 2" xfId="43588"/>
    <cellStyle name="40% - Accent6 2 8 2 4 2 4" xfId="43589"/>
    <cellStyle name="40% - Accent6 2 8 2 4 3" xfId="43590"/>
    <cellStyle name="40% - Accent6 2 8 2 4 3 2" xfId="43591"/>
    <cellStyle name="40% - Accent6 2 8 2 4 3 2 2" xfId="43592"/>
    <cellStyle name="40% - Accent6 2 8 2 4 3 3" xfId="43593"/>
    <cellStyle name="40% - Accent6 2 8 2 4 4" xfId="43594"/>
    <cellStyle name="40% - Accent6 2 8 2 4 4 2" xfId="43595"/>
    <cellStyle name="40% - Accent6 2 8 2 4 5" xfId="43596"/>
    <cellStyle name="40% - Accent6 2 8 2 5" xfId="43597"/>
    <cellStyle name="40% - Accent6 2 8 2 5 2" xfId="43598"/>
    <cellStyle name="40% - Accent6 2 8 2 5 2 2" xfId="43599"/>
    <cellStyle name="40% - Accent6 2 8 2 5 2 2 2" xfId="43600"/>
    <cellStyle name="40% - Accent6 2 8 2 5 2 2 2 2" xfId="43601"/>
    <cellStyle name="40% - Accent6 2 8 2 5 2 2 3" xfId="43602"/>
    <cellStyle name="40% - Accent6 2 8 2 5 2 3" xfId="43603"/>
    <cellStyle name="40% - Accent6 2 8 2 5 2 3 2" xfId="43604"/>
    <cellStyle name="40% - Accent6 2 8 2 5 2 4" xfId="43605"/>
    <cellStyle name="40% - Accent6 2 8 2 5 3" xfId="43606"/>
    <cellStyle name="40% - Accent6 2 8 2 5 3 2" xfId="43607"/>
    <cellStyle name="40% - Accent6 2 8 2 5 3 2 2" xfId="43608"/>
    <cellStyle name="40% - Accent6 2 8 2 5 3 3" xfId="43609"/>
    <cellStyle name="40% - Accent6 2 8 2 5 4" xfId="43610"/>
    <cellStyle name="40% - Accent6 2 8 2 5 4 2" xfId="43611"/>
    <cellStyle name="40% - Accent6 2 8 2 5 5" xfId="43612"/>
    <cellStyle name="40% - Accent6 2 8 2 6" xfId="43613"/>
    <cellStyle name="40% - Accent6 2 8 2 6 2" xfId="43614"/>
    <cellStyle name="40% - Accent6 2 8 2 6 2 2" xfId="43615"/>
    <cellStyle name="40% - Accent6 2 8 2 6 2 2 2" xfId="43616"/>
    <cellStyle name="40% - Accent6 2 8 2 6 2 2 2 2" xfId="43617"/>
    <cellStyle name="40% - Accent6 2 8 2 6 2 2 3" xfId="43618"/>
    <cellStyle name="40% - Accent6 2 8 2 6 2 3" xfId="43619"/>
    <cellStyle name="40% - Accent6 2 8 2 6 2 3 2" xfId="43620"/>
    <cellStyle name="40% - Accent6 2 8 2 6 2 4" xfId="43621"/>
    <cellStyle name="40% - Accent6 2 8 2 6 3" xfId="43622"/>
    <cellStyle name="40% - Accent6 2 8 2 6 3 2" xfId="43623"/>
    <cellStyle name="40% - Accent6 2 8 2 6 3 2 2" xfId="43624"/>
    <cellStyle name="40% - Accent6 2 8 2 6 3 3" xfId="43625"/>
    <cellStyle name="40% - Accent6 2 8 2 6 4" xfId="43626"/>
    <cellStyle name="40% - Accent6 2 8 2 6 4 2" xfId="43627"/>
    <cellStyle name="40% - Accent6 2 8 2 6 5" xfId="43628"/>
    <cellStyle name="40% - Accent6 2 8 2 7" xfId="43629"/>
    <cellStyle name="40% - Accent6 2 8 2 7 2" xfId="43630"/>
    <cellStyle name="40% - Accent6 2 8 2 7 2 2" xfId="43631"/>
    <cellStyle name="40% - Accent6 2 8 2 7 2 2 2" xfId="43632"/>
    <cellStyle name="40% - Accent6 2 8 2 7 2 3" xfId="43633"/>
    <cellStyle name="40% - Accent6 2 8 2 7 3" xfId="43634"/>
    <cellStyle name="40% - Accent6 2 8 2 7 3 2" xfId="43635"/>
    <cellStyle name="40% - Accent6 2 8 2 7 4" xfId="43636"/>
    <cellStyle name="40% - Accent6 2 8 2 8" xfId="43637"/>
    <cellStyle name="40% - Accent6 2 8 2 8 2" xfId="43638"/>
    <cellStyle name="40% - Accent6 2 8 2 8 2 2" xfId="43639"/>
    <cellStyle name="40% - Accent6 2 8 2 8 3" xfId="43640"/>
    <cellStyle name="40% - Accent6 2 8 2 9" xfId="43641"/>
    <cellStyle name="40% - Accent6 2 8 2 9 2" xfId="43642"/>
    <cellStyle name="40% - Accent6 2 8 3" xfId="43643"/>
    <cellStyle name="40% - Accent6 2 8 3 2" xfId="43644"/>
    <cellStyle name="40% - Accent6 2 8 3 2 2" xfId="43645"/>
    <cellStyle name="40% - Accent6 2 8 3 2 2 2" xfId="43646"/>
    <cellStyle name="40% - Accent6 2 8 3 2 2 2 2" xfId="43647"/>
    <cellStyle name="40% - Accent6 2 8 3 2 2 3" xfId="43648"/>
    <cellStyle name="40% - Accent6 2 8 3 2 3" xfId="43649"/>
    <cellStyle name="40% - Accent6 2 8 3 2 3 2" xfId="43650"/>
    <cellStyle name="40% - Accent6 2 8 3 2 4" xfId="43651"/>
    <cellStyle name="40% - Accent6 2 8 3 3" xfId="43652"/>
    <cellStyle name="40% - Accent6 2 8 3 3 2" xfId="43653"/>
    <cellStyle name="40% - Accent6 2 8 3 3 2 2" xfId="43654"/>
    <cellStyle name="40% - Accent6 2 8 3 3 3" xfId="43655"/>
    <cellStyle name="40% - Accent6 2 8 3 4" xfId="43656"/>
    <cellStyle name="40% - Accent6 2 8 3 4 2" xfId="43657"/>
    <cellStyle name="40% - Accent6 2 8 3 5" xfId="43658"/>
    <cellStyle name="40% - Accent6 2 8 4" xfId="43659"/>
    <cellStyle name="40% - Accent6 2 8 4 2" xfId="43660"/>
    <cellStyle name="40% - Accent6 2 8 4 2 2" xfId="43661"/>
    <cellStyle name="40% - Accent6 2 8 4 2 2 2" xfId="43662"/>
    <cellStyle name="40% - Accent6 2 8 4 2 2 2 2" xfId="43663"/>
    <cellStyle name="40% - Accent6 2 8 4 2 2 3" xfId="43664"/>
    <cellStyle name="40% - Accent6 2 8 4 2 3" xfId="43665"/>
    <cellStyle name="40% - Accent6 2 8 4 2 3 2" xfId="43666"/>
    <cellStyle name="40% - Accent6 2 8 4 2 4" xfId="43667"/>
    <cellStyle name="40% - Accent6 2 8 4 3" xfId="43668"/>
    <cellStyle name="40% - Accent6 2 8 4 3 2" xfId="43669"/>
    <cellStyle name="40% - Accent6 2 8 4 3 2 2" xfId="43670"/>
    <cellStyle name="40% - Accent6 2 8 4 3 3" xfId="43671"/>
    <cellStyle name="40% - Accent6 2 8 4 4" xfId="43672"/>
    <cellStyle name="40% - Accent6 2 8 4 4 2" xfId="43673"/>
    <cellStyle name="40% - Accent6 2 8 4 5" xfId="43674"/>
    <cellStyle name="40% - Accent6 2 8 5" xfId="43675"/>
    <cellStyle name="40% - Accent6 2 8 5 2" xfId="43676"/>
    <cellStyle name="40% - Accent6 2 8 5 2 2" xfId="43677"/>
    <cellStyle name="40% - Accent6 2 8 5 2 2 2" xfId="43678"/>
    <cellStyle name="40% - Accent6 2 8 5 2 2 2 2" xfId="43679"/>
    <cellStyle name="40% - Accent6 2 8 5 2 2 3" xfId="43680"/>
    <cellStyle name="40% - Accent6 2 8 5 2 3" xfId="43681"/>
    <cellStyle name="40% - Accent6 2 8 5 2 3 2" xfId="43682"/>
    <cellStyle name="40% - Accent6 2 8 5 2 4" xfId="43683"/>
    <cellStyle name="40% - Accent6 2 8 5 3" xfId="43684"/>
    <cellStyle name="40% - Accent6 2 8 5 3 2" xfId="43685"/>
    <cellStyle name="40% - Accent6 2 8 5 3 2 2" xfId="43686"/>
    <cellStyle name="40% - Accent6 2 8 5 3 3" xfId="43687"/>
    <cellStyle name="40% - Accent6 2 8 5 4" xfId="43688"/>
    <cellStyle name="40% - Accent6 2 8 5 4 2" xfId="43689"/>
    <cellStyle name="40% - Accent6 2 8 5 5" xfId="43690"/>
    <cellStyle name="40% - Accent6 2 8 6" xfId="43691"/>
    <cellStyle name="40% - Accent6 2 8 6 2" xfId="43692"/>
    <cellStyle name="40% - Accent6 2 8 6 2 2" xfId="43693"/>
    <cellStyle name="40% - Accent6 2 8 6 2 2 2" xfId="43694"/>
    <cellStyle name="40% - Accent6 2 8 6 2 2 2 2" xfId="43695"/>
    <cellStyle name="40% - Accent6 2 8 6 2 2 3" xfId="43696"/>
    <cellStyle name="40% - Accent6 2 8 6 2 3" xfId="43697"/>
    <cellStyle name="40% - Accent6 2 8 6 2 3 2" xfId="43698"/>
    <cellStyle name="40% - Accent6 2 8 6 2 4" xfId="43699"/>
    <cellStyle name="40% - Accent6 2 8 6 3" xfId="43700"/>
    <cellStyle name="40% - Accent6 2 8 6 3 2" xfId="43701"/>
    <cellStyle name="40% - Accent6 2 8 6 3 2 2" xfId="43702"/>
    <cellStyle name="40% - Accent6 2 8 6 3 3" xfId="43703"/>
    <cellStyle name="40% - Accent6 2 8 6 4" xfId="43704"/>
    <cellStyle name="40% - Accent6 2 8 6 4 2" xfId="43705"/>
    <cellStyle name="40% - Accent6 2 8 6 5" xfId="43706"/>
    <cellStyle name="40% - Accent6 2 8 7" xfId="43707"/>
    <cellStyle name="40% - Accent6 2 8 7 2" xfId="43708"/>
    <cellStyle name="40% - Accent6 2 8 7 2 2" xfId="43709"/>
    <cellStyle name="40% - Accent6 2 8 7 2 2 2" xfId="43710"/>
    <cellStyle name="40% - Accent6 2 8 7 2 2 2 2" xfId="43711"/>
    <cellStyle name="40% - Accent6 2 8 7 2 2 3" xfId="43712"/>
    <cellStyle name="40% - Accent6 2 8 7 2 3" xfId="43713"/>
    <cellStyle name="40% - Accent6 2 8 7 2 3 2" xfId="43714"/>
    <cellStyle name="40% - Accent6 2 8 7 2 4" xfId="43715"/>
    <cellStyle name="40% - Accent6 2 8 7 3" xfId="43716"/>
    <cellStyle name="40% - Accent6 2 8 7 3 2" xfId="43717"/>
    <cellStyle name="40% - Accent6 2 8 7 3 2 2" xfId="43718"/>
    <cellStyle name="40% - Accent6 2 8 7 3 3" xfId="43719"/>
    <cellStyle name="40% - Accent6 2 8 7 4" xfId="43720"/>
    <cellStyle name="40% - Accent6 2 8 7 4 2" xfId="43721"/>
    <cellStyle name="40% - Accent6 2 8 7 5" xfId="43722"/>
    <cellStyle name="40% - Accent6 2 8 8" xfId="43723"/>
    <cellStyle name="40% - Accent6 2 8 8 2" xfId="43724"/>
    <cellStyle name="40% - Accent6 2 8 8 2 2" xfId="43725"/>
    <cellStyle name="40% - Accent6 2 8 8 2 2 2" xfId="43726"/>
    <cellStyle name="40% - Accent6 2 8 8 2 3" xfId="43727"/>
    <cellStyle name="40% - Accent6 2 8 8 3" xfId="43728"/>
    <cellStyle name="40% - Accent6 2 8 8 3 2" xfId="43729"/>
    <cellStyle name="40% - Accent6 2 8 8 4" xfId="43730"/>
    <cellStyle name="40% - Accent6 2 8 9" xfId="43731"/>
    <cellStyle name="40% - Accent6 2 8 9 2" xfId="43732"/>
    <cellStyle name="40% - Accent6 2 8 9 2 2" xfId="43733"/>
    <cellStyle name="40% - Accent6 2 8 9 3" xfId="43734"/>
    <cellStyle name="40% - Accent6 2 9" xfId="43735"/>
    <cellStyle name="40% - Accent6 2 9 10" xfId="43736"/>
    <cellStyle name="40% - Accent6 2 9 10 2" xfId="43737"/>
    <cellStyle name="40% - Accent6 2 9 11" xfId="43738"/>
    <cellStyle name="40% - Accent6 2 9 2" xfId="43739"/>
    <cellStyle name="40% - Accent6 2 9 2 10" xfId="43740"/>
    <cellStyle name="40% - Accent6 2 9 2 2" xfId="43741"/>
    <cellStyle name="40% - Accent6 2 9 2 2 2" xfId="43742"/>
    <cellStyle name="40% - Accent6 2 9 2 2 2 2" xfId="43743"/>
    <cellStyle name="40% - Accent6 2 9 2 2 2 2 2" xfId="43744"/>
    <cellStyle name="40% - Accent6 2 9 2 2 2 2 2 2" xfId="43745"/>
    <cellStyle name="40% - Accent6 2 9 2 2 2 2 3" xfId="43746"/>
    <cellStyle name="40% - Accent6 2 9 2 2 2 3" xfId="43747"/>
    <cellStyle name="40% - Accent6 2 9 2 2 2 3 2" xfId="43748"/>
    <cellStyle name="40% - Accent6 2 9 2 2 2 4" xfId="43749"/>
    <cellStyle name="40% - Accent6 2 9 2 2 3" xfId="43750"/>
    <cellStyle name="40% - Accent6 2 9 2 2 3 2" xfId="43751"/>
    <cellStyle name="40% - Accent6 2 9 2 2 3 2 2" xfId="43752"/>
    <cellStyle name="40% - Accent6 2 9 2 2 3 3" xfId="43753"/>
    <cellStyle name="40% - Accent6 2 9 2 2 4" xfId="43754"/>
    <cellStyle name="40% - Accent6 2 9 2 2 4 2" xfId="43755"/>
    <cellStyle name="40% - Accent6 2 9 2 2 5" xfId="43756"/>
    <cellStyle name="40% - Accent6 2 9 2 3" xfId="43757"/>
    <cellStyle name="40% - Accent6 2 9 2 3 2" xfId="43758"/>
    <cellStyle name="40% - Accent6 2 9 2 3 2 2" xfId="43759"/>
    <cellStyle name="40% - Accent6 2 9 2 3 2 2 2" xfId="43760"/>
    <cellStyle name="40% - Accent6 2 9 2 3 2 2 2 2" xfId="43761"/>
    <cellStyle name="40% - Accent6 2 9 2 3 2 2 3" xfId="43762"/>
    <cellStyle name="40% - Accent6 2 9 2 3 2 3" xfId="43763"/>
    <cellStyle name="40% - Accent6 2 9 2 3 2 3 2" xfId="43764"/>
    <cellStyle name="40% - Accent6 2 9 2 3 2 4" xfId="43765"/>
    <cellStyle name="40% - Accent6 2 9 2 3 3" xfId="43766"/>
    <cellStyle name="40% - Accent6 2 9 2 3 3 2" xfId="43767"/>
    <cellStyle name="40% - Accent6 2 9 2 3 3 2 2" xfId="43768"/>
    <cellStyle name="40% - Accent6 2 9 2 3 3 3" xfId="43769"/>
    <cellStyle name="40% - Accent6 2 9 2 3 4" xfId="43770"/>
    <cellStyle name="40% - Accent6 2 9 2 3 4 2" xfId="43771"/>
    <cellStyle name="40% - Accent6 2 9 2 3 5" xfId="43772"/>
    <cellStyle name="40% - Accent6 2 9 2 4" xfId="43773"/>
    <cellStyle name="40% - Accent6 2 9 2 4 2" xfId="43774"/>
    <cellStyle name="40% - Accent6 2 9 2 4 2 2" xfId="43775"/>
    <cellStyle name="40% - Accent6 2 9 2 4 2 2 2" xfId="43776"/>
    <cellStyle name="40% - Accent6 2 9 2 4 2 2 2 2" xfId="43777"/>
    <cellStyle name="40% - Accent6 2 9 2 4 2 2 3" xfId="43778"/>
    <cellStyle name="40% - Accent6 2 9 2 4 2 3" xfId="43779"/>
    <cellStyle name="40% - Accent6 2 9 2 4 2 3 2" xfId="43780"/>
    <cellStyle name="40% - Accent6 2 9 2 4 2 4" xfId="43781"/>
    <cellStyle name="40% - Accent6 2 9 2 4 3" xfId="43782"/>
    <cellStyle name="40% - Accent6 2 9 2 4 3 2" xfId="43783"/>
    <cellStyle name="40% - Accent6 2 9 2 4 3 2 2" xfId="43784"/>
    <cellStyle name="40% - Accent6 2 9 2 4 3 3" xfId="43785"/>
    <cellStyle name="40% - Accent6 2 9 2 4 4" xfId="43786"/>
    <cellStyle name="40% - Accent6 2 9 2 4 4 2" xfId="43787"/>
    <cellStyle name="40% - Accent6 2 9 2 4 5" xfId="43788"/>
    <cellStyle name="40% - Accent6 2 9 2 5" xfId="43789"/>
    <cellStyle name="40% - Accent6 2 9 2 5 2" xfId="43790"/>
    <cellStyle name="40% - Accent6 2 9 2 5 2 2" xfId="43791"/>
    <cellStyle name="40% - Accent6 2 9 2 5 2 2 2" xfId="43792"/>
    <cellStyle name="40% - Accent6 2 9 2 5 2 2 2 2" xfId="43793"/>
    <cellStyle name="40% - Accent6 2 9 2 5 2 2 3" xfId="43794"/>
    <cellStyle name="40% - Accent6 2 9 2 5 2 3" xfId="43795"/>
    <cellStyle name="40% - Accent6 2 9 2 5 2 3 2" xfId="43796"/>
    <cellStyle name="40% - Accent6 2 9 2 5 2 4" xfId="43797"/>
    <cellStyle name="40% - Accent6 2 9 2 5 3" xfId="43798"/>
    <cellStyle name="40% - Accent6 2 9 2 5 3 2" xfId="43799"/>
    <cellStyle name="40% - Accent6 2 9 2 5 3 2 2" xfId="43800"/>
    <cellStyle name="40% - Accent6 2 9 2 5 3 3" xfId="43801"/>
    <cellStyle name="40% - Accent6 2 9 2 5 4" xfId="43802"/>
    <cellStyle name="40% - Accent6 2 9 2 5 4 2" xfId="43803"/>
    <cellStyle name="40% - Accent6 2 9 2 5 5" xfId="43804"/>
    <cellStyle name="40% - Accent6 2 9 2 6" xfId="43805"/>
    <cellStyle name="40% - Accent6 2 9 2 6 2" xfId="43806"/>
    <cellStyle name="40% - Accent6 2 9 2 6 2 2" xfId="43807"/>
    <cellStyle name="40% - Accent6 2 9 2 6 2 2 2" xfId="43808"/>
    <cellStyle name="40% - Accent6 2 9 2 6 2 2 2 2" xfId="43809"/>
    <cellStyle name="40% - Accent6 2 9 2 6 2 2 3" xfId="43810"/>
    <cellStyle name="40% - Accent6 2 9 2 6 2 3" xfId="43811"/>
    <cellStyle name="40% - Accent6 2 9 2 6 2 3 2" xfId="43812"/>
    <cellStyle name="40% - Accent6 2 9 2 6 2 4" xfId="43813"/>
    <cellStyle name="40% - Accent6 2 9 2 6 3" xfId="43814"/>
    <cellStyle name="40% - Accent6 2 9 2 6 3 2" xfId="43815"/>
    <cellStyle name="40% - Accent6 2 9 2 6 3 2 2" xfId="43816"/>
    <cellStyle name="40% - Accent6 2 9 2 6 3 3" xfId="43817"/>
    <cellStyle name="40% - Accent6 2 9 2 6 4" xfId="43818"/>
    <cellStyle name="40% - Accent6 2 9 2 6 4 2" xfId="43819"/>
    <cellStyle name="40% - Accent6 2 9 2 6 5" xfId="43820"/>
    <cellStyle name="40% - Accent6 2 9 2 7" xfId="43821"/>
    <cellStyle name="40% - Accent6 2 9 2 7 2" xfId="43822"/>
    <cellStyle name="40% - Accent6 2 9 2 7 2 2" xfId="43823"/>
    <cellStyle name="40% - Accent6 2 9 2 7 2 2 2" xfId="43824"/>
    <cellStyle name="40% - Accent6 2 9 2 7 2 3" xfId="43825"/>
    <cellStyle name="40% - Accent6 2 9 2 7 3" xfId="43826"/>
    <cellStyle name="40% - Accent6 2 9 2 7 3 2" xfId="43827"/>
    <cellStyle name="40% - Accent6 2 9 2 7 4" xfId="43828"/>
    <cellStyle name="40% - Accent6 2 9 2 8" xfId="43829"/>
    <cellStyle name="40% - Accent6 2 9 2 8 2" xfId="43830"/>
    <cellStyle name="40% - Accent6 2 9 2 8 2 2" xfId="43831"/>
    <cellStyle name="40% - Accent6 2 9 2 8 3" xfId="43832"/>
    <cellStyle name="40% - Accent6 2 9 2 9" xfId="43833"/>
    <cellStyle name="40% - Accent6 2 9 2 9 2" xfId="43834"/>
    <cellStyle name="40% - Accent6 2 9 3" xfId="43835"/>
    <cellStyle name="40% - Accent6 2 9 3 2" xfId="43836"/>
    <cellStyle name="40% - Accent6 2 9 3 2 2" xfId="43837"/>
    <cellStyle name="40% - Accent6 2 9 3 2 2 2" xfId="43838"/>
    <cellStyle name="40% - Accent6 2 9 3 2 2 2 2" xfId="43839"/>
    <cellStyle name="40% - Accent6 2 9 3 2 2 3" xfId="43840"/>
    <cellStyle name="40% - Accent6 2 9 3 2 3" xfId="43841"/>
    <cellStyle name="40% - Accent6 2 9 3 2 3 2" xfId="43842"/>
    <cellStyle name="40% - Accent6 2 9 3 2 4" xfId="43843"/>
    <cellStyle name="40% - Accent6 2 9 3 3" xfId="43844"/>
    <cellStyle name="40% - Accent6 2 9 3 3 2" xfId="43845"/>
    <cellStyle name="40% - Accent6 2 9 3 3 2 2" xfId="43846"/>
    <cellStyle name="40% - Accent6 2 9 3 3 3" xfId="43847"/>
    <cellStyle name="40% - Accent6 2 9 3 4" xfId="43848"/>
    <cellStyle name="40% - Accent6 2 9 3 4 2" xfId="43849"/>
    <cellStyle name="40% - Accent6 2 9 3 5" xfId="43850"/>
    <cellStyle name="40% - Accent6 2 9 4" xfId="43851"/>
    <cellStyle name="40% - Accent6 2 9 4 2" xfId="43852"/>
    <cellStyle name="40% - Accent6 2 9 4 2 2" xfId="43853"/>
    <cellStyle name="40% - Accent6 2 9 4 2 2 2" xfId="43854"/>
    <cellStyle name="40% - Accent6 2 9 4 2 2 2 2" xfId="43855"/>
    <cellStyle name="40% - Accent6 2 9 4 2 2 3" xfId="43856"/>
    <cellStyle name="40% - Accent6 2 9 4 2 3" xfId="43857"/>
    <cellStyle name="40% - Accent6 2 9 4 2 3 2" xfId="43858"/>
    <cellStyle name="40% - Accent6 2 9 4 2 4" xfId="43859"/>
    <cellStyle name="40% - Accent6 2 9 4 3" xfId="43860"/>
    <cellStyle name="40% - Accent6 2 9 4 3 2" xfId="43861"/>
    <cellStyle name="40% - Accent6 2 9 4 3 2 2" xfId="43862"/>
    <cellStyle name="40% - Accent6 2 9 4 3 3" xfId="43863"/>
    <cellStyle name="40% - Accent6 2 9 4 4" xfId="43864"/>
    <cellStyle name="40% - Accent6 2 9 4 4 2" xfId="43865"/>
    <cellStyle name="40% - Accent6 2 9 4 5" xfId="43866"/>
    <cellStyle name="40% - Accent6 2 9 5" xfId="43867"/>
    <cellStyle name="40% - Accent6 2 9 5 2" xfId="43868"/>
    <cellStyle name="40% - Accent6 2 9 5 2 2" xfId="43869"/>
    <cellStyle name="40% - Accent6 2 9 5 2 2 2" xfId="43870"/>
    <cellStyle name="40% - Accent6 2 9 5 2 2 2 2" xfId="43871"/>
    <cellStyle name="40% - Accent6 2 9 5 2 2 3" xfId="43872"/>
    <cellStyle name="40% - Accent6 2 9 5 2 3" xfId="43873"/>
    <cellStyle name="40% - Accent6 2 9 5 2 3 2" xfId="43874"/>
    <cellStyle name="40% - Accent6 2 9 5 2 4" xfId="43875"/>
    <cellStyle name="40% - Accent6 2 9 5 3" xfId="43876"/>
    <cellStyle name="40% - Accent6 2 9 5 3 2" xfId="43877"/>
    <cellStyle name="40% - Accent6 2 9 5 3 2 2" xfId="43878"/>
    <cellStyle name="40% - Accent6 2 9 5 3 3" xfId="43879"/>
    <cellStyle name="40% - Accent6 2 9 5 4" xfId="43880"/>
    <cellStyle name="40% - Accent6 2 9 5 4 2" xfId="43881"/>
    <cellStyle name="40% - Accent6 2 9 5 5" xfId="43882"/>
    <cellStyle name="40% - Accent6 2 9 6" xfId="43883"/>
    <cellStyle name="40% - Accent6 2 9 6 2" xfId="43884"/>
    <cellStyle name="40% - Accent6 2 9 6 2 2" xfId="43885"/>
    <cellStyle name="40% - Accent6 2 9 6 2 2 2" xfId="43886"/>
    <cellStyle name="40% - Accent6 2 9 6 2 2 2 2" xfId="43887"/>
    <cellStyle name="40% - Accent6 2 9 6 2 2 3" xfId="43888"/>
    <cellStyle name="40% - Accent6 2 9 6 2 3" xfId="43889"/>
    <cellStyle name="40% - Accent6 2 9 6 2 3 2" xfId="43890"/>
    <cellStyle name="40% - Accent6 2 9 6 2 4" xfId="43891"/>
    <cellStyle name="40% - Accent6 2 9 6 3" xfId="43892"/>
    <cellStyle name="40% - Accent6 2 9 6 3 2" xfId="43893"/>
    <cellStyle name="40% - Accent6 2 9 6 3 2 2" xfId="43894"/>
    <cellStyle name="40% - Accent6 2 9 6 3 3" xfId="43895"/>
    <cellStyle name="40% - Accent6 2 9 6 4" xfId="43896"/>
    <cellStyle name="40% - Accent6 2 9 6 4 2" xfId="43897"/>
    <cellStyle name="40% - Accent6 2 9 6 5" xfId="43898"/>
    <cellStyle name="40% - Accent6 2 9 7" xfId="43899"/>
    <cellStyle name="40% - Accent6 2 9 7 2" xfId="43900"/>
    <cellStyle name="40% - Accent6 2 9 7 2 2" xfId="43901"/>
    <cellStyle name="40% - Accent6 2 9 7 2 2 2" xfId="43902"/>
    <cellStyle name="40% - Accent6 2 9 7 2 2 2 2" xfId="43903"/>
    <cellStyle name="40% - Accent6 2 9 7 2 2 3" xfId="43904"/>
    <cellStyle name="40% - Accent6 2 9 7 2 3" xfId="43905"/>
    <cellStyle name="40% - Accent6 2 9 7 2 3 2" xfId="43906"/>
    <cellStyle name="40% - Accent6 2 9 7 2 4" xfId="43907"/>
    <cellStyle name="40% - Accent6 2 9 7 3" xfId="43908"/>
    <cellStyle name="40% - Accent6 2 9 7 3 2" xfId="43909"/>
    <cellStyle name="40% - Accent6 2 9 7 3 2 2" xfId="43910"/>
    <cellStyle name="40% - Accent6 2 9 7 3 3" xfId="43911"/>
    <cellStyle name="40% - Accent6 2 9 7 4" xfId="43912"/>
    <cellStyle name="40% - Accent6 2 9 7 4 2" xfId="43913"/>
    <cellStyle name="40% - Accent6 2 9 7 5" xfId="43914"/>
    <cellStyle name="40% - Accent6 2 9 8" xfId="43915"/>
    <cellStyle name="40% - Accent6 2 9 8 2" xfId="43916"/>
    <cellStyle name="40% - Accent6 2 9 8 2 2" xfId="43917"/>
    <cellStyle name="40% - Accent6 2 9 8 2 2 2" xfId="43918"/>
    <cellStyle name="40% - Accent6 2 9 8 2 3" xfId="43919"/>
    <cellStyle name="40% - Accent6 2 9 8 3" xfId="43920"/>
    <cellStyle name="40% - Accent6 2 9 8 3 2" xfId="43921"/>
    <cellStyle name="40% - Accent6 2 9 8 4" xfId="43922"/>
    <cellStyle name="40% - Accent6 2 9 9" xfId="43923"/>
    <cellStyle name="40% - Accent6 2 9 9 2" xfId="43924"/>
    <cellStyle name="40% - Accent6 2 9 9 2 2" xfId="43925"/>
    <cellStyle name="40% - Accent6 2 9 9 3" xfId="43926"/>
    <cellStyle name="40% - Accent6 20" xfId="43927"/>
    <cellStyle name="40% - Accent6 20 2" xfId="43928"/>
    <cellStyle name="40% - Accent6 20 2 2" xfId="43929"/>
    <cellStyle name="40% - Accent6 20 2 2 2" xfId="43930"/>
    <cellStyle name="40% - Accent6 20 2 2 2 2" xfId="43931"/>
    <cellStyle name="40% - Accent6 20 2 2 3" xfId="43932"/>
    <cellStyle name="40% - Accent6 20 2 3" xfId="43933"/>
    <cellStyle name="40% - Accent6 20 2 3 2" xfId="43934"/>
    <cellStyle name="40% - Accent6 20 2 4" xfId="43935"/>
    <cellStyle name="40% - Accent6 20 3" xfId="43936"/>
    <cellStyle name="40% - Accent6 20 3 2" xfId="43937"/>
    <cellStyle name="40% - Accent6 20 3 2 2" xfId="43938"/>
    <cellStyle name="40% - Accent6 20 3 3" xfId="43939"/>
    <cellStyle name="40% - Accent6 20 4" xfId="43940"/>
    <cellStyle name="40% - Accent6 20 4 2" xfId="43941"/>
    <cellStyle name="40% - Accent6 20 5" xfId="43942"/>
    <cellStyle name="40% - Accent6 21" xfId="43943"/>
    <cellStyle name="40% - Accent6 21 2" xfId="43944"/>
    <cellStyle name="40% - Accent6 21 2 2" xfId="43945"/>
    <cellStyle name="40% - Accent6 21 2 2 2" xfId="43946"/>
    <cellStyle name="40% - Accent6 21 2 3" xfId="43947"/>
    <cellStyle name="40% - Accent6 21 3" xfId="43948"/>
    <cellStyle name="40% - Accent6 21 3 2" xfId="43949"/>
    <cellStyle name="40% - Accent6 21 4" xfId="43950"/>
    <cellStyle name="40% - Accent6 22" xfId="43951"/>
    <cellStyle name="40% - Accent6 22 2" xfId="43952"/>
    <cellStyle name="40% - Accent6 22 2 2" xfId="43953"/>
    <cellStyle name="40% - Accent6 22 3" xfId="43954"/>
    <cellStyle name="40% - Accent6 23" xfId="43955"/>
    <cellStyle name="40% - Accent6 23 2" xfId="43956"/>
    <cellStyle name="40% - Accent6 24" xfId="43957"/>
    <cellStyle name="40% - Accent6 3" xfId="43958"/>
    <cellStyle name="40% - Accent6 3 10" xfId="43959"/>
    <cellStyle name="40% - Accent6 3 10 2" xfId="43960"/>
    <cellStyle name="40% - Accent6 3 11" xfId="43961"/>
    <cellStyle name="40% - Accent6 3 2" xfId="43962"/>
    <cellStyle name="40% - Accent6 3 2 10" xfId="43963"/>
    <cellStyle name="40% - Accent6 3 2 2" xfId="43964"/>
    <cellStyle name="40% - Accent6 3 2 2 2" xfId="43965"/>
    <cellStyle name="40% - Accent6 3 2 2 2 2" xfId="43966"/>
    <cellStyle name="40% - Accent6 3 2 2 2 2 2" xfId="43967"/>
    <cellStyle name="40% - Accent6 3 2 2 2 2 2 2" xfId="43968"/>
    <cellStyle name="40% - Accent6 3 2 2 2 2 3" xfId="43969"/>
    <cellStyle name="40% - Accent6 3 2 2 2 3" xfId="43970"/>
    <cellStyle name="40% - Accent6 3 2 2 2 3 2" xfId="43971"/>
    <cellStyle name="40% - Accent6 3 2 2 2 4" xfId="43972"/>
    <cellStyle name="40% - Accent6 3 2 2 3" xfId="43973"/>
    <cellStyle name="40% - Accent6 3 2 2 3 2" xfId="43974"/>
    <cellStyle name="40% - Accent6 3 2 2 3 2 2" xfId="43975"/>
    <cellStyle name="40% - Accent6 3 2 2 3 3" xfId="43976"/>
    <cellStyle name="40% - Accent6 3 2 2 4" xfId="43977"/>
    <cellStyle name="40% - Accent6 3 2 2 4 2" xfId="43978"/>
    <cellStyle name="40% - Accent6 3 2 2 5" xfId="43979"/>
    <cellStyle name="40% - Accent6 3 2 3" xfId="43980"/>
    <cellStyle name="40% - Accent6 3 2 3 2" xfId="43981"/>
    <cellStyle name="40% - Accent6 3 2 3 2 2" xfId="43982"/>
    <cellStyle name="40% - Accent6 3 2 3 2 2 2" xfId="43983"/>
    <cellStyle name="40% - Accent6 3 2 3 2 2 2 2" xfId="43984"/>
    <cellStyle name="40% - Accent6 3 2 3 2 2 3" xfId="43985"/>
    <cellStyle name="40% - Accent6 3 2 3 2 3" xfId="43986"/>
    <cellStyle name="40% - Accent6 3 2 3 2 3 2" xfId="43987"/>
    <cellStyle name="40% - Accent6 3 2 3 2 4" xfId="43988"/>
    <cellStyle name="40% - Accent6 3 2 3 3" xfId="43989"/>
    <cellStyle name="40% - Accent6 3 2 3 3 2" xfId="43990"/>
    <cellStyle name="40% - Accent6 3 2 3 3 2 2" xfId="43991"/>
    <cellStyle name="40% - Accent6 3 2 3 3 3" xfId="43992"/>
    <cellStyle name="40% - Accent6 3 2 3 4" xfId="43993"/>
    <cellStyle name="40% - Accent6 3 2 3 4 2" xfId="43994"/>
    <cellStyle name="40% - Accent6 3 2 3 5" xfId="43995"/>
    <cellStyle name="40% - Accent6 3 2 4" xfId="43996"/>
    <cellStyle name="40% - Accent6 3 2 4 2" xfId="43997"/>
    <cellStyle name="40% - Accent6 3 2 4 2 2" xfId="43998"/>
    <cellStyle name="40% - Accent6 3 2 4 2 2 2" xfId="43999"/>
    <cellStyle name="40% - Accent6 3 2 4 2 2 2 2" xfId="44000"/>
    <cellStyle name="40% - Accent6 3 2 4 2 2 3" xfId="44001"/>
    <cellStyle name="40% - Accent6 3 2 4 2 3" xfId="44002"/>
    <cellStyle name="40% - Accent6 3 2 4 2 3 2" xfId="44003"/>
    <cellStyle name="40% - Accent6 3 2 4 2 4" xfId="44004"/>
    <cellStyle name="40% - Accent6 3 2 4 3" xfId="44005"/>
    <cellStyle name="40% - Accent6 3 2 4 3 2" xfId="44006"/>
    <cellStyle name="40% - Accent6 3 2 4 3 2 2" xfId="44007"/>
    <cellStyle name="40% - Accent6 3 2 4 3 3" xfId="44008"/>
    <cellStyle name="40% - Accent6 3 2 4 4" xfId="44009"/>
    <cellStyle name="40% - Accent6 3 2 4 4 2" xfId="44010"/>
    <cellStyle name="40% - Accent6 3 2 4 5" xfId="44011"/>
    <cellStyle name="40% - Accent6 3 2 5" xfId="44012"/>
    <cellStyle name="40% - Accent6 3 2 5 2" xfId="44013"/>
    <cellStyle name="40% - Accent6 3 2 5 2 2" xfId="44014"/>
    <cellStyle name="40% - Accent6 3 2 5 2 2 2" xfId="44015"/>
    <cellStyle name="40% - Accent6 3 2 5 2 2 2 2" xfId="44016"/>
    <cellStyle name="40% - Accent6 3 2 5 2 2 3" xfId="44017"/>
    <cellStyle name="40% - Accent6 3 2 5 2 3" xfId="44018"/>
    <cellStyle name="40% - Accent6 3 2 5 2 3 2" xfId="44019"/>
    <cellStyle name="40% - Accent6 3 2 5 2 4" xfId="44020"/>
    <cellStyle name="40% - Accent6 3 2 5 3" xfId="44021"/>
    <cellStyle name="40% - Accent6 3 2 5 3 2" xfId="44022"/>
    <cellStyle name="40% - Accent6 3 2 5 3 2 2" xfId="44023"/>
    <cellStyle name="40% - Accent6 3 2 5 3 3" xfId="44024"/>
    <cellStyle name="40% - Accent6 3 2 5 4" xfId="44025"/>
    <cellStyle name="40% - Accent6 3 2 5 4 2" xfId="44026"/>
    <cellStyle name="40% - Accent6 3 2 5 5" xfId="44027"/>
    <cellStyle name="40% - Accent6 3 2 6" xfId="44028"/>
    <cellStyle name="40% - Accent6 3 2 6 2" xfId="44029"/>
    <cellStyle name="40% - Accent6 3 2 6 2 2" xfId="44030"/>
    <cellStyle name="40% - Accent6 3 2 6 2 2 2" xfId="44031"/>
    <cellStyle name="40% - Accent6 3 2 6 2 2 2 2" xfId="44032"/>
    <cellStyle name="40% - Accent6 3 2 6 2 2 3" xfId="44033"/>
    <cellStyle name="40% - Accent6 3 2 6 2 3" xfId="44034"/>
    <cellStyle name="40% - Accent6 3 2 6 2 3 2" xfId="44035"/>
    <cellStyle name="40% - Accent6 3 2 6 2 4" xfId="44036"/>
    <cellStyle name="40% - Accent6 3 2 6 3" xfId="44037"/>
    <cellStyle name="40% - Accent6 3 2 6 3 2" xfId="44038"/>
    <cellStyle name="40% - Accent6 3 2 6 3 2 2" xfId="44039"/>
    <cellStyle name="40% - Accent6 3 2 6 3 3" xfId="44040"/>
    <cellStyle name="40% - Accent6 3 2 6 4" xfId="44041"/>
    <cellStyle name="40% - Accent6 3 2 6 4 2" xfId="44042"/>
    <cellStyle name="40% - Accent6 3 2 6 5" xfId="44043"/>
    <cellStyle name="40% - Accent6 3 2 7" xfId="44044"/>
    <cellStyle name="40% - Accent6 3 2 7 2" xfId="44045"/>
    <cellStyle name="40% - Accent6 3 2 7 2 2" xfId="44046"/>
    <cellStyle name="40% - Accent6 3 2 7 2 2 2" xfId="44047"/>
    <cellStyle name="40% - Accent6 3 2 7 2 3" xfId="44048"/>
    <cellStyle name="40% - Accent6 3 2 7 3" xfId="44049"/>
    <cellStyle name="40% - Accent6 3 2 7 3 2" xfId="44050"/>
    <cellStyle name="40% - Accent6 3 2 7 4" xfId="44051"/>
    <cellStyle name="40% - Accent6 3 2 8" xfId="44052"/>
    <cellStyle name="40% - Accent6 3 2 8 2" xfId="44053"/>
    <cellStyle name="40% - Accent6 3 2 8 2 2" xfId="44054"/>
    <cellStyle name="40% - Accent6 3 2 8 3" xfId="44055"/>
    <cellStyle name="40% - Accent6 3 2 9" xfId="44056"/>
    <cellStyle name="40% - Accent6 3 2 9 2" xfId="44057"/>
    <cellStyle name="40% - Accent6 3 3" xfId="44058"/>
    <cellStyle name="40% - Accent6 3 3 2" xfId="44059"/>
    <cellStyle name="40% - Accent6 3 3 2 2" xfId="44060"/>
    <cellStyle name="40% - Accent6 3 3 2 2 2" xfId="44061"/>
    <cellStyle name="40% - Accent6 3 3 2 2 2 2" xfId="44062"/>
    <cellStyle name="40% - Accent6 3 3 2 2 3" xfId="44063"/>
    <cellStyle name="40% - Accent6 3 3 2 3" xfId="44064"/>
    <cellStyle name="40% - Accent6 3 3 2 3 2" xfId="44065"/>
    <cellStyle name="40% - Accent6 3 3 2 4" xfId="44066"/>
    <cellStyle name="40% - Accent6 3 3 3" xfId="44067"/>
    <cellStyle name="40% - Accent6 3 3 3 2" xfId="44068"/>
    <cellStyle name="40% - Accent6 3 3 3 2 2" xfId="44069"/>
    <cellStyle name="40% - Accent6 3 3 3 3" xfId="44070"/>
    <cellStyle name="40% - Accent6 3 3 4" xfId="44071"/>
    <cellStyle name="40% - Accent6 3 3 4 2" xfId="44072"/>
    <cellStyle name="40% - Accent6 3 3 5" xfId="44073"/>
    <cellStyle name="40% - Accent6 3 4" xfId="44074"/>
    <cellStyle name="40% - Accent6 3 4 2" xfId="44075"/>
    <cellStyle name="40% - Accent6 3 4 2 2" xfId="44076"/>
    <cellStyle name="40% - Accent6 3 4 2 2 2" xfId="44077"/>
    <cellStyle name="40% - Accent6 3 4 2 2 2 2" xfId="44078"/>
    <cellStyle name="40% - Accent6 3 4 2 2 3" xfId="44079"/>
    <cellStyle name="40% - Accent6 3 4 2 3" xfId="44080"/>
    <cellStyle name="40% - Accent6 3 4 2 3 2" xfId="44081"/>
    <cellStyle name="40% - Accent6 3 4 2 4" xfId="44082"/>
    <cellStyle name="40% - Accent6 3 4 3" xfId="44083"/>
    <cellStyle name="40% - Accent6 3 4 3 2" xfId="44084"/>
    <cellStyle name="40% - Accent6 3 4 3 2 2" xfId="44085"/>
    <cellStyle name="40% - Accent6 3 4 3 3" xfId="44086"/>
    <cellStyle name="40% - Accent6 3 4 4" xfId="44087"/>
    <cellStyle name="40% - Accent6 3 4 4 2" xfId="44088"/>
    <cellStyle name="40% - Accent6 3 4 5" xfId="44089"/>
    <cellStyle name="40% - Accent6 3 5" xfId="44090"/>
    <cellStyle name="40% - Accent6 3 5 2" xfId="44091"/>
    <cellStyle name="40% - Accent6 3 5 2 2" xfId="44092"/>
    <cellStyle name="40% - Accent6 3 5 2 2 2" xfId="44093"/>
    <cellStyle name="40% - Accent6 3 5 2 2 2 2" xfId="44094"/>
    <cellStyle name="40% - Accent6 3 5 2 2 3" xfId="44095"/>
    <cellStyle name="40% - Accent6 3 5 2 3" xfId="44096"/>
    <cellStyle name="40% - Accent6 3 5 2 3 2" xfId="44097"/>
    <cellStyle name="40% - Accent6 3 5 2 4" xfId="44098"/>
    <cellStyle name="40% - Accent6 3 5 3" xfId="44099"/>
    <cellStyle name="40% - Accent6 3 5 3 2" xfId="44100"/>
    <cellStyle name="40% - Accent6 3 5 3 2 2" xfId="44101"/>
    <cellStyle name="40% - Accent6 3 5 3 3" xfId="44102"/>
    <cellStyle name="40% - Accent6 3 5 4" xfId="44103"/>
    <cellStyle name="40% - Accent6 3 5 4 2" xfId="44104"/>
    <cellStyle name="40% - Accent6 3 5 5" xfId="44105"/>
    <cellStyle name="40% - Accent6 3 6" xfId="44106"/>
    <cellStyle name="40% - Accent6 3 6 2" xfId="44107"/>
    <cellStyle name="40% - Accent6 3 6 2 2" xfId="44108"/>
    <cellStyle name="40% - Accent6 3 6 2 2 2" xfId="44109"/>
    <cellStyle name="40% - Accent6 3 6 2 2 2 2" xfId="44110"/>
    <cellStyle name="40% - Accent6 3 6 2 2 3" xfId="44111"/>
    <cellStyle name="40% - Accent6 3 6 2 3" xfId="44112"/>
    <cellStyle name="40% - Accent6 3 6 2 3 2" xfId="44113"/>
    <cellStyle name="40% - Accent6 3 6 2 4" xfId="44114"/>
    <cellStyle name="40% - Accent6 3 6 3" xfId="44115"/>
    <cellStyle name="40% - Accent6 3 6 3 2" xfId="44116"/>
    <cellStyle name="40% - Accent6 3 6 3 2 2" xfId="44117"/>
    <cellStyle name="40% - Accent6 3 6 3 3" xfId="44118"/>
    <cellStyle name="40% - Accent6 3 6 4" xfId="44119"/>
    <cellStyle name="40% - Accent6 3 6 4 2" xfId="44120"/>
    <cellStyle name="40% - Accent6 3 6 5" xfId="44121"/>
    <cellStyle name="40% - Accent6 3 7" xfId="44122"/>
    <cellStyle name="40% - Accent6 3 7 2" xfId="44123"/>
    <cellStyle name="40% - Accent6 3 7 2 2" xfId="44124"/>
    <cellStyle name="40% - Accent6 3 7 2 2 2" xfId="44125"/>
    <cellStyle name="40% - Accent6 3 7 2 2 2 2" xfId="44126"/>
    <cellStyle name="40% - Accent6 3 7 2 2 3" xfId="44127"/>
    <cellStyle name="40% - Accent6 3 7 2 3" xfId="44128"/>
    <cellStyle name="40% - Accent6 3 7 2 3 2" xfId="44129"/>
    <cellStyle name="40% - Accent6 3 7 2 4" xfId="44130"/>
    <cellStyle name="40% - Accent6 3 7 3" xfId="44131"/>
    <cellStyle name="40% - Accent6 3 7 3 2" xfId="44132"/>
    <cellStyle name="40% - Accent6 3 7 3 2 2" xfId="44133"/>
    <cellStyle name="40% - Accent6 3 7 3 3" xfId="44134"/>
    <cellStyle name="40% - Accent6 3 7 4" xfId="44135"/>
    <cellStyle name="40% - Accent6 3 7 4 2" xfId="44136"/>
    <cellStyle name="40% - Accent6 3 7 5" xfId="44137"/>
    <cellStyle name="40% - Accent6 3 8" xfId="44138"/>
    <cellStyle name="40% - Accent6 3 8 2" xfId="44139"/>
    <cellStyle name="40% - Accent6 3 8 2 2" xfId="44140"/>
    <cellStyle name="40% - Accent6 3 8 2 2 2" xfId="44141"/>
    <cellStyle name="40% - Accent6 3 8 2 3" xfId="44142"/>
    <cellStyle name="40% - Accent6 3 8 3" xfId="44143"/>
    <cellStyle name="40% - Accent6 3 8 3 2" xfId="44144"/>
    <cellStyle name="40% - Accent6 3 8 4" xfId="44145"/>
    <cellStyle name="40% - Accent6 3 9" xfId="44146"/>
    <cellStyle name="40% - Accent6 3 9 2" xfId="44147"/>
    <cellStyle name="40% - Accent6 3 9 2 2" xfId="44148"/>
    <cellStyle name="40% - Accent6 3 9 3" xfId="44149"/>
    <cellStyle name="40% - Accent6 4" xfId="44150"/>
    <cellStyle name="40% - Accent6 4 10" xfId="44151"/>
    <cellStyle name="40% - Accent6 4 10 2" xfId="44152"/>
    <cellStyle name="40% - Accent6 4 11" xfId="44153"/>
    <cellStyle name="40% - Accent6 4 2" xfId="44154"/>
    <cellStyle name="40% - Accent6 4 2 10" xfId="44155"/>
    <cellStyle name="40% - Accent6 4 2 2" xfId="44156"/>
    <cellStyle name="40% - Accent6 4 2 2 2" xfId="44157"/>
    <cellStyle name="40% - Accent6 4 2 2 2 2" xfId="44158"/>
    <cellStyle name="40% - Accent6 4 2 2 2 2 2" xfId="44159"/>
    <cellStyle name="40% - Accent6 4 2 2 2 2 2 2" xfId="44160"/>
    <cellStyle name="40% - Accent6 4 2 2 2 2 3" xfId="44161"/>
    <cellStyle name="40% - Accent6 4 2 2 2 3" xfId="44162"/>
    <cellStyle name="40% - Accent6 4 2 2 2 3 2" xfId="44163"/>
    <cellStyle name="40% - Accent6 4 2 2 2 4" xfId="44164"/>
    <cellStyle name="40% - Accent6 4 2 2 3" xfId="44165"/>
    <cellStyle name="40% - Accent6 4 2 2 3 2" xfId="44166"/>
    <cellStyle name="40% - Accent6 4 2 2 3 2 2" xfId="44167"/>
    <cellStyle name="40% - Accent6 4 2 2 3 3" xfId="44168"/>
    <cellStyle name="40% - Accent6 4 2 2 4" xfId="44169"/>
    <cellStyle name="40% - Accent6 4 2 2 4 2" xfId="44170"/>
    <cellStyle name="40% - Accent6 4 2 2 5" xfId="44171"/>
    <cellStyle name="40% - Accent6 4 2 3" xfId="44172"/>
    <cellStyle name="40% - Accent6 4 2 3 2" xfId="44173"/>
    <cellStyle name="40% - Accent6 4 2 3 2 2" xfId="44174"/>
    <cellStyle name="40% - Accent6 4 2 3 2 2 2" xfId="44175"/>
    <cellStyle name="40% - Accent6 4 2 3 2 2 2 2" xfId="44176"/>
    <cellStyle name="40% - Accent6 4 2 3 2 2 3" xfId="44177"/>
    <cellStyle name="40% - Accent6 4 2 3 2 3" xfId="44178"/>
    <cellStyle name="40% - Accent6 4 2 3 2 3 2" xfId="44179"/>
    <cellStyle name="40% - Accent6 4 2 3 2 4" xfId="44180"/>
    <cellStyle name="40% - Accent6 4 2 3 3" xfId="44181"/>
    <cellStyle name="40% - Accent6 4 2 3 3 2" xfId="44182"/>
    <cellStyle name="40% - Accent6 4 2 3 3 2 2" xfId="44183"/>
    <cellStyle name="40% - Accent6 4 2 3 3 3" xfId="44184"/>
    <cellStyle name="40% - Accent6 4 2 3 4" xfId="44185"/>
    <cellStyle name="40% - Accent6 4 2 3 4 2" xfId="44186"/>
    <cellStyle name="40% - Accent6 4 2 3 5" xfId="44187"/>
    <cellStyle name="40% - Accent6 4 2 4" xfId="44188"/>
    <cellStyle name="40% - Accent6 4 2 4 2" xfId="44189"/>
    <cellStyle name="40% - Accent6 4 2 4 2 2" xfId="44190"/>
    <cellStyle name="40% - Accent6 4 2 4 2 2 2" xfId="44191"/>
    <cellStyle name="40% - Accent6 4 2 4 2 2 2 2" xfId="44192"/>
    <cellStyle name="40% - Accent6 4 2 4 2 2 3" xfId="44193"/>
    <cellStyle name="40% - Accent6 4 2 4 2 3" xfId="44194"/>
    <cellStyle name="40% - Accent6 4 2 4 2 3 2" xfId="44195"/>
    <cellStyle name="40% - Accent6 4 2 4 2 4" xfId="44196"/>
    <cellStyle name="40% - Accent6 4 2 4 3" xfId="44197"/>
    <cellStyle name="40% - Accent6 4 2 4 3 2" xfId="44198"/>
    <cellStyle name="40% - Accent6 4 2 4 3 2 2" xfId="44199"/>
    <cellStyle name="40% - Accent6 4 2 4 3 3" xfId="44200"/>
    <cellStyle name="40% - Accent6 4 2 4 4" xfId="44201"/>
    <cellStyle name="40% - Accent6 4 2 4 4 2" xfId="44202"/>
    <cellStyle name="40% - Accent6 4 2 4 5" xfId="44203"/>
    <cellStyle name="40% - Accent6 4 2 5" xfId="44204"/>
    <cellStyle name="40% - Accent6 4 2 5 2" xfId="44205"/>
    <cellStyle name="40% - Accent6 4 2 5 2 2" xfId="44206"/>
    <cellStyle name="40% - Accent6 4 2 5 2 2 2" xfId="44207"/>
    <cellStyle name="40% - Accent6 4 2 5 2 2 2 2" xfId="44208"/>
    <cellStyle name="40% - Accent6 4 2 5 2 2 3" xfId="44209"/>
    <cellStyle name="40% - Accent6 4 2 5 2 3" xfId="44210"/>
    <cellStyle name="40% - Accent6 4 2 5 2 3 2" xfId="44211"/>
    <cellStyle name="40% - Accent6 4 2 5 2 4" xfId="44212"/>
    <cellStyle name="40% - Accent6 4 2 5 3" xfId="44213"/>
    <cellStyle name="40% - Accent6 4 2 5 3 2" xfId="44214"/>
    <cellStyle name="40% - Accent6 4 2 5 3 2 2" xfId="44215"/>
    <cellStyle name="40% - Accent6 4 2 5 3 3" xfId="44216"/>
    <cellStyle name="40% - Accent6 4 2 5 4" xfId="44217"/>
    <cellStyle name="40% - Accent6 4 2 5 4 2" xfId="44218"/>
    <cellStyle name="40% - Accent6 4 2 5 5" xfId="44219"/>
    <cellStyle name="40% - Accent6 4 2 6" xfId="44220"/>
    <cellStyle name="40% - Accent6 4 2 6 2" xfId="44221"/>
    <cellStyle name="40% - Accent6 4 2 6 2 2" xfId="44222"/>
    <cellStyle name="40% - Accent6 4 2 6 2 2 2" xfId="44223"/>
    <cellStyle name="40% - Accent6 4 2 6 2 2 2 2" xfId="44224"/>
    <cellStyle name="40% - Accent6 4 2 6 2 2 3" xfId="44225"/>
    <cellStyle name="40% - Accent6 4 2 6 2 3" xfId="44226"/>
    <cellStyle name="40% - Accent6 4 2 6 2 3 2" xfId="44227"/>
    <cellStyle name="40% - Accent6 4 2 6 2 4" xfId="44228"/>
    <cellStyle name="40% - Accent6 4 2 6 3" xfId="44229"/>
    <cellStyle name="40% - Accent6 4 2 6 3 2" xfId="44230"/>
    <cellStyle name="40% - Accent6 4 2 6 3 2 2" xfId="44231"/>
    <cellStyle name="40% - Accent6 4 2 6 3 3" xfId="44232"/>
    <cellStyle name="40% - Accent6 4 2 6 4" xfId="44233"/>
    <cellStyle name="40% - Accent6 4 2 6 4 2" xfId="44234"/>
    <cellStyle name="40% - Accent6 4 2 6 5" xfId="44235"/>
    <cellStyle name="40% - Accent6 4 2 7" xfId="44236"/>
    <cellStyle name="40% - Accent6 4 2 7 2" xfId="44237"/>
    <cellStyle name="40% - Accent6 4 2 7 2 2" xfId="44238"/>
    <cellStyle name="40% - Accent6 4 2 7 2 2 2" xfId="44239"/>
    <cellStyle name="40% - Accent6 4 2 7 2 3" xfId="44240"/>
    <cellStyle name="40% - Accent6 4 2 7 3" xfId="44241"/>
    <cellStyle name="40% - Accent6 4 2 7 3 2" xfId="44242"/>
    <cellStyle name="40% - Accent6 4 2 7 4" xfId="44243"/>
    <cellStyle name="40% - Accent6 4 2 8" xfId="44244"/>
    <cellStyle name="40% - Accent6 4 2 8 2" xfId="44245"/>
    <cellStyle name="40% - Accent6 4 2 8 2 2" xfId="44246"/>
    <cellStyle name="40% - Accent6 4 2 8 3" xfId="44247"/>
    <cellStyle name="40% - Accent6 4 2 9" xfId="44248"/>
    <cellStyle name="40% - Accent6 4 2 9 2" xfId="44249"/>
    <cellStyle name="40% - Accent6 4 3" xfId="44250"/>
    <cellStyle name="40% - Accent6 4 3 2" xfId="44251"/>
    <cellStyle name="40% - Accent6 4 3 2 2" xfId="44252"/>
    <cellStyle name="40% - Accent6 4 3 2 2 2" xfId="44253"/>
    <cellStyle name="40% - Accent6 4 3 2 2 2 2" xfId="44254"/>
    <cellStyle name="40% - Accent6 4 3 2 2 3" xfId="44255"/>
    <cellStyle name="40% - Accent6 4 3 2 3" xfId="44256"/>
    <cellStyle name="40% - Accent6 4 3 2 3 2" xfId="44257"/>
    <cellStyle name="40% - Accent6 4 3 2 4" xfId="44258"/>
    <cellStyle name="40% - Accent6 4 3 3" xfId="44259"/>
    <cellStyle name="40% - Accent6 4 3 3 2" xfId="44260"/>
    <cellStyle name="40% - Accent6 4 3 3 2 2" xfId="44261"/>
    <cellStyle name="40% - Accent6 4 3 3 3" xfId="44262"/>
    <cellStyle name="40% - Accent6 4 3 4" xfId="44263"/>
    <cellStyle name="40% - Accent6 4 3 4 2" xfId="44264"/>
    <cellStyle name="40% - Accent6 4 3 5" xfId="44265"/>
    <cellStyle name="40% - Accent6 4 4" xfId="44266"/>
    <cellStyle name="40% - Accent6 4 4 2" xfId="44267"/>
    <cellStyle name="40% - Accent6 4 4 2 2" xfId="44268"/>
    <cellStyle name="40% - Accent6 4 4 2 2 2" xfId="44269"/>
    <cellStyle name="40% - Accent6 4 4 2 2 2 2" xfId="44270"/>
    <cellStyle name="40% - Accent6 4 4 2 2 3" xfId="44271"/>
    <cellStyle name="40% - Accent6 4 4 2 3" xfId="44272"/>
    <cellStyle name="40% - Accent6 4 4 2 3 2" xfId="44273"/>
    <cellStyle name="40% - Accent6 4 4 2 4" xfId="44274"/>
    <cellStyle name="40% - Accent6 4 4 3" xfId="44275"/>
    <cellStyle name="40% - Accent6 4 4 3 2" xfId="44276"/>
    <cellStyle name="40% - Accent6 4 4 3 2 2" xfId="44277"/>
    <cellStyle name="40% - Accent6 4 4 3 3" xfId="44278"/>
    <cellStyle name="40% - Accent6 4 4 4" xfId="44279"/>
    <cellStyle name="40% - Accent6 4 4 4 2" xfId="44280"/>
    <cellStyle name="40% - Accent6 4 4 5" xfId="44281"/>
    <cellStyle name="40% - Accent6 4 5" xfId="44282"/>
    <cellStyle name="40% - Accent6 4 5 2" xfId="44283"/>
    <cellStyle name="40% - Accent6 4 5 2 2" xfId="44284"/>
    <cellStyle name="40% - Accent6 4 5 2 2 2" xfId="44285"/>
    <cellStyle name="40% - Accent6 4 5 2 2 2 2" xfId="44286"/>
    <cellStyle name="40% - Accent6 4 5 2 2 3" xfId="44287"/>
    <cellStyle name="40% - Accent6 4 5 2 3" xfId="44288"/>
    <cellStyle name="40% - Accent6 4 5 2 3 2" xfId="44289"/>
    <cellStyle name="40% - Accent6 4 5 2 4" xfId="44290"/>
    <cellStyle name="40% - Accent6 4 5 3" xfId="44291"/>
    <cellStyle name="40% - Accent6 4 5 3 2" xfId="44292"/>
    <cellStyle name="40% - Accent6 4 5 3 2 2" xfId="44293"/>
    <cellStyle name="40% - Accent6 4 5 3 3" xfId="44294"/>
    <cellStyle name="40% - Accent6 4 5 4" xfId="44295"/>
    <cellStyle name="40% - Accent6 4 5 4 2" xfId="44296"/>
    <cellStyle name="40% - Accent6 4 5 5" xfId="44297"/>
    <cellStyle name="40% - Accent6 4 6" xfId="44298"/>
    <cellStyle name="40% - Accent6 4 6 2" xfId="44299"/>
    <cellStyle name="40% - Accent6 4 6 2 2" xfId="44300"/>
    <cellStyle name="40% - Accent6 4 6 2 2 2" xfId="44301"/>
    <cellStyle name="40% - Accent6 4 6 2 2 2 2" xfId="44302"/>
    <cellStyle name="40% - Accent6 4 6 2 2 3" xfId="44303"/>
    <cellStyle name="40% - Accent6 4 6 2 3" xfId="44304"/>
    <cellStyle name="40% - Accent6 4 6 2 3 2" xfId="44305"/>
    <cellStyle name="40% - Accent6 4 6 2 4" xfId="44306"/>
    <cellStyle name="40% - Accent6 4 6 3" xfId="44307"/>
    <cellStyle name="40% - Accent6 4 6 3 2" xfId="44308"/>
    <cellStyle name="40% - Accent6 4 6 3 2 2" xfId="44309"/>
    <cellStyle name="40% - Accent6 4 6 3 3" xfId="44310"/>
    <cellStyle name="40% - Accent6 4 6 4" xfId="44311"/>
    <cellStyle name="40% - Accent6 4 6 4 2" xfId="44312"/>
    <cellStyle name="40% - Accent6 4 6 5" xfId="44313"/>
    <cellStyle name="40% - Accent6 4 7" xfId="44314"/>
    <cellStyle name="40% - Accent6 4 7 2" xfId="44315"/>
    <cellStyle name="40% - Accent6 4 7 2 2" xfId="44316"/>
    <cellStyle name="40% - Accent6 4 7 2 2 2" xfId="44317"/>
    <cellStyle name="40% - Accent6 4 7 2 2 2 2" xfId="44318"/>
    <cellStyle name="40% - Accent6 4 7 2 2 3" xfId="44319"/>
    <cellStyle name="40% - Accent6 4 7 2 3" xfId="44320"/>
    <cellStyle name="40% - Accent6 4 7 2 3 2" xfId="44321"/>
    <cellStyle name="40% - Accent6 4 7 2 4" xfId="44322"/>
    <cellStyle name="40% - Accent6 4 7 3" xfId="44323"/>
    <cellStyle name="40% - Accent6 4 7 3 2" xfId="44324"/>
    <cellStyle name="40% - Accent6 4 7 3 2 2" xfId="44325"/>
    <cellStyle name="40% - Accent6 4 7 3 3" xfId="44326"/>
    <cellStyle name="40% - Accent6 4 7 4" xfId="44327"/>
    <cellStyle name="40% - Accent6 4 7 4 2" xfId="44328"/>
    <cellStyle name="40% - Accent6 4 7 5" xfId="44329"/>
    <cellStyle name="40% - Accent6 4 8" xfId="44330"/>
    <cellStyle name="40% - Accent6 4 8 2" xfId="44331"/>
    <cellStyle name="40% - Accent6 4 8 2 2" xfId="44332"/>
    <cellStyle name="40% - Accent6 4 8 2 2 2" xfId="44333"/>
    <cellStyle name="40% - Accent6 4 8 2 3" xfId="44334"/>
    <cellStyle name="40% - Accent6 4 8 3" xfId="44335"/>
    <cellStyle name="40% - Accent6 4 8 3 2" xfId="44336"/>
    <cellStyle name="40% - Accent6 4 8 4" xfId="44337"/>
    <cellStyle name="40% - Accent6 4 9" xfId="44338"/>
    <cellStyle name="40% - Accent6 4 9 2" xfId="44339"/>
    <cellStyle name="40% - Accent6 4 9 2 2" xfId="44340"/>
    <cellStyle name="40% - Accent6 4 9 3" xfId="44341"/>
    <cellStyle name="40% - Accent6 5" xfId="44342"/>
    <cellStyle name="40% - Accent6 5 10" xfId="44343"/>
    <cellStyle name="40% - Accent6 5 10 2" xfId="44344"/>
    <cellStyle name="40% - Accent6 5 11" xfId="44345"/>
    <cellStyle name="40% - Accent6 5 2" xfId="44346"/>
    <cellStyle name="40% - Accent6 5 2 10" xfId="44347"/>
    <cellStyle name="40% - Accent6 5 2 2" xfId="44348"/>
    <cellStyle name="40% - Accent6 5 2 2 2" xfId="44349"/>
    <cellStyle name="40% - Accent6 5 2 2 2 2" xfId="44350"/>
    <cellStyle name="40% - Accent6 5 2 2 2 2 2" xfId="44351"/>
    <cellStyle name="40% - Accent6 5 2 2 2 2 2 2" xfId="44352"/>
    <cellStyle name="40% - Accent6 5 2 2 2 2 3" xfId="44353"/>
    <cellStyle name="40% - Accent6 5 2 2 2 3" xfId="44354"/>
    <cellStyle name="40% - Accent6 5 2 2 2 3 2" xfId="44355"/>
    <cellStyle name="40% - Accent6 5 2 2 2 4" xfId="44356"/>
    <cellStyle name="40% - Accent6 5 2 2 3" xfId="44357"/>
    <cellStyle name="40% - Accent6 5 2 2 3 2" xfId="44358"/>
    <cellStyle name="40% - Accent6 5 2 2 3 2 2" xfId="44359"/>
    <cellStyle name="40% - Accent6 5 2 2 3 3" xfId="44360"/>
    <cellStyle name="40% - Accent6 5 2 2 4" xfId="44361"/>
    <cellStyle name="40% - Accent6 5 2 2 4 2" xfId="44362"/>
    <cellStyle name="40% - Accent6 5 2 2 5" xfId="44363"/>
    <cellStyle name="40% - Accent6 5 2 3" xfId="44364"/>
    <cellStyle name="40% - Accent6 5 2 3 2" xfId="44365"/>
    <cellStyle name="40% - Accent6 5 2 3 2 2" xfId="44366"/>
    <cellStyle name="40% - Accent6 5 2 3 2 2 2" xfId="44367"/>
    <cellStyle name="40% - Accent6 5 2 3 2 2 2 2" xfId="44368"/>
    <cellStyle name="40% - Accent6 5 2 3 2 2 3" xfId="44369"/>
    <cellStyle name="40% - Accent6 5 2 3 2 3" xfId="44370"/>
    <cellStyle name="40% - Accent6 5 2 3 2 3 2" xfId="44371"/>
    <cellStyle name="40% - Accent6 5 2 3 2 4" xfId="44372"/>
    <cellStyle name="40% - Accent6 5 2 3 3" xfId="44373"/>
    <cellStyle name="40% - Accent6 5 2 3 3 2" xfId="44374"/>
    <cellStyle name="40% - Accent6 5 2 3 3 2 2" xfId="44375"/>
    <cellStyle name="40% - Accent6 5 2 3 3 3" xfId="44376"/>
    <cellStyle name="40% - Accent6 5 2 3 4" xfId="44377"/>
    <cellStyle name="40% - Accent6 5 2 3 4 2" xfId="44378"/>
    <cellStyle name="40% - Accent6 5 2 3 5" xfId="44379"/>
    <cellStyle name="40% - Accent6 5 2 4" xfId="44380"/>
    <cellStyle name="40% - Accent6 5 2 4 2" xfId="44381"/>
    <cellStyle name="40% - Accent6 5 2 4 2 2" xfId="44382"/>
    <cellStyle name="40% - Accent6 5 2 4 2 2 2" xfId="44383"/>
    <cellStyle name="40% - Accent6 5 2 4 2 2 2 2" xfId="44384"/>
    <cellStyle name="40% - Accent6 5 2 4 2 2 3" xfId="44385"/>
    <cellStyle name="40% - Accent6 5 2 4 2 3" xfId="44386"/>
    <cellStyle name="40% - Accent6 5 2 4 2 3 2" xfId="44387"/>
    <cellStyle name="40% - Accent6 5 2 4 2 4" xfId="44388"/>
    <cellStyle name="40% - Accent6 5 2 4 3" xfId="44389"/>
    <cellStyle name="40% - Accent6 5 2 4 3 2" xfId="44390"/>
    <cellStyle name="40% - Accent6 5 2 4 3 2 2" xfId="44391"/>
    <cellStyle name="40% - Accent6 5 2 4 3 3" xfId="44392"/>
    <cellStyle name="40% - Accent6 5 2 4 4" xfId="44393"/>
    <cellStyle name="40% - Accent6 5 2 4 4 2" xfId="44394"/>
    <cellStyle name="40% - Accent6 5 2 4 5" xfId="44395"/>
    <cellStyle name="40% - Accent6 5 2 5" xfId="44396"/>
    <cellStyle name="40% - Accent6 5 2 5 2" xfId="44397"/>
    <cellStyle name="40% - Accent6 5 2 5 2 2" xfId="44398"/>
    <cellStyle name="40% - Accent6 5 2 5 2 2 2" xfId="44399"/>
    <cellStyle name="40% - Accent6 5 2 5 2 2 2 2" xfId="44400"/>
    <cellStyle name="40% - Accent6 5 2 5 2 2 3" xfId="44401"/>
    <cellStyle name="40% - Accent6 5 2 5 2 3" xfId="44402"/>
    <cellStyle name="40% - Accent6 5 2 5 2 3 2" xfId="44403"/>
    <cellStyle name="40% - Accent6 5 2 5 2 4" xfId="44404"/>
    <cellStyle name="40% - Accent6 5 2 5 3" xfId="44405"/>
    <cellStyle name="40% - Accent6 5 2 5 3 2" xfId="44406"/>
    <cellStyle name="40% - Accent6 5 2 5 3 2 2" xfId="44407"/>
    <cellStyle name="40% - Accent6 5 2 5 3 3" xfId="44408"/>
    <cellStyle name="40% - Accent6 5 2 5 4" xfId="44409"/>
    <cellStyle name="40% - Accent6 5 2 5 4 2" xfId="44410"/>
    <cellStyle name="40% - Accent6 5 2 5 5" xfId="44411"/>
    <cellStyle name="40% - Accent6 5 2 6" xfId="44412"/>
    <cellStyle name="40% - Accent6 5 2 6 2" xfId="44413"/>
    <cellStyle name="40% - Accent6 5 2 6 2 2" xfId="44414"/>
    <cellStyle name="40% - Accent6 5 2 6 2 2 2" xfId="44415"/>
    <cellStyle name="40% - Accent6 5 2 6 2 2 2 2" xfId="44416"/>
    <cellStyle name="40% - Accent6 5 2 6 2 2 3" xfId="44417"/>
    <cellStyle name="40% - Accent6 5 2 6 2 3" xfId="44418"/>
    <cellStyle name="40% - Accent6 5 2 6 2 3 2" xfId="44419"/>
    <cellStyle name="40% - Accent6 5 2 6 2 4" xfId="44420"/>
    <cellStyle name="40% - Accent6 5 2 6 3" xfId="44421"/>
    <cellStyle name="40% - Accent6 5 2 6 3 2" xfId="44422"/>
    <cellStyle name="40% - Accent6 5 2 6 3 2 2" xfId="44423"/>
    <cellStyle name="40% - Accent6 5 2 6 3 3" xfId="44424"/>
    <cellStyle name="40% - Accent6 5 2 6 4" xfId="44425"/>
    <cellStyle name="40% - Accent6 5 2 6 4 2" xfId="44426"/>
    <cellStyle name="40% - Accent6 5 2 6 5" xfId="44427"/>
    <cellStyle name="40% - Accent6 5 2 7" xfId="44428"/>
    <cellStyle name="40% - Accent6 5 2 7 2" xfId="44429"/>
    <cellStyle name="40% - Accent6 5 2 7 2 2" xfId="44430"/>
    <cellStyle name="40% - Accent6 5 2 7 2 2 2" xfId="44431"/>
    <cellStyle name="40% - Accent6 5 2 7 2 3" xfId="44432"/>
    <cellStyle name="40% - Accent6 5 2 7 3" xfId="44433"/>
    <cellStyle name="40% - Accent6 5 2 7 3 2" xfId="44434"/>
    <cellStyle name="40% - Accent6 5 2 7 4" xfId="44435"/>
    <cellStyle name="40% - Accent6 5 2 8" xfId="44436"/>
    <cellStyle name="40% - Accent6 5 2 8 2" xfId="44437"/>
    <cellStyle name="40% - Accent6 5 2 8 2 2" xfId="44438"/>
    <cellStyle name="40% - Accent6 5 2 8 3" xfId="44439"/>
    <cellStyle name="40% - Accent6 5 2 9" xfId="44440"/>
    <cellStyle name="40% - Accent6 5 2 9 2" xfId="44441"/>
    <cellStyle name="40% - Accent6 5 3" xfId="44442"/>
    <cellStyle name="40% - Accent6 5 3 2" xfId="44443"/>
    <cellStyle name="40% - Accent6 5 3 2 2" xfId="44444"/>
    <cellStyle name="40% - Accent6 5 3 2 2 2" xfId="44445"/>
    <cellStyle name="40% - Accent6 5 3 2 2 2 2" xfId="44446"/>
    <cellStyle name="40% - Accent6 5 3 2 2 3" xfId="44447"/>
    <cellStyle name="40% - Accent6 5 3 2 3" xfId="44448"/>
    <cellStyle name="40% - Accent6 5 3 2 3 2" xfId="44449"/>
    <cellStyle name="40% - Accent6 5 3 2 4" xfId="44450"/>
    <cellStyle name="40% - Accent6 5 3 3" xfId="44451"/>
    <cellStyle name="40% - Accent6 5 3 3 2" xfId="44452"/>
    <cellStyle name="40% - Accent6 5 3 3 2 2" xfId="44453"/>
    <cellStyle name="40% - Accent6 5 3 3 3" xfId="44454"/>
    <cellStyle name="40% - Accent6 5 3 4" xfId="44455"/>
    <cellStyle name="40% - Accent6 5 3 4 2" xfId="44456"/>
    <cellStyle name="40% - Accent6 5 3 5" xfId="44457"/>
    <cellStyle name="40% - Accent6 5 4" xfId="44458"/>
    <cellStyle name="40% - Accent6 5 4 2" xfId="44459"/>
    <cellStyle name="40% - Accent6 5 4 2 2" xfId="44460"/>
    <cellStyle name="40% - Accent6 5 4 2 2 2" xfId="44461"/>
    <cellStyle name="40% - Accent6 5 4 2 2 2 2" xfId="44462"/>
    <cellStyle name="40% - Accent6 5 4 2 2 3" xfId="44463"/>
    <cellStyle name="40% - Accent6 5 4 2 3" xfId="44464"/>
    <cellStyle name="40% - Accent6 5 4 2 3 2" xfId="44465"/>
    <cellStyle name="40% - Accent6 5 4 2 4" xfId="44466"/>
    <cellStyle name="40% - Accent6 5 4 3" xfId="44467"/>
    <cellStyle name="40% - Accent6 5 4 3 2" xfId="44468"/>
    <cellStyle name="40% - Accent6 5 4 3 2 2" xfId="44469"/>
    <cellStyle name="40% - Accent6 5 4 3 3" xfId="44470"/>
    <cellStyle name="40% - Accent6 5 4 4" xfId="44471"/>
    <cellStyle name="40% - Accent6 5 4 4 2" xfId="44472"/>
    <cellStyle name="40% - Accent6 5 4 5" xfId="44473"/>
    <cellStyle name="40% - Accent6 5 5" xfId="44474"/>
    <cellStyle name="40% - Accent6 5 5 2" xfId="44475"/>
    <cellStyle name="40% - Accent6 5 5 2 2" xfId="44476"/>
    <cellStyle name="40% - Accent6 5 5 2 2 2" xfId="44477"/>
    <cellStyle name="40% - Accent6 5 5 2 2 2 2" xfId="44478"/>
    <cellStyle name="40% - Accent6 5 5 2 2 3" xfId="44479"/>
    <cellStyle name="40% - Accent6 5 5 2 3" xfId="44480"/>
    <cellStyle name="40% - Accent6 5 5 2 3 2" xfId="44481"/>
    <cellStyle name="40% - Accent6 5 5 2 4" xfId="44482"/>
    <cellStyle name="40% - Accent6 5 5 3" xfId="44483"/>
    <cellStyle name="40% - Accent6 5 5 3 2" xfId="44484"/>
    <cellStyle name="40% - Accent6 5 5 3 2 2" xfId="44485"/>
    <cellStyle name="40% - Accent6 5 5 3 3" xfId="44486"/>
    <cellStyle name="40% - Accent6 5 5 4" xfId="44487"/>
    <cellStyle name="40% - Accent6 5 5 4 2" xfId="44488"/>
    <cellStyle name="40% - Accent6 5 5 5" xfId="44489"/>
    <cellStyle name="40% - Accent6 5 6" xfId="44490"/>
    <cellStyle name="40% - Accent6 5 6 2" xfId="44491"/>
    <cellStyle name="40% - Accent6 5 6 2 2" xfId="44492"/>
    <cellStyle name="40% - Accent6 5 6 2 2 2" xfId="44493"/>
    <cellStyle name="40% - Accent6 5 6 2 2 2 2" xfId="44494"/>
    <cellStyle name="40% - Accent6 5 6 2 2 3" xfId="44495"/>
    <cellStyle name="40% - Accent6 5 6 2 3" xfId="44496"/>
    <cellStyle name="40% - Accent6 5 6 2 3 2" xfId="44497"/>
    <cellStyle name="40% - Accent6 5 6 2 4" xfId="44498"/>
    <cellStyle name="40% - Accent6 5 6 3" xfId="44499"/>
    <cellStyle name="40% - Accent6 5 6 3 2" xfId="44500"/>
    <cellStyle name="40% - Accent6 5 6 3 2 2" xfId="44501"/>
    <cellStyle name="40% - Accent6 5 6 3 3" xfId="44502"/>
    <cellStyle name="40% - Accent6 5 6 4" xfId="44503"/>
    <cellStyle name="40% - Accent6 5 6 4 2" xfId="44504"/>
    <cellStyle name="40% - Accent6 5 6 5" xfId="44505"/>
    <cellStyle name="40% - Accent6 5 7" xfId="44506"/>
    <cellStyle name="40% - Accent6 5 7 2" xfId="44507"/>
    <cellStyle name="40% - Accent6 5 7 2 2" xfId="44508"/>
    <cellStyle name="40% - Accent6 5 7 2 2 2" xfId="44509"/>
    <cellStyle name="40% - Accent6 5 7 2 2 2 2" xfId="44510"/>
    <cellStyle name="40% - Accent6 5 7 2 2 3" xfId="44511"/>
    <cellStyle name="40% - Accent6 5 7 2 3" xfId="44512"/>
    <cellStyle name="40% - Accent6 5 7 2 3 2" xfId="44513"/>
    <cellStyle name="40% - Accent6 5 7 2 4" xfId="44514"/>
    <cellStyle name="40% - Accent6 5 7 3" xfId="44515"/>
    <cellStyle name="40% - Accent6 5 7 3 2" xfId="44516"/>
    <cellStyle name="40% - Accent6 5 7 3 2 2" xfId="44517"/>
    <cellStyle name="40% - Accent6 5 7 3 3" xfId="44518"/>
    <cellStyle name="40% - Accent6 5 7 4" xfId="44519"/>
    <cellStyle name="40% - Accent6 5 7 4 2" xfId="44520"/>
    <cellStyle name="40% - Accent6 5 7 5" xfId="44521"/>
    <cellStyle name="40% - Accent6 5 8" xfId="44522"/>
    <cellStyle name="40% - Accent6 5 8 2" xfId="44523"/>
    <cellStyle name="40% - Accent6 5 8 2 2" xfId="44524"/>
    <cellStyle name="40% - Accent6 5 8 2 2 2" xfId="44525"/>
    <cellStyle name="40% - Accent6 5 8 2 3" xfId="44526"/>
    <cellStyle name="40% - Accent6 5 8 3" xfId="44527"/>
    <cellStyle name="40% - Accent6 5 8 3 2" xfId="44528"/>
    <cellStyle name="40% - Accent6 5 8 4" xfId="44529"/>
    <cellStyle name="40% - Accent6 5 9" xfId="44530"/>
    <cellStyle name="40% - Accent6 5 9 2" xfId="44531"/>
    <cellStyle name="40% - Accent6 5 9 2 2" xfId="44532"/>
    <cellStyle name="40% - Accent6 5 9 3" xfId="44533"/>
    <cellStyle name="40% - Accent6 6" xfId="44534"/>
    <cellStyle name="40% - Accent6 6 10" xfId="44535"/>
    <cellStyle name="40% - Accent6 6 10 2" xfId="44536"/>
    <cellStyle name="40% - Accent6 6 11" xfId="44537"/>
    <cellStyle name="40% - Accent6 6 2" xfId="44538"/>
    <cellStyle name="40% - Accent6 6 2 10" xfId="44539"/>
    <cellStyle name="40% - Accent6 6 2 2" xfId="44540"/>
    <cellStyle name="40% - Accent6 6 2 2 2" xfId="44541"/>
    <cellStyle name="40% - Accent6 6 2 2 2 2" xfId="44542"/>
    <cellStyle name="40% - Accent6 6 2 2 2 2 2" xfId="44543"/>
    <cellStyle name="40% - Accent6 6 2 2 2 2 2 2" xfId="44544"/>
    <cellStyle name="40% - Accent6 6 2 2 2 2 3" xfId="44545"/>
    <cellStyle name="40% - Accent6 6 2 2 2 3" xfId="44546"/>
    <cellStyle name="40% - Accent6 6 2 2 2 3 2" xfId="44547"/>
    <cellStyle name="40% - Accent6 6 2 2 2 4" xfId="44548"/>
    <cellStyle name="40% - Accent6 6 2 2 3" xfId="44549"/>
    <cellStyle name="40% - Accent6 6 2 2 3 2" xfId="44550"/>
    <cellStyle name="40% - Accent6 6 2 2 3 2 2" xfId="44551"/>
    <cellStyle name="40% - Accent6 6 2 2 3 3" xfId="44552"/>
    <cellStyle name="40% - Accent6 6 2 2 4" xfId="44553"/>
    <cellStyle name="40% - Accent6 6 2 2 4 2" xfId="44554"/>
    <cellStyle name="40% - Accent6 6 2 2 5" xfId="44555"/>
    <cellStyle name="40% - Accent6 6 2 3" xfId="44556"/>
    <cellStyle name="40% - Accent6 6 2 3 2" xfId="44557"/>
    <cellStyle name="40% - Accent6 6 2 3 2 2" xfId="44558"/>
    <cellStyle name="40% - Accent6 6 2 3 2 2 2" xfId="44559"/>
    <cellStyle name="40% - Accent6 6 2 3 2 2 2 2" xfId="44560"/>
    <cellStyle name="40% - Accent6 6 2 3 2 2 3" xfId="44561"/>
    <cellStyle name="40% - Accent6 6 2 3 2 3" xfId="44562"/>
    <cellStyle name="40% - Accent6 6 2 3 2 3 2" xfId="44563"/>
    <cellStyle name="40% - Accent6 6 2 3 2 4" xfId="44564"/>
    <cellStyle name="40% - Accent6 6 2 3 3" xfId="44565"/>
    <cellStyle name="40% - Accent6 6 2 3 3 2" xfId="44566"/>
    <cellStyle name="40% - Accent6 6 2 3 3 2 2" xfId="44567"/>
    <cellStyle name="40% - Accent6 6 2 3 3 3" xfId="44568"/>
    <cellStyle name="40% - Accent6 6 2 3 4" xfId="44569"/>
    <cellStyle name="40% - Accent6 6 2 3 4 2" xfId="44570"/>
    <cellStyle name="40% - Accent6 6 2 3 5" xfId="44571"/>
    <cellStyle name="40% - Accent6 6 2 4" xfId="44572"/>
    <cellStyle name="40% - Accent6 6 2 4 2" xfId="44573"/>
    <cellStyle name="40% - Accent6 6 2 4 2 2" xfId="44574"/>
    <cellStyle name="40% - Accent6 6 2 4 2 2 2" xfId="44575"/>
    <cellStyle name="40% - Accent6 6 2 4 2 2 2 2" xfId="44576"/>
    <cellStyle name="40% - Accent6 6 2 4 2 2 3" xfId="44577"/>
    <cellStyle name="40% - Accent6 6 2 4 2 3" xfId="44578"/>
    <cellStyle name="40% - Accent6 6 2 4 2 3 2" xfId="44579"/>
    <cellStyle name="40% - Accent6 6 2 4 2 4" xfId="44580"/>
    <cellStyle name="40% - Accent6 6 2 4 3" xfId="44581"/>
    <cellStyle name="40% - Accent6 6 2 4 3 2" xfId="44582"/>
    <cellStyle name="40% - Accent6 6 2 4 3 2 2" xfId="44583"/>
    <cellStyle name="40% - Accent6 6 2 4 3 3" xfId="44584"/>
    <cellStyle name="40% - Accent6 6 2 4 4" xfId="44585"/>
    <cellStyle name="40% - Accent6 6 2 4 4 2" xfId="44586"/>
    <cellStyle name="40% - Accent6 6 2 4 5" xfId="44587"/>
    <cellStyle name="40% - Accent6 6 2 5" xfId="44588"/>
    <cellStyle name="40% - Accent6 6 2 5 2" xfId="44589"/>
    <cellStyle name="40% - Accent6 6 2 5 2 2" xfId="44590"/>
    <cellStyle name="40% - Accent6 6 2 5 2 2 2" xfId="44591"/>
    <cellStyle name="40% - Accent6 6 2 5 2 2 2 2" xfId="44592"/>
    <cellStyle name="40% - Accent6 6 2 5 2 2 3" xfId="44593"/>
    <cellStyle name="40% - Accent6 6 2 5 2 3" xfId="44594"/>
    <cellStyle name="40% - Accent6 6 2 5 2 3 2" xfId="44595"/>
    <cellStyle name="40% - Accent6 6 2 5 2 4" xfId="44596"/>
    <cellStyle name="40% - Accent6 6 2 5 3" xfId="44597"/>
    <cellStyle name="40% - Accent6 6 2 5 3 2" xfId="44598"/>
    <cellStyle name="40% - Accent6 6 2 5 3 2 2" xfId="44599"/>
    <cellStyle name="40% - Accent6 6 2 5 3 3" xfId="44600"/>
    <cellStyle name="40% - Accent6 6 2 5 4" xfId="44601"/>
    <cellStyle name="40% - Accent6 6 2 5 4 2" xfId="44602"/>
    <cellStyle name="40% - Accent6 6 2 5 5" xfId="44603"/>
    <cellStyle name="40% - Accent6 6 2 6" xfId="44604"/>
    <cellStyle name="40% - Accent6 6 2 6 2" xfId="44605"/>
    <cellStyle name="40% - Accent6 6 2 6 2 2" xfId="44606"/>
    <cellStyle name="40% - Accent6 6 2 6 2 2 2" xfId="44607"/>
    <cellStyle name="40% - Accent6 6 2 6 2 2 2 2" xfId="44608"/>
    <cellStyle name="40% - Accent6 6 2 6 2 2 3" xfId="44609"/>
    <cellStyle name="40% - Accent6 6 2 6 2 3" xfId="44610"/>
    <cellStyle name="40% - Accent6 6 2 6 2 3 2" xfId="44611"/>
    <cellStyle name="40% - Accent6 6 2 6 2 4" xfId="44612"/>
    <cellStyle name="40% - Accent6 6 2 6 3" xfId="44613"/>
    <cellStyle name="40% - Accent6 6 2 6 3 2" xfId="44614"/>
    <cellStyle name="40% - Accent6 6 2 6 3 2 2" xfId="44615"/>
    <cellStyle name="40% - Accent6 6 2 6 3 3" xfId="44616"/>
    <cellStyle name="40% - Accent6 6 2 6 4" xfId="44617"/>
    <cellStyle name="40% - Accent6 6 2 6 4 2" xfId="44618"/>
    <cellStyle name="40% - Accent6 6 2 6 5" xfId="44619"/>
    <cellStyle name="40% - Accent6 6 2 7" xfId="44620"/>
    <cellStyle name="40% - Accent6 6 2 7 2" xfId="44621"/>
    <cellStyle name="40% - Accent6 6 2 7 2 2" xfId="44622"/>
    <cellStyle name="40% - Accent6 6 2 7 2 2 2" xfId="44623"/>
    <cellStyle name="40% - Accent6 6 2 7 2 3" xfId="44624"/>
    <cellStyle name="40% - Accent6 6 2 7 3" xfId="44625"/>
    <cellStyle name="40% - Accent6 6 2 7 3 2" xfId="44626"/>
    <cellStyle name="40% - Accent6 6 2 7 4" xfId="44627"/>
    <cellStyle name="40% - Accent6 6 2 8" xfId="44628"/>
    <cellStyle name="40% - Accent6 6 2 8 2" xfId="44629"/>
    <cellStyle name="40% - Accent6 6 2 8 2 2" xfId="44630"/>
    <cellStyle name="40% - Accent6 6 2 8 3" xfId="44631"/>
    <cellStyle name="40% - Accent6 6 2 9" xfId="44632"/>
    <cellStyle name="40% - Accent6 6 2 9 2" xfId="44633"/>
    <cellStyle name="40% - Accent6 6 3" xfId="44634"/>
    <cellStyle name="40% - Accent6 6 3 2" xfId="44635"/>
    <cellStyle name="40% - Accent6 6 3 2 2" xfId="44636"/>
    <cellStyle name="40% - Accent6 6 3 2 2 2" xfId="44637"/>
    <cellStyle name="40% - Accent6 6 3 2 2 2 2" xfId="44638"/>
    <cellStyle name="40% - Accent6 6 3 2 2 3" xfId="44639"/>
    <cellStyle name="40% - Accent6 6 3 2 3" xfId="44640"/>
    <cellStyle name="40% - Accent6 6 3 2 3 2" xfId="44641"/>
    <cellStyle name="40% - Accent6 6 3 2 4" xfId="44642"/>
    <cellStyle name="40% - Accent6 6 3 3" xfId="44643"/>
    <cellStyle name="40% - Accent6 6 3 3 2" xfId="44644"/>
    <cellStyle name="40% - Accent6 6 3 3 2 2" xfId="44645"/>
    <cellStyle name="40% - Accent6 6 3 3 3" xfId="44646"/>
    <cellStyle name="40% - Accent6 6 3 4" xfId="44647"/>
    <cellStyle name="40% - Accent6 6 3 4 2" xfId="44648"/>
    <cellStyle name="40% - Accent6 6 3 5" xfId="44649"/>
    <cellStyle name="40% - Accent6 6 4" xfId="44650"/>
    <cellStyle name="40% - Accent6 6 4 2" xfId="44651"/>
    <cellStyle name="40% - Accent6 6 4 2 2" xfId="44652"/>
    <cellStyle name="40% - Accent6 6 4 2 2 2" xfId="44653"/>
    <cellStyle name="40% - Accent6 6 4 2 2 2 2" xfId="44654"/>
    <cellStyle name="40% - Accent6 6 4 2 2 3" xfId="44655"/>
    <cellStyle name="40% - Accent6 6 4 2 3" xfId="44656"/>
    <cellStyle name="40% - Accent6 6 4 2 3 2" xfId="44657"/>
    <cellStyle name="40% - Accent6 6 4 2 4" xfId="44658"/>
    <cellStyle name="40% - Accent6 6 4 3" xfId="44659"/>
    <cellStyle name="40% - Accent6 6 4 3 2" xfId="44660"/>
    <cellStyle name="40% - Accent6 6 4 3 2 2" xfId="44661"/>
    <cellStyle name="40% - Accent6 6 4 3 3" xfId="44662"/>
    <cellStyle name="40% - Accent6 6 4 4" xfId="44663"/>
    <cellStyle name="40% - Accent6 6 4 4 2" xfId="44664"/>
    <cellStyle name="40% - Accent6 6 4 5" xfId="44665"/>
    <cellStyle name="40% - Accent6 6 5" xfId="44666"/>
    <cellStyle name="40% - Accent6 6 5 2" xfId="44667"/>
    <cellStyle name="40% - Accent6 6 5 2 2" xfId="44668"/>
    <cellStyle name="40% - Accent6 6 5 2 2 2" xfId="44669"/>
    <cellStyle name="40% - Accent6 6 5 2 2 2 2" xfId="44670"/>
    <cellStyle name="40% - Accent6 6 5 2 2 3" xfId="44671"/>
    <cellStyle name="40% - Accent6 6 5 2 3" xfId="44672"/>
    <cellStyle name="40% - Accent6 6 5 2 3 2" xfId="44673"/>
    <cellStyle name="40% - Accent6 6 5 2 4" xfId="44674"/>
    <cellStyle name="40% - Accent6 6 5 3" xfId="44675"/>
    <cellStyle name="40% - Accent6 6 5 3 2" xfId="44676"/>
    <cellStyle name="40% - Accent6 6 5 3 2 2" xfId="44677"/>
    <cellStyle name="40% - Accent6 6 5 3 3" xfId="44678"/>
    <cellStyle name="40% - Accent6 6 5 4" xfId="44679"/>
    <cellStyle name="40% - Accent6 6 5 4 2" xfId="44680"/>
    <cellStyle name="40% - Accent6 6 5 5" xfId="44681"/>
    <cellStyle name="40% - Accent6 6 6" xfId="44682"/>
    <cellStyle name="40% - Accent6 6 6 2" xfId="44683"/>
    <cellStyle name="40% - Accent6 6 6 2 2" xfId="44684"/>
    <cellStyle name="40% - Accent6 6 6 2 2 2" xfId="44685"/>
    <cellStyle name="40% - Accent6 6 6 2 2 2 2" xfId="44686"/>
    <cellStyle name="40% - Accent6 6 6 2 2 3" xfId="44687"/>
    <cellStyle name="40% - Accent6 6 6 2 3" xfId="44688"/>
    <cellStyle name="40% - Accent6 6 6 2 3 2" xfId="44689"/>
    <cellStyle name="40% - Accent6 6 6 2 4" xfId="44690"/>
    <cellStyle name="40% - Accent6 6 6 3" xfId="44691"/>
    <cellStyle name="40% - Accent6 6 6 3 2" xfId="44692"/>
    <cellStyle name="40% - Accent6 6 6 3 2 2" xfId="44693"/>
    <cellStyle name="40% - Accent6 6 6 3 3" xfId="44694"/>
    <cellStyle name="40% - Accent6 6 6 4" xfId="44695"/>
    <cellStyle name="40% - Accent6 6 6 4 2" xfId="44696"/>
    <cellStyle name="40% - Accent6 6 6 5" xfId="44697"/>
    <cellStyle name="40% - Accent6 6 7" xfId="44698"/>
    <cellStyle name="40% - Accent6 6 7 2" xfId="44699"/>
    <cellStyle name="40% - Accent6 6 7 2 2" xfId="44700"/>
    <cellStyle name="40% - Accent6 6 7 2 2 2" xfId="44701"/>
    <cellStyle name="40% - Accent6 6 7 2 2 2 2" xfId="44702"/>
    <cellStyle name="40% - Accent6 6 7 2 2 3" xfId="44703"/>
    <cellStyle name="40% - Accent6 6 7 2 3" xfId="44704"/>
    <cellStyle name="40% - Accent6 6 7 2 3 2" xfId="44705"/>
    <cellStyle name="40% - Accent6 6 7 2 4" xfId="44706"/>
    <cellStyle name="40% - Accent6 6 7 3" xfId="44707"/>
    <cellStyle name="40% - Accent6 6 7 3 2" xfId="44708"/>
    <cellStyle name="40% - Accent6 6 7 3 2 2" xfId="44709"/>
    <cellStyle name="40% - Accent6 6 7 3 3" xfId="44710"/>
    <cellStyle name="40% - Accent6 6 7 4" xfId="44711"/>
    <cellStyle name="40% - Accent6 6 7 4 2" xfId="44712"/>
    <cellStyle name="40% - Accent6 6 7 5" xfId="44713"/>
    <cellStyle name="40% - Accent6 6 8" xfId="44714"/>
    <cellStyle name="40% - Accent6 6 8 2" xfId="44715"/>
    <cellStyle name="40% - Accent6 6 8 2 2" xfId="44716"/>
    <cellStyle name="40% - Accent6 6 8 2 2 2" xfId="44717"/>
    <cellStyle name="40% - Accent6 6 8 2 3" xfId="44718"/>
    <cellStyle name="40% - Accent6 6 8 3" xfId="44719"/>
    <cellStyle name="40% - Accent6 6 8 3 2" xfId="44720"/>
    <cellStyle name="40% - Accent6 6 8 4" xfId="44721"/>
    <cellStyle name="40% - Accent6 6 9" xfId="44722"/>
    <cellStyle name="40% - Accent6 6 9 2" xfId="44723"/>
    <cellStyle name="40% - Accent6 6 9 2 2" xfId="44724"/>
    <cellStyle name="40% - Accent6 6 9 3" xfId="44725"/>
    <cellStyle name="40% - Accent6 7" xfId="44726"/>
    <cellStyle name="40% - Accent6 7 10" xfId="44727"/>
    <cellStyle name="40% - Accent6 7 10 2" xfId="44728"/>
    <cellStyle name="40% - Accent6 7 11" xfId="44729"/>
    <cellStyle name="40% - Accent6 7 2" xfId="44730"/>
    <cellStyle name="40% - Accent6 7 2 10" xfId="44731"/>
    <cellStyle name="40% - Accent6 7 2 2" xfId="44732"/>
    <cellStyle name="40% - Accent6 7 2 2 2" xfId="44733"/>
    <cellStyle name="40% - Accent6 7 2 2 2 2" xfId="44734"/>
    <cellStyle name="40% - Accent6 7 2 2 2 2 2" xfId="44735"/>
    <cellStyle name="40% - Accent6 7 2 2 2 2 2 2" xfId="44736"/>
    <cellStyle name="40% - Accent6 7 2 2 2 2 3" xfId="44737"/>
    <cellStyle name="40% - Accent6 7 2 2 2 3" xfId="44738"/>
    <cellStyle name="40% - Accent6 7 2 2 2 3 2" xfId="44739"/>
    <cellStyle name="40% - Accent6 7 2 2 2 4" xfId="44740"/>
    <cellStyle name="40% - Accent6 7 2 2 3" xfId="44741"/>
    <cellStyle name="40% - Accent6 7 2 2 3 2" xfId="44742"/>
    <cellStyle name="40% - Accent6 7 2 2 3 2 2" xfId="44743"/>
    <cellStyle name="40% - Accent6 7 2 2 3 3" xfId="44744"/>
    <cellStyle name="40% - Accent6 7 2 2 4" xfId="44745"/>
    <cellStyle name="40% - Accent6 7 2 2 4 2" xfId="44746"/>
    <cellStyle name="40% - Accent6 7 2 2 5" xfId="44747"/>
    <cellStyle name="40% - Accent6 7 2 3" xfId="44748"/>
    <cellStyle name="40% - Accent6 7 2 3 2" xfId="44749"/>
    <cellStyle name="40% - Accent6 7 2 3 2 2" xfId="44750"/>
    <cellStyle name="40% - Accent6 7 2 3 2 2 2" xfId="44751"/>
    <cellStyle name="40% - Accent6 7 2 3 2 2 2 2" xfId="44752"/>
    <cellStyle name="40% - Accent6 7 2 3 2 2 3" xfId="44753"/>
    <cellStyle name="40% - Accent6 7 2 3 2 3" xfId="44754"/>
    <cellStyle name="40% - Accent6 7 2 3 2 3 2" xfId="44755"/>
    <cellStyle name="40% - Accent6 7 2 3 2 4" xfId="44756"/>
    <cellStyle name="40% - Accent6 7 2 3 3" xfId="44757"/>
    <cellStyle name="40% - Accent6 7 2 3 3 2" xfId="44758"/>
    <cellStyle name="40% - Accent6 7 2 3 3 2 2" xfId="44759"/>
    <cellStyle name="40% - Accent6 7 2 3 3 3" xfId="44760"/>
    <cellStyle name="40% - Accent6 7 2 3 4" xfId="44761"/>
    <cellStyle name="40% - Accent6 7 2 3 4 2" xfId="44762"/>
    <cellStyle name="40% - Accent6 7 2 3 5" xfId="44763"/>
    <cellStyle name="40% - Accent6 7 2 4" xfId="44764"/>
    <cellStyle name="40% - Accent6 7 2 4 2" xfId="44765"/>
    <cellStyle name="40% - Accent6 7 2 4 2 2" xfId="44766"/>
    <cellStyle name="40% - Accent6 7 2 4 2 2 2" xfId="44767"/>
    <cellStyle name="40% - Accent6 7 2 4 2 2 2 2" xfId="44768"/>
    <cellStyle name="40% - Accent6 7 2 4 2 2 3" xfId="44769"/>
    <cellStyle name="40% - Accent6 7 2 4 2 3" xfId="44770"/>
    <cellStyle name="40% - Accent6 7 2 4 2 3 2" xfId="44771"/>
    <cellStyle name="40% - Accent6 7 2 4 2 4" xfId="44772"/>
    <cellStyle name="40% - Accent6 7 2 4 3" xfId="44773"/>
    <cellStyle name="40% - Accent6 7 2 4 3 2" xfId="44774"/>
    <cellStyle name="40% - Accent6 7 2 4 3 2 2" xfId="44775"/>
    <cellStyle name="40% - Accent6 7 2 4 3 3" xfId="44776"/>
    <cellStyle name="40% - Accent6 7 2 4 4" xfId="44777"/>
    <cellStyle name="40% - Accent6 7 2 4 4 2" xfId="44778"/>
    <cellStyle name="40% - Accent6 7 2 4 5" xfId="44779"/>
    <cellStyle name="40% - Accent6 7 2 5" xfId="44780"/>
    <cellStyle name="40% - Accent6 7 2 5 2" xfId="44781"/>
    <cellStyle name="40% - Accent6 7 2 5 2 2" xfId="44782"/>
    <cellStyle name="40% - Accent6 7 2 5 2 2 2" xfId="44783"/>
    <cellStyle name="40% - Accent6 7 2 5 2 2 2 2" xfId="44784"/>
    <cellStyle name="40% - Accent6 7 2 5 2 2 3" xfId="44785"/>
    <cellStyle name="40% - Accent6 7 2 5 2 3" xfId="44786"/>
    <cellStyle name="40% - Accent6 7 2 5 2 3 2" xfId="44787"/>
    <cellStyle name="40% - Accent6 7 2 5 2 4" xfId="44788"/>
    <cellStyle name="40% - Accent6 7 2 5 3" xfId="44789"/>
    <cellStyle name="40% - Accent6 7 2 5 3 2" xfId="44790"/>
    <cellStyle name="40% - Accent6 7 2 5 3 2 2" xfId="44791"/>
    <cellStyle name="40% - Accent6 7 2 5 3 3" xfId="44792"/>
    <cellStyle name="40% - Accent6 7 2 5 4" xfId="44793"/>
    <cellStyle name="40% - Accent6 7 2 5 4 2" xfId="44794"/>
    <cellStyle name="40% - Accent6 7 2 5 5" xfId="44795"/>
    <cellStyle name="40% - Accent6 7 2 6" xfId="44796"/>
    <cellStyle name="40% - Accent6 7 2 6 2" xfId="44797"/>
    <cellStyle name="40% - Accent6 7 2 6 2 2" xfId="44798"/>
    <cellStyle name="40% - Accent6 7 2 6 2 2 2" xfId="44799"/>
    <cellStyle name="40% - Accent6 7 2 6 2 2 2 2" xfId="44800"/>
    <cellStyle name="40% - Accent6 7 2 6 2 2 3" xfId="44801"/>
    <cellStyle name="40% - Accent6 7 2 6 2 3" xfId="44802"/>
    <cellStyle name="40% - Accent6 7 2 6 2 3 2" xfId="44803"/>
    <cellStyle name="40% - Accent6 7 2 6 2 4" xfId="44804"/>
    <cellStyle name="40% - Accent6 7 2 6 3" xfId="44805"/>
    <cellStyle name="40% - Accent6 7 2 6 3 2" xfId="44806"/>
    <cellStyle name="40% - Accent6 7 2 6 3 2 2" xfId="44807"/>
    <cellStyle name="40% - Accent6 7 2 6 3 3" xfId="44808"/>
    <cellStyle name="40% - Accent6 7 2 6 4" xfId="44809"/>
    <cellStyle name="40% - Accent6 7 2 6 4 2" xfId="44810"/>
    <cellStyle name="40% - Accent6 7 2 6 5" xfId="44811"/>
    <cellStyle name="40% - Accent6 7 2 7" xfId="44812"/>
    <cellStyle name="40% - Accent6 7 2 7 2" xfId="44813"/>
    <cellStyle name="40% - Accent6 7 2 7 2 2" xfId="44814"/>
    <cellStyle name="40% - Accent6 7 2 7 2 2 2" xfId="44815"/>
    <cellStyle name="40% - Accent6 7 2 7 2 3" xfId="44816"/>
    <cellStyle name="40% - Accent6 7 2 7 3" xfId="44817"/>
    <cellStyle name="40% - Accent6 7 2 7 3 2" xfId="44818"/>
    <cellStyle name="40% - Accent6 7 2 7 4" xfId="44819"/>
    <cellStyle name="40% - Accent6 7 2 8" xfId="44820"/>
    <cellStyle name="40% - Accent6 7 2 8 2" xfId="44821"/>
    <cellStyle name="40% - Accent6 7 2 8 2 2" xfId="44822"/>
    <cellStyle name="40% - Accent6 7 2 8 3" xfId="44823"/>
    <cellStyle name="40% - Accent6 7 2 9" xfId="44824"/>
    <cellStyle name="40% - Accent6 7 2 9 2" xfId="44825"/>
    <cellStyle name="40% - Accent6 7 3" xfId="44826"/>
    <cellStyle name="40% - Accent6 7 3 2" xfId="44827"/>
    <cellStyle name="40% - Accent6 7 3 2 2" xfId="44828"/>
    <cellStyle name="40% - Accent6 7 3 2 2 2" xfId="44829"/>
    <cellStyle name="40% - Accent6 7 3 2 2 2 2" xfId="44830"/>
    <cellStyle name="40% - Accent6 7 3 2 2 3" xfId="44831"/>
    <cellStyle name="40% - Accent6 7 3 2 3" xfId="44832"/>
    <cellStyle name="40% - Accent6 7 3 2 3 2" xfId="44833"/>
    <cellStyle name="40% - Accent6 7 3 2 4" xfId="44834"/>
    <cellStyle name="40% - Accent6 7 3 3" xfId="44835"/>
    <cellStyle name="40% - Accent6 7 3 3 2" xfId="44836"/>
    <cellStyle name="40% - Accent6 7 3 3 2 2" xfId="44837"/>
    <cellStyle name="40% - Accent6 7 3 3 3" xfId="44838"/>
    <cellStyle name="40% - Accent6 7 3 4" xfId="44839"/>
    <cellStyle name="40% - Accent6 7 3 4 2" xfId="44840"/>
    <cellStyle name="40% - Accent6 7 3 5" xfId="44841"/>
    <cellStyle name="40% - Accent6 7 4" xfId="44842"/>
    <cellStyle name="40% - Accent6 7 4 2" xfId="44843"/>
    <cellStyle name="40% - Accent6 7 4 2 2" xfId="44844"/>
    <cellStyle name="40% - Accent6 7 4 2 2 2" xfId="44845"/>
    <cellStyle name="40% - Accent6 7 4 2 2 2 2" xfId="44846"/>
    <cellStyle name="40% - Accent6 7 4 2 2 3" xfId="44847"/>
    <cellStyle name="40% - Accent6 7 4 2 3" xfId="44848"/>
    <cellStyle name="40% - Accent6 7 4 2 3 2" xfId="44849"/>
    <cellStyle name="40% - Accent6 7 4 2 4" xfId="44850"/>
    <cellStyle name="40% - Accent6 7 4 3" xfId="44851"/>
    <cellStyle name="40% - Accent6 7 4 3 2" xfId="44852"/>
    <cellStyle name="40% - Accent6 7 4 3 2 2" xfId="44853"/>
    <cellStyle name="40% - Accent6 7 4 3 3" xfId="44854"/>
    <cellStyle name="40% - Accent6 7 4 4" xfId="44855"/>
    <cellStyle name="40% - Accent6 7 4 4 2" xfId="44856"/>
    <cellStyle name="40% - Accent6 7 4 5" xfId="44857"/>
    <cellStyle name="40% - Accent6 7 5" xfId="44858"/>
    <cellStyle name="40% - Accent6 7 5 2" xfId="44859"/>
    <cellStyle name="40% - Accent6 7 5 2 2" xfId="44860"/>
    <cellStyle name="40% - Accent6 7 5 2 2 2" xfId="44861"/>
    <cellStyle name="40% - Accent6 7 5 2 2 2 2" xfId="44862"/>
    <cellStyle name="40% - Accent6 7 5 2 2 3" xfId="44863"/>
    <cellStyle name="40% - Accent6 7 5 2 3" xfId="44864"/>
    <cellStyle name="40% - Accent6 7 5 2 3 2" xfId="44865"/>
    <cellStyle name="40% - Accent6 7 5 2 4" xfId="44866"/>
    <cellStyle name="40% - Accent6 7 5 3" xfId="44867"/>
    <cellStyle name="40% - Accent6 7 5 3 2" xfId="44868"/>
    <cellStyle name="40% - Accent6 7 5 3 2 2" xfId="44869"/>
    <cellStyle name="40% - Accent6 7 5 3 3" xfId="44870"/>
    <cellStyle name="40% - Accent6 7 5 4" xfId="44871"/>
    <cellStyle name="40% - Accent6 7 5 4 2" xfId="44872"/>
    <cellStyle name="40% - Accent6 7 5 5" xfId="44873"/>
    <cellStyle name="40% - Accent6 7 6" xfId="44874"/>
    <cellStyle name="40% - Accent6 7 6 2" xfId="44875"/>
    <cellStyle name="40% - Accent6 7 6 2 2" xfId="44876"/>
    <cellStyle name="40% - Accent6 7 6 2 2 2" xfId="44877"/>
    <cellStyle name="40% - Accent6 7 6 2 2 2 2" xfId="44878"/>
    <cellStyle name="40% - Accent6 7 6 2 2 3" xfId="44879"/>
    <cellStyle name="40% - Accent6 7 6 2 3" xfId="44880"/>
    <cellStyle name="40% - Accent6 7 6 2 3 2" xfId="44881"/>
    <cellStyle name="40% - Accent6 7 6 2 4" xfId="44882"/>
    <cellStyle name="40% - Accent6 7 6 3" xfId="44883"/>
    <cellStyle name="40% - Accent6 7 6 3 2" xfId="44884"/>
    <cellStyle name="40% - Accent6 7 6 3 2 2" xfId="44885"/>
    <cellStyle name="40% - Accent6 7 6 3 3" xfId="44886"/>
    <cellStyle name="40% - Accent6 7 6 4" xfId="44887"/>
    <cellStyle name="40% - Accent6 7 6 4 2" xfId="44888"/>
    <cellStyle name="40% - Accent6 7 6 5" xfId="44889"/>
    <cellStyle name="40% - Accent6 7 7" xfId="44890"/>
    <cellStyle name="40% - Accent6 7 7 2" xfId="44891"/>
    <cellStyle name="40% - Accent6 7 7 2 2" xfId="44892"/>
    <cellStyle name="40% - Accent6 7 7 2 2 2" xfId="44893"/>
    <cellStyle name="40% - Accent6 7 7 2 2 2 2" xfId="44894"/>
    <cellStyle name="40% - Accent6 7 7 2 2 3" xfId="44895"/>
    <cellStyle name="40% - Accent6 7 7 2 3" xfId="44896"/>
    <cellStyle name="40% - Accent6 7 7 2 3 2" xfId="44897"/>
    <cellStyle name="40% - Accent6 7 7 2 4" xfId="44898"/>
    <cellStyle name="40% - Accent6 7 7 3" xfId="44899"/>
    <cellStyle name="40% - Accent6 7 7 3 2" xfId="44900"/>
    <cellStyle name="40% - Accent6 7 7 3 2 2" xfId="44901"/>
    <cellStyle name="40% - Accent6 7 7 3 3" xfId="44902"/>
    <cellStyle name="40% - Accent6 7 7 4" xfId="44903"/>
    <cellStyle name="40% - Accent6 7 7 4 2" xfId="44904"/>
    <cellStyle name="40% - Accent6 7 7 5" xfId="44905"/>
    <cellStyle name="40% - Accent6 7 8" xfId="44906"/>
    <cellStyle name="40% - Accent6 7 8 2" xfId="44907"/>
    <cellStyle name="40% - Accent6 7 8 2 2" xfId="44908"/>
    <cellStyle name="40% - Accent6 7 8 2 2 2" xfId="44909"/>
    <cellStyle name="40% - Accent6 7 8 2 3" xfId="44910"/>
    <cellStyle name="40% - Accent6 7 8 3" xfId="44911"/>
    <cellStyle name="40% - Accent6 7 8 3 2" xfId="44912"/>
    <cellStyle name="40% - Accent6 7 8 4" xfId="44913"/>
    <cellStyle name="40% - Accent6 7 9" xfId="44914"/>
    <cellStyle name="40% - Accent6 7 9 2" xfId="44915"/>
    <cellStyle name="40% - Accent6 7 9 2 2" xfId="44916"/>
    <cellStyle name="40% - Accent6 7 9 3" xfId="44917"/>
    <cellStyle name="40% - Accent6 8" xfId="44918"/>
    <cellStyle name="40% - Accent6 8 10" xfId="44919"/>
    <cellStyle name="40% - Accent6 8 10 2" xfId="44920"/>
    <cellStyle name="40% - Accent6 8 11" xfId="44921"/>
    <cellStyle name="40% - Accent6 8 2" xfId="44922"/>
    <cellStyle name="40% - Accent6 8 2 10" xfId="44923"/>
    <cellStyle name="40% - Accent6 8 2 2" xfId="44924"/>
    <cellStyle name="40% - Accent6 8 2 2 2" xfId="44925"/>
    <cellStyle name="40% - Accent6 8 2 2 2 2" xfId="44926"/>
    <cellStyle name="40% - Accent6 8 2 2 2 2 2" xfId="44927"/>
    <cellStyle name="40% - Accent6 8 2 2 2 2 2 2" xfId="44928"/>
    <cellStyle name="40% - Accent6 8 2 2 2 2 3" xfId="44929"/>
    <cellStyle name="40% - Accent6 8 2 2 2 3" xfId="44930"/>
    <cellStyle name="40% - Accent6 8 2 2 2 3 2" xfId="44931"/>
    <cellStyle name="40% - Accent6 8 2 2 2 4" xfId="44932"/>
    <cellStyle name="40% - Accent6 8 2 2 3" xfId="44933"/>
    <cellStyle name="40% - Accent6 8 2 2 3 2" xfId="44934"/>
    <cellStyle name="40% - Accent6 8 2 2 3 2 2" xfId="44935"/>
    <cellStyle name="40% - Accent6 8 2 2 3 3" xfId="44936"/>
    <cellStyle name="40% - Accent6 8 2 2 4" xfId="44937"/>
    <cellStyle name="40% - Accent6 8 2 2 4 2" xfId="44938"/>
    <cellStyle name="40% - Accent6 8 2 2 5" xfId="44939"/>
    <cellStyle name="40% - Accent6 8 2 3" xfId="44940"/>
    <cellStyle name="40% - Accent6 8 2 3 2" xfId="44941"/>
    <cellStyle name="40% - Accent6 8 2 3 2 2" xfId="44942"/>
    <cellStyle name="40% - Accent6 8 2 3 2 2 2" xfId="44943"/>
    <cellStyle name="40% - Accent6 8 2 3 2 2 2 2" xfId="44944"/>
    <cellStyle name="40% - Accent6 8 2 3 2 2 3" xfId="44945"/>
    <cellStyle name="40% - Accent6 8 2 3 2 3" xfId="44946"/>
    <cellStyle name="40% - Accent6 8 2 3 2 3 2" xfId="44947"/>
    <cellStyle name="40% - Accent6 8 2 3 2 4" xfId="44948"/>
    <cellStyle name="40% - Accent6 8 2 3 3" xfId="44949"/>
    <cellStyle name="40% - Accent6 8 2 3 3 2" xfId="44950"/>
    <cellStyle name="40% - Accent6 8 2 3 3 2 2" xfId="44951"/>
    <cellStyle name="40% - Accent6 8 2 3 3 3" xfId="44952"/>
    <cellStyle name="40% - Accent6 8 2 3 4" xfId="44953"/>
    <cellStyle name="40% - Accent6 8 2 3 4 2" xfId="44954"/>
    <cellStyle name="40% - Accent6 8 2 3 5" xfId="44955"/>
    <cellStyle name="40% - Accent6 8 2 4" xfId="44956"/>
    <cellStyle name="40% - Accent6 8 2 4 2" xfId="44957"/>
    <cellStyle name="40% - Accent6 8 2 4 2 2" xfId="44958"/>
    <cellStyle name="40% - Accent6 8 2 4 2 2 2" xfId="44959"/>
    <cellStyle name="40% - Accent6 8 2 4 2 2 2 2" xfId="44960"/>
    <cellStyle name="40% - Accent6 8 2 4 2 2 3" xfId="44961"/>
    <cellStyle name="40% - Accent6 8 2 4 2 3" xfId="44962"/>
    <cellStyle name="40% - Accent6 8 2 4 2 3 2" xfId="44963"/>
    <cellStyle name="40% - Accent6 8 2 4 2 4" xfId="44964"/>
    <cellStyle name="40% - Accent6 8 2 4 3" xfId="44965"/>
    <cellStyle name="40% - Accent6 8 2 4 3 2" xfId="44966"/>
    <cellStyle name="40% - Accent6 8 2 4 3 2 2" xfId="44967"/>
    <cellStyle name="40% - Accent6 8 2 4 3 3" xfId="44968"/>
    <cellStyle name="40% - Accent6 8 2 4 4" xfId="44969"/>
    <cellStyle name="40% - Accent6 8 2 4 4 2" xfId="44970"/>
    <cellStyle name="40% - Accent6 8 2 4 5" xfId="44971"/>
    <cellStyle name="40% - Accent6 8 2 5" xfId="44972"/>
    <cellStyle name="40% - Accent6 8 2 5 2" xfId="44973"/>
    <cellStyle name="40% - Accent6 8 2 5 2 2" xfId="44974"/>
    <cellStyle name="40% - Accent6 8 2 5 2 2 2" xfId="44975"/>
    <cellStyle name="40% - Accent6 8 2 5 2 2 2 2" xfId="44976"/>
    <cellStyle name="40% - Accent6 8 2 5 2 2 3" xfId="44977"/>
    <cellStyle name="40% - Accent6 8 2 5 2 3" xfId="44978"/>
    <cellStyle name="40% - Accent6 8 2 5 2 3 2" xfId="44979"/>
    <cellStyle name="40% - Accent6 8 2 5 2 4" xfId="44980"/>
    <cellStyle name="40% - Accent6 8 2 5 3" xfId="44981"/>
    <cellStyle name="40% - Accent6 8 2 5 3 2" xfId="44982"/>
    <cellStyle name="40% - Accent6 8 2 5 3 2 2" xfId="44983"/>
    <cellStyle name="40% - Accent6 8 2 5 3 3" xfId="44984"/>
    <cellStyle name="40% - Accent6 8 2 5 4" xfId="44985"/>
    <cellStyle name="40% - Accent6 8 2 5 4 2" xfId="44986"/>
    <cellStyle name="40% - Accent6 8 2 5 5" xfId="44987"/>
    <cellStyle name="40% - Accent6 8 2 6" xfId="44988"/>
    <cellStyle name="40% - Accent6 8 2 6 2" xfId="44989"/>
    <cellStyle name="40% - Accent6 8 2 6 2 2" xfId="44990"/>
    <cellStyle name="40% - Accent6 8 2 6 2 2 2" xfId="44991"/>
    <cellStyle name="40% - Accent6 8 2 6 2 2 2 2" xfId="44992"/>
    <cellStyle name="40% - Accent6 8 2 6 2 2 3" xfId="44993"/>
    <cellStyle name="40% - Accent6 8 2 6 2 3" xfId="44994"/>
    <cellStyle name="40% - Accent6 8 2 6 2 3 2" xfId="44995"/>
    <cellStyle name="40% - Accent6 8 2 6 2 4" xfId="44996"/>
    <cellStyle name="40% - Accent6 8 2 6 3" xfId="44997"/>
    <cellStyle name="40% - Accent6 8 2 6 3 2" xfId="44998"/>
    <cellStyle name="40% - Accent6 8 2 6 3 2 2" xfId="44999"/>
    <cellStyle name="40% - Accent6 8 2 6 3 3" xfId="45000"/>
    <cellStyle name="40% - Accent6 8 2 6 4" xfId="45001"/>
    <cellStyle name="40% - Accent6 8 2 6 4 2" xfId="45002"/>
    <cellStyle name="40% - Accent6 8 2 6 5" xfId="45003"/>
    <cellStyle name="40% - Accent6 8 2 7" xfId="45004"/>
    <cellStyle name="40% - Accent6 8 2 7 2" xfId="45005"/>
    <cellStyle name="40% - Accent6 8 2 7 2 2" xfId="45006"/>
    <cellStyle name="40% - Accent6 8 2 7 2 2 2" xfId="45007"/>
    <cellStyle name="40% - Accent6 8 2 7 2 3" xfId="45008"/>
    <cellStyle name="40% - Accent6 8 2 7 3" xfId="45009"/>
    <cellStyle name="40% - Accent6 8 2 7 3 2" xfId="45010"/>
    <cellStyle name="40% - Accent6 8 2 7 4" xfId="45011"/>
    <cellStyle name="40% - Accent6 8 2 8" xfId="45012"/>
    <cellStyle name="40% - Accent6 8 2 8 2" xfId="45013"/>
    <cellStyle name="40% - Accent6 8 2 8 2 2" xfId="45014"/>
    <cellStyle name="40% - Accent6 8 2 8 3" xfId="45015"/>
    <cellStyle name="40% - Accent6 8 2 9" xfId="45016"/>
    <cellStyle name="40% - Accent6 8 2 9 2" xfId="45017"/>
    <cellStyle name="40% - Accent6 8 3" xfId="45018"/>
    <cellStyle name="40% - Accent6 8 3 2" xfId="45019"/>
    <cellStyle name="40% - Accent6 8 3 2 2" xfId="45020"/>
    <cellStyle name="40% - Accent6 8 3 2 2 2" xfId="45021"/>
    <cellStyle name="40% - Accent6 8 3 2 2 2 2" xfId="45022"/>
    <cellStyle name="40% - Accent6 8 3 2 2 3" xfId="45023"/>
    <cellStyle name="40% - Accent6 8 3 2 3" xfId="45024"/>
    <cellStyle name="40% - Accent6 8 3 2 3 2" xfId="45025"/>
    <cellStyle name="40% - Accent6 8 3 2 4" xfId="45026"/>
    <cellStyle name="40% - Accent6 8 3 3" xfId="45027"/>
    <cellStyle name="40% - Accent6 8 3 3 2" xfId="45028"/>
    <cellStyle name="40% - Accent6 8 3 3 2 2" xfId="45029"/>
    <cellStyle name="40% - Accent6 8 3 3 3" xfId="45030"/>
    <cellStyle name="40% - Accent6 8 3 4" xfId="45031"/>
    <cellStyle name="40% - Accent6 8 3 4 2" xfId="45032"/>
    <cellStyle name="40% - Accent6 8 3 5" xfId="45033"/>
    <cellStyle name="40% - Accent6 8 4" xfId="45034"/>
    <cellStyle name="40% - Accent6 8 4 2" xfId="45035"/>
    <cellStyle name="40% - Accent6 8 4 2 2" xfId="45036"/>
    <cellStyle name="40% - Accent6 8 4 2 2 2" xfId="45037"/>
    <cellStyle name="40% - Accent6 8 4 2 2 2 2" xfId="45038"/>
    <cellStyle name="40% - Accent6 8 4 2 2 3" xfId="45039"/>
    <cellStyle name="40% - Accent6 8 4 2 3" xfId="45040"/>
    <cellStyle name="40% - Accent6 8 4 2 3 2" xfId="45041"/>
    <cellStyle name="40% - Accent6 8 4 2 4" xfId="45042"/>
    <cellStyle name="40% - Accent6 8 4 3" xfId="45043"/>
    <cellStyle name="40% - Accent6 8 4 3 2" xfId="45044"/>
    <cellStyle name="40% - Accent6 8 4 3 2 2" xfId="45045"/>
    <cellStyle name="40% - Accent6 8 4 3 3" xfId="45046"/>
    <cellStyle name="40% - Accent6 8 4 4" xfId="45047"/>
    <cellStyle name="40% - Accent6 8 4 4 2" xfId="45048"/>
    <cellStyle name="40% - Accent6 8 4 5" xfId="45049"/>
    <cellStyle name="40% - Accent6 8 5" xfId="45050"/>
    <cellStyle name="40% - Accent6 8 5 2" xfId="45051"/>
    <cellStyle name="40% - Accent6 8 5 2 2" xfId="45052"/>
    <cellStyle name="40% - Accent6 8 5 2 2 2" xfId="45053"/>
    <cellStyle name="40% - Accent6 8 5 2 2 2 2" xfId="45054"/>
    <cellStyle name="40% - Accent6 8 5 2 2 3" xfId="45055"/>
    <cellStyle name="40% - Accent6 8 5 2 3" xfId="45056"/>
    <cellStyle name="40% - Accent6 8 5 2 3 2" xfId="45057"/>
    <cellStyle name="40% - Accent6 8 5 2 4" xfId="45058"/>
    <cellStyle name="40% - Accent6 8 5 3" xfId="45059"/>
    <cellStyle name="40% - Accent6 8 5 3 2" xfId="45060"/>
    <cellStyle name="40% - Accent6 8 5 3 2 2" xfId="45061"/>
    <cellStyle name="40% - Accent6 8 5 3 3" xfId="45062"/>
    <cellStyle name="40% - Accent6 8 5 4" xfId="45063"/>
    <cellStyle name="40% - Accent6 8 5 4 2" xfId="45064"/>
    <cellStyle name="40% - Accent6 8 5 5" xfId="45065"/>
    <cellStyle name="40% - Accent6 8 6" xfId="45066"/>
    <cellStyle name="40% - Accent6 8 6 2" xfId="45067"/>
    <cellStyle name="40% - Accent6 8 6 2 2" xfId="45068"/>
    <cellStyle name="40% - Accent6 8 6 2 2 2" xfId="45069"/>
    <cellStyle name="40% - Accent6 8 6 2 2 2 2" xfId="45070"/>
    <cellStyle name="40% - Accent6 8 6 2 2 3" xfId="45071"/>
    <cellStyle name="40% - Accent6 8 6 2 3" xfId="45072"/>
    <cellStyle name="40% - Accent6 8 6 2 3 2" xfId="45073"/>
    <cellStyle name="40% - Accent6 8 6 2 4" xfId="45074"/>
    <cellStyle name="40% - Accent6 8 6 3" xfId="45075"/>
    <cellStyle name="40% - Accent6 8 6 3 2" xfId="45076"/>
    <cellStyle name="40% - Accent6 8 6 3 2 2" xfId="45077"/>
    <cellStyle name="40% - Accent6 8 6 3 3" xfId="45078"/>
    <cellStyle name="40% - Accent6 8 6 4" xfId="45079"/>
    <cellStyle name="40% - Accent6 8 6 4 2" xfId="45080"/>
    <cellStyle name="40% - Accent6 8 6 5" xfId="45081"/>
    <cellStyle name="40% - Accent6 8 7" xfId="45082"/>
    <cellStyle name="40% - Accent6 8 7 2" xfId="45083"/>
    <cellStyle name="40% - Accent6 8 7 2 2" xfId="45084"/>
    <cellStyle name="40% - Accent6 8 7 2 2 2" xfId="45085"/>
    <cellStyle name="40% - Accent6 8 7 2 2 2 2" xfId="45086"/>
    <cellStyle name="40% - Accent6 8 7 2 2 3" xfId="45087"/>
    <cellStyle name="40% - Accent6 8 7 2 3" xfId="45088"/>
    <cellStyle name="40% - Accent6 8 7 2 3 2" xfId="45089"/>
    <cellStyle name="40% - Accent6 8 7 2 4" xfId="45090"/>
    <cellStyle name="40% - Accent6 8 7 3" xfId="45091"/>
    <cellStyle name="40% - Accent6 8 7 3 2" xfId="45092"/>
    <cellStyle name="40% - Accent6 8 7 3 2 2" xfId="45093"/>
    <cellStyle name="40% - Accent6 8 7 3 3" xfId="45094"/>
    <cellStyle name="40% - Accent6 8 7 4" xfId="45095"/>
    <cellStyle name="40% - Accent6 8 7 4 2" xfId="45096"/>
    <cellStyle name="40% - Accent6 8 7 5" xfId="45097"/>
    <cellStyle name="40% - Accent6 8 8" xfId="45098"/>
    <cellStyle name="40% - Accent6 8 8 2" xfId="45099"/>
    <cellStyle name="40% - Accent6 8 8 2 2" xfId="45100"/>
    <cellStyle name="40% - Accent6 8 8 2 2 2" xfId="45101"/>
    <cellStyle name="40% - Accent6 8 8 2 3" xfId="45102"/>
    <cellStyle name="40% - Accent6 8 8 3" xfId="45103"/>
    <cellStyle name="40% - Accent6 8 8 3 2" xfId="45104"/>
    <cellStyle name="40% - Accent6 8 8 4" xfId="45105"/>
    <cellStyle name="40% - Accent6 8 9" xfId="45106"/>
    <cellStyle name="40% - Accent6 8 9 2" xfId="45107"/>
    <cellStyle name="40% - Accent6 8 9 2 2" xfId="45108"/>
    <cellStyle name="40% - Accent6 8 9 3" xfId="45109"/>
    <cellStyle name="40% - Accent6 9" xfId="45110"/>
    <cellStyle name="40% - Accent6 9 10" xfId="45111"/>
    <cellStyle name="40% - Accent6 9 10 2" xfId="45112"/>
    <cellStyle name="40% - Accent6 9 11" xfId="45113"/>
    <cellStyle name="40% - Accent6 9 2" xfId="45114"/>
    <cellStyle name="40% - Accent6 9 2 10" xfId="45115"/>
    <cellStyle name="40% - Accent6 9 2 2" xfId="45116"/>
    <cellStyle name="40% - Accent6 9 2 2 2" xfId="45117"/>
    <cellStyle name="40% - Accent6 9 2 2 2 2" xfId="45118"/>
    <cellStyle name="40% - Accent6 9 2 2 2 2 2" xfId="45119"/>
    <cellStyle name="40% - Accent6 9 2 2 2 2 2 2" xfId="45120"/>
    <cellStyle name="40% - Accent6 9 2 2 2 2 3" xfId="45121"/>
    <cellStyle name="40% - Accent6 9 2 2 2 3" xfId="45122"/>
    <cellStyle name="40% - Accent6 9 2 2 2 3 2" xfId="45123"/>
    <cellStyle name="40% - Accent6 9 2 2 2 4" xfId="45124"/>
    <cellStyle name="40% - Accent6 9 2 2 3" xfId="45125"/>
    <cellStyle name="40% - Accent6 9 2 2 3 2" xfId="45126"/>
    <cellStyle name="40% - Accent6 9 2 2 3 2 2" xfId="45127"/>
    <cellStyle name="40% - Accent6 9 2 2 3 3" xfId="45128"/>
    <cellStyle name="40% - Accent6 9 2 2 4" xfId="45129"/>
    <cellStyle name="40% - Accent6 9 2 2 4 2" xfId="45130"/>
    <cellStyle name="40% - Accent6 9 2 2 5" xfId="45131"/>
    <cellStyle name="40% - Accent6 9 2 3" xfId="45132"/>
    <cellStyle name="40% - Accent6 9 2 3 2" xfId="45133"/>
    <cellStyle name="40% - Accent6 9 2 3 2 2" xfId="45134"/>
    <cellStyle name="40% - Accent6 9 2 3 2 2 2" xfId="45135"/>
    <cellStyle name="40% - Accent6 9 2 3 2 2 2 2" xfId="45136"/>
    <cellStyle name="40% - Accent6 9 2 3 2 2 3" xfId="45137"/>
    <cellStyle name="40% - Accent6 9 2 3 2 3" xfId="45138"/>
    <cellStyle name="40% - Accent6 9 2 3 2 3 2" xfId="45139"/>
    <cellStyle name="40% - Accent6 9 2 3 2 4" xfId="45140"/>
    <cellStyle name="40% - Accent6 9 2 3 3" xfId="45141"/>
    <cellStyle name="40% - Accent6 9 2 3 3 2" xfId="45142"/>
    <cellStyle name="40% - Accent6 9 2 3 3 2 2" xfId="45143"/>
    <cellStyle name="40% - Accent6 9 2 3 3 3" xfId="45144"/>
    <cellStyle name="40% - Accent6 9 2 3 4" xfId="45145"/>
    <cellStyle name="40% - Accent6 9 2 3 4 2" xfId="45146"/>
    <cellStyle name="40% - Accent6 9 2 3 5" xfId="45147"/>
    <cellStyle name="40% - Accent6 9 2 4" xfId="45148"/>
    <cellStyle name="40% - Accent6 9 2 4 2" xfId="45149"/>
    <cellStyle name="40% - Accent6 9 2 4 2 2" xfId="45150"/>
    <cellStyle name="40% - Accent6 9 2 4 2 2 2" xfId="45151"/>
    <cellStyle name="40% - Accent6 9 2 4 2 2 2 2" xfId="45152"/>
    <cellStyle name="40% - Accent6 9 2 4 2 2 3" xfId="45153"/>
    <cellStyle name="40% - Accent6 9 2 4 2 3" xfId="45154"/>
    <cellStyle name="40% - Accent6 9 2 4 2 3 2" xfId="45155"/>
    <cellStyle name="40% - Accent6 9 2 4 2 4" xfId="45156"/>
    <cellStyle name="40% - Accent6 9 2 4 3" xfId="45157"/>
    <cellStyle name="40% - Accent6 9 2 4 3 2" xfId="45158"/>
    <cellStyle name="40% - Accent6 9 2 4 3 2 2" xfId="45159"/>
    <cellStyle name="40% - Accent6 9 2 4 3 3" xfId="45160"/>
    <cellStyle name="40% - Accent6 9 2 4 4" xfId="45161"/>
    <cellStyle name="40% - Accent6 9 2 4 4 2" xfId="45162"/>
    <cellStyle name="40% - Accent6 9 2 4 5" xfId="45163"/>
    <cellStyle name="40% - Accent6 9 2 5" xfId="45164"/>
    <cellStyle name="40% - Accent6 9 2 5 2" xfId="45165"/>
    <cellStyle name="40% - Accent6 9 2 5 2 2" xfId="45166"/>
    <cellStyle name="40% - Accent6 9 2 5 2 2 2" xfId="45167"/>
    <cellStyle name="40% - Accent6 9 2 5 2 2 2 2" xfId="45168"/>
    <cellStyle name="40% - Accent6 9 2 5 2 2 3" xfId="45169"/>
    <cellStyle name="40% - Accent6 9 2 5 2 3" xfId="45170"/>
    <cellStyle name="40% - Accent6 9 2 5 2 3 2" xfId="45171"/>
    <cellStyle name="40% - Accent6 9 2 5 2 4" xfId="45172"/>
    <cellStyle name="40% - Accent6 9 2 5 3" xfId="45173"/>
    <cellStyle name="40% - Accent6 9 2 5 3 2" xfId="45174"/>
    <cellStyle name="40% - Accent6 9 2 5 3 2 2" xfId="45175"/>
    <cellStyle name="40% - Accent6 9 2 5 3 3" xfId="45176"/>
    <cellStyle name="40% - Accent6 9 2 5 4" xfId="45177"/>
    <cellStyle name="40% - Accent6 9 2 5 4 2" xfId="45178"/>
    <cellStyle name="40% - Accent6 9 2 5 5" xfId="45179"/>
    <cellStyle name="40% - Accent6 9 2 6" xfId="45180"/>
    <cellStyle name="40% - Accent6 9 2 6 2" xfId="45181"/>
    <cellStyle name="40% - Accent6 9 2 6 2 2" xfId="45182"/>
    <cellStyle name="40% - Accent6 9 2 6 2 2 2" xfId="45183"/>
    <cellStyle name="40% - Accent6 9 2 6 2 2 2 2" xfId="45184"/>
    <cellStyle name="40% - Accent6 9 2 6 2 2 3" xfId="45185"/>
    <cellStyle name="40% - Accent6 9 2 6 2 3" xfId="45186"/>
    <cellStyle name="40% - Accent6 9 2 6 2 3 2" xfId="45187"/>
    <cellStyle name="40% - Accent6 9 2 6 2 4" xfId="45188"/>
    <cellStyle name="40% - Accent6 9 2 6 3" xfId="45189"/>
    <cellStyle name="40% - Accent6 9 2 6 3 2" xfId="45190"/>
    <cellStyle name="40% - Accent6 9 2 6 3 2 2" xfId="45191"/>
    <cellStyle name="40% - Accent6 9 2 6 3 3" xfId="45192"/>
    <cellStyle name="40% - Accent6 9 2 6 4" xfId="45193"/>
    <cellStyle name="40% - Accent6 9 2 6 4 2" xfId="45194"/>
    <cellStyle name="40% - Accent6 9 2 6 5" xfId="45195"/>
    <cellStyle name="40% - Accent6 9 2 7" xfId="45196"/>
    <cellStyle name="40% - Accent6 9 2 7 2" xfId="45197"/>
    <cellStyle name="40% - Accent6 9 2 7 2 2" xfId="45198"/>
    <cellStyle name="40% - Accent6 9 2 7 2 2 2" xfId="45199"/>
    <cellStyle name="40% - Accent6 9 2 7 2 3" xfId="45200"/>
    <cellStyle name="40% - Accent6 9 2 7 3" xfId="45201"/>
    <cellStyle name="40% - Accent6 9 2 7 3 2" xfId="45202"/>
    <cellStyle name="40% - Accent6 9 2 7 4" xfId="45203"/>
    <cellStyle name="40% - Accent6 9 2 8" xfId="45204"/>
    <cellStyle name="40% - Accent6 9 2 8 2" xfId="45205"/>
    <cellStyle name="40% - Accent6 9 2 8 2 2" xfId="45206"/>
    <cellStyle name="40% - Accent6 9 2 8 3" xfId="45207"/>
    <cellStyle name="40% - Accent6 9 2 9" xfId="45208"/>
    <cellStyle name="40% - Accent6 9 2 9 2" xfId="45209"/>
    <cellStyle name="40% - Accent6 9 3" xfId="45210"/>
    <cellStyle name="40% - Accent6 9 3 2" xfId="45211"/>
    <cellStyle name="40% - Accent6 9 3 2 2" xfId="45212"/>
    <cellStyle name="40% - Accent6 9 3 2 2 2" xfId="45213"/>
    <cellStyle name="40% - Accent6 9 3 2 2 2 2" xfId="45214"/>
    <cellStyle name="40% - Accent6 9 3 2 2 3" xfId="45215"/>
    <cellStyle name="40% - Accent6 9 3 2 3" xfId="45216"/>
    <cellStyle name="40% - Accent6 9 3 2 3 2" xfId="45217"/>
    <cellStyle name="40% - Accent6 9 3 2 4" xfId="45218"/>
    <cellStyle name="40% - Accent6 9 3 3" xfId="45219"/>
    <cellStyle name="40% - Accent6 9 3 3 2" xfId="45220"/>
    <cellStyle name="40% - Accent6 9 3 3 2 2" xfId="45221"/>
    <cellStyle name="40% - Accent6 9 3 3 3" xfId="45222"/>
    <cellStyle name="40% - Accent6 9 3 4" xfId="45223"/>
    <cellStyle name="40% - Accent6 9 3 4 2" xfId="45224"/>
    <cellStyle name="40% - Accent6 9 3 5" xfId="45225"/>
    <cellStyle name="40% - Accent6 9 4" xfId="45226"/>
    <cellStyle name="40% - Accent6 9 4 2" xfId="45227"/>
    <cellStyle name="40% - Accent6 9 4 2 2" xfId="45228"/>
    <cellStyle name="40% - Accent6 9 4 2 2 2" xfId="45229"/>
    <cellStyle name="40% - Accent6 9 4 2 2 2 2" xfId="45230"/>
    <cellStyle name="40% - Accent6 9 4 2 2 3" xfId="45231"/>
    <cellStyle name="40% - Accent6 9 4 2 3" xfId="45232"/>
    <cellStyle name="40% - Accent6 9 4 2 3 2" xfId="45233"/>
    <cellStyle name="40% - Accent6 9 4 2 4" xfId="45234"/>
    <cellStyle name="40% - Accent6 9 4 3" xfId="45235"/>
    <cellStyle name="40% - Accent6 9 4 3 2" xfId="45236"/>
    <cellStyle name="40% - Accent6 9 4 3 2 2" xfId="45237"/>
    <cellStyle name="40% - Accent6 9 4 3 3" xfId="45238"/>
    <cellStyle name="40% - Accent6 9 4 4" xfId="45239"/>
    <cellStyle name="40% - Accent6 9 4 4 2" xfId="45240"/>
    <cellStyle name="40% - Accent6 9 4 5" xfId="45241"/>
    <cellStyle name="40% - Accent6 9 5" xfId="45242"/>
    <cellStyle name="40% - Accent6 9 5 2" xfId="45243"/>
    <cellStyle name="40% - Accent6 9 5 2 2" xfId="45244"/>
    <cellStyle name="40% - Accent6 9 5 2 2 2" xfId="45245"/>
    <cellStyle name="40% - Accent6 9 5 2 2 2 2" xfId="45246"/>
    <cellStyle name="40% - Accent6 9 5 2 2 3" xfId="45247"/>
    <cellStyle name="40% - Accent6 9 5 2 3" xfId="45248"/>
    <cellStyle name="40% - Accent6 9 5 2 3 2" xfId="45249"/>
    <cellStyle name="40% - Accent6 9 5 2 4" xfId="45250"/>
    <cellStyle name="40% - Accent6 9 5 3" xfId="45251"/>
    <cellStyle name="40% - Accent6 9 5 3 2" xfId="45252"/>
    <cellStyle name="40% - Accent6 9 5 3 2 2" xfId="45253"/>
    <cellStyle name="40% - Accent6 9 5 3 3" xfId="45254"/>
    <cellStyle name="40% - Accent6 9 5 4" xfId="45255"/>
    <cellStyle name="40% - Accent6 9 5 4 2" xfId="45256"/>
    <cellStyle name="40% - Accent6 9 5 5" xfId="45257"/>
    <cellStyle name="40% - Accent6 9 6" xfId="45258"/>
    <cellStyle name="40% - Accent6 9 6 2" xfId="45259"/>
    <cellStyle name="40% - Accent6 9 6 2 2" xfId="45260"/>
    <cellStyle name="40% - Accent6 9 6 2 2 2" xfId="45261"/>
    <cellStyle name="40% - Accent6 9 6 2 2 2 2" xfId="45262"/>
    <cellStyle name="40% - Accent6 9 6 2 2 3" xfId="45263"/>
    <cellStyle name="40% - Accent6 9 6 2 3" xfId="45264"/>
    <cellStyle name="40% - Accent6 9 6 2 3 2" xfId="45265"/>
    <cellStyle name="40% - Accent6 9 6 2 4" xfId="45266"/>
    <cellStyle name="40% - Accent6 9 6 3" xfId="45267"/>
    <cellStyle name="40% - Accent6 9 6 3 2" xfId="45268"/>
    <cellStyle name="40% - Accent6 9 6 3 2 2" xfId="45269"/>
    <cellStyle name="40% - Accent6 9 6 3 3" xfId="45270"/>
    <cellStyle name="40% - Accent6 9 6 4" xfId="45271"/>
    <cellStyle name="40% - Accent6 9 6 4 2" xfId="45272"/>
    <cellStyle name="40% - Accent6 9 6 5" xfId="45273"/>
    <cellStyle name="40% - Accent6 9 7" xfId="45274"/>
    <cellStyle name="40% - Accent6 9 7 2" xfId="45275"/>
    <cellStyle name="40% - Accent6 9 7 2 2" xfId="45276"/>
    <cellStyle name="40% - Accent6 9 7 2 2 2" xfId="45277"/>
    <cellStyle name="40% - Accent6 9 7 2 2 2 2" xfId="45278"/>
    <cellStyle name="40% - Accent6 9 7 2 2 3" xfId="45279"/>
    <cellStyle name="40% - Accent6 9 7 2 3" xfId="45280"/>
    <cellStyle name="40% - Accent6 9 7 2 3 2" xfId="45281"/>
    <cellStyle name="40% - Accent6 9 7 2 4" xfId="45282"/>
    <cellStyle name="40% - Accent6 9 7 3" xfId="45283"/>
    <cellStyle name="40% - Accent6 9 7 3 2" xfId="45284"/>
    <cellStyle name="40% - Accent6 9 7 3 2 2" xfId="45285"/>
    <cellStyle name="40% - Accent6 9 7 3 3" xfId="45286"/>
    <cellStyle name="40% - Accent6 9 7 4" xfId="45287"/>
    <cellStyle name="40% - Accent6 9 7 4 2" xfId="45288"/>
    <cellStyle name="40% - Accent6 9 7 5" xfId="45289"/>
    <cellStyle name="40% - Accent6 9 8" xfId="45290"/>
    <cellStyle name="40% - Accent6 9 8 2" xfId="45291"/>
    <cellStyle name="40% - Accent6 9 8 2 2" xfId="45292"/>
    <cellStyle name="40% - Accent6 9 8 2 2 2" xfId="45293"/>
    <cellStyle name="40% - Accent6 9 8 2 3" xfId="45294"/>
    <cellStyle name="40% - Accent6 9 8 3" xfId="45295"/>
    <cellStyle name="40% - Accent6 9 8 3 2" xfId="45296"/>
    <cellStyle name="40% - Accent6 9 8 4" xfId="45297"/>
    <cellStyle name="40% - Accent6 9 9" xfId="45298"/>
    <cellStyle name="40% - Accent6 9 9 2" xfId="45299"/>
    <cellStyle name="40% - Accent6 9 9 2 2" xfId="45300"/>
    <cellStyle name="40% - Accent6 9 9 3" xfId="45301"/>
    <cellStyle name="Comma 2" xfId="45302"/>
    <cellStyle name="Comma 2 2" xfId="45303"/>
    <cellStyle name="Comma 2 2 2" xfId="45304"/>
    <cellStyle name="Comma 2 3" xfId="45305"/>
    <cellStyle name="Comma 2 3 2" xfId="45306"/>
    <cellStyle name="Comma 2 4" xfId="45307"/>
    <cellStyle name="Comma 2 4 2" xfId="45308"/>
    <cellStyle name="Comma 3" xfId="45309"/>
    <cellStyle name="Comma 3 2" xfId="45310"/>
    <cellStyle name="Comma 4" xfId="45311"/>
    <cellStyle name="Comma 5" xfId="45312"/>
    <cellStyle name="Comma 6" xfId="45313"/>
    <cellStyle name="Hyperlink" xfId="52830" builtinId="8"/>
    <cellStyle name="Normal" xfId="0" builtinId="0"/>
    <cellStyle name="Normal 10" xfId="45314"/>
    <cellStyle name="Normal 10 2" xfId="45315"/>
    <cellStyle name="Normal 11" xfId="45316"/>
    <cellStyle name="Normal 11 10" xfId="45317"/>
    <cellStyle name="Normal 11 2" xfId="45318"/>
    <cellStyle name="Normal 11 2 2" xfId="45319"/>
    <cellStyle name="Normal 11 2 2 2" xfId="45320"/>
    <cellStyle name="Normal 11 2 2 2 2" xfId="45321"/>
    <cellStyle name="Normal 11 2 2 2 2 2" xfId="45322"/>
    <cellStyle name="Normal 11 2 2 2 3" xfId="45323"/>
    <cellStyle name="Normal 11 2 2 3" xfId="45324"/>
    <cellStyle name="Normal 11 2 2 3 2" xfId="45325"/>
    <cellStyle name="Normal 11 2 2 4" xfId="45326"/>
    <cellStyle name="Normal 11 2 3" xfId="45327"/>
    <cellStyle name="Normal 11 2 3 2" xfId="45328"/>
    <cellStyle name="Normal 11 2 3 2 2" xfId="45329"/>
    <cellStyle name="Normal 11 2 3 3" xfId="45330"/>
    <cellStyle name="Normal 11 2 4" xfId="45331"/>
    <cellStyle name="Normal 11 2 4 2" xfId="45332"/>
    <cellStyle name="Normal 11 2 5" xfId="45333"/>
    <cellStyle name="Normal 11 3" xfId="45334"/>
    <cellStyle name="Normal 11 3 2" xfId="45335"/>
    <cellStyle name="Normal 11 3 2 2" xfId="45336"/>
    <cellStyle name="Normal 11 3 2 2 2" xfId="45337"/>
    <cellStyle name="Normal 11 3 2 2 2 2" xfId="45338"/>
    <cellStyle name="Normal 11 3 2 2 3" xfId="45339"/>
    <cellStyle name="Normal 11 3 2 3" xfId="45340"/>
    <cellStyle name="Normal 11 3 2 3 2" xfId="45341"/>
    <cellStyle name="Normal 11 3 2 4" xfId="45342"/>
    <cellStyle name="Normal 11 3 3" xfId="45343"/>
    <cellStyle name="Normal 11 3 3 2" xfId="45344"/>
    <cellStyle name="Normal 11 3 3 2 2" xfId="45345"/>
    <cellStyle name="Normal 11 3 3 3" xfId="45346"/>
    <cellStyle name="Normal 11 3 4" xfId="45347"/>
    <cellStyle name="Normal 11 3 4 2" xfId="45348"/>
    <cellStyle name="Normal 11 3 5" xfId="45349"/>
    <cellStyle name="Normal 11 4" xfId="45350"/>
    <cellStyle name="Normal 11 4 2" xfId="45351"/>
    <cellStyle name="Normal 11 4 2 2" xfId="45352"/>
    <cellStyle name="Normal 11 4 2 2 2" xfId="45353"/>
    <cellStyle name="Normal 11 4 2 2 2 2" xfId="45354"/>
    <cellStyle name="Normal 11 4 2 2 3" xfId="45355"/>
    <cellStyle name="Normal 11 4 2 3" xfId="45356"/>
    <cellStyle name="Normal 11 4 2 3 2" xfId="45357"/>
    <cellStyle name="Normal 11 4 2 4" xfId="45358"/>
    <cellStyle name="Normal 11 4 3" xfId="45359"/>
    <cellStyle name="Normal 11 4 3 2" xfId="45360"/>
    <cellStyle name="Normal 11 4 3 2 2" xfId="45361"/>
    <cellStyle name="Normal 11 4 3 3" xfId="45362"/>
    <cellStyle name="Normal 11 4 4" xfId="45363"/>
    <cellStyle name="Normal 11 4 4 2" xfId="45364"/>
    <cellStyle name="Normal 11 4 5" xfId="45365"/>
    <cellStyle name="Normal 11 5" xfId="45366"/>
    <cellStyle name="Normal 11 5 2" xfId="45367"/>
    <cellStyle name="Normal 11 5 2 2" xfId="45368"/>
    <cellStyle name="Normal 11 5 2 2 2" xfId="45369"/>
    <cellStyle name="Normal 11 5 2 2 2 2" xfId="45370"/>
    <cellStyle name="Normal 11 5 2 2 3" xfId="45371"/>
    <cellStyle name="Normal 11 5 2 3" xfId="45372"/>
    <cellStyle name="Normal 11 5 2 3 2" xfId="45373"/>
    <cellStyle name="Normal 11 5 2 4" xfId="45374"/>
    <cellStyle name="Normal 11 5 3" xfId="45375"/>
    <cellStyle name="Normal 11 5 3 2" xfId="45376"/>
    <cellStyle name="Normal 11 5 3 2 2" xfId="45377"/>
    <cellStyle name="Normal 11 5 3 3" xfId="45378"/>
    <cellStyle name="Normal 11 5 4" xfId="45379"/>
    <cellStyle name="Normal 11 5 4 2" xfId="45380"/>
    <cellStyle name="Normal 11 5 5" xfId="45381"/>
    <cellStyle name="Normal 11 6" xfId="45382"/>
    <cellStyle name="Normal 11 6 2" xfId="45383"/>
    <cellStyle name="Normal 11 6 2 2" xfId="45384"/>
    <cellStyle name="Normal 11 6 2 2 2" xfId="45385"/>
    <cellStyle name="Normal 11 6 2 2 2 2" xfId="45386"/>
    <cellStyle name="Normal 11 6 2 2 3" xfId="45387"/>
    <cellStyle name="Normal 11 6 2 3" xfId="45388"/>
    <cellStyle name="Normal 11 6 2 3 2" xfId="45389"/>
    <cellStyle name="Normal 11 6 2 4" xfId="45390"/>
    <cellStyle name="Normal 11 6 3" xfId="45391"/>
    <cellStyle name="Normal 11 6 3 2" xfId="45392"/>
    <cellStyle name="Normal 11 6 3 2 2" xfId="45393"/>
    <cellStyle name="Normal 11 6 3 3" xfId="45394"/>
    <cellStyle name="Normal 11 6 4" xfId="45395"/>
    <cellStyle name="Normal 11 6 4 2" xfId="45396"/>
    <cellStyle name="Normal 11 6 5" xfId="45397"/>
    <cellStyle name="Normal 11 7" xfId="45398"/>
    <cellStyle name="Normal 11 7 2" xfId="45399"/>
    <cellStyle name="Normal 11 7 2 2" xfId="45400"/>
    <cellStyle name="Normal 11 7 2 2 2" xfId="45401"/>
    <cellStyle name="Normal 11 7 2 3" xfId="45402"/>
    <cellStyle name="Normal 11 7 3" xfId="45403"/>
    <cellStyle name="Normal 11 7 3 2" xfId="45404"/>
    <cellStyle name="Normal 11 7 4" xfId="45405"/>
    <cellStyle name="Normal 11 8" xfId="45406"/>
    <cellStyle name="Normal 11 8 2" xfId="45407"/>
    <cellStyle name="Normal 11 8 2 2" xfId="45408"/>
    <cellStyle name="Normal 11 8 3" xfId="45409"/>
    <cellStyle name="Normal 11 9" xfId="45410"/>
    <cellStyle name="Normal 11 9 2" xfId="45411"/>
    <cellStyle name="Normal 12" xfId="45412"/>
    <cellStyle name="Normal 12 2" xfId="45413"/>
    <cellStyle name="Normal 13" xfId="45414"/>
    <cellStyle name="Normal 14" xfId="45415"/>
    <cellStyle name="Normal 14 10" xfId="45416"/>
    <cellStyle name="Normal 14 2" xfId="45417"/>
    <cellStyle name="Normal 14 2 2" xfId="45418"/>
    <cellStyle name="Normal 14 3" xfId="45419"/>
    <cellStyle name="Normal 14 3 2" xfId="45420"/>
    <cellStyle name="Normal 14 4" xfId="45421"/>
    <cellStyle name="Normal 14 5" xfId="45422"/>
    <cellStyle name="Normal 14 6" xfId="45423"/>
    <cellStyle name="Normal 14 7" xfId="45424"/>
    <cellStyle name="Normal 14 7 2" xfId="45425"/>
    <cellStyle name="Normal 14 7 2 2" xfId="45426"/>
    <cellStyle name="Normal 14 7 2 2 2" xfId="45427"/>
    <cellStyle name="Normal 14 7 2 3" xfId="45428"/>
    <cellStyle name="Normal 14 7 3" xfId="45429"/>
    <cellStyle name="Normal 14 7 3 2" xfId="45430"/>
    <cellStyle name="Normal 14 7 4" xfId="45431"/>
    <cellStyle name="Normal 14 8" xfId="45432"/>
    <cellStyle name="Normal 14 8 2" xfId="45433"/>
    <cellStyle name="Normal 14 8 2 2" xfId="45434"/>
    <cellStyle name="Normal 14 8 3" xfId="45435"/>
    <cellStyle name="Normal 14 9" xfId="45436"/>
    <cellStyle name="Normal 14 9 2" xfId="45437"/>
    <cellStyle name="Normal 15" xfId="45438"/>
    <cellStyle name="Normal 16" xfId="45439"/>
    <cellStyle name="Normal 16 2" xfId="45440"/>
    <cellStyle name="Normal 16 2 2" xfId="45441"/>
    <cellStyle name="Normal 16 2 2 2" xfId="45442"/>
    <cellStyle name="Normal 16 2 2 2 2" xfId="45443"/>
    <cellStyle name="Normal 16 2 2 3" xfId="45444"/>
    <cellStyle name="Normal 16 2 3" xfId="45445"/>
    <cellStyle name="Normal 16 2 3 2" xfId="45446"/>
    <cellStyle name="Normal 16 2 4" xfId="45447"/>
    <cellStyle name="Normal 16 3" xfId="45448"/>
    <cellStyle name="Normal 16 3 2" xfId="45449"/>
    <cellStyle name="Normal 16 3 2 2" xfId="45450"/>
    <cellStyle name="Normal 16 3 3" xfId="45451"/>
    <cellStyle name="Normal 16 4" xfId="45452"/>
    <cellStyle name="Normal 16 4 2" xfId="45453"/>
    <cellStyle name="Normal 16 5" xfId="45454"/>
    <cellStyle name="Normal 17" xfId="45455"/>
    <cellStyle name="Normal 17 2" xfId="45456"/>
    <cellStyle name="Normal 17 2 2" xfId="45457"/>
    <cellStyle name="Normal 17 2 2 2" xfId="45458"/>
    <cellStyle name="Normal 17 2 3" xfId="45459"/>
    <cellStyle name="Normal 17 3" xfId="45460"/>
    <cellStyle name="Normal 17 3 2" xfId="45461"/>
    <cellStyle name="Normal 17 4" xfId="45462"/>
    <cellStyle name="Normal 18" xfId="45463"/>
    <cellStyle name="Normal 18 2" xfId="45464"/>
    <cellStyle name="Normal 19" xfId="45465"/>
    <cellStyle name="Normal 19 2" xfId="45466"/>
    <cellStyle name="Normal 19 2 2" xfId="45467"/>
    <cellStyle name="Normal 19 2 2 2" xfId="45468"/>
    <cellStyle name="Normal 19 2 3" xfId="45469"/>
    <cellStyle name="Normal 19 3" xfId="45470"/>
    <cellStyle name="Normal 19 3 2" xfId="45471"/>
    <cellStyle name="Normal 19 4" xfId="45472"/>
    <cellStyle name="Normal 2" xfId="45473"/>
    <cellStyle name="Normal 2 10" xfId="45474"/>
    <cellStyle name="Normal 2 10 10" xfId="45475"/>
    <cellStyle name="Normal 2 10 2" xfId="45476"/>
    <cellStyle name="Normal 2 10 2 2" xfId="45477"/>
    <cellStyle name="Normal 2 10 2 2 2" xfId="45478"/>
    <cellStyle name="Normal 2 10 2 2 2 2" xfId="45479"/>
    <cellStyle name="Normal 2 10 2 2 2 2 2" xfId="45480"/>
    <cellStyle name="Normal 2 10 2 2 2 3" xfId="45481"/>
    <cellStyle name="Normal 2 10 2 2 3" xfId="45482"/>
    <cellStyle name="Normal 2 10 2 2 3 2" xfId="45483"/>
    <cellStyle name="Normal 2 10 2 2 4" xfId="45484"/>
    <cellStyle name="Normal 2 10 2 3" xfId="45485"/>
    <cellStyle name="Normal 2 10 2 3 2" xfId="45486"/>
    <cellStyle name="Normal 2 10 2 3 2 2" xfId="45487"/>
    <cellStyle name="Normal 2 10 2 3 3" xfId="45488"/>
    <cellStyle name="Normal 2 10 2 4" xfId="45489"/>
    <cellStyle name="Normal 2 10 2 4 2" xfId="45490"/>
    <cellStyle name="Normal 2 10 2 5" xfId="45491"/>
    <cellStyle name="Normal 2 10 3" xfId="45492"/>
    <cellStyle name="Normal 2 10 3 2" xfId="45493"/>
    <cellStyle name="Normal 2 10 3 2 2" xfId="45494"/>
    <cellStyle name="Normal 2 10 3 2 2 2" xfId="45495"/>
    <cellStyle name="Normal 2 10 3 2 2 2 2" xfId="45496"/>
    <cellStyle name="Normal 2 10 3 2 2 3" xfId="45497"/>
    <cellStyle name="Normal 2 10 3 2 3" xfId="45498"/>
    <cellStyle name="Normal 2 10 3 2 3 2" xfId="45499"/>
    <cellStyle name="Normal 2 10 3 2 4" xfId="45500"/>
    <cellStyle name="Normal 2 10 3 3" xfId="45501"/>
    <cellStyle name="Normal 2 10 3 3 2" xfId="45502"/>
    <cellStyle name="Normal 2 10 3 3 2 2" xfId="45503"/>
    <cellStyle name="Normal 2 10 3 3 3" xfId="45504"/>
    <cellStyle name="Normal 2 10 3 4" xfId="45505"/>
    <cellStyle name="Normal 2 10 3 4 2" xfId="45506"/>
    <cellStyle name="Normal 2 10 3 5" xfId="45507"/>
    <cellStyle name="Normal 2 10 4" xfId="45508"/>
    <cellStyle name="Normal 2 10 4 2" xfId="45509"/>
    <cellStyle name="Normal 2 10 4 2 2" xfId="45510"/>
    <cellStyle name="Normal 2 10 4 2 2 2" xfId="45511"/>
    <cellStyle name="Normal 2 10 4 2 2 2 2" xfId="45512"/>
    <cellStyle name="Normal 2 10 4 2 2 3" xfId="45513"/>
    <cellStyle name="Normal 2 10 4 2 3" xfId="45514"/>
    <cellStyle name="Normal 2 10 4 2 3 2" xfId="45515"/>
    <cellStyle name="Normal 2 10 4 2 4" xfId="45516"/>
    <cellStyle name="Normal 2 10 4 3" xfId="45517"/>
    <cellStyle name="Normal 2 10 4 3 2" xfId="45518"/>
    <cellStyle name="Normal 2 10 4 3 2 2" xfId="45519"/>
    <cellStyle name="Normal 2 10 4 3 3" xfId="45520"/>
    <cellStyle name="Normal 2 10 4 4" xfId="45521"/>
    <cellStyle name="Normal 2 10 4 4 2" xfId="45522"/>
    <cellStyle name="Normal 2 10 4 5" xfId="45523"/>
    <cellStyle name="Normal 2 10 5" xfId="45524"/>
    <cellStyle name="Normal 2 10 5 2" xfId="45525"/>
    <cellStyle name="Normal 2 10 5 2 2" xfId="45526"/>
    <cellStyle name="Normal 2 10 5 2 2 2" xfId="45527"/>
    <cellStyle name="Normal 2 10 5 2 2 2 2" xfId="45528"/>
    <cellStyle name="Normal 2 10 5 2 2 3" xfId="45529"/>
    <cellStyle name="Normal 2 10 5 2 3" xfId="45530"/>
    <cellStyle name="Normal 2 10 5 2 3 2" xfId="45531"/>
    <cellStyle name="Normal 2 10 5 2 4" xfId="45532"/>
    <cellStyle name="Normal 2 10 5 3" xfId="45533"/>
    <cellStyle name="Normal 2 10 5 3 2" xfId="45534"/>
    <cellStyle name="Normal 2 10 5 3 2 2" xfId="45535"/>
    <cellStyle name="Normal 2 10 5 3 3" xfId="45536"/>
    <cellStyle name="Normal 2 10 5 4" xfId="45537"/>
    <cellStyle name="Normal 2 10 5 4 2" xfId="45538"/>
    <cellStyle name="Normal 2 10 5 5" xfId="45539"/>
    <cellStyle name="Normal 2 10 6" xfId="45540"/>
    <cellStyle name="Normal 2 10 6 2" xfId="45541"/>
    <cellStyle name="Normal 2 10 6 2 2" xfId="45542"/>
    <cellStyle name="Normal 2 10 6 2 2 2" xfId="45543"/>
    <cellStyle name="Normal 2 10 6 2 2 2 2" xfId="45544"/>
    <cellStyle name="Normal 2 10 6 2 2 3" xfId="45545"/>
    <cellStyle name="Normal 2 10 6 2 3" xfId="45546"/>
    <cellStyle name="Normal 2 10 6 2 3 2" xfId="45547"/>
    <cellStyle name="Normal 2 10 6 2 4" xfId="45548"/>
    <cellStyle name="Normal 2 10 6 3" xfId="45549"/>
    <cellStyle name="Normal 2 10 6 3 2" xfId="45550"/>
    <cellStyle name="Normal 2 10 6 3 2 2" xfId="45551"/>
    <cellStyle name="Normal 2 10 6 3 3" xfId="45552"/>
    <cellStyle name="Normal 2 10 6 4" xfId="45553"/>
    <cellStyle name="Normal 2 10 6 4 2" xfId="45554"/>
    <cellStyle name="Normal 2 10 6 5" xfId="45555"/>
    <cellStyle name="Normal 2 10 7" xfId="45556"/>
    <cellStyle name="Normal 2 10 7 2" xfId="45557"/>
    <cellStyle name="Normal 2 10 7 2 2" xfId="45558"/>
    <cellStyle name="Normal 2 10 7 2 2 2" xfId="45559"/>
    <cellStyle name="Normal 2 10 7 2 3" xfId="45560"/>
    <cellStyle name="Normal 2 10 7 3" xfId="45561"/>
    <cellStyle name="Normal 2 10 7 3 2" xfId="45562"/>
    <cellStyle name="Normal 2 10 7 4" xfId="45563"/>
    <cellStyle name="Normal 2 10 8" xfId="45564"/>
    <cellStyle name="Normal 2 10 8 2" xfId="45565"/>
    <cellStyle name="Normal 2 10 8 2 2" xfId="45566"/>
    <cellStyle name="Normal 2 10 8 3" xfId="45567"/>
    <cellStyle name="Normal 2 10 9" xfId="45568"/>
    <cellStyle name="Normal 2 10 9 2" xfId="45569"/>
    <cellStyle name="Normal 2 11" xfId="45570"/>
    <cellStyle name="Normal 2 11 2" xfId="45571"/>
    <cellStyle name="Normal 2 11 2 2" xfId="45572"/>
    <cellStyle name="Normal 2 11 2 2 2" xfId="45573"/>
    <cellStyle name="Normal 2 11 2 2 2 2" xfId="45574"/>
    <cellStyle name="Normal 2 11 2 2 3" xfId="45575"/>
    <cellStyle name="Normal 2 11 2 3" xfId="45576"/>
    <cellStyle name="Normal 2 11 2 3 2" xfId="45577"/>
    <cellStyle name="Normal 2 11 2 4" xfId="45578"/>
    <cellStyle name="Normal 2 11 3" xfId="45579"/>
    <cellStyle name="Normal 2 11 3 2" xfId="45580"/>
    <cellStyle name="Normal 2 11 3 2 2" xfId="45581"/>
    <cellStyle name="Normal 2 11 3 3" xfId="45582"/>
    <cellStyle name="Normal 2 11 4" xfId="45583"/>
    <cellStyle name="Normal 2 11 4 2" xfId="45584"/>
    <cellStyle name="Normal 2 11 5" xfId="45585"/>
    <cellStyle name="Normal 2 12" xfId="45586"/>
    <cellStyle name="Normal 2 12 2" xfId="45587"/>
    <cellStyle name="Normal 2 12 2 2" xfId="45588"/>
    <cellStyle name="Normal 2 12 2 2 2" xfId="45589"/>
    <cellStyle name="Normal 2 12 2 2 2 2" xfId="45590"/>
    <cellStyle name="Normal 2 12 2 2 3" xfId="45591"/>
    <cellStyle name="Normal 2 12 2 3" xfId="45592"/>
    <cellStyle name="Normal 2 12 2 3 2" xfId="45593"/>
    <cellStyle name="Normal 2 12 2 4" xfId="45594"/>
    <cellStyle name="Normal 2 12 3" xfId="45595"/>
    <cellStyle name="Normal 2 12 3 2" xfId="45596"/>
    <cellStyle name="Normal 2 12 3 2 2" xfId="45597"/>
    <cellStyle name="Normal 2 12 3 3" xfId="45598"/>
    <cellStyle name="Normal 2 12 4" xfId="45599"/>
    <cellStyle name="Normal 2 12 4 2" xfId="45600"/>
    <cellStyle name="Normal 2 12 5" xfId="45601"/>
    <cellStyle name="Normal 2 13" xfId="45602"/>
    <cellStyle name="Normal 2 13 2" xfId="45603"/>
    <cellStyle name="Normal 2 13 2 2" xfId="45604"/>
    <cellStyle name="Normal 2 13 2 2 2" xfId="45605"/>
    <cellStyle name="Normal 2 13 2 2 2 2" xfId="45606"/>
    <cellStyle name="Normal 2 13 2 2 3" xfId="45607"/>
    <cellStyle name="Normal 2 13 2 3" xfId="45608"/>
    <cellStyle name="Normal 2 13 2 3 2" xfId="45609"/>
    <cellStyle name="Normal 2 13 2 4" xfId="45610"/>
    <cellStyle name="Normal 2 13 3" xfId="45611"/>
    <cellStyle name="Normal 2 13 3 2" xfId="45612"/>
    <cellStyle name="Normal 2 13 3 2 2" xfId="45613"/>
    <cellStyle name="Normal 2 13 3 3" xfId="45614"/>
    <cellStyle name="Normal 2 13 4" xfId="45615"/>
    <cellStyle name="Normal 2 13 4 2" xfId="45616"/>
    <cellStyle name="Normal 2 13 5" xfId="45617"/>
    <cellStyle name="Normal 2 14" xfId="45618"/>
    <cellStyle name="Normal 2 14 2" xfId="45619"/>
    <cellStyle name="Normal 2 14 2 2" xfId="45620"/>
    <cellStyle name="Normal 2 14 2 2 2" xfId="45621"/>
    <cellStyle name="Normal 2 14 2 2 2 2" xfId="45622"/>
    <cellStyle name="Normal 2 14 2 2 3" xfId="45623"/>
    <cellStyle name="Normal 2 14 2 3" xfId="45624"/>
    <cellStyle name="Normal 2 14 2 3 2" xfId="45625"/>
    <cellStyle name="Normal 2 14 2 4" xfId="45626"/>
    <cellStyle name="Normal 2 14 3" xfId="45627"/>
    <cellStyle name="Normal 2 14 3 2" xfId="45628"/>
    <cellStyle name="Normal 2 14 3 2 2" xfId="45629"/>
    <cellStyle name="Normal 2 14 3 3" xfId="45630"/>
    <cellStyle name="Normal 2 14 4" xfId="45631"/>
    <cellStyle name="Normal 2 14 4 2" xfId="45632"/>
    <cellStyle name="Normal 2 14 5" xfId="45633"/>
    <cellStyle name="Normal 2 15" xfId="45634"/>
    <cellStyle name="Normal 2 15 2" xfId="45635"/>
    <cellStyle name="Normal 2 15 2 2" xfId="45636"/>
    <cellStyle name="Normal 2 15 2 2 2" xfId="45637"/>
    <cellStyle name="Normal 2 15 2 2 2 2" xfId="45638"/>
    <cellStyle name="Normal 2 15 2 2 3" xfId="45639"/>
    <cellStyle name="Normal 2 15 2 3" xfId="45640"/>
    <cellStyle name="Normal 2 15 2 3 2" xfId="45641"/>
    <cellStyle name="Normal 2 15 2 4" xfId="45642"/>
    <cellStyle name="Normal 2 15 3" xfId="45643"/>
    <cellStyle name="Normal 2 15 3 2" xfId="45644"/>
    <cellStyle name="Normal 2 15 3 2 2" xfId="45645"/>
    <cellStyle name="Normal 2 15 3 3" xfId="45646"/>
    <cellStyle name="Normal 2 15 4" xfId="45647"/>
    <cellStyle name="Normal 2 15 4 2" xfId="45648"/>
    <cellStyle name="Normal 2 15 5" xfId="45649"/>
    <cellStyle name="Normal 2 16" xfId="45650"/>
    <cellStyle name="Normal 2 16 2" xfId="45651"/>
    <cellStyle name="Normal 2 16 2 2" xfId="45652"/>
    <cellStyle name="Normal 2 16 2 2 2" xfId="45653"/>
    <cellStyle name="Normal 2 16 2 3" xfId="45654"/>
    <cellStyle name="Normal 2 16 3" xfId="45655"/>
    <cellStyle name="Normal 2 16 3 2" xfId="45656"/>
    <cellStyle name="Normal 2 16 4" xfId="45657"/>
    <cellStyle name="Normal 2 17" xfId="45658"/>
    <cellStyle name="Normal 2 17 2" xfId="45659"/>
    <cellStyle name="Normal 2 17 2 2" xfId="45660"/>
    <cellStyle name="Normal 2 17 3" xfId="45661"/>
    <cellStyle name="Normal 2 18" xfId="45662"/>
    <cellStyle name="Normal 2 18 2" xfId="45663"/>
    <cellStyle name="Normal 2 19" xfId="45664"/>
    <cellStyle name="Normal 2 2" xfId="45665"/>
    <cellStyle name="Normal 2 2 10" xfId="45666"/>
    <cellStyle name="Normal 2 2 10 2" xfId="45667"/>
    <cellStyle name="Normal 2 2 11" xfId="45668"/>
    <cellStyle name="Normal 2 2 2" xfId="45669"/>
    <cellStyle name="Normal 2 2 2 10" xfId="45670"/>
    <cellStyle name="Normal 2 2 2 2" xfId="45671"/>
    <cellStyle name="Normal 2 2 2 2 2" xfId="45672"/>
    <cellStyle name="Normal 2 2 2 2 2 2" xfId="45673"/>
    <cellStyle name="Normal 2 2 2 2 2 2 2" xfId="45674"/>
    <cellStyle name="Normal 2 2 2 2 2 2 2 2" xfId="45675"/>
    <cellStyle name="Normal 2 2 2 2 2 2 3" xfId="45676"/>
    <cellStyle name="Normal 2 2 2 2 2 3" xfId="45677"/>
    <cellStyle name="Normal 2 2 2 2 2 3 2" xfId="45678"/>
    <cellStyle name="Normal 2 2 2 2 2 4" xfId="45679"/>
    <cellStyle name="Normal 2 2 2 2 3" xfId="45680"/>
    <cellStyle name="Normal 2 2 2 2 3 2" xfId="45681"/>
    <cellStyle name="Normal 2 2 2 2 3 2 2" xfId="45682"/>
    <cellStyle name="Normal 2 2 2 2 3 3" xfId="45683"/>
    <cellStyle name="Normal 2 2 2 2 4" xfId="45684"/>
    <cellStyle name="Normal 2 2 2 2 4 2" xfId="45685"/>
    <cellStyle name="Normal 2 2 2 2 5" xfId="45686"/>
    <cellStyle name="Normal 2 2 2 3" xfId="45687"/>
    <cellStyle name="Normal 2 2 2 3 2" xfId="45688"/>
    <cellStyle name="Normal 2 2 2 3 2 2" xfId="45689"/>
    <cellStyle name="Normal 2 2 2 3 2 2 2" xfId="45690"/>
    <cellStyle name="Normal 2 2 2 3 2 2 2 2" xfId="45691"/>
    <cellStyle name="Normal 2 2 2 3 2 2 3" xfId="45692"/>
    <cellStyle name="Normal 2 2 2 3 2 3" xfId="45693"/>
    <cellStyle name="Normal 2 2 2 3 2 3 2" xfId="45694"/>
    <cellStyle name="Normal 2 2 2 3 2 4" xfId="45695"/>
    <cellStyle name="Normal 2 2 2 3 3" xfId="45696"/>
    <cellStyle name="Normal 2 2 2 3 3 2" xfId="45697"/>
    <cellStyle name="Normal 2 2 2 3 3 2 2" xfId="45698"/>
    <cellStyle name="Normal 2 2 2 3 3 3" xfId="45699"/>
    <cellStyle name="Normal 2 2 2 3 4" xfId="45700"/>
    <cellStyle name="Normal 2 2 2 3 4 2" xfId="45701"/>
    <cellStyle name="Normal 2 2 2 3 5" xfId="45702"/>
    <cellStyle name="Normal 2 2 2 4" xfId="45703"/>
    <cellStyle name="Normal 2 2 2 4 2" xfId="45704"/>
    <cellStyle name="Normal 2 2 2 4 2 2" xfId="45705"/>
    <cellStyle name="Normal 2 2 2 4 2 2 2" xfId="45706"/>
    <cellStyle name="Normal 2 2 2 4 2 2 2 2" xfId="45707"/>
    <cellStyle name="Normal 2 2 2 4 2 2 3" xfId="45708"/>
    <cellStyle name="Normal 2 2 2 4 2 3" xfId="45709"/>
    <cellStyle name="Normal 2 2 2 4 2 3 2" xfId="45710"/>
    <cellStyle name="Normal 2 2 2 4 2 4" xfId="45711"/>
    <cellStyle name="Normal 2 2 2 4 3" xfId="45712"/>
    <cellStyle name="Normal 2 2 2 4 3 2" xfId="45713"/>
    <cellStyle name="Normal 2 2 2 4 3 2 2" xfId="45714"/>
    <cellStyle name="Normal 2 2 2 4 3 3" xfId="45715"/>
    <cellStyle name="Normal 2 2 2 4 4" xfId="45716"/>
    <cellStyle name="Normal 2 2 2 4 4 2" xfId="45717"/>
    <cellStyle name="Normal 2 2 2 4 5" xfId="45718"/>
    <cellStyle name="Normal 2 2 2 5" xfId="45719"/>
    <cellStyle name="Normal 2 2 2 5 2" xfId="45720"/>
    <cellStyle name="Normal 2 2 2 5 2 2" xfId="45721"/>
    <cellStyle name="Normal 2 2 2 5 2 2 2" xfId="45722"/>
    <cellStyle name="Normal 2 2 2 5 2 2 2 2" xfId="45723"/>
    <cellStyle name="Normal 2 2 2 5 2 2 3" xfId="45724"/>
    <cellStyle name="Normal 2 2 2 5 2 3" xfId="45725"/>
    <cellStyle name="Normal 2 2 2 5 2 3 2" xfId="45726"/>
    <cellStyle name="Normal 2 2 2 5 2 4" xfId="45727"/>
    <cellStyle name="Normal 2 2 2 5 3" xfId="45728"/>
    <cellStyle name="Normal 2 2 2 5 3 2" xfId="45729"/>
    <cellStyle name="Normal 2 2 2 5 3 2 2" xfId="45730"/>
    <cellStyle name="Normal 2 2 2 5 3 3" xfId="45731"/>
    <cellStyle name="Normal 2 2 2 5 4" xfId="45732"/>
    <cellStyle name="Normal 2 2 2 5 4 2" xfId="45733"/>
    <cellStyle name="Normal 2 2 2 5 5" xfId="45734"/>
    <cellStyle name="Normal 2 2 2 6" xfId="45735"/>
    <cellStyle name="Normal 2 2 2 6 2" xfId="45736"/>
    <cellStyle name="Normal 2 2 2 6 2 2" xfId="45737"/>
    <cellStyle name="Normal 2 2 2 6 2 2 2" xfId="45738"/>
    <cellStyle name="Normal 2 2 2 6 2 2 2 2" xfId="45739"/>
    <cellStyle name="Normal 2 2 2 6 2 2 3" xfId="45740"/>
    <cellStyle name="Normal 2 2 2 6 2 3" xfId="45741"/>
    <cellStyle name="Normal 2 2 2 6 2 3 2" xfId="45742"/>
    <cellStyle name="Normal 2 2 2 6 2 4" xfId="45743"/>
    <cellStyle name="Normal 2 2 2 6 3" xfId="45744"/>
    <cellStyle name="Normal 2 2 2 6 3 2" xfId="45745"/>
    <cellStyle name="Normal 2 2 2 6 3 2 2" xfId="45746"/>
    <cellStyle name="Normal 2 2 2 6 3 3" xfId="45747"/>
    <cellStyle name="Normal 2 2 2 6 4" xfId="45748"/>
    <cellStyle name="Normal 2 2 2 6 4 2" xfId="45749"/>
    <cellStyle name="Normal 2 2 2 6 5" xfId="45750"/>
    <cellStyle name="Normal 2 2 2 7" xfId="45751"/>
    <cellStyle name="Normal 2 2 2 7 2" xfId="45752"/>
    <cellStyle name="Normal 2 2 2 7 2 2" xfId="45753"/>
    <cellStyle name="Normal 2 2 2 7 2 2 2" xfId="45754"/>
    <cellStyle name="Normal 2 2 2 7 2 3" xfId="45755"/>
    <cellStyle name="Normal 2 2 2 7 3" xfId="45756"/>
    <cellStyle name="Normal 2 2 2 7 3 2" xfId="45757"/>
    <cellStyle name="Normal 2 2 2 7 4" xfId="45758"/>
    <cellStyle name="Normal 2 2 2 8" xfId="45759"/>
    <cellStyle name="Normal 2 2 2 8 2" xfId="45760"/>
    <cellStyle name="Normal 2 2 2 8 2 2" xfId="45761"/>
    <cellStyle name="Normal 2 2 2 8 3" xfId="45762"/>
    <cellStyle name="Normal 2 2 2 9" xfId="45763"/>
    <cellStyle name="Normal 2 2 2 9 2" xfId="45764"/>
    <cellStyle name="Normal 2 2 3" xfId="45765"/>
    <cellStyle name="Normal 2 2 3 2" xfId="45766"/>
    <cellStyle name="Normal 2 2 3 2 2" xfId="45767"/>
    <cellStyle name="Normal 2 2 3 2 2 2" xfId="45768"/>
    <cellStyle name="Normal 2 2 3 2 2 2 2" xfId="45769"/>
    <cellStyle name="Normal 2 2 3 2 2 3" xfId="45770"/>
    <cellStyle name="Normal 2 2 3 2 3" xfId="45771"/>
    <cellStyle name="Normal 2 2 3 2 3 2" xfId="45772"/>
    <cellStyle name="Normal 2 2 3 2 4" xfId="45773"/>
    <cellStyle name="Normal 2 2 3 3" xfId="45774"/>
    <cellStyle name="Normal 2 2 3 3 2" xfId="45775"/>
    <cellStyle name="Normal 2 2 3 3 2 2" xfId="45776"/>
    <cellStyle name="Normal 2 2 3 3 3" xfId="45777"/>
    <cellStyle name="Normal 2 2 3 4" xfId="45778"/>
    <cellStyle name="Normal 2 2 3 4 2" xfId="45779"/>
    <cellStyle name="Normal 2 2 3 5" xfId="45780"/>
    <cellStyle name="Normal 2 2 4" xfId="45781"/>
    <cellStyle name="Normal 2 2 4 2" xfId="45782"/>
    <cellStyle name="Normal 2 2 4 2 2" xfId="45783"/>
    <cellStyle name="Normal 2 2 4 2 2 2" xfId="45784"/>
    <cellStyle name="Normal 2 2 4 2 2 2 2" xfId="45785"/>
    <cellStyle name="Normal 2 2 4 2 2 3" xfId="45786"/>
    <cellStyle name="Normal 2 2 4 2 3" xfId="45787"/>
    <cellStyle name="Normal 2 2 4 2 3 2" xfId="45788"/>
    <cellStyle name="Normal 2 2 4 2 4" xfId="45789"/>
    <cellStyle name="Normal 2 2 4 3" xfId="45790"/>
    <cellStyle name="Normal 2 2 4 3 2" xfId="45791"/>
    <cellStyle name="Normal 2 2 4 3 2 2" xfId="45792"/>
    <cellStyle name="Normal 2 2 4 3 3" xfId="45793"/>
    <cellStyle name="Normal 2 2 4 4" xfId="45794"/>
    <cellStyle name="Normal 2 2 4 4 2" xfId="45795"/>
    <cellStyle name="Normal 2 2 4 5" xfId="45796"/>
    <cellStyle name="Normal 2 2 5" xfId="45797"/>
    <cellStyle name="Normal 2 2 5 2" xfId="45798"/>
    <cellStyle name="Normal 2 2 5 2 2" xfId="45799"/>
    <cellStyle name="Normal 2 2 5 2 2 2" xfId="45800"/>
    <cellStyle name="Normal 2 2 5 2 2 2 2" xfId="45801"/>
    <cellStyle name="Normal 2 2 5 2 2 3" xfId="45802"/>
    <cellStyle name="Normal 2 2 5 2 3" xfId="45803"/>
    <cellStyle name="Normal 2 2 5 2 3 2" xfId="45804"/>
    <cellStyle name="Normal 2 2 5 2 4" xfId="45805"/>
    <cellStyle name="Normal 2 2 5 3" xfId="45806"/>
    <cellStyle name="Normal 2 2 5 3 2" xfId="45807"/>
    <cellStyle name="Normal 2 2 5 3 2 2" xfId="45808"/>
    <cellStyle name="Normal 2 2 5 3 3" xfId="45809"/>
    <cellStyle name="Normal 2 2 5 4" xfId="45810"/>
    <cellStyle name="Normal 2 2 5 4 2" xfId="45811"/>
    <cellStyle name="Normal 2 2 5 5" xfId="45812"/>
    <cellStyle name="Normal 2 2 6" xfId="45813"/>
    <cellStyle name="Normal 2 2 6 2" xfId="45814"/>
    <cellStyle name="Normal 2 2 6 2 2" xfId="45815"/>
    <cellStyle name="Normal 2 2 6 2 2 2" xfId="45816"/>
    <cellStyle name="Normal 2 2 6 2 2 2 2" xfId="45817"/>
    <cellStyle name="Normal 2 2 6 2 2 3" xfId="45818"/>
    <cellStyle name="Normal 2 2 6 2 3" xfId="45819"/>
    <cellStyle name="Normal 2 2 6 2 3 2" xfId="45820"/>
    <cellStyle name="Normal 2 2 6 2 4" xfId="45821"/>
    <cellStyle name="Normal 2 2 6 3" xfId="45822"/>
    <cellStyle name="Normal 2 2 6 3 2" xfId="45823"/>
    <cellStyle name="Normal 2 2 6 3 2 2" xfId="45824"/>
    <cellStyle name="Normal 2 2 6 3 3" xfId="45825"/>
    <cellStyle name="Normal 2 2 6 4" xfId="45826"/>
    <cellStyle name="Normal 2 2 6 4 2" xfId="45827"/>
    <cellStyle name="Normal 2 2 6 5" xfId="45828"/>
    <cellStyle name="Normal 2 2 7" xfId="45829"/>
    <cellStyle name="Normal 2 2 7 2" xfId="45830"/>
    <cellStyle name="Normal 2 2 7 2 2" xfId="45831"/>
    <cellStyle name="Normal 2 2 7 2 2 2" xfId="45832"/>
    <cellStyle name="Normal 2 2 7 2 2 2 2" xfId="45833"/>
    <cellStyle name="Normal 2 2 7 2 2 3" xfId="45834"/>
    <cellStyle name="Normal 2 2 7 2 3" xfId="45835"/>
    <cellStyle name="Normal 2 2 7 2 3 2" xfId="45836"/>
    <cellStyle name="Normal 2 2 7 2 4" xfId="45837"/>
    <cellStyle name="Normal 2 2 7 3" xfId="45838"/>
    <cellStyle name="Normal 2 2 7 3 2" xfId="45839"/>
    <cellStyle name="Normal 2 2 7 3 2 2" xfId="45840"/>
    <cellStyle name="Normal 2 2 7 3 3" xfId="45841"/>
    <cellStyle name="Normal 2 2 7 4" xfId="45842"/>
    <cellStyle name="Normal 2 2 7 4 2" xfId="45843"/>
    <cellStyle name="Normal 2 2 7 5" xfId="45844"/>
    <cellStyle name="Normal 2 2 8" xfId="45845"/>
    <cellStyle name="Normal 2 2 8 2" xfId="45846"/>
    <cellStyle name="Normal 2 2 8 2 2" xfId="45847"/>
    <cellStyle name="Normal 2 2 8 2 2 2" xfId="45848"/>
    <cellStyle name="Normal 2 2 8 2 3" xfId="45849"/>
    <cellStyle name="Normal 2 2 8 3" xfId="45850"/>
    <cellStyle name="Normal 2 2 8 3 2" xfId="45851"/>
    <cellStyle name="Normal 2 2 8 4" xfId="45852"/>
    <cellStyle name="Normal 2 2 9" xfId="45853"/>
    <cellStyle name="Normal 2 2 9 2" xfId="45854"/>
    <cellStyle name="Normal 2 2 9 2 2" xfId="45855"/>
    <cellStyle name="Normal 2 2 9 3" xfId="45856"/>
    <cellStyle name="Normal 2 3" xfId="45857"/>
    <cellStyle name="Normal 2 3 10" xfId="45858"/>
    <cellStyle name="Normal 2 3 10 2" xfId="45859"/>
    <cellStyle name="Normal 2 3 11" xfId="45860"/>
    <cellStyle name="Normal 2 3 2" xfId="45861"/>
    <cellStyle name="Normal 2 3 2 10" xfId="45862"/>
    <cellStyle name="Normal 2 3 2 2" xfId="45863"/>
    <cellStyle name="Normal 2 3 2 2 2" xfId="45864"/>
    <cellStyle name="Normal 2 3 2 2 2 2" xfId="45865"/>
    <cellStyle name="Normal 2 3 2 2 2 2 2" xfId="45866"/>
    <cellStyle name="Normal 2 3 2 2 2 2 2 2" xfId="45867"/>
    <cellStyle name="Normal 2 3 2 2 2 2 3" xfId="45868"/>
    <cellStyle name="Normal 2 3 2 2 2 3" xfId="45869"/>
    <cellStyle name="Normal 2 3 2 2 2 3 2" xfId="45870"/>
    <cellStyle name="Normal 2 3 2 2 2 4" xfId="45871"/>
    <cellStyle name="Normal 2 3 2 2 3" xfId="45872"/>
    <cellStyle name="Normal 2 3 2 2 3 2" xfId="45873"/>
    <cellStyle name="Normal 2 3 2 2 3 2 2" xfId="45874"/>
    <cellStyle name="Normal 2 3 2 2 3 3" xfId="45875"/>
    <cellStyle name="Normal 2 3 2 2 4" xfId="45876"/>
    <cellStyle name="Normal 2 3 2 2 4 2" xfId="45877"/>
    <cellStyle name="Normal 2 3 2 2 5" xfId="45878"/>
    <cellStyle name="Normal 2 3 2 3" xfId="45879"/>
    <cellStyle name="Normal 2 3 2 3 2" xfId="45880"/>
    <cellStyle name="Normal 2 3 2 3 2 2" xfId="45881"/>
    <cellStyle name="Normal 2 3 2 3 2 2 2" xfId="45882"/>
    <cellStyle name="Normal 2 3 2 3 2 2 2 2" xfId="45883"/>
    <cellStyle name="Normal 2 3 2 3 2 2 3" xfId="45884"/>
    <cellStyle name="Normal 2 3 2 3 2 3" xfId="45885"/>
    <cellStyle name="Normal 2 3 2 3 2 3 2" xfId="45886"/>
    <cellStyle name="Normal 2 3 2 3 2 4" xfId="45887"/>
    <cellStyle name="Normal 2 3 2 3 3" xfId="45888"/>
    <cellStyle name="Normal 2 3 2 3 3 2" xfId="45889"/>
    <cellStyle name="Normal 2 3 2 3 3 2 2" xfId="45890"/>
    <cellStyle name="Normal 2 3 2 3 3 3" xfId="45891"/>
    <cellStyle name="Normal 2 3 2 3 4" xfId="45892"/>
    <cellStyle name="Normal 2 3 2 3 4 2" xfId="45893"/>
    <cellStyle name="Normal 2 3 2 3 5" xfId="45894"/>
    <cellStyle name="Normal 2 3 2 4" xfId="45895"/>
    <cellStyle name="Normal 2 3 2 4 2" xfId="45896"/>
    <cellStyle name="Normal 2 3 2 4 2 2" xfId="45897"/>
    <cellStyle name="Normal 2 3 2 4 2 2 2" xfId="45898"/>
    <cellStyle name="Normal 2 3 2 4 2 2 2 2" xfId="45899"/>
    <cellStyle name="Normal 2 3 2 4 2 2 3" xfId="45900"/>
    <cellStyle name="Normal 2 3 2 4 2 3" xfId="45901"/>
    <cellStyle name="Normal 2 3 2 4 2 3 2" xfId="45902"/>
    <cellStyle name="Normal 2 3 2 4 2 4" xfId="45903"/>
    <cellStyle name="Normal 2 3 2 4 3" xfId="45904"/>
    <cellStyle name="Normal 2 3 2 4 3 2" xfId="45905"/>
    <cellStyle name="Normal 2 3 2 4 3 2 2" xfId="45906"/>
    <cellStyle name="Normal 2 3 2 4 3 3" xfId="45907"/>
    <cellStyle name="Normal 2 3 2 4 4" xfId="45908"/>
    <cellStyle name="Normal 2 3 2 4 4 2" xfId="45909"/>
    <cellStyle name="Normal 2 3 2 4 5" xfId="45910"/>
    <cellStyle name="Normal 2 3 2 5" xfId="45911"/>
    <cellStyle name="Normal 2 3 2 5 2" xfId="45912"/>
    <cellStyle name="Normal 2 3 2 5 2 2" xfId="45913"/>
    <cellStyle name="Normal 2 3 2 5 2 2 2" xfId="45914"/>
    <cellStyle name="Normal 2 3 2 5 2 2 2 2" xfId="45915"/>
    <cellStyle name="Normal 2 3 2 5 2 2 3" xfId="45916"/>
    <cellStyle name="Normal 2 3 2 5 2 3" xfId="45917"/>
    <cellStyle name="Normal 2 3 2 5 2 3 2" xfId="45918"/>
    <cellStyle name="Normal 2 3 2 5 2 4" xfId="45919"/>
    <cellStyle name="Normal 2 3 2 5 3" xfId="45920"/>
    <cellStyle name="Normal 2 3 2 5 3 2" xfId="45921"/>
    <cellStyle name="Normal 2 3 2 5 3 2 2" xfId="45922"/>
    <cellStyle name="Normal 2 3 2 5 3 3" xfId="45923"/>
    <cellStyle name="Normal 2 3 2 5 4" xfId="45924"/>
    <cellStyle name="Normal 2 3 2 5 4 2" xfId="45925"/>
    <cellStyle name="Normal 2 3 2 5 5" xfId="45926"/>
    <cellStyle name="Normal 2 3 2 6" xfId="45927"/>
    <cellStyle name="Normal 2 3 2 6 2" xfId="45928"/>
    <cellStyle name="Normal 2 3 2 6 2 2" xfId="45929"/>
    <cellStyle name="Normal 2 3 2 6 2 2 2" xfId="45930"/>
    <cellStyle name="Normal 2 3 2 6 2 2 2 2" xfId="45931"/>
    <cellStyle name="Normal 2 3 2 6 2 2 3" xfId="45932"/>
    <cellStyle name="Normal 2 3 2 6 2 3" xfId="45933"/>
    <cellStyle name="Normal 2 3 2 6 2 3 2" xfId="45934"/>
    <cellStyle name="Normal 2 3 2 6 2 4" xfId="45935"/>
    <cellStyle name="Normal 2 3 2 6 3" xfId="45936"/>
    <cellStyle name="Normal 2 3 2 6 3 2" xfId="45937"/>
    <cellStyle name="Normal 2 3 2 6 3 2 2" xfId="45938"/>
    <cellStyle name="Normal 2 3 2 6 3 3" xfId="45939"/>
    <cellStyle name="Normal 2 3 2 6 4" xfId="45940"/>
    <cellStyle name="Normal 2 3 2 6 4 2" xfId="45941"/>
    <cellStyle name="Normal 2 3 2 6 5" xfId="45942"/>
    <cellStyle name="Normal 2 3 2 7" xfId="45943"/>
    <cellStyle name="Normal 2 3 2 7 2" xfId="45944"/>
    <cellStyle name="Normal 2 3 2 7 2 2" xfId="45945"/>
    <cellStyle name="Normal 2 3 2 7 2 2 2" xfId="45946"/>
    <cellStyle name="Normal 2 3 2 7 2 3" xfId="45947"/>
    <cellStyle name="Normal 2 3 2 7 3" xfId="45948"/>
    <cellStyle name="Normal 2 3 2 7 3 2" xfId="45949"/>
    <cellStyle name="Normal 2 3 2 7 4" xfId="45950"/>
    <cellStyle name="Normal 2 3 2 8" xfId="45951"/>
    <cellStyle name="Normal 2 3 2 8 2" xfId="45952"/>
    <cellStyle name="Normal 2 3 2 8 2 2" xfId="45953"/>
    <cellStyle name="Normal 2 3 2 8 3" xfId="45954"/>
    <cellStyle name="Normal 2 3 2 9" xfId="45955"/>
    <cellStyle name="Normal 2 3 2 9 2" xfId="45956"/>
    <cellStyle name="Normal 2 3 3" xfId="45957"/>
    <cellStyle name="Normal 2 3 3 2" xfId="45958"/>
    <cellStyle name="Normal 2 3 3 2 2" xfId="45959"/>
    <cellStyle name="Normal 2 3 3 2 2 2" xfId="45960"/>
    <cellStyle name="Normal 2 3 3 2 2 2 2" xfId="45961"/>
    <cellStyle name="Normal 2 3 3 2 2 3" xfId="45962"/>
    <cellStyle name="Normal 2 3 3 2 3" xfId="45963"/>
    <cellStyle name="Normal 2 3 3 2 3 2" xfId="45964"/>
    <cellStyle name="Normal 2 3 3 2 4" xfId="45965"/>
    <cellStyle name="Normal 2 3 3 3" xfId="45966"/>
    <cellStyle name="Normal 2 3 3 3 2" xfId="45967"/>
    <cellStyle name="Normal 2 3 3 3 2 2" xfId="45968"/>
    <cellStyle name="Normal 2 3 3 3 3" xfId="45969"/>
    <cellStyle name="Normal 2 3 3 4" xfId="45970"/>
    <cellStyle name="Normal 2 3 3 4 2" xfId="45971"/>
    <cellStyle name="Normal 2 3 3 5" xfId="45972"/>
    <cellStyle name="Normal 2 3 4" xfId="45973"/>
    <cellStyle name="Normal 2 3 4 2" xfId="45974"/>
    <cellStyle name="Normal 2 3 4 2 2" xfId="45975"/>
    <cellStyle name="Normal 2 3 4 2 2 2" xfId="45976"/>
    <cellStyle name="Normal 2 3 4 2 2 2 2" xfId="45977"/>
    <cellStyle name="Normal 2 3 4 2 2 3" xfId="45978"/>
    <cellStyle name="Normal 2 3 4 2 3" xfId="45979"/>
    <cellStyle name="Normal 2 3 4 2 3 2" xfId="45980"/>
    <cellStyle name="Normal 2 3 4 2 4" xfId="45981"/>
    <cellStyle name="Normal 2 3 4 3" xfId="45982"/>
    <cellStyle name="Normal 2 3 4 3 2" xfId="45983"/>
    <cellStyle name="Normal 2 3 4 3 2 2" xfId="45984"/>
    <cellStyle name="Normal 2 3 4 3 3" xfId="45985"/>
    <cellStyle name="Normal 2 3 4 4" xfId="45986"/>
    <cellStyle name="Normal 2 3 4 4 2" xfId="45987"/>
    <cellStyle name="Normal 2 3 4 5" xfId="45988"/>
    <cellStyle name="Normal 2 3 5" xfId="45989"/>
    <cellStyle name="Normal 2 3 5 2" xfId="45990"/>
    <cellStyle name="Normal 2 3 5 2 2" xfId="45991"/>
    <cellStyle name="Normal 2 3 5 2 2 2" xfId="45992"/>
    <cellStyle name="Normal 2 3 5 2 2 2 2" xfId="45993"/>
    <cellStyle name="Normal 2 3 5 2 2 3" xfId="45994"/>
    <cellStyle name="Normal 2 3 5 2 3" xfId="45995"/>
    <cellStyle name="Normal 2 3 5 2 3 2" xfId="45996"/>
    <cellStyle name="Normal 2 3 5 2 4" xfId="45997"/>
    <cellStyle name="Normal 2 3 5 3" xfId="45998"/>
    <cellStyle name="Normal 2 3 5 3 2" xfId="45999"/>
    <cellStyle name="Normal 2 3 5 3 2 2" xfId="46000"/>
    <cellStyle name="Normal 2 3 5 3 3" xfId="46001"/>
    <cellStyle name="Normal 2 3 5 4" xfId="46002"/>
    <cellStyle name="Normal 2 3 5 4 2" xfId="46003"/>
    <cellStyle name="Normal 2 3 5 5" xfId="46004"/>
    <cellStyle name="Normal 2 3 6" xfId="46005"/>
    <cellStyle name="Normal 2 3 6 2" xfId="46006"/>
    <cellStyle name="Normal 2 3 6 2 2" xfId="46007"/>
    <cellStyle name="Normal 2 3 6 2 2 2" xfId="46008"/>
    <cellStyle name="Normal 2 3 6 2 2 2 2" xfId="46009"/>
    <cellStyle name="Normal 2 3 6 2 2 3" xfId="46010"/>
    <cellStyle name="Normal 2 3 6 2 3" xfId="46011"/>
    <cellStyle name="Normal 2 3 6 2 3 2" xfId="46012"/>
    <cellStyle name="Normal 2 3 6 2 4" xfId="46013"/>
    <cellStyle name="Normal 2 3 6 3" xfId="46014"/>
    <cellStyle name="Normal 2 3 6 3 2" xfId="46015"/>
    <cellStyle name="Normal 2 3 6 3 2 2" xfId="46016"/>
    <cellStyle name="Normal 2 3 6 3 3" xfId="46017"/>
    <cellStyle name="Normal 2 3 6 4" xfId="46018"/>
    <cellStyle name="Normal 2 3 6 4 2" xfId="46019"/>
    <cellStyle name="Normal 2 3 6 5" xfId="46020"/>
    <cellStyle name="Normal 2 3 7" xfId="46021"/>
    <cellStyle name="Normal 2 3 7 2" xfId="46022"/>
    <cellStyle name="Normal 2 3 7 2 2" xfId="46023"/>
    <cellStyle name="Normal 2 3 7 2 2 2" xfId="46024"/>
    <cellStyle name="Normal 2 3 7 2 2 2 2" xfId="46025"/>
    <cellStyle name="Normal 2 3 7 2 2 3" xfId="46026"/>
    <cellStyle name="Normal 2 3 7 2 3" xfId="46027"/>
    <cellStyle name="Normal 2 3 7 2 3 2" xfId="46028"/>
    <cellStyle name="Normal 2 3 7 2 4" xfId="46029"/>
    <cellStyle name="Normal 2 3 7 3" xfId="46030"/>
    <cellStyle name="Normal 2 3 7 3 2" xfId="46031"/>
    <cellStyle name="Normal 2 3 7 3 2 2" xfId="46032"/>
    <cellStyle name="Normal 2 3 7 3 3" xfId="46033"/>
    <cellStyle name="Normal 2 3 7 4" xfId="46034"/>
    <cellStyle name="Normal 2 3 7 4 2" xfId="46035"/>
    <cellStyle name="Normal 2 3 7 5" xfId="46036"/>
    <cellStyle name="Normal 2 3 8" xfId="46037"/>
    <cellStyle name="Normal 2 3 8 2" xfId="46038"/>
    <cellStyle name="Normal 2 3 8 2 2" xfId="46039"/>
    <cellStyle name="Normal 2 3 8 2 2 2" xfId="46040"/>
    <cellStyle name="Normal 2 3 8 2 3" xfId="46041"/>
    <cellStyle name="Normal 2 3 8 3" xfId="46042"/>
    <cellStyle name="Normal 2 3 8 3 2" xfId="46043"/>
    <cellStyle name="Normal 2 3 8 4" xfId="46044"/>
    <cellStyle name="Normal 2 3 9" xfId="46045"/>
    <cellStyle name="Normal 2 3 9 2" xfId="46046"/>
    <cellStyle name="Normal 2 3 9 2 2" xfId="46047"/>
    <cellStyle name="Normal 2 3 9 3" xfId="46048"/>
    <cellStyle name="Normal 2 4" xfId="46049"/>
    <cellStyle name="Normal 2 4 10" xfId="46050"/>
    <cellStyle name="Normal 2 4 10 2" xfId="46051"/>
    <cellStyle name="Normal 2 4 11" xfId="46052"/>
    <cellStyle name="Normal 2 4 2" xfId="46053"/>
    <cellStyle name="Normal 2 4 2 10" xfId="46054"/>
    <cellStyle name="Normal 2 4 2 2" xfId="46055"/>
    <cellStyle name="Normal 2 4 2 2 2" xfId="46056"/>
    <cellStyle name="Normal 2 4 2 2 2 2" xfId="46057"/>
    <cellStyle name="Normal 2 4 2 2 2 2 2" xfId="46058"/>
    <cellStyle name="Normal 2 4 2 2 2 2 2 2" xfId="46059"/>
    <cellStyle name="Normal 2 4 2 2 2 2 3" xfId="46060"/>
    <cellStyle name="Normal 2 4 2 2 2 3" xfId="46061"/>
    <cellStyle name="Normal 2 4 2 2 2 3 2" xfId="46062"/>
    <cellStyle name="Normal 2 4 2 2 2 4" xfId="46063"/>
    <cellStyle name="Normal 2 4 2 2 3" xfId="46064"/>
    <cellStyle name="Normal 2 4 2 2 3 2" xfId="46065"/>
    <cellStyle name="Normal 2 4 2 2 3 2 2" xfId="46066"/>
    <cellStyle name="Normal 2 4 2 2 3 3" xfId="46067"/>
    <cellStyle name="Normal 2 4 2 2 4" xfId="46068"/>
    <cellStyle name="Normal 2 4 2 2 4 2" xfId="46069"/>
    <cellStyle name="Normal 2 4 2 2 5" xfId="46070"/>
    <cellStyle name="Normal 2 4 2 3" xfId="46071"/>
    <cellStyle name="Normal 2 4 2 3 2" xfId="46072"/>
    <cellStyle name="Normal 2 4 2 3 2 2" xfId="46073"/>
    <cellStyle name="Normal 2 4 2 3 2 2 2" xfId="46074"/>
    <cellStyle name="Normal 2 4 2 3 2 2 2 2" xfId="46075"/>
    <cellStyle name="Normal 2 4 2 3 2 2 3" xfId="46076"/>
    <cellStyle name="Normal 2 4 2 3 2 3" xfId="46077"/>
    <cellStyle name="Normal 2 4 2 3 2 3 2" xfId="46078"/>
    <cellStyle name="Normal 2 4 2 3 2 4" xfId="46079"/>
    <cellStyle name="Normal 2 4 2 3 3" xfId="46080"/>
    <cellStyle name="Normal 2 4 2 3 3 2" xfId="46081"/>
    <cellStyle name="Normal 2 4 2 3 3 2 2" xfId="46082"/>
    <cellStyle name="Normal 2 4 2 3 3 3" xfId="46083"/>
    <cellStyle name="Normal 2 4 2 3 4" xfId="46084"/>
    <cellStyle name="Normal 2 4 2 3 4 2" xfId="46085"/>
    <cellStyle name="Normal 2 4 2 3 5" xfId="46086"/>
    <cellStyle name="Normal 2 4 2 4" xfId="46087"/>
    <cellStyle name="Normal 2 4 2 4 2" xfId="46088"/>
    <cellStyle name="Normal 2 4 2 4 2 2" xfId="46089"/>
    <cellStyle name="Normal 2 4 2 4 2 2 2" xfId="46090"/>
    <cellStyle name="Normal 2 4 2 4 2 2 2 2" xfId="46091"/>
    <cellStyle name="Normal 2 4 2 4 2 2 3" xfId="46092"/>
    <cellStyle name="Normal 2 4 2 4 2 3" xfId="46093"/>
    <cellStyle name="Normal 2 4 2 4 2 3 2" xfId="46094"/>
    <cellStyle name="Normal 2 4 2 4 2 4" xfId="46095"/>
    <cellStyle name="Normal 2 4 2 4 3" xfId="46096"/>
    <cellStyle name="Normal 2 4 2 4 3 2" xfId="46097"/>
    <cellStyle name="Normal 2 4 2 4 3 2 2" xfId="46098"/>
    <cellStyle name="Normal 2 4 2 4 3 3" xfId="46099"/>
    <cellStyle name="Normal 2 4 2 4 4" xfId="46100"/>
    <cellStyle name="Normal 2 4 2 4 4 2" xfId="46101"/>
    <cellStyle name="Normal 2 4 2 4 5" xfId="46102"/>
    <cellStyle name="Normal 2 4 2 5" xfId="46103"/>
    <cellStyle name="Normal 2 4 2 5 2" xfId="46104"/>
    <cellStyle name="Normal 2 4 2 5 2 2" xfId="46105"/>
    <cellStyle name="Normal 2 4 2 5 2 2 2" xfId="46106"/>
    <cellStyle name="Normal 2 4 2 5 2 2 2 2" xfId="46107"/>
    <cellStyle name="Normal 2 4 2 5 2 2 3" xfId="46108"/>
    <cellStyle name="Normal 2 4 2 5 2 3" xfId="46109"/>
    <cellStyle name="Normal 2 4 2 5 2 3 2" xfId="46110"/>
    <cellStyle name="Normal 2 4 2 5 2 4" xfId="46111"/>
    <cellStyle name="Normal 2 4 2 5 3" xfId="46112"/>
    <cellStyle name="Normal 2 4 2 5 3 2" xfId="46113"/>
    <cellStyle name="Normal 2 4 2 5 3 2 2" xfId="46114"/>
    <cellStyle name="Normal 2 4 2 5 3 3" xfId="46115"/>
    <cellStyle name="Normal 2 4 2 5 4" xfId="46116"/>
    <cellStyle name="Normal 2 4 2 5 4 2" xfId="46117"/>
    <cellStyle name="Normal 2 4 2 5 5" xfId="46118"/>
    <cellStyle name="Normal 2 4 2 6" xfId="46119"/>
    <cellStyle name="Normal 2 4 2 6 2" xfId="46120"/>
    <cellStyle name="Normal 2 4 2 6 2 2" xfId="46121"/>
    <cellStyle name="Normal 2 4 2 6 2 2 2" xfId="46122"/>
    <cellStyle name="Normal 2 4 2 6 2 2 2 2" xfId="46123"/>
    <cellStyle name="Normal 2 4 2 6 2 2 3" xfId="46124"/>
    <cellStyle name="Normal 2 4 2 6 2 3" xfId="46125"/>
    <cellStyle name="Normal 2 4 2 6 2 3 2" xfId="46126"/>
    <cellStyle name="Normal 2 4 2 6 2 4" xfId="46127"/>
    <cellStyle name="Normal 2 4 2 6 3" xfId="46128"/>
    <cellStyle name="Normal 2 4 2 6 3 2" xfId="46129"/>
    <cellStyle name="Normal 2 4 2 6 3 2 2" xfId="46130"/>
    <cellStyle name="Normal 2 4 2 6 3 3" xfId="46131"/>
    <cellStyle name="Normal 2 4 2 6 4" xfId="46132"/>
    <cellStyle name="Normal 2 4 2 6 4 2" xfId="46133"/>
    <cellStyle name="Normal 2 4 2 6 5" xfId="46134"/>
    <cellStyle name="Normal 2 4 2 7" xfId="46135"/>
    <cellStyle name="Normal 2 4 2 7 2" xfId="46136"/>
    <cellStyle name="Normal 2 4 2 7 2 2" xfId="46137"/>
    <cellStyle name="Normal 2 4 2 7 2 2 2" xfId="46138"/>
    <cellStyle name="Normal 2 4 2 7 2 3" xfId="46139"/>
    <cellStyle name="Normal 2 4 2 7 3" xfId="46140"/>
    <cellStyle name="Normal 2 4 2 7 3 2" xfId="46141"/>
    <cellStyle name="Normal 2 4 2 7 4" xfId="46142"/>
    <cellStyle name="Normal 2 4 2 8" xfId="46143"/>
    <cellStyle name="Normal 2 4 2 8 2" xfId="46144"/>
    <cellStyle name="Normal 2 4 2 8 2 2" xfId="46145"/>
    <cellStyle name="Normal 2 4 2 8 3" xfId="46146"/>
    <cellStyle name="Normal 2 4 2 9" xfId="46147"/>
    <cellStyle name="Normal 2 4 2 9 2" xfId="46148"/>
    <cellStyle name="Normal 2 4 3" xfId="46149"/>
    <cellStyle name="Normal 2 4 3 2" xfId="46150"/>
    <cellStyle name="Normal 2 4 3 2 2" xfId="46151"/>
    <cellStyle name="Normal 2 4 3 2 2 2" xfId="46152"/>
    <cellStyle name="Normal 2 4 3 2 2 2 2" xfId="46153"/>
    <cellStyle name="Normal 2 4 3 2 2 3" xfId="46154"/>
    <cellStyle name="Normal 2 4 3 2 3" xfId="46155"/>
    <cellStyle name="Normal 2 4 3 2 3 2" xfId="46156"/>
    <cellStyle name="Normal 2 4 3 2 4" xfId="46157"/>
    <cellStyle name="Normal 2 4 3 3" xfId="46158"/>
    <cellStyle name="Normal 2 4 3 3 2" xfId="46159"/>
    <cellStyle name="Normal 2 4 3 3 2 2" xfId="46160"/>
    <cellStyle name="Normal 2 4 3 3 3" xfId="46161"/>
    <cellStyle name="Normal 2 4 3 4" xfId="46162"/>
    <cellStyle name="Normal 2 4 3 4 2" xfId="46163"/>
    <cellStyle name="Normal 2 4 3 5" xfId="46164"/>
    <cellStyle name="Normal 2 4 4" xfId="46165"/>
    <cellStyle name="Normal 2 4 4 2" xfId="46166"/>
    <cellStyle name="Normal 2 4 4 2 2" xfId="46167"/>
    <cellStyle name="Normal 2 4 4 2 2 2" xfId="46168"/>
    <cellStyle name="Normal 2 4 4 2 2 2 2" xfId="46169"/>
    <cellStyle name="Normal 2 4 4 2 2 3" xfId="46170"/>
    <cellStyle name="Normal 2 4 4 2 3" xfId="46171"/>
    <cellStyle name="Normal 2 4 4 2 3 2" xfId="46172"/>
    <cellStyle name="Normal 2 4 4 2 4" xfId="46173"/>
    <cellStyle name="Normal 2 4 4 3" xfId="46174"/>
    <cellStyle name="Normal 2 4 4 3 2" xfId="46175"/>
    <cellStyle name="Normal 2 4 4 3 2 2" xfId="46176"/>
    <cellStyle name="Normal 2 4 4 3 3" xfId="46177"/>
    <cellStyle name="Normal 2 4 4 4" xfId="46178"/>
    <cellStyle name="Normal 2 4 4 4 2" xfId="46179"/>
    <cellStyle name="Normal 2 4 4 5" xfId="46180"/>
    <cellStyle name="Normal 2 4 5" xfId="46181"/>
    <cellStyle name="Normal 2 4 5 2" xfId="46182"/>
    <cellStyle name="Normal 2 4 5 2 2" xfId="46183"/>
    <cellStyle name="Normal 2 4 5 2 2 2" xfId="46184"/>
    <cellStyle name="Normal 2 4 5 2 2 2 2" xfId="46185"/>
    <cellStyle name="Normal 2 4 5 2 2 3" xfId="46186"/>
    <cellStyle name="Normal 2 4 5 2 3" xfId="46187"/>
    <cellStyle name="Normal 2 4 5 2 3 2" xfId="46188"/>
    <cellStyle name="Normal 2 4 5 2 4" xfId="46189"/>
    <cellStyle name="Normal 2 4 5 3" xfId="46190"/>
    <cellStyle name="Normal 2 4 5 3 2" xfId="46191"/>
    <cellStyle name="Normal 2 4 5 3 2 2" xfId="46192"/>
    <cellStyle name="Normal 2 4 5 3 3" xfId="46193"/>
    <cellStyle name="Normal 2 4 5 4" xfId="46194"/>
    <cellStyle name="Normal 2 4 5 4 2" xfId="46195"/>
    <cellStyle name="Normal 2 4 5 5" xfId="46196"/>
    <cellStyle name="Normal 2 4 6" xfId="46197"/>
    <cellStyle name="Normal 2 4 6 2" xfId="46198"/>
    <cellStyle name="Normal 2 4 6 2 2" xfId="46199"/>
    <cellStyle name="Normal 2 4 6 2 2 2" xfId="46200"/>
    <cellStyle name="Normal 2 4 6 2 2 2 2" xfId="46201"/>
    <cellStyle name="Normal 2 4 6 2 2 3" xfId="46202"/>
    <cellStyle name="Normal 2 4 6 2 3" xfId="46203"/>
    <cellStyle name="Normal 2 4 6 2 3 2" xfId="46204"/>
    <cellStyle name="Normal 2 4 6 2 4" xfId="46205"/>
    <cellStyle name="Normal 2 4 6 3" xfId="46206"/>
    <cellStyle name="Normal 2 4 6 3 2" xfId="46207"/>
    <cellStyle name="Normal 2 4 6 3 2 2" xfId="46208"/>
    <cellStyle name="Normal 2 4 6 3 3" xfId="46209"/>
    <cellStyle name="Normal 2 4 6 4" xfId="46210"/>
    <cellStyle name="Normal 2 4 6 4 2" xfId="46211"/>
    <cellStyle name="Normal 2 4 6 5" xfId="46212"/>
    <cellStyle name="Normal 2 4 7" xfId="46213"/>
    <cellStyle name="Normal 2 4 7 2" xfId="46214"/>
    <cellStyle name="Normal 2 4 7 2 2" xfId="46215"/>
    <cellStyle name="Normal 2 4 7 2 2 2" xfId="46216"/>
    <cellStyle name="Normal 2 4 7 2 2 2 2" xfId="46217"/>
    <cellStyle name="Normal 2 4 7 2 2 3" xfId="46218"/>
    <cellStyle name="Normal 2 4 7 2 3" xfId="46219"/>
    <cellStyle name="Normal 2 4 7 2 3 2" xfId="46220"/>
    <cellStyle name="Normal 2 4 7 2 4" xfId="46221"/>
    <cellStyle name="Normal 2 4 7 3" xfId="46222"/>
    <cellStyle name="Normal 2 4 7 3 2" xfId="46223"/>
    <cellStyle name="Normal 2 4 7 3 2 2" xfId="46224"/>
    <cellStyle name="Normal 2 4 7 3 3" xfId="46225"/>
    <cellStyle name="Normal 2 4 7 4" xfId="46226"/>
    <cellStyle name="Normal 2 4 7 4 2" xfId="46227"/>
    <cellStyle name="Normal 2 4 7 5" xfId="46228"/>
    <cellStyle name="Normal 2 4 8" xfId="46229"/>
    <cellStyle name="Normal 2 4 8 2" xfId="46230"/>
    <cellStyle name="Normal 2 4 8 2 2" xfId="46231"/>
    <cellStyle name="Normal 2 4 8 2 2 2" xfId="46232"/>
    <cellStyle name="Normal 2 4 8 2 3" xfId="46233"/>
    <cellStyle name="Normal 2 4 8 3" xfId="46234"/>
    <cellStyle name="Normal 2 4 8 3 2" xfId="46235"/>
    <cellStyle name="Normal 2 4 8 4" xfId="46236"/>
    <cellStyle name="Normal 2 4 9" xfId="46237"/>
    <cellStyle name="Normal 2 4 9 2" xfId="46238"/>
    <cellStyle name="Normal 2 4 9 2 2" xfId="46239"/>
    <cellStyle name="Normal 2 4 9 3" xfId="46240"/>
    <cellStyle name="Normal 2 5" xfId="46241"/>
    <cellStyle name="Normal 2 5 10" xfId="46242"/>
    <cellStyle name="Normal 2 5 10 2" xfId="46243"/>
    <cellStyle name="Normal 2 5 11" xfId="46244"/>
    <cellStyle name="Normal 2 5 2" xfId="46245"/>
    <cellStyle name="Normal 2 5 2 10" xfId="46246"/>
    <cellStyle name="Normal 2 5 2 2" xfId="46247"/>
    <cellStyle name="Normal 2 5 2 2 2" xfId="46248"/>
    <cellStyle name="Normal 2 5 2 2 2 2" xfId="46249"/>
    <cellStyle name="Normal 2 5 2 2 2 2 2" xfId="46250"/>
    <cellStyle name="Normal 2 5 2 2 2 2 2 2" xfId="46251"/>
    <cellStyle name="Normal 2 5 2 2 2 2 3" xfId="46252"/>
    <cellStyle name="Normal 2 5 2 2 2 3" xfId="46253"/>
    <cellStyle name="Normal 2 5 2 2 2 3 2" xfId="46254"/>
    <cellStyle name="Normal 2 5 2 2 2 4" xfId="46255"/>
    <cellStyle name="Normal 2 5 2 2 3" xfId="46256"/>
    <cellStyle name="Normal 2 5 2 2 3 2" xfId="46257"/>
    <cellStyle name="Normal 2 5 2 2 3 2 2" xfId="46258"/>
    <cellStyle name="Normal 2 5 2 2 3 3" xfId="46259"/>
    <cellStyle name="Normal 2 5 2 2 4" xfId="46260"/>
    <cellStyle name="Normal 2 5 2 2 4 2" xfId="46261"/>
    <cellStyle name="Normal 2 5 2 2 5" xfId="46262"/>
    <cellStyle name="Normal 2 5 2 3" xfId="46263"/>
    <cellStyle name="Normal 2 5 2 3 2" xfId="46264"/>
    <cellStyle name="Normal 2 5 2 3 2 2" xfId="46265"/>
    <cellStyle name="Normal 2 5 2 3 2 2 2" xfId="46266"/>
    <cellStyle name="Normal 2 5 2 3 2 2 2 2" xfId="46267"/>
    <cellStyle name="Normal 2 5 2 3 2 2 3" xfId="46268"/>
    <cellStyle name="Normal 2 5 2 3 2 3" xfId="46269"/>
    <cellStyle name="Normal 2 5 2 3 2 3 2" xfId="46270"/>
    <cellStyle name="Normal 2 5 2 3 2 4" xfId="46271"/>
    <cellStyle name="Normal 2 5 2 3 3" xfId="46272"/>
    <cellStyle name="Normal 2 5 2 3 3 2" xfId="46273"/>
    <cellStyle name="Normal 2 5 2 3 3 2 2" xfId="46274"/>
    <cellStyle name="Normal 2 5 2 3 3 3" xfId="46275"/>
    <cellStyle name="Normal 2 5 2 3 4" xfId="46276"/>
    <cellStyle name="Normal 2 5 2 3 4 2" xfId="46277"/>
    <cellStyle name="Normal 2 5 2 3 5" xfId="46278"/>
    <cellStyle name="Normal 2 5 2 4" xfId="46279"/>
    <cellStyle name="Normal 2 5 2 4 2" xfId="46280"/>
    <cellStyle name="Normal 2 5 2 4 2 2" xfId="46281"/>
    <cellStyle name="Normal 2 5 2 4 2 2 2" xfId="46282"/>
    <cellStyle name="Normal 2 5 2 4 2 2 2 2" xfId="46283"/>
    <cellStyle name="Normal 2 5 2 4 2 2 3" xfId="46284"/>
    <cellStyle name="Normal 2 5 2 4 2 3" xfId="46285"/>
    <cellStyle name="Normal 2 5 2 4 2 3 2" xfId="46286"/>
    <cellStyle name="Normal 2 5 2 4 2 4" xfId="46287"/>
    <cellStyle name="Normal 2 5 2 4 3" xfId="46288"/>
    <cellStyle name="Normal 2 5 2 4 3 2" xfId="46289"/>
    <cellStyle name="Normal 2 5 2 4 3 2 2" xfId="46290"/>
    <cellStyle name="Normal 2 5 2 4 3 3" xfId="46291"/>
    <cellStyle name="Normal 2 5 2 4 4" xfId="46292"/>
    <cellStyle name="Normal 2 5 2 4 4 2" xfId="46293"/>
    <cellStyle name="Normal 2 5 2 4 5" xfId="46294"/>
    <cellStyle name="Normal 2 5 2 5" xfId="46295"/>
    <cellStyle name="Normal 2 5 2 5 2" xfId="46296"/>
    <cellStyle name="Normal 2 5 2 5 2 2" xfId="46297"/>
    <cellStyle name="Normal 2 5 2 5 2 2 2" xfId="46298"/>
    <cellStyle name="Normal 2 5 2 5 2 2 2 2" xfId="46299"/>
    <cellStyle name="Normal 2 5 2 5 2 2 3" xfId="46300"/>
    <cellStyle name="Normal 2 5 2 5 2 3" xfId="46301"/>
    <cellStyle name="Normal 2 5 2 5 2 3 2" xfId="46302"/>
    <cellStyle name="Normal 2 5 2 5 2 4" xfId="46303"/>
    <cellStyle name="Normal 2 5 2 5 3" xfId="46304"/>
    <cellStyle name="Normal 2 5 2 5 3 2" xfId="46305"/>
    <cellStyle name="Normal 2 5 2 5 3 2 2" xfId="46306"/>
    <cellStyle name="Normal 2 5 2 5 3 3" xfId="46307"/>
    <cellStyle name="Normal 2 5 2 5 4" xfId="46308"/>
    <cellStyle name="Normal 2 5 2 5 4 2" xfId="46309"/>
    <cellStyle name="Normal 2 5 2 5 5" xfId="46310"/>
    <cellStyle name="Normal 2 5 2 6" xfId="46311"/>
    <cellStyle name="Normal 2 5 2 6 2" xfId="46312"/>
    <cellStyle name="Normal 2 5 2 6 2 2" xfId="46313"/>
    <cellStyle name="Normal 2 5 2 6 2 2 2" xfId="46314"/>
    <cellStyle name="Normal 2 5 2 6 2 2 2 2" xfId="46315"/>
    <cellStyle name="Normal 2 5 2 6 2 2 3" xfId="46316"/>
    <cellStyle name="Normal 2 5 2 6 2 3" xfId="46317"/>
    <cellStyle name="Normal 2 5 2 6 2 3 2" xfId="46318"/>
    <cellStyle name="Normal 2 5 2 6 2 4" xfId="46319"/>
    <cellStyle name="Normal 2 5 2 6 3" xfId="46320"/>
    <cellStyle name="Normal 2 5 2 6 3 2" xfId="46321"/>
    <cellStyle name="Normal 2 5 2 6 3 2 2" xfId="46322"/>
    <cellStyle name="Normal 2 5 2 6 3 3" xfId="46323"/>
    <cellStyle name="Normal 2 5 2 6 4" xfId="46324"/>
    <cellStyle name="Normal 2 5 2 6 4 2" xfId="46325"/>
    <cellStyle name="Normal 2 5 2 6 5" xfId="46326"/>
    <cellStyle name="Normal 2 5 2 7" xfId="46327"/>
    <cellStyle name="Normal 2 5 2 7 2" xfId="46328"/>
    <cellStyle name="Normal 2 5 2 7 2 2" xfId="46329"/>
    <cellStyle name="Normal 2 5 2 7 2 2 2" xfId="46330"/>
    <cellStyle name="Normal 2 5 2 7 2 3" xfId="46331"/>
    <cellStyle name="Normal 2 5 2 7 3" xfId="46332"/>
    <cellStyle name="Normal 2 5 2 7 3 2" xfId="46333"/>
    <cellStyle name="Normal 2 5 2 7 4" xfId="46334"/>
    <cellStyle name="Normal 2 5 2 8" xfId="46335"/>
    <cellStyle name="Normal 2 5 2 8 2" xfId="46336"/>
    <cellStyle name="Normal 2 5 2 8 2 2" xfId="46337"/>
    <cellStyle name="Normal 2 5 2 8 3" xfId="46338"/>
    <cellStyle name="Normal 2 5 2 9" xfId="46339"/>
    <cellStyle name="Normal 2 5 2 9 2" xfId="46340"/>
    <cellStyle name="Normal 2 5 3" xfId="46341"/>
    <cellStyle name="Normal 2 5 3 2" xfId="46342"/>
    <cellStyle name="Normal 2 5 3 2 2" xfId="46343"/>
    <cellStyle name="Normal 2 5 3 2 2 2" xfId="46344"/>
    <cellStyle name="Normal 2 5 3 2 2 2 2" xfId="46345"/>
    <cellStyle name="Normal 2 5 3 2 2 3" xfId="46346"/>
    <cellStyle name="Normal 2 5 3 2 3" xfId="46347"/>
    <cellStyle name="Normal 2 5 3 2 3 2" xfId="46348"/>
    <cellStyle name="Normal 2 5 3 2 4" xfId="46349"/>
    <cellStyle name="Normal 2 5 3 3" xfId="46350"/>
    <cellStyle name="Normal 2 5 3 3 2" xfId="46351"/>
    <cellStyle name="Normal 2 5 3 3 2 2" xfId="46352"/>
    <cellStyle name="Normal 2 5 3 3 3" xfId="46353"/>
    <cellStyle name="Normal 2 5 3 4" xfId="46354"/>
    <cellStyle name="Normal 2 5 3 4 2" xfId="46355"/>
    <cellStyle name="Normal 2 5 3 5" xfId="46356"/>
    <cellStyle name="Normal 2 5 4" xfId="46357"/>
    <cellStyle name="Normal 2 5 4 2" xfId="46358"/>
    <cellStyle name="Normal 2 5 4 2 2" xfId="46359"/>
    <cellStyle name="Normal 2 5 4 2 2 2" xfId="46360"/>
    <cellStyle name="Normal 2 5 4 2 2 2 2" xfId="46361"/>
    <cellStyle name="Normal 2 5 4 2 2 3" xfId="46362"/>
    <cellStyle name="Normal 2 5 4 2 3" xfId="46363"/>
    <cellStyle name="Normal 2 5 4 2 3 2" xfId="46364"/>
    <cellStyle name="Normal 2 5 4 2 4" xfId="46365"/>
    <cellStyle name="Normal 2 5 4 3" xfId="46366"/>
    <cellStyle name="Normal 2 5 4 3 2" xfId="46367"/>
    <cellStyle name="Normal 2 5 4 3 2 2" xfId="46368"/>
    <cellStyle name="Normal 2 5 4 3 3" xfId="46369"/>
    <cellStyle name="Normal 2 5 4 4" xfId="46370"/>
    <cellStyle name="Normal 2 5 4 4 2" xfId="46371"/>
    <cellStyle name="Normal 2 5 4 5" xfId="46372"/>
    <cellStyle name="Normal 2 5 5" xfId="46373"/>
    <cellStyle name="Normal 2 5 5 2" xfId="46374"/>
    <cellStyle name="Normal 2 5 5 2 2" xfId="46375"/>
    <cellStyle name="Normal 2 5 5 2 2 2" xfId="46376"/>
    <cellStyle name="Normal 2 5 5 2 2 2 2" xfId="46377"/>
    <cellStyle name="Normal 2 5 5 2 2 3" xfId="46378"/>
    <cellStyle name="Normal 2 5 5 2 3" xfId="46379"/>
    <cellStyle name="Normal 2 5 5 2 3 2" xfId="46380"/>
    <cellStyle name="Normal 2 5 5 2 4" xfId="46381"/>
    <cellStyle name="Normal 2 5 5 3" xfId="46382"/>
    <cellStyle name="Normal 2 5 5 3 2" xfId="46383"/>
    <cellStyle name="Normal 2 5 5 3 2 2" xfId="46384"/>
    <cellStyle name="Normal 2 5 5 3 3" xfId="46385"/>
    <cellStyle name="Normal 2 5 5 4" xfId="46386"/>
    <cellStyle name="Normal 2 5 5 4 2" xfId="46387"/>
    <cellStyle name="Normal 2 5 5 5" xfId="46388"/>
    <cellStyle name="Normal 2 5 6" xfId="46389"/>
    <cellStyle name="Normal 2 5 6 2" xfId="46390"/>
    <cellStyle name="Normal 2 5 6 2 2" xfId="46391"/>
    <cellStyle name="Normal 2 5 6 2 2 2" xfId="46392"/>
    <cellStyle name="Normal 2 5 6 2 2 2 2" xfId="46393"/>
    <cellStyle name="Normal 2 5 6 2 2 3" xfId="46394"/>
    <cellStyle name="Normal 2 5 6 2 3" xfId="46395"/>
    <cellStyle name="Normal 2 5 6 2 3 2" xfId="46396"/>
    <cellStyle name="Normal 2 5 6 2 4" xfId="46397"/>
    <cellStyle name="Normal 2 5 6 3" xfId="46398"/>
    <cellStyle name="Normal 2 5 6 3 2" xfId="46399"/>
    <cellStyle name="Normal 2 5 6 3 2 2" xfId="46400"/>
    <cellStyle name="Normal 2 5 6 3 3" xfId="46401"/>
    <cellStyle name="Normal 2 5 6 4" xfId="46402"/>
    <cellStyle name="Normal 2 5 6 4 2" xfId="46403"/>
    <cellStyle name="Normal 2 5 6 5" xfId="46404"/>
    <cellStyle name="Normal 2 5 7" xfId="46405"/>
    <cellStyle name="Normal 2 5 7 2" xfId="46406"/>
    <cellStyle name="Normal 2 5 7 2 2" xfId="46407"/>
    <cellStyle name="Normal 2 5 7 2 2 2" xfId="46408"/>
    <cellStyle name="Normal 2 5 7 2 2 2 2" xfId="46409"/>
    <cellStyle name="Normal 2 5 7 2 2 3" xfId="46410"/>
    <cellStyle name="Normal 2 5 7 2 3" xfId="46411"/>
    <cellStyle name="Normal 2 5 7 2 3 2" xfId="46412"/>
    <cellStyle name="Normal 2 5 7 2 4" xfId="46413"/>
    <cellStyle name="Normal 2 5 7 3" xfId="46414"/>
    <cellStyle name="Normal 2 5 7 3 2" xfId="46415"/>
    <cellStyle name="Normal 2 5 7 3 2 2" xfId="46416"/>
    <cellStyle name="Normal 2 5 7 3 3" xfId="46417"/>
    <cellStyle name="Normal 2 5 7 4" xfId="46418"/>
    <cellStyle name="Normal 2 5 7 4 2" xfId="46419"/>
    <cellStyle name="Normal 2 5 7 5" xfId="46420"/>
    <cellStyle name="Normal 2 5 8" xfId="46421"/>
    <cellStyle name="Normal 2 5 8 2" xfId="46422"/>
    <cellStyle name="Normal 2 5 8 2 2" xfId="46423"/>
    <cellStyle name="Normal 2 5 8 2 2 2" xfId="46424"/>
    <cellStyle name="Normal 2 5 8 2 3" xfId="46425"/>
    <cellStyle name="Normal 2 5 8 3" xfId="46426"/>
    <cellStyle name="Normal 2 5 8 3 2" xfId="46427"/>
    <cellStyle name="Normal 2 5 8 4" xfId="46428"/>
    <cellStyle name="Normal 2 5 9" xfId="46429"/>
    <cellStyle name="Normal 2 5 9 2" xfId="46430"/>
    <cellStyle name="Normal 2 5 9 2 2" xfId="46431"/>
    <cellStyle name="Normal 2 5 9 3" xfId="46432"/>
    <cellStyle name="Normal 2 6" xfId="46433"/>
    <cellStyle name="Normal 2 6 10" xfId="46434"/>
    <cellStyle name="Normal 2 6 10 2" xfId="46435"/>
    <cellStyle name="Normal 2 6 11" xfId="46436"/>
    <cellStyle name="Normal 2 6 2" xfId="46437"/>
    <cellStyle name="Normal 2 6 2 10" xfId="46438"/>
    <cellStyle name="Normal 2 6 2 2" xfId="46439"/>
    <cellStyle name="Normal 2 6 2 2 2" xfId="46440"/>
    <cellStyle name="Normal 2 6 2 2 2 2" xfId="46441"/>
    <cellStyle name="Normal 2 6 2 2 2 2 2" xfId="46442"/>
    <cellStyle name="Normal 2 6 2 2 2 2 2 2" xfId="46443"/>
    <cellStyle name="Normal 2 6 2 2 2 2 3" xfId="46444"/>
    <cellStyle name="Normal 2 6 2 2 2 3" xfId="46445"/>
    <cellStyle name="Normal 2 6 2 2 2 3 2" xfId="46446"/>
    <cellStyle name="Normal 2 6 2 2 2 4" xfId="46447"/>
    <cellStyle name="Normal 2 6 2 2 3" xfId="46448"/>
    <cellStyle name="Normal 2 6 2 2 3 2" xfId="46449"/>
    <cellStyle name="Normal 2 6 2 2 3 2 2" xfId="46450"/>
    <cellStyle name="Normal 2 6 2 2 3 3" xfId="46451"/>
    <cellStyle name="Normal 2 6 2 2 4" xfId="46452"/>
    <cellStyle name="Normal 2 6 2 2 4 2" xfId="46453"/>
    <cellStyle name="Normal 2 6 2 2 5" xfId="46454"/>
    <cellStyle name="Normal 2 6 2 3" xfId="46455"/>
    <cellStyle name="Normal 2 6 2 3 2" xfId="46456"/>
    <cellStyle name="Normal 2 6 2 3 2 2" xfId="46457"/>
    <cellStyle name="Normal 2 6 2 3 2 2 2" xfId="46458"/>
    <cellStyle name="Normal 2 6 2 3 2 2 2 2" xfId="46459"/>
    <cellStyle name="Normal 2 6 2 3 2 2 3" xfId="46460"/>
    <cellStyle name="Normal 2 6 2 3 2 3" xfId="46461"/>
    <cellStyle name="Normal 2 6 2 3 2 3 2" xfId="46462"/>
    <cellStyle name="Normal 2 6 2 3 2 4" xfId="46463"/>
    <cellStyle name="Normal 2 6 2 3 3" xfId="46464"/>
    <cellStyle name="Normal 2 6 2 3 3 2" xfId="46465"/>
    <cellStyle name="Normal 2 6 2 3 3 2 2" xfId="46466"/>
    <cellStyle name="Normal 2 6 2 3 3 3" xfId="46467"/>
    <cellStyle name="Normal 2 6 2 3 4" xfId="46468"/>
    <cellStyle name="Normal 2 6 2 3 4 2" xfId="46469"/>
    <cellStyle name="Normal 2 6 2 3 5" xfId="46470"/>
    <cellStyle name="Normal 2 6 2 4" xfId="46471"/>
    <cellStyle name="Normal 2 6 2 4 2" xfId="46472"/>
    <cellStyle name="Normal 2 6 2 4 2 2" xfId="46473"/>
    <cellStyle name="Normal 2 6 2 4 2 2 2" xfId="46474"/>
    <cellStyle name="Normal 2 6 2 4 2 2 2 2" xfId="46475"/>
    <cellStyle name="Normal 2 6 2 4 2 2 3" xfId="46476"/>
    <cellStyle name="Normal 2 6 2 4 2 3" xfId="46477"/>
    <cellStyle name="Normal 2 6 2 4 2 3 2" xfId="46478"/>
    <cellStyle name="Normal 2 6 2 4 2 4" xfId="46479"/>
    <cellStyle name="Normal 2 6 2 4 3" xfId="46480"/>
    <cellStyle name="Normal 2 6 2 4 3 2" xfId="46481"/>
    <cellStyle name="Normal 2 6 2 4 3 2 2" xfId="46482"/>
    <cellStyle name="Normal 2 6 2 4 3 3" xfId="46483"/>
    <cellStyle name="Normal 2 6 2 4 4" xfId="46484"/>
    <cellStyle name="Normal 2 6 2 4 4 2" xfId="46485"/>
    <cellStyle name="Normal 2 6 2 4 5" xfId="46486"/>
    <cellStyle name="Normal 2 6 2 5" xfId="46487"/>
    <cellStyle name="Normal 2 6 2 5 2" xfId="46488"/>
    <cellStyle name="Normal 2 6 2 5 2 2" xfId="46489"/>
    <cellStyle name="Normal 2 6 2 5 2 2 2" xfId="46490"/>
    <cellStyle name="Normal 2 6 2 5 2 2 2 2" xfId="46491"/>
    <cellStyle name="Normal 2 6 2 5 2 2 3" xfId="46492"/>
    <cellStyle name="Normal 2 6 2 5 2 3" xfId="46493"/>
    <cellStyle name="Normal 2 6 2 5 2 3 2" xfId="46494"/>
    <cellStyle name="Normal 2 6 2 5 2 4" xfId="46495"/>
    <cellStyle name="Normal 2 6 2 5 3" xfId="46496"/>
    <cellStyle name="Normal 2 6 2 5 3 2" xfId="46497"/>
    <cellStyle name="Normal 2 6 2 5 3 2 2" xfId="46498"/>
    <cellStyle name="Normal 2 6 2 5 3 3" xfId="46499"/>
    <cellStyle name="Normal 2 6 2 5 4" xfId="46500"/>
    <cellStyle name="Normal 2 6 2 5 4 2" xfId="46501"/>
    <cellStyle name="Normal 2 6 2 5 5" xfId="46502"/>
    <cellStyle name="Normal 2 6 2 6" xfId="46503"/>
    <cellStyle name="Normal 2 6 2 6 2" xfId="46504"/>
    <cellStyle name="Normal 2 6 2 6 2 2" xfId="46505"/>
    <cellStyle name="Normal 2 6 2 6 2 2 2" xfId="46506"/>
    <cellStyle name="Normal 2 6 2 6 2 2 2 2" xfId="46507"/>
    <cellStyle name="Normal 2 6 2 6 2 2 3" xfId="46508"/>
    <cellStyle name="Normal 2 6 2 6 2 3" xfId="46509"/>
    <cellStyle name="Normal 2 6 2 6 2 3 2" xfId="46510"/>
    <cellStyle name="Normal 2 6 2 6 2 4" xfId="46511"/>
    <cellStyle name="Normal 2 6 2 6 3" xfId="46512"/>
    <cellStyle name="Normal 2 6 2 6 3 2" xfId="46513"/>
    <cellStyle name="Normal 2 6 2 6 3 2 2" xfId="46514"/>
    <cellStyle name="Normal 2 6 2 6 3 3" xfId="46515"/>
    <cellStyle name="Normal 2 6 2 6 4" xfId="46516"/>
    <cellStyle name="Normal 2 6 2 6 4 2" xfId="46517"/>
    <cellStyle name="Normal 2 6 2 6 5" xfId="46518"/>
    <cellStyle name="Normal 2 6 2 7" xfId="46519"/>
    <cellStyle name="Normal 2 6 2 7 2" xfId="46520"/>
    <cellStyle name="Normal 2 6 2 7 2 2" xfId="46521"/>
    <cellStyle name="Normal 2 6 2 7 2 2 2" xfId="46522"/>
    <cellStyle name="Normal 2 6 2 7 2 3" xfId="46523"/>
    <cellStyle name="Normal 2 6 2 7 3" xfId="46524"/>
    <cellStyle name="Normal 2 6 2 7 3 2" xfId="46525"/>
    <cellStyle name="Normal 2 6 2 7 4" xfId="46526"/>
    <cellStyle name="Normal 2 6 2 8" xfId="46527"/>
    <cellStyle name="Normal 2 6 2 8 2" xfId="46528"/>
    <cellStyle name="Normal 2 6 2 8 2 2" xfId="46529"/>
    <cellStyle name="Normal 2 6 2 8 3" xfId="46530"/>
    <cellStyle name="Normal 2 6 2 9" xfId="46531"/>
    <cellStyle name="Normal 2 6 2 9 2" xfId="46532"/>
    <cellStyle name="Normal 2 6 3" xfId="46533"/>
    <cellStyle name="Normal 2 6 3 2" xfId="46534"/>
    <cellStyle name="Normal 2 6 3 2 2" xfId="46535"/>
    <cellStyle name="Normal 2 6 3 2 2 2" xfId="46536"/>
    <cellStyle name="Normal 2 6 3 2 2 2 2" xfId="46537"/>
    <cellStyle name="Normal 2 6 3 2 2 3" xfId="46538"/>
    <cellStyle name="Normal 2 6 3 2 3" xfId="46539"/>
    <cellStyle name="Normal 2 6 3 2 3 2" xfId="46540"/>
    <cellStyle name="Normal 2 6 3 2 4" xfId="46541"/>
    <cellStyle name="Normal 2 6 3 3" xfId="46542"/>
    <cellStyle name="Normal 2 6 3 3 2" xfId="46543"/>
    <cellStyle name="Normal 2 6 3 3 2 2" xfId="46544"/>
    <cellStyle name="Normal 2 6 3 3 3" xfId="46545"/>
    <cellStyle name="Normal 2 6 3 4" xfId="46546"/>
    <cellStyle name="Normal 2 6 3 4 2" xfId="46547"/>
    <cellStyle name="Normal 2 6 3 5" xfId="46548"/>
    <cellStyle name="Normal 2 6 4" xfId="46549"/>
    <cellStyle name="Normal 2 6 4 2" xfId="46550"/>
    <cellStyle name="Normal 2 6 4 2 2" xfId="46551"/>
    <cellStyle name="Normal 2 6 4 2 2 2" xfId="46552"/>
    <cellStyle name="Normal 2 6 4 2 2 2 2" xfId="46553"/>
    <cellStyle name="Normal 2 6 4 2 2 3" xfId="46554"/>
    <cellStyle name="Normal 2 6 4 2 3" xfId="46555"/>
    <cellStyle name="Normal 2 6 4 2 3 2" xfId="46556"/>
    <cellStyle name="Normal 2 6 4 2 4" xfId="46557"/>
    <cellStyle name="Normal 2 6 4 3" xfId="46558"/>
    <cellStyle name="Normal 2 6 4 3 2" xfId="46559"/>
    <cellStyle name="Normal 2 6 4 3 2 2" xfId="46560"/>
    <cellStyle name="Normal 2 6 4 3 3" xfId="46561"/>
    <cellStyle name="Normal 2 6 4 4" xfId="46562"/>
    <cellStyle name="Normal 2 6 4 4 2" xfId="46563"/>
    <cellStyle name="Normal 2 6 4 5" xfId="46564"/>
    <cellStyle name="Normal 2 6 5" xfId="46565"/>
    <cellStyle name="Normal 2 6 5 2" xfId="46566"/>
    <cellStyle name="Normal 2 6 5 2 2" xfId="46567"/>
    <cellStyle name="Normal 2 6 5 2 2 2" xfId="46568"/>
    <cellStyle name="Normal 2 6 5 2 2 2 2" xfId="46569"/>
    <cellStyle name="Normal 2 6 5 2 2 3" xfId="46570"/>
    <cellStyle name="Normal 2 6 5 2 3" xfId="46571"/>
    <cellStyle name="Normal 2 6 5 2 3 2" xfId="46572"/>
    <cellStyle name="Normal 2 6 5 2 4" xfId="46573"/>
    <cellStyle name="Normal 2 6 5 3" xfId="46574"/>
    <cellStyle name="Normal 2 6 5 3 2" xfId="46575"/>
    <cellStyle name="Normal 2 6 5 3 2 2" xfId="46576"/>
    <cellStyle name="Normal 2 6 5 3 3" xfId="46577"/>
    <cellStyle name="Normal 2 6 5 4" xfId="46578"/>
    <cellStyle name="Normal 2 6 5 4 2" xfId="46579"/>
    <cellStyle name="Normal 2 6 5 5" xfId="46580"/>
    <cellStyle name="Normal 2 6 6" xfId="46581"/>
    <cellStyle name="Normal 2 6 6 2" xfId="46582"/>
    <cellStyle name="Normal 2 6 6 2 2" xfId="46583"/>
    <cellStyle name="Normal 2 6 6 2 2 2" xfId="46584"/>
    <cellStyle name="Normal 2 6 6 2 2 2 2" xfId="46585"/>
    <cellStyle name="Normal 2 6 6 2 2 3" xfId="46586"/>
    <cellStyle name="Normal 2 6 6 2 3" xfId="46587"/>
    <cellStyle name="Normal 2 6 6 2 3 2" xfId="46588"/>
    <cellStyle name="Normal 2 6 6 2 4" xfId="46589"/>
    <cellStyle name="Normal 2 6 6 3" xfId="46590"/>
    <cellStyle name="Normal 2 6 6 3 2" xfId="46591"/>
    <cellStyle name="Normal 2 6 6 3 2 2" xfId="46592"/>
    <cellStyle name="Normal 2 6 6 3 3" xfId="46593"/>
    <cellStyle name="Normal 2 6 6 4" xfId="46594"/>
    <cellStyle name="Normal 2 6 6 4 2" xfId="46595"/>
    <cellStyle name="Normal 2 6 6 5" xfId="46596"/>
    <cellStyle name="Normal 2 6 7" xfId="46597"/>
    <cellStyle name="Normal 2 6 7 2" xfId="46598"/>
    <cellStyle name="Normal 2 6 7 2 2" xfId="46599"/>
    <cellStyle name="Normal 2 6 7 2 2 2" xfId="46600"/>
    <cellStyle name="Normal 2 6 7 2 2 2 2" xfId="46601"/>
    <cellStyle name="Normal 2 6 7 2 2 3" xfId="46602"/>
    <cellStyle name="Normal 2 6 7 2 3" xfId="46603"/>
    <cellStyle name="Normal 2 6 7 2 3 2" xfId="46604"/>
    <cellStyle name="Normal 2 6 7 2 4" xfId="46605"/>
    <cellStyle name="Normal 2 6 7 3" xfId="46606"/>
    <cellStyle name="Normal 2 6 7 3 2" xfId="46607"/>
    <cellStyle name="Normal 2 6 7 3 2 2" xfId="46608"/>
    <cellStyle name="Normal 2 6 7 3 3" xfId="46609"/>
    <cellStyle name="Normal 2 6 7 4" xfId="46610"/>
    <cellStyle name="Normal 2 6 7 4 2" xfId="46611"/>
    <cellStyle name="Normal 2 6 7 5" xfId="46612"/>
    <cellStyle name="Normal 2 6 8" xfId="46613"/>
    <cellStyle name="Normal 2 6 8 2" xfId="46614"/>
    <cellStyle name="Normal 2 6 8 2 2" xfId="46615"/>
    <cellStyle name="Normal 2 6 8 2 2 2" xfId="46616"/>
    <cellStyle name="Normal 2 6 8 2 3" xfId="46617"/>
    <cellStyle name="Normal 2 6 8 3" xfId="46618"/>
    <cellStyle name="Normal 2 6 8 3 2" xfId="46619"/>
    <cellStyle name="Normal 2 6 8 4" xfId="46620"/>
    <cellStyle name="Normal 2 6 9" xfId="46621"/>
    <cellStyle name="Normal 2 6 9 2" xfId="46622"/>
    <cellStyle name="Normal 2 6 9 2 2" xfId="46623"/>
    <cellStyle name="Normal 2 6 9 3" xfId="46624"/>
    <cellStyle name="Normal 2 7" xfId="46625"/>
    <cellStyle name="Normal 2 7 10" xfId="46626"/>
    <cellStyle name="Normal 2 7 10 2" xfId="46627"/>
    <cellStyle name="Normal 2 7 11" xfId="46628"/>
    <cellStyle name="Normal 2 7 2" xfId="46629"/>
    <cellStyle name="Normal 2 7 2 10" xfId="46630"/>
    <cellStyle name="Normal 2 7 2 2" xfId="46631"/>
    <cellStyle name="Normal 2 7 2 2 2" xfId="46632"/>
    <cellStyle name="Normal 2 7 2 2 2 2" xfId="46633"/>
    <cellStyle name="Normal 2 7 2 2 2 2 2" xfId="46634"/>
    <cellStyle name="Normal 2 7 2 2 2 2 2 2" xfId="46635"/>
    <cellStyle name="Normal 2 7 2 2 2 2 3" xfId="46636"/>
    <cellStyle name="Normal 2 7 2 2 2 3" xfId="46637"/>
    <cellStyle name="Normal 2 7 2 2 2 3 2" xfId="46638"/>
    <cellStyle name="Normal 2 7 2 2 2 4" xfId="46639"/>
    <cellStyle name="Normal 2 7 2 2 3" xfId="46640"/>
    <cellStyle name="Normal 2 7 2 2 3 2" xfId="46641"/>
    <cellStyle name="Normal 2 7 2 2 3 2 2" xfId="46642"/>
    <cellStyle name="Normal 2 7 2 2 3 3" xfId="46643"/>
    <cellStyle name="Normal 2 7 2 2 4" xfId="46644"/>
    <cellStyle name="Normal 2 7 2 2 4 2" xfId="46645"/>
    <cellStyle name="Normal 2 7 2 2 5" xfId="46646"/>
    <cellStyle name="Normal 2 7 2 3" xfId="46647"/>
    <cellStyle name="Normal 2 7 2 3 2" xfId="46648"/>
    <cellStyle name="Normal 2 7 2 3 2 2" xfId="46649"/>
    <cellStyle name="Normal 2 7 2 3 2 2 2" xfId="46650"/>
    <cellStyle name="Normal 2 7 2 3 2 2 2 2" xfId="46651"/>
    <cellStyle name="Normal 2 7 2 3 2 2 3" xfId="46652"/>
    <cellStyle name="Normal 2 7 2 3 2 3" xfId="46653"/>
    <cellStyle name="Normal 2 7 2 3 2 3 2" xfId="46654"/>
    <cellStyle name="Normal 2 7 2 3 2 4" xfId="46655"/>
    <cellStyle name="Normal 2 7 2 3 3" xfId="46656"/>
    <cellStyle name="Normal 2 7 2 3 3 2" xfId="46657"/>
    <cellStyle name="Normal 2 7 2 3 3 2 2" xfId="46658"/>
    <cellStyle name="Normal 2 7 2 3 3 3" xfId="46659"/>
    <cellStyle name="Normal 2 7 2 3 4" xfId="46660"/>
    <cellStyle name="Normal 2 7 2 3 4 2" xfId="46661"/>
    <cellStyle name="Normal 2 7 2 3 5" xfId="46662"/>
    <cellStyle name="Normal 2 7 2 4" xfId="46663"/>
    <cellStyle name="Normal 2 7 2 4 2" xfId="46664"/>
    <cellStyle name="Normal 2 7 2 4 2 2" xfId="46665"/>
    <cellStyle name="Normal 2 7 2 4 2 2 2" xfId="46666"/>
    <cellStyle name="Normal 2 7 2 4 2 2 2 2" xfId="46667"/>
    <cellStyle name="Normal 2 7 2 4 2 2 3" xfId="46668"/>
    <cellStyle name="Normal 2 7 2 4 2 3" xfId="46669"/>
    <cellStyle name="Normal 2 7 2 4 2 3 2" xfId="46670"/>
    <cellStyle name="Normal 2 7 2 4 2 4" xfId="46671"/>
    <cellStyle name="Normal 2 7 2 4 3" xfId="46672"/>
    <cellStyle name="Normal 2 7 2 4 3 2" xfId="46673"/>
    <cellStyle name="Normal 2 7 2 4 3 2 2" xfId="46674"/>
    <cellStyle name="Normal 2 7 2 4 3 3" xfId="46675"/>
    <cellStyle name="Normal 2 7 2 4 4" xfId="46676"/>
    <cellStyle name="Normal 2 7 2 4 4 2" xfId="46677"/>
    <cellStyle name="Normal 2 7 2 4 5" xfId="46678"/>
    <cellStyle name="Normal 2 7 2 5" xfId="46679"/>
    <cellStyle name="Normal 2 7 2 5 2" xfId="46680"/>
    <cellStyle name="Normal 2 7 2 5 2 2" xfId="46681"/>
    <cellStyle name="Normal 2 7 2 5 2 2 2" xfId="46682"/>
    <cellStyle name="Normal 2 7 2 5 2 2 2 2" xfId="46683"/>
    <cellStyle name="Normal 2 7 2 5 2 2 3" xfId="46684"/>
    <cellStyle name="Normal 2 7 2 5 2 3" xfId="46685"/>
    <cellStyle name="Normal 2 7 2 5 2 3 2" xfId="46686"/>
    <cellStyle name="Normal 2 7 2 5 2 4" xfId="46687"/>
    <cellStyle name="Normal 2 7 2 5 3" xfId="46688"/>
    <cellStyle name="Normal 2 7 2 5 3 2" xfId="46689"/>
    <cellStyle name="Normal 2 7 2 5 3 2 2" xfId="46690"/>
    <cellStyle name="Normal 2 7 2 5 3 3" xfId="46691"/>
    <cellStyle name="Normal 2 7 2 5 4" xfId="46692"/>
    <cellStyle name="Normal 2 7 2 5 4 2" xfId="46693"/>
    <cellStyle name="Normal 2 7 2 5 5" xfId="46694"/>
    <cellStyle name="Normal 2 7 2 6" xfId="46695"/>
    <cellStyle name="Normal 2 7 2 6 2" xfId="46696"/>
    <cellStyle name="Normal 2 7 2 6 2 2" xfId="46697"/>
    <cellStyle name="Normal 2 7 2 6 2 2 2" xfId="46698"/>
    <cellStyle name="Normal 2 7 2 6 2 2 2 2" xfId="46699"/>
    <cellStyle name="Normal 2 7 2 6 2 2 3" xfId="46700"/>
    <cellStyle name="Normal 2 7 2 6 2 3" xfId="46701"/>
    <cellStyle name="Normal 2 7 2 6 2 3 2" xfId="46702"/>
    <cellStyle name="Normal 2 7 2 6 2 4" xfId="46703"/>
    <cellStyle name="Normal 2 7 2 6 3" xfId="46704"/>
    <cellStyle name="Normal 2 7 2 6 3 2" xfId="46705"/>
    <cellStyle name="Normal 2 7 2 6 3 2 2" xfId="46706"/>
    <cellStyle name="Normal 2 7 2 6 3 3" xfId="46707"/>
    <cellStyle name="Normal 2 7 2 6 4" xfId="46708"/>
    <cellStyle name="Normal 2 7 2 6 4 2" xfId="46709"/>
    <cellStyle name="Normal 2 7 2 6 5" xfId="46710"/>
    <cellStyle name="Normal 2 7 2 7" xfId="46711"/>
    <cellStyle name="Normal 2 7 2 7 2" xfId="46712"/>
    <cellStyle name="Normal 2 7 2 7 2 2" xfId="46713"/>
    <cellStyle name="Normal 2 7 2 7 2 2 2" xfId="46714"/>
    <cellStyle name="Normal 2 7 2 7 2 3" xfId="46715"/>
    <cellStyle name="Normal 2 7 2 7 3" xfId="46716"/>
    <cellStyle name="Normal 2 7 2 7 3 2" xfId="46717"/>
    <cellStyle name="Normal 2 7 2 7 4" xfId="46718"/>
    <cellStyle name="Normal 2 7 2 8" xfId="46719"/>
    <cellStyle name="Normal 2 7 2 8 2" xfId="46720"/>
    <cellStyle name="Normal 2 7 2 8 2 2" xfId="46721"/>
    <cellStyle name="Normal 2 7 2 8 3" xfId="46722"/>
    <cellStyle name="Normal 2 7 2 9" xfId="46723"/>
    <cellStyle name="Normal 2 7 2 9 2" xfId="46724"/>
    <cellStyle name="Normal 2 7 3" xfId="46725"/>
    <cellStyle name="Normal 2 7 3 2" xfId="46726"/>
    <cellStyle name="Normal 2 7 3 2 2" xfId="46727"/>
    <cellStyle name="Normal 2 7 3 2 2 2" xfId="46728"/>
    <cellStyle name="Normal 2 7 3 2 2 2 2" xfId="46729"/>
    <cellStyle name="Normal 2 7 3 2 2 3" xfId="46730"/>
    <cellStyle name="Normal 2 7 3 2 3" xfId="46731"/>
    <cellStyle name="Normal 2 7 3 2 3 2" xfId="46732"/>
    <cellStyle name="Normal 2 7 3 2 4" xfId="46733"/>
    <cellStyle name="Normal 2 7 3 3" xfId="46734"/>
    <cellStyle name="Normal 2 7 3 3 2" xfId="46735"/>
    <cellStyle name="Normal 2 7 3 3 2 2" xfId="46736"/>
    <cellStyle name="Normal 2 7 3 3 3" xfId="46737"/>
    <cellStyle name="Normal 2 7 3 4" xfId="46738"/>
    <cellStyle name="Normal 2 7 3 4 2" xfId="46739"/>
    <cellStyle name="Normal 2 7 3 5" xfId="46740"/>
    <cellStyle name="Normal 2 7 4" xfId="46741"/>
    <cellStyle name="Normal 2 7 4 2" xfId="46742"/>
    <cellStyle name="Normal 2 7 4 2 2" xfId="46743"/>
    <cellStyle name="Normal 2 7 4 2 2 2" xfId="46744"/>
    <cellStyle name="Normal 2 7 4 2 2 2 2" xfId="46745"/>
    <cellStyle name="Normal 2 7 4 2 2 3" xfId="46746"/>
    <cellStyle name="Normal 2 7 4 2 3" xfId="46747"/>
    <cellStyle name="Normal 2 7 4 2 3 2" xfId="46748"/>
    <cellStyle name="Normal 2 7 4 2 4" xfId="46749"/>
    <cellStyle name="Normal 2 7 4 3" xfId="46750"/>
    <cellStyle name="Normal 2 7 4 3 2" xfId="46751"/>
    <cellStyle name="Normal 2 7 4 3 2 2" xfId="46752"/>
    <cellStyle name="Normal 2 7 4 3 3" xfId="46753"/>
    <cellStyle name="Normal 2 7 4 4" xfId="46754"/>
    <cellStyle name="Normal 2 7 4 4 2" xfId="46755"/>
    <cellStyle name="Normal 2 7 4 5" xfId="46756"/>
    <cellStyle name="Normal 2 7 5" xfId="46757"/>
    <cellStyle name="Normal 2 7 5 2" xfId="46758"/>
    <cellStyle name="Normal 2 7 5 2 2" xfId="46759"/>
    <cellStyle name="Normal 2 7 5 2 2 2" xfId="46760"/>
    <cellStyle name="Normal 2 7 5 2 2 2 2" xfId="46761"/>
    <cellStyle name="Normal 2 7 5 2 2 3" xfId="46762"/>
    <cellStyle name="Normal 2 7 5 2 3" xfId="46763"/>
    <cellStyle name="Normal 2 7 5 2 3 2" xfId="46764"/>
    <cellStyle name="Normal 2 7 5 2 4" xfId="46765"/>
    <cellStyle name="Normal 2 7 5 3" xfId="46766"/>
    <cellStyle name="Normal 2 7 5 3 2" xfId="46767"/>
    <cellStyle name="Normal 2 7 5 3 2 2" xfId="46768"/>
    <cellStyle name="Normal 2 7 5 3 3" xfId="46769"/>
    <cellStyle name="Normal 2 7 5 4" xfId="46770"/>
    <cellStyle name="Normal 2 7 5 4 2" xfId="46771"/>
    <cellStyle name="Normal 2 7 5 5" xfId="46772"/>
    <cellStyle name="Normal 2 7 6" xfId="46773"/>
    <cellStyle name="Normal 2 7 6 2" xfId="46774"/>
    <cellStyle name="Normal 2 7 6 2 2" xfId="46775"/>
    <cellStyle name="Normal 2 7 6 2 2 2" xfId="46776"/>
    <cellStyle name="Normal 2 7 6 2 2 2 2" xfId="46777"/>
    <cellStyle name="Normal 2 7 6 2 2 3" xfId="46778"/>
    <cellStyle name="Normal 2 7 6 2 3" xfId="46779"/>
    <cellStyle name="Normal 2 7 6 2 3 2" xfId="46780"/>
    <cellStyle name="Normal 2 7 6 2 4" xfId="46781"/>
    <cellStyle name="Normal 2 7 6 3" xfId="46782"/>
    <cellStyle name="Normal 2 7 6 3 2" xfId="46783"/>
    <cellStyle name="Normal 2 7 6 3 2 2" xfId="46784"/>
    <cellStyle name="Normal 2 7 6 3 3" xfId="46785"/>
    <cellStyle name="Normal 2 7 6 4" xfId="46786"/>
    <cellStyle name="Normal 2 7 6 4 2" xfId="46787"/>
    <cellStyle name="Normal 2 7 6 5" xfId="46788"/>
    <cellStyle name="Normal 2 7 7" xfId="46789"/>
    <cellStyle name="Normal 2 7 7 2" xfId="46790"/>
    <cellStyle name="Normal 2 7 7 2 2" xfId="46791"/>
    <cellStyle name="Normal 2 7 7 2 2 2" xfId="46792"/>
    <cellStyle name="Normal 2 7 7 2 2 2 2" xfId="46793"/>
    <cellStyle name="Normal 2 7 7 2 2 3" xfId="46794"/>
    <cellStyle name="Normal 2 7 7 2 3" xfId="46795"/>
    <cellStyle name="Normal 2 7 7 2 3 2" xfId="46796"/>
    <cellStyle name="Normal 2 7 7 2 4" xfId="46797"/>
    <cellStyle name="Normal 2 7 7 3" xfId="46798"/>
    <cellStyle name="Normal 2 7 7 3 2" xfId="46799"/>
    <cellStyle name="Normal 2 7 7 3 2 2" xfId="46800"/>
    <cellStyle name="Normal 2 7 7 3 3" xfId="46801"/>
    <cellStyle name="Normal 2 7 7 4" xfId="46802"/>
    <cellStyle name="Normal 2 7 7 4 2" xfId="46803"/>
    <cellStyle name="Normal 2 7 7 5" xfId="46804"/>
    <cellStyle name="Normal 2 7 8" xfId="46805"/>
    <cellStyle name="Normal 2 7 8 2" xfId="46806"/>
    <cellStyle name="Normal 2 7 8 2 2" xfId="46807"/>
    <cellStyle name="Normal 2 7 8 2 2 2" xfId="46808"/>
    <cellStyle name="Normal 2 7 8 2 3" xfId="46809"/>
    <cellStyle name="Normal 2 7 8 3" xfId="46810"/>
    <cellStyle name="Normal 2 7 8 3 2" xfId="46811"/>
    <cellStyle name="Normal 2 7 8 4" xfId="46812"/>
    <cellStyle name="Normal 2 7 9" xfId="46813"/>
    <cellStyle name="Normal 2 7 9 2" xfId="46814"/>
    <cellStyle name="Normal 2 7 9 2 2" xfId="46815"/>
    <cellStyle name="Normal 2 7 9 3" xfId="46816"/>
    <cellStyle name="Normal 2 8" xfId="46817"/>
    <cellStyle name="Normal 2 8 10" xfId="46818"/>
    <cellStyle name="Normal 2 8 10 2" xfId="46819"/>
    <cellStyle name="Normal 2 8 11" xfId="46820"/>
    <cellStyle name="Normal 2 8 2" xfId="46821"/>
    <cellStyle name="Normal 2 8 2 10" xfId="46822"/>
    <cellStyle name="Normal 2 8 2 2" xfId="46823"/>
    <cellStyle name="Normal 2 8 2 2 2" xfId="46824"/>
    <cellStyle name="Normal 2 8 2 2 2 2" xfId="46825"/>
    <cellStyle name="Normal 2 8 2 2 2 2 2" xfId="46826"/>
    <cellStyle name="Normal 2 8 2 2 2 2 2 2" xfId="46827"/>
    <cellStyle name="Normal 2 8 2 2 2 2 3" xfId="46828"/>
    <cellStyle name="Normal 2 8 2 2 2 3" xfId="46829"/>
    <cellStyle name="Normal 2 8 2 2 2 3 2" xfId="46830"/>
    <cellStyle name="Normal 2 8 2 2 2 4" xfId="46831"/>
    <cellStyle name="Normal 2 8 2 2 3" xfId="46832"/>
    <cellStyle name="Normal 2 8 2 2 3 2" xfId="46833"/>
    <cellStyle name="Normal 2 8 2 2 3 2 2" xfId="46834"/>
    <cellStyle name="Normal 2 8 2 2 3 3" xfId="46835"/>
    <cellStyle name="Normal 2 8 2 2 4" xfId="46836"/>
    <cellStyle name="Normal 2 8 2 2 4 2" xfId="46837"/>
    <cellStyle name="Normal 2 8 2 2 5" xfId="46838"/>
    <cellStyle name="Normal 2 8 2 3" xfId="46839"/>
    <cellStyle name="Normal 2 8 2 3 2" xfId="46840"/>
    <cellStyle name="Normal 2 8 2 3 2 2" xfId="46841"/>
    <cellStyle name="Normal 2 8 2 3 2 2 2" xfId="46842"/>
    <cellStyle name="Normal 2 8 2 3 2 2 2 2" xfId="46843"/>
    <cellStyle name="Normal 2 8 2 3 2 2 3" xfId="46844"/>
    <cellStyle name="Normal 2 8 2 3 2 3" xfId="46845"/>
    <cellStyle name="Normal 2 8 2 3 2 3 2" xfId="46846"/>
    <cellStyle name="Normal 2 8 2 3 2 4" xfId="46847"/>
    <cellStyle name="Normal 2 8 2 3 3" xfId="46848"/>
    <cellStyle name="Normal 2 8 2 3 3 2" xfId="46849"/>
    <cellStyle name="Normal 2 8 2 3 3 2 2" xfId="46850"/>
    <cellStyle name="Normal 2 8 2 3 3 3" xfId="46851"/>
    <cellStyle name="Normal 2 8 2 3 4" xfId="46852"/>
    <cellStyle name="Normal 2 8 2 3 4 2" xfId="46853"/>
    <cellStyle name="Normal 2 8 2 3 5" xfId="46854"/>
    <cellStyle name="Normal 2 8 2 4" xfId="46855"/>
    <cellStyle name="Normal 2 8 2 4 2" xfId="46856"/>
    <cellStyle name="Normal 2 8 2 4 2 2" xfId="46857"/>
    <cellStyle name="Normal 2 8 2 4 2 2 2" xfId="46858"/>
    <cellStyle name="Normal 2 8 2 4 2 2 2 2" xfId="46859"/>
    <cellStyle name="Normal 2 8 2 4 2 2 3" xfId="46860"/>
    <cellStyle name="Normal 2 8 2 4 2 3" xfId="46861"/>
    <cellStyle name="Normal 2 8 2 4 2 3 2" xfId="46862"/>
    <cellStyle name="Normal 2 8 2 4 2 4" xfId="46863"/>
    <cellStyle name="Normal 2 8 2 4 3" xfId="46864"/>
    <cellStyle name="Normal 2 8 2 4 3 2" xfId="46865"/>
    <cellStyle name="Normal 2 8 2 4 3 2 2" xfId="46866"/>
    <cellStyle name="Normal 2 8 2 4 3 3" xfId="46867"/>
    <cellStyle name="Normal 2 8 2 4 4" xfId="46868"/>
    <cellStyle name="Normal 2 8 2 4 4 2" xfId="46869"/>
    <cellStyle name="Normal 2 8 2 4 5" xfId="46870"/>
    <cellStyle name="Normal 2 8 2 5" xfId="46871"/>
    <cellStyle name="Normal 2 8 2 5 2" xfId="46872"/>
    <cellStyle name="Normal 2 8 2 5 2 2" xfId="46873"/>
    <cellStyle name="Normal 2 8 2 5 2 2 2" xfId="46874"/>
    <cellStyle name="Normal 2 8 2 5 2 2 2 2" xfId="46875"/>
    <cellStyle name="Normal 2 8 2 5 2 2 3" xfId="46876"/>
    <cellStyle name="Normal 2 8 2 5 2 3" xfId="46877"/>
    <cellStyle name="Normal 2 8 2 5 2 3 2" xfId="46878"/>
    <cellStyle name="Normal 2 8 2 5 2 4" xfId="46879"/>
    <cellStyle name="Normal 2 8 2 5 3" xfId="46880"/>
    <cellStyle name="Normal 2 8 2 5 3 2" xfId="46881"/>
    <cellStyle name="Normal 2 8 2 5 3 2 2" xfId="46882"/>
    <cellStyle name="Normal 2 8 2 5 3 3" xfId="46883"/>
    <cellStyle name="Normal 2 8 2 5 4" xfId="46884"/>
    <cellStyle name="Normal 2 8 2 5 4 2" xfId="46885"/>
    <cellStyle name="Normal 2 8 2 5 5" xfId="46886"/>
    <cellStyle name="Normal 2 8 2 6" xfId="46887"/>
    <cellStyle name="Normal 2 8 2 6 2" xfId="46888"/>
    <cellStyle name="Normal 2 8 2 6 2 2" xfId="46889"/>
    <cellStyle name="Normal 2 8 2 6 2 2 2" xfId="46890"/>
    <cellStyle name="Normal 2 8 2 6 2 2 2 2" xfId="46891"/>
    <cellStyle name="Normal 2 8 2 6 2 2 3" xfId="46892"/>
    <cellStyle name="Normal 2 8 2 6 2 3" xfId="46893"/>
    <cellStyle name="Normal 2 8 2 6 2 3 2" xfId="46894"/>
    <cellStyle name="Normal 2 8 2 6 2 4" xfId="46895"/>
    <cellStyle name="Normal 2 8 2 6 3" xfId="46896"/>
    <cellStyle name="Normal 2 8 2 6 3 2" xfId="46897"/>
    <cellStyle name="Normal 2 8 2 6 3 2 2" xfId="46898"/>
    <cellStyle name="Normal 2 8 2 6 3 3" xfId="46899"/>
    <cellStyle name="Normal 2 8 2 6 4" xfId="46900"/>
    <cellStyle name="Normal 2 8 2 6 4 2" xfId="46901"/>
    <cellStyle name="Normal 2 8 2 6 5" xfId="46902"/>
    <cellStyle name="Normal 2 8 2 7" xfId="46903"/>
    <cellStyle name="Normal 2 8 2 7 2" xfId="46904"/>
    <cellStyle name="Normal 2 8 2 7 2 2" xfId="46905"/>
    <cellStyle name="Normal 2 8 2 7 2 2 2" xfId="46906"/>
    <cellStyle name="Normal 2 8 2 7 2 3" xfId="46907"/>
    <cellStyle name="Normal 2 8 2 7 3" xfId="46908"/>
    <cellStyle name="Normal 2 8 2 7 3 2" xfId="46909"/>
    <cellStyle name="Normal 2 8 2 7 4" xfId="46910"/>
    <cellStyle name="Normal 2 8 2 8" xfId="46911"/>
    <cellStyle name="Normal 2 8 2 8 2" xfId="46912"/>
    <cellStyle name="Normal 2 8 2 8 2 2" xfId="46913"/>
    <cellStyle name="Normal 2 8 2 8 3" xfId="46914"/>
    <cellStyle name="Normal 2 8 2 9" xfId="46915"/>
    <cellStyle name="Normal 2 8 2 9 2" xfId="46916"/>
    <cellStyle name="Normal 2 8 3" xfId="46917"/>
    <cellStyle name="Normal 2 8 3 2" xfId="46918"/>
    <cellStyle name="Normal 2 8 3 2 2" xfId="46919"/>
    <cellStyle name="Normal 2 8 3 2 2 2" xfId="46920"/>
    <cellStyle name="Normal 2 8 3 2 2 2 2" xfId="46921"/>
    <cellStyle name="Normal 2 8 3 2 2 3" xfId="46922"/>
    <cellStyle name="Normal 2 8 3 2 3" xfId="46923"/>
    <cellStyle name="Normal 2 8 3 2 3 2" xfId="46924"/>
    <cellStyle name="Normal 2 8 3 2 4" xfId="46925"/>
    <cellStyle name="Normal 2 8 3 3" xfId="46926"/>
    <cellStyle name="Normal 2 8 3 3 2" xfId="46927"/>
    <cellStyle name="Normal 2 8 3 3 2 2" xfId="46928"/>
    <cellStyle name="Normal 2 8 3 3 3" xfId="46929"/>
    <cellStyle name="Normal 2 8 3 4" xfId="46930"/>
    <cellStyle name="Normal 2 8 3 4 2" xfId="46931"/>
    <cellStyle name="Normal 2 8 3 5" xfId="46932"/>
    <cellStyle name="Normal 2 8 4" xfId="46933"/>
    <cellStyle name="Normal 2 8 4 2" xfId="46934"/>
    <cellStyle name="Normal 2 8 4 2 2" xfId="46935"/>
    <cellStyle name="Normal 2 8 4 2 2 2" xfId="46936"/>
    <cellStyle name="Normal 2 8 4 2 2 2 2" xfId="46937"/>
    <cellStyle name="Normal 2 8 4 2 2 3" xfId="46938"/>
    <cellStyle name="Normal 2 8 4 2 3" xfId="46939"/>
    <cellStyle name="Normal 2 8 4 2 3 2" xfId="46940"/>
    <cellStyle name="Normal 2 8 4 2 4" xfId="46941"/>
    <cellStyle name="Normal 2 8 4 3" xfId="46942"/>
    <cellStyle name="Normal 2 8 4 3 2" xfId="46943"/>
    <cellStyle name="Normal 2 8 4 3 2 2" xfId="46944"/>
    <cellStyle name="Normal 2 8 4 3 3" xfId="46945"/>
    <cellStyle name="Normal 2 8 4 4" xfId="46946"/>
    <cellStyle name="Normal 2 8 4 4 2" xfId="46947"/>
    <cellStyle name="Normal 2 8 4 5" xfId="46948"/>
    <cellStyle name="Normal 2 8 5" xfId="46949"/>
    <cellStyle name="Normal 2 8 5 2" xfId="46950"/>
    <cellStyle name="Normal 2 8 5 2 2" xfId="46951"/>
    <cellStyle name="Normal 2 8 5 2 2 2" xfId="46952"/>
    <cellStyle name="Normal 2 8 5 2 2 2 2" xfId="46953"/>
    <cellStyle name="Normal 2 8 5 2 2 3" xfId="46954"/>
    <cellStyle name="Normal 2 8 5 2 3" xfId="46955"/>
    <cellStyle name="Normal 2 8 5 2 3 2" xfId="46956"/>
    <cellStyle name="Normal 2 8 5 2 4" xfId="46957"/>
    <cellStyle name="Normal 2 8 5 3" xfId="46958"/>
    <cellStyle name="Normal 2 8 5 3 2" xfId="46959"/>
    <cellStyle name="Normal 2 8 5 3 2 2" xfId="46960"/>
    <cellStyle name="Normal 2 8 5 3 3" xfId="46961"/>
    <cellStyle name="Normal 2 8 5 4" xfId="46962"/>
    <cellStyle name="Normal 2 8 5 4 2" xfId="46963"/>
    <cellStyle name="Normal 2 8 5 5" xfId="46964"/>
    <cellStyle name="Normal 2 8 6" xfId="46965"/>
    <cellStyle name="Normal 2 8 6 2" xfId="46966"/>
    <cellStyle name="Normal 2 8 6 2 2" xfId="46967"/>
    <cellStyle name="Normal 2 8 6 2 2 2" xfId="46968"/>
    <cellStyle name="Normal 2 8 6 2 2 2 2" xfId="46969"/>
    <cellStyle name="Normal 2 8 6 2 2 3" xfId="46970"/>
    <cellStyle name="Normal 2 8 6 2 3" xfId="46971"/>
    <cellStyle name="Normal 2 8 6 2 3 2" xfId="46972"/>
    <cellStyle name="Normal 2 8 6 2 4" xfId="46973"/>
    <cellStyle name="Normal 2 8 6 3" xfId="46974"/>
    <cellStyle name="Normal 2 8 6 3 2" xfId="46975"/>
    <cellStyle name="Normal 2 8 6 3 2 2" xfId="46976"/>
    <cellStyle name="Normal 2 8 6 3 3" xfId="46977"/>
    <cellStyle name="Normal 2 8 6 4" xfId="46978"/>
    <cellStyle name="Normal 2 8 6 4 2" xfId="46979"/>
    <cellStyle name="Normal 2 8 6 5" xfId="46980"/>
    <cellStyle name="Normal 2 8 7" xfId="46981"/>
    <cellStyle name="Normal 2 8 7 2" xfId="46982"/>
    <cellStyle name="Normal 2 8 7 2 2" xfId="46983"/>
    <cellStyle name="Normal 2 8 7 2 2 2" xfId="46984"/>
    <cellStyle name="Normal 2 8 7 2 2 2 2" xfId="46985"/>
    <cellStyle name="Normal 2 8 7 2 2 3" xfId="46986"/>
    <cellStyle name="Normal 2 8 7 2 3" xfId="46987"/>
    <cellStyle name="Normal 2 8 7 2 3 2" xfId="46988"/>
    <cellStyle name="Normal 2 8 7 2 4" xfId="46989"/>
    <cellStyle name="Normal 2 8 7 3" xfId="46990"/>
    <cellStyle name="Normal 2 8 7 3 2" xfId="46991"/>
    <cellStyle name="Normal 2 8 7 3 2 2" xfId="46992"/>
    <cellStyle name="Normal 2 8 7 3 3" xfId="46993"/>
    <cellStyle name="Normal 2 8 7 4" xfId="46994"/>
    <cellStyle name="Normal 2 8 7 4 2" xfId="46995"/>
    <cellStyle name="Normal 2 8 7 5" xfId="46996"/>
    <cellStyle name="Normal 2 8 8" xfId="46997"/>
    <cellStyle name="Normal 2 8 8 2" xfId="46998"/>
    <cellStyle name="Normal 2 8 8 2 2" xfId="46999"/>
    <cellStyle name="Normal 2 8 8 2 2 2" xfId="47000"/>
    <cellStyle name="Normal 2 8 8 2 3" xfId="47001"/>
    <cellStyle name="Normal 2 8 8 3" xfId="47002"/>
    <cellStyle name="Normal 2 8 8 3 2" xfId="47003"/>
    <cellStyle name="Normal 2 8 8 4" xfId="47004"/>
    <cellStyle name="Normal 2 8 9" xfId="47005"/>
    <cellStyle name="Normal 2 8 9 2" xfId="47006"/>
    <cellStyle name="Normal 2 8 9 2 2" xfId="47007"/>
    <cellStyle name="Normal 2 8 9 3" xfId="47008"/>
    <cellStyle name="Normal 2 9" xfId="47009"/>
    <cellStyle name="Normal 2 9 10" xfId="47010"/>
    <cellStyle name="Normal 2 9 10 2" xfId="47011"/>
    <cellStyle name="Normal 2 9 11" xfId="47012"/>
    <cellStyle name="Normal 2 9 2" xfId="47013"/>
    <cellStyle name="Normal 2 9 2 10" xfId="47014"/>
    <cellStyle name="Normal 2 9 2 2" xfId="47015"/>
    <cellStyle name="Normal 2 9 2 2 2" xfId="47016"/>
    <cellStyle name="Normal 2 9 2 2 2 2" xfId="47017"/>
    <cellStyle name="Normal 2 9 2 2 2 2 2" xfId="47018"/>
    <cellStyle name="Normal 2 9 2 2 2 2 2 2" xfId="47019"/>
    <cellStyle name="Normal 2 9 2 2 2 2 3" xfId="47020"/>
    <cellStyle name="Normal 2 9 2 2 2 3" xfId="47021"/>
    <cellStyle name="Normal 2 9 2 2 2 3 2" xfId="47022"/>
    <cellStyle name="Normal 2 9 2 2 2 4" xfId="47023"/>
    <cellStyle name="Normal 2 9 2 2 3" xfId="47024"/>
    <cellStyle name="Normal 2 9 2 2 3 2" xfId="47025"/>
    <cellStyle name="Normal 2 9 2 2 3 2 2" xfId="47026"/>
    <cellStyle name="Normal 2 9 2 2 3 3" xfId="47027"/>
    <cellStyle name="Normal 2 9 2 2 4" xfId="47028"/>
    <cellStyle name="Normal 2 9 2 2 4 2" xfId="47029"/>
    <cellStyle name="Normal 2 9 2 2 5" xfId="47030"/>
    <cellStyle name="Normal 2 9 2 3" xfId="47031"/>
    <cellStyle name="Normal 2 9 2 3 2" xfId="47032"/>
    <cellStyle name="Normal 2 9 2 3 2 2" xfId="47033"/>
    <cellStyle name="Normal 2 9 2 3 2 2 2" xfId="47034"/>
    <cellStyle name="Normal 2 9 2 3 2 2 2 2" xfId="47035"/>
    <cellStyle name="Normal 2 9 2 3 2 2 3" xfId="47036"/>
    <cellStyle name="Normal 2 9 2 3 2 3" xfId="47037"/>
    <cellStyle name="Normal 2 9 2 3 2 3 2" xfId="47038"/>
    <cellStyle name="Normal 2 9 2 3 2 4" xfId="47039"/>
    <cellStyle name="Normal 2 9 2 3 3" xfId="47040"/>
    <cellStyle name="Normal 2 9 2 3 3 2" xfId="47041"/>
    <cellStyle name="Normal 2 9 2 3 3 2 2" xfId="47042"/>
    <cellStyle name="Normal 2 9 2 3 3 3" xfId="47043"/>
    <cellStyle name="Normal 2 9 2 3 4" xfId="47044"/>
    <cellStyle name="Normal 2 9 2 3 4 2" xfId="47045"/>
    <cellStyle name="Normal 2 9 2 3 5" xfId="47046"/>
    <cellStyle name="Normal 2 9 2 4" xfId="47047"/>
    <cellStyle name="Normal 2 9 2 4 2" xfId="47048"/>
    <cellStyle name="Normal 2 9 2 4 2 2" xfId="47049"/>
    <cellStyle name="Normal 2 9 2 4 2 2 2" xfId="47050"/>
    <cellStyle name="Normal 2 9 2 4 2 2 2 2" xfId="47051"/>
    <cellStyle name="Normal 2 9 2 4 2 2 3" xfId="47052"/>
    <cellStyle name="Normal 2 9 2 4 2 3" xfId="47053"/>
    <cellStyle name="Normal 2 9 2 4 2 3 2" xfId="47054"/>
    <cellStyle name="Normal 2 9 2 4 2 4" xfId="47055"/>
    <cellStyle name="Normal 2 9 2 4 3" xfId="47056"/>
    <cellStyle name="Normal 2 9 2 4 3 2" xfId="47057"/>
    <cellStyle name="Normal 2 9 2 4 3 2 2" xfId="47058"/>
    <cellStyle name="Normal 2 9 2 4 3 3" xfId="47059"/>
    <cellStyle name="Normal 2 9 2 4 4" xfId="47060"/>
    <cellStyle name="Normal 2 9 2 4 4 2" xfId="47061"/>
    <cellStyle name="Normal 2 9 2 4 5" xfId="47062"/>
    <cellStyle name="Normal 2 9 2 5" xfId="47063"/>
    <cellStyle name="Normal 2 9 2 5 2" xfId="47064"/>
    <cellStyle name="Normal 2 9 2 5 2 2" xfId="47065"/>
    <cellStyle name="Normal 2 9 2 5 2 2 2" xfId="47066"/>
    <cellStyle name="Normal 2 9 2 5 2 2 2 2" xfId="47067"/>
    <cellStyle name="Normal 2 9 2 5 2 2 3" xfId="47068"/>
    <cellStyle name="Normal 2 9 2 5 2 3" xfId="47069"/>
    <cellStyle name="Normal 2 9 2 5 2 3 2" xfId="47070"/>
    <cellStyle name="Normal 2 9 2 5 2 4" xfId="47071"/>
    <cellStyle name="Normal 2 9 2 5 3" xfId="47072"/>
    <cellStyle name="Normal 2 9 2 5 3 2" xfId="47073"/>
    <cellStyle name="Normal 2 9 2 5 3 2 2" xfId="47074"/>
    <cellStyle name="Normal 2 9 2 5 3 3" xfId="47075"/>
    <cellStyle name="Normal 2 9 2 5 4" xfId="47076"/>
    <cellStyle name="Normal 2 9 2 5 4 2" xfId="47077"/>
    <cellStyle name="Normal 2 9 2 5 5" xfId="47078"/>
    <cellStyle name="Normal 2 9 2 6" xfId="47079"/>
    <cellStyle name="Normal 2 9 2 6 2" xfId="47080"/>
    <cellStyle name="Normal 2 9 2 6 2 2" xfId="47081"/>
    <cellStyle name="Normal 2 9 2 6 2 2 2" xfId="47082"/>
    <cellStyle name="Normal 2 9 2 6 2 2 2 2" xfId="47083"/>
    <cellStyle name="Normal 2 9 2 6 2 2 3" xfId="47084"/>
    <cellStyle name="Normal 2 9 2 6 2 3" xfId="47085"/>
    <cellStyle name="Normal 2 9 2 6 2 3 2" xfId="47086"/>
    <cellStyle name="Normal 2 9 2 6 2 4" xfId="47087"/>
    <cellStyle name="Normal 2 9 2 6 3" xfId="47088"/>
    <cellStyle name="Normal 2 9 2 6 3 2" xfId="47089"/>
    <cellStyle name="Normal 2 9 2 6 3 2 2" xfId="47090"/>
    <cellStyle name="Normal 2 9 2 6 3 3" xfId="47091"/>
    <cellStyle name="Normal 2 9 2 6 4" xfId="47092"/>
    <cellStyle name="Normal 2 9 2 6 4 2" xfId="47093"/>
    <cellStyle name="Normal 2 9 2 6 5" xfId="47094"/>
    <cellStyle name="Normal 2 9 2 7" xfId="47095"/>
    <cellStyle name="Normal 2 9 2 7 2" xfId="47096"/>
    <cellStyle name="Normal 2 9 2 7 2 2" xfId="47097"/>
    <cellStyle name="Normal 2 9 2 7 2 2 2" xfId="47098"/>
    <cellStyle name="Normal 2 9 2 7 2 3" xfId="47099"/>
    <cellStyle name="Normal 2 9 2 7 3" xfId="47100"/>
    <cellStyle name="Normal 2 9 2 7 3 2" xfId="47101"/>
    <cellStyle name="Normal 2 9 2 7 4" xfId="47102"/>
    <cellStyle name="Normal 2 9 2 8" xfId="47103"/>
    <cellStyle name="Normal 2 9 2 8 2" xfId="47104"/>
    <cellStyle name="Normal 2 9 2 8 2 2" xfId="47105"/>
    <cellStyle name="Normal 2 9 2 8 3" xfId="47106"/>
    <cellStyle name="Normal 2 9 2 9" xfId="47107"/>
    <cellStyle name="Normal 2 9 2 9 2" xfId="47108"/>
    <cellStyle name="Normal 2 9 3" xfId="47109"/>
    <cellStyle name="Normal 2 9 3 2" xfId="47110"/>
    <cellStyle name="Normal 2 9 3 2 2" xfId="47111"/>
    <cellStyle name="Normal 2 9 3 2 2 2" xfId="47112"/>
    <cellStyle name="Normal 2 9 3 2 2 2 2" xfId="47113"/>
    <cellStyle name="Normal 2 9 3 2 2 3" xfId="47114"/>
    <cellStyle name="Normal 2 9 3 2 3" xfId="47115"/>
    <cellStyle name="Normal 2 9 3 2 3 2" xfId="47116"/>
    <cellStyle name="Normal 2 9 3 2 4" xfId="47117"/>
    <cellStyle name="Normal 2 9 3 3" xfId="47118"/>
    <cellStyle name="Normal 2 9 3 3 2" xfId="47119"/>
    <cellStyle name="Normal 2 9 3 3 2 2" xfId="47120"/>
    <cellStyle name="Normal 2 9 3 3 3" xfId="47121"/>
    <cellStyle name="Normal 2 9 3 4" xfId="47122"/>
    <cellStyle name="Normal 2 9 3 4 2" xfId="47123"/>
    <cellStyle name="Normal 2 9 3 5" xfId="47124"/>
    <cellStyle name="Normal 2 9 4" xfId="47125"/>
    <cellStyle name="Normal 2 9 4 2" xfId="47126"/>
    <cellStyle name="Normal 2 9 4 2 2" xfId="47127"/>
    <cellStyle name="Normal 2 9 4 2 2 2" xfId="47128"/>
    <cellStyle name="Normal 2 9 4 2 2 2 2" xfId="47129"/>
    <cellStyle name="Normal 2 9 4 2 2 3" xfId="47130"/>
    <cellStyle name="Normal 2 9 4 2 3" xfId="47131"/>
    <cellStyle name="Normal 2 9 4 2 3 2" xfId="47132"/>
    <cellStyle name="Normal 2 9 4 2 4" xfId="47133"/>
    <cellStyle name="Normal 2 9 4 3" xfId="47134"/>
    <cellStyle name="Normal 2 9 4 3 2" xfId="47135"/>
    <cellStyle name="Normal 2 9 4 3 2 2" xfId="47136"/>
    <cellStyle name="Normal 2 9 4 3 3" xfId="47137"/>
    <cellStyle name="Normal 2 9 4 4" xfId="47138"/>
    <cellStyle name="Normal 2 9 4 4 2" xfId="47139"/>
    <cellStyle name="Normal 2 9 4 5" xfId="47140"/>
    <cellStyle name="Normal 2 9 5" xfId="47141"/>
    <cellStyle name="Normal 2 9 5 2" xfId="47142"/>
    <cellStyle name="Normal 2 9 5 2 2" xfId="47143"/>
    <cellStyle name="Normal 2 9 5 2 2 2" xfId="47144"/>
    <cellStyle name="Normal 2 9 5 2 2 2 2" xfId="47145"/>
    <cellStyle name="Normal 2 9 5 2 2 3" xfId="47146"/>
    <cellStyle name="Normal 2 9 5 2 3" xfId="47147"/>
    <cellStyle name="Normal 2 9 5 2 3 2" xfId="47148"/>
    <cellStyle name="Normal 2 9 5 2 4" xfId="47149"/>
    <cellStyle name="Normal 2 9 5 3" xfId="47150"/>
    <cellStyle name="Normal 2 9 5 3 2" xfId="47151"/>
    <cellStyle name="Normal 2 9 5 3 2 2" xfId="47152"/>
    <cellStyle name="Normal 2 9 5 3 3" xfId="47153"/>
    <cellStyle name="Normal 2 9 5 4" xfId="47154"/>
    <cellStyle name="Normal 2 9 5 4 2" xfId="47155"/>
    <cellStyle name="Normal 2 9 5 5" xfId="47156"/>
    <cellStyle name="Normal 2 9 6" xfId="47157"/>
    <cellStyle name="Normal 2 9 6 2" xfId="47158"/>
    <cellStyle name="Normal 2 9 6 2 2" xfId="47159"/>
    <cellStyle name="Normal 2 9 6 2 2 2" xfId="47160"/>
    <cellStyle name="Normal 2 9 6 2 2 2 2" xfId="47161"/>
    <cellStyle name="Normal 2 9 6 2 2 3" xfId="47162"/>
    <cellStyle name="Normal 2 9 6 2 3" xfId="47163"/>
    <cellStyle name="Normal 2 9 6 2 3 2" xfId="47164"/>
    <cellStyle name="Normal 2 9 6 2 4" xfId="47165"/>
    <cellStyle name="Normal 2 9 6 3" xfId="47166"/>
    <cellStyle name="Normal 2 9 6 3 2" xfId="47167"/>
    <cellStyle name="Normal 2 9 6 3 2 2" xfId="47168"/>
    <cellStyle name="Normal 2 9 6 3 3" xfId="47169"/>
    <cellStyle name="Normal 2 9 6 4" xfId="47170"/>
    <cellStyle name="Normal 2 9 6 4 2" xfId="47171"/>
    <cellStyle name="Normal 2 9 6 5" xfId="47172"/>
    <cellStyle name="Normal 2 9 7" xfId="47173"/>
    <cellStyle name="Normal 2 9 7 2" xfId="47174"/>
    <cellStyle name="Normal 2 9 7 2 2" xfId="47175"/>
    <cellStyle name="Normal 2 9 7 2 2 2" xfId="47176"/>
    <cellStyle name="Normal 2 9 7 2 2 2 2" xfId="47177"/>
    <cellStyle name="Normal 2 9 7 2 2 3" xfId="47178"/>
    <cellStyle name="Normal 2 9 7 2 3" xfId="47179"/>
    <cellStyle name="Normal 2 9 7 2 3 2" xfId="47180"/>
    <cellStyle name="Normal 2 9 7 2 4" xfId="47181"/>
    <cellStyle name="Normal 2 9 7 3" xfId="47182"/>
    <cellStyle name="Normal 2 9 7 3 2" xfId="47183"/>
    <cellStyle name="Normal 2 9 7 3 2 2" xfId="47184"/>
    <cellStyle name="Normal 2 9 7 3 3" xfId="47185"/>
    <cellStyle name="Normal 2 9 7 4" xfId="47186"/>
    <cellStyle name="Normal 2 9 7 4 2" xfId="47187"/>
    <cellStyle name="Normal 2 9 7 5" xfId="47188"/>
    <cellStyle name="Normal 2 9 8" xfId="47189"/>
    <cellStyle name="Normal 2 9 8 2" xfId="47190"/>
    <cellStyle name="Normal 2 9 8 2 2" xfId="47191"/>
    <cellStyle name="Normal 2 9 8 2 2 2" xfId="47192"/>
    <cellStyle name="Normal 2 9 8 2 3" xfId="47193"/>
    <cellStyle name="Normal 2 9 8 3" xfId="47194"/>
    <cellStyle name="Normal 2 9 8 3 2" xfId="47195"/>
    <cellStyle name="Normal 2 9 8 4" xfId="47196"/>
    <cellStyle name="Normal 2 9 9" xfId="47197"/>
    <cellStyle name="Normal 2 9 9 2" xfId="47198"/>
    <cellStyle name="Normal 2 9 9 2 2" xfId="47199"/>
    <cellStyle name="Normal 2 9 9 3" xfId="47200"/>
    <cellStyle name="Normal 20" xfId="47201"/>
    <cellStyle name="Normal 21" xfId="47202"/>
    <cellStyle name="Normal 3" xfId="47203"/>
    <cellStyle name="Normal 3 10" xfId="47204"/>
    <cellStyle name="Normal 3 10 10" xfId="47205"/>
    <cellStyle name="Normal 3 10 2" xfId="47206"/>
    <cellStyle name="Normal 3 10 2 2" xfId="47207"/>
    <cellStyle name="Normal 3 10 2 2 2" xfId="47208"/>
    <cellStyle name="Normal 3 10 2 2 2 2" xfId="47209"/>
    <cellStyle name="Normal 3 10 2 2 2 2 2" xfId="47210"/>
    <cellStyle name="Normal 3 10 2 2 2 3" xfId="47211"/>
    <cellStyle name="Normal 3 10 2 2 3" xfId="47212"/>
    <cellStyle name="Normal 3 10 2 2 3 2" xfId="47213"/>
    <cellStyle name="Normal 3 10 2 2 4" xfId="47214"/>
    <cellStyle name="Normal 3 10 2 3" xfId="47215"/>
    <cellStyle name="Normal 3 10 2 3 2" xfId="47216"/>
    <cellStyle name="Normal 3 10 2 3 2 2" xfId="47217"/>
    <cellStyle name="Normal 3 10 2 3 3" xfId="47218"/>
    <cellStyle name="Normal 3 10 2 4" xfId="47219"/>
    <cellStyle name="Normal 3 10 2 4 2" xfId="47220"/>
    <cellStyle name="Normal 3 10 2 5" xfId="47221"/>
    <cellStyle name="Normal 3 10 3" xfId="47222"/>
    <cellStyle name="Normal 3 10 3 2" xfId="47223"/>
    <cellStyle name="Normal 3 10 3 2 2" xfId="47224"/>
    <cellStyle name="Normal 3 10 3 2 2 2" xfId="47225"/>
    <cellStyle name="Normal 3 10 3 2 2 2 2" xfId="47226"/>
    <cellStyle name="Normal 3 10 3 2 2 3" xfId="47227"/>
    <cellStyle name="Normal 3 10 3 2 3" xfId="47228"/>
    <cellStyle name="Normal 3 10 3 2 3 2" xfId="47229"/>
    <cellStyle name="Normal 3 10 3 2 4" xfId="47230"/>
    <cellStyle name="Normal 3 10 3 3" xfId="47231"/>
    <cellStyle name="Normal 3 10 3 3 2" xfId="47232"/>
    <cellStyle name="Normal 3 10 3 3 2 2" xfId="47233"/>
    <cellStyle name="Normal 3 10 3 3 3" xfId="47234"/>
    <cellStyle name="Normal 3 10 3 4" xfId="47235"/>
    <cellStyle name="Normal 3 10 3 4 2" xfId="47236"/>
    <cellStyle name="Normal 3 10 3 5" xfId="47237"/>
    <cellStyle name="Normal 3 10 4" xfId="47238"/>
    <cellStyle name="Normal 3 10 4 2" xfId="47239"/>
    <cellStyle name="Normal 3 10 4 2 2" xfId="47240"/>
    <cellStyle name="Normal 3 10 4 2 2 2" xfId="47241"/>
    <cellStyle name="Normal 3 10 4 2 2 2 2" xfId="47242"/>
    <cellStyle name="Normal 3 10 4 2 2 3" xfId="47243"/>
    <cellStyle name="Normal 3 10 4 2 3" xfId="47244"/>
    <cellStyle name="Normal 3 10 4 2 3 2" xfId="47245"/>
    <cellStyle name="Normal 3 10 4 2 4" xfId="47246"/>
    <cellStyle name="Normal 3 10 4 3" xfId="47247"/>
    <cellStyle name="Normal 3 10 4 3 2" xfId="47248"/>
    <cellStyle name="Normal 3 10 4 3 2 2" xfId="47249"/>
    <cellStyle name="Normal 3 10 4 3 3" xfId="47250"/>
    <cellStyle name="Normal 3 10 4 4" xfId="47251"/>
    <cellStyle name="Normal 3 10 4 4 2" xfId="47252"/>
    <cellStyle name="Normal 3 10 4 5" xfId="47253"/>
    <cellStyle name="Normal 3 10 5" xfId="47254"/>
    <cellStyle name="Normal 3 10 5 2" xfId="47255"/>
    <cellStyle name="Normal 3 10 5 2 2" xfId="47256"/>
    <cellStyle name="Normal 3 10 5 2 2 2" xfId="47257"/>
    <cellStyle name="Normal 3 10 5 2 2 2 2" xfId="47258"/>
    <cellStyle name="Normal 3 10 5 2 2 3" xfId="47259"/>
    <cellStyle name="Normal 3 10 5 2 3" xfId="47260"/>
    <cellStyle name="Normal 3 10 5 2 3 2" xfId="47261"/>
    <cellStyle name="Normal 3 10 5 2 4" xfId="47262"/>
    <cellStyle name="Normal 3 10 5 3" xfId="47263"/>
    <cellStyle name="Normal 3 10 5 3 2" xfId="47264"/>
    <cellStyle name="Normal 3 10 5 3 2 2" xfId="47265"/>
    <cellStyle name="Normal 3 10 5 3 3" xfId="47266"/>
    <cellStyle name="Normal 3 10 5 4" xfId="47267"/>
    <cellStyle name="Normal 3 10 5 4 2" xfId="47268"/>
    <cellStyle name="Normal 3 10 5 5" xfId="47269"/>
    <cellStyle name="Normal 3 10 6" xfId="47270"/>
    <cellStyle name="Normal 3 10 6 2" xfId="47271"/>
    <cellStyle name="Normal 3 10 6 2 2" xfId="47272"/>
    <cellStyle name="Normal 3 10 6 2 2 2" xfId="47273"/>
    <cellStyle name="Normal 3 10 6 2 2 2 2" xfId="47274"/>
    <cellStyle name="Normal 3 10 6 2 2 3" xfId="47275"/>
    <cellStyle name="Normal 3 10 6 2 3" xfId="47276"/>
    <cellStyle name="Normal 3 10 6 2 3 2" xfId="47277"/>
    <cellStyle name="Normal 3 10 6 2 4" xfId="47278"/>
    <cellStyle name="Normal 3 10 6 3" xfId="47279"/>
    <cellStyle name="Normal 3 10 6 3 2" xfId="47280"/>
    <cellStyle name="Normal 3 10 6 3 2 2" xfId="47281"/>
    <cellStyle name="Normal 3 10 6 3 3" xfId="47282"/>
    <cellStyle name="Normal 3 10 6 4" xfId="47283"/>
    <cellStyle name="Normal 3 10 6 4 2" xfId="47284"/>
    <cellStyle name="Normal 3 10 6 5" xfId="47285"/>
    <cellStyle name="Normal 3 10 7" xfId="47286"/>
    <cellStyle name="Normal 3 10 7 2" xfId="47287"/>
    <cellStyle name="Normal 3 10 7 2 2" xfId="47288"/>
    <cellStyle name="Normal 3 10 7 2 2 2" xfId="47289"/>
    <cellStyle name="Normal 3 10 7 2 3" xfId="47290"/>
    <cellStyle name="Normal 3 10 7 3" xfId="47291"/>
    <cellStyle name="Normal 3 10 7 3 2" xfId="47292"/>
    <cellStyle name="Normal 3 10 7 4" xfId="47293"/>
    <cellStyle name="Normal 3 10 8" xfId="47294"/>
    <cellStyle name="Normal 3 10 8 2" xfId="47295"/>
    <cellStyle name="Normal 3 10 8 2 2" xfId="47296"/>
    <cellStyle name="Normal 3 10 8 3" xfId="47297"/>
    <cellStyle name="Normal 3 10 9" xfId="47298"/>
    <cellStyle name="Normal 3 10 9 2" xfId="47299"/>
    <cellStyle name="Normal 3 11" xfId="47300"/>
    <cellStyle name="Normal 3 11 2" xfId="47301"/>
    <cellStyle name="Normal 3 11 2 2" xfId="47302"/>
    <cellStyle name="Normal 3 11 2 2 2" xfId="47303"/>
    <cellStyle name="Normal 3 11 2 2 2 2" xfId="47304"/>
    <cellStyle name="Normal 3 11 2 2 3" xfId="47305"/>
    <cellStyle name="Normal 3 11 2 3" xfId="47306"/>
    <cellStyle name="Normal 3 11 2 3 2" xfId="47307"/>
    <cellStyle name="Normal 3 11 2 4" xfId="47308"/>
    <cellStyle name="Normal 3 11 3" xfId="47309"/>
    <cellStyle name="Normal 3 11 3 2" xfId="47310"/>
    <cellStyle name="Normal 3 11 3 2 2" xfId="47311"/>
    <cellStyle name="Normal 3 11 3 3" xfId="47312"/>
    <cellStyle name="Normal 3 11 4" xfId="47313"/>
    <cellStyle name="Normal 3 11 4 2" xfId="47314"/>
    <cellStyle name="Normal 3 11 5" xfId="47315"/>
    <cellStyle name="Normal 3 12" xfId="47316"/>
    <cellStyle name="Normal 3 12 2" xfId="47317"/>
    <cellStyle name="Normal 3 12 2 2" xfId="47318"/>
    <cellStyle name="Normal 3 12 2 2 2" xfId="47319"/>
    <cellStyle name="Normal 3 12 2 2 2 2" xfId="47320"/>
    <cellStyle name="Normal 3 12 2 2 3" xfId="47321"/>
    <cellStyle name="Normal 3 12 2 3" xfId="47322"/>
    <cellStyle name="Normal 3 12 2 3 2" xfId="47323"/>
    <cellStyle name="Normal 3 12 2 4" xfId="47324"/>
    <cellStyle name="Normal 3 12 3" xfId="47325"/>
    <cellStyle name="Normal 3 12 3 2" xfId="47326"/>
    <cellStyle name="Normal 3 12 3 2 2" xfId="47327"/>
    <cellStyle name="Normal 3 12 3 3" xfId="47328"/>
    <cellStyle name="Normal 3 12 4" xfId="47329"/>
    <cellStyle name="Normal 3 12 4 2" xfId="47330"/>
    <cellStyle name="Normal 3 12 5" xfId="47331"/>
    <cellStyle name="Normal 3 13" xfId="47332"/>
    <cellStyle name="Normal 3 13 2" xfId="47333"/>
    <cellStyle name="Normal 3 13 2 2" xfId="47334"/>
    <cellStyle name="Normal 3 13 2 2 2" xfId="47335"/>
    <cellStyle name="Normal 3 13 2 2 2 2" xfId="47336"/>
    <cellStyle name="Normal 3 13 2 2 3" xfId="47337"/>
    <cellStyle name="Normal 3 13 2 3" xfId="47338"/>
    <cellStyle name="Normal 3 13 2 3 2" xfId="47339"/>
    <cellStyle name="Normal 3 13 2 4" xfId="47340"/>
    <cellStyle name="Normal 3 13 3" xfId="47341"/>
    <cellStyle name="Normal 3 13 3 2" xfId="47342"/>
    <cellStyle name="Normal 3 13 3 2 2" xfId="47343"/>
    <cellStyle name="Normal 3 13 3 3" xfId="47344"/>
    <cellStyle name="Normal 3 13 4" xfId="47345"/>
    <cellStyle name="Normal 3 13 4 2" xfId="47346"/>
    <cellStyle name="Normal 3 13 5" xfId="47347"/>
    <cellStyle name="Normal 3 14" xfId="47348"/>
    <cellStyle name="Normal 3 14 2" xfId="47349"/>
    <cellStyle name="Normal 3 14 2 2" xfId="47350"/>
    <cellStyle name="Normal 3 14 2 2 2" xfId="47351"/>
    <cellStyle name="Normal 3 14 2 2 2 2" xfId="47352"/>
    <cellStyle name="Normal 3 14 2 2 3" xfId="47353"/>
    <cellStyle name="Normal 3 14 2 3" xfId="47354"/>
    <cellStyle name="Normal 3 14 2 3 2" xfId="47355"/>
    <cellStyle name="Normal 3 14 2 4" xfId="47356"/>
    <cellStyle name="Normal 3 14 3" xfId="47357"/>
    <cellStyle name="Normal 3 14 3 2" xfId="47358"/>
    <cellStyle name="Normal 3 14 3 2 2" xfId="47359"/>
    <cellStyle name="Normal 3 14 3 3" xfId="47360"/>
    <cellStyle name="Normal 3 14 4" xfId="47361"/>
    <cellStyle name="Normal 3 14 4 2" xfId="47362"/>
    <cellStyle name="Normal 3 14 5" xfId="47363"/>
    <cellStyle name="Normal 3 15" xfId="47364"/>
    <cellStyle name="Normal 3 15 2" xfId="47365"/>
    <cellStyle name="Normal 3 15 2 2" xfId="47366"/>
    <cellStyle name="Normal 3 15 2 2 2" xfId="47367"/>
    <cellStyle name="Normal 3 15 2 2 2 2" xfId="47368"/>
    <cellStyle name="Normal 3 15 2 2 3" xfId="47369"/>
    <cellStyle name="Normal 3 15 2 3" xfId="47370"/>
    <cellStyle name="Normal 3 15 2 3 2" xfId="47371"/>
    <cellStyle name="Normal 3 15 2 4" xfId="47372"/>
    <cellStyle name="Normal 3 15 3" xfId="47373"/>
    <cellStyle name="Normal 3 15 3 2" xfId="47374"/>
    <cellStyle name="Normal 3 15 3 2 2" xfId="47375"/>
    <cellStyle name="Normal 3 15 3 3" xfId="47376"/>
    <cellStyle name="Normal 3 15 4" xfId="47377"/>
    <cellStyle name="Normal 3 15 4 2" xfId="47378"/>
    <cellStyle name="Normal 3 15 5" xfId="47379"/>
    <cellStyle name="Normal 3 16" xfId="47380"/>
    <cellStyle name="Normal 3 16 2" xfId="47381"/>
    <cellStyle name="Normal 3 16 2 2" xfId="47382"/>
    <cellStyle name="Normal 3 16 2 2 2" xfId="47383"/>
    <cellStyle name="Normal 3 16 2 3" xfId="47384"/>
    <cellStyle name="Normal 3 16 3" xfId="47385"/>
    <cellStyle name="Normal 3 16 3 2" xfId="47386"/>
    <cellStyle name="Normal 3 16 4" xfId="47387"/>
    <cellStyle name="Normal 3 17" xfId="47388"/>
    <cellStyle name="Normal 3 17 2" xfId="47389"/>
    <cellStyle name="Normal 3 17 2 2" xfId="47390"/>
    <cellStyle name="Normal 3 17 3" xfId="47391"/>
    <cellStyle name="Normal 3 18" xfId="47392"/>
    <cellStyle name="Normal 3 18 2" xfId="47393"/>
    <cellStyle name="Normal 3 19" xfId="47394"/>
    <cellStyle name="Normal 3 2" xfId="47395"/>
    <cellStyle name="Normal 3 2 10" xfId="47396"/>
    <cellStyle name="Normal 3 2 10 2" xfId="47397"/>
    <cellStyle name="Normal 3 2 11" xfId="47398"/>
    <cellStyle name="Normal 3 2 2" xfId="47399"/>
    <cellStyle name="Normal 3 2 2 10" xfId="47400"/>
    <cellStyle name="Normal 3 2 2 2" xfId="47401"/>
    <cellStyle name="Normal 3 2 2 2 2" xfId="47402"/>
    <cellStyle name="Normal 3 2 2 2 2 2" xfId="47403"/>
    <cellStyle name="Normal 3 2 2 2 2 2 2" xfId="47404"/>
    <cellStyle name="Normal 3 2 2 2 2 2 2 2" xfId="47405"/>
    <cellStyle name="Normal 3 2 2 2 2 2 3" xfId="47406"/>
    <cellStyle name="Normal 3 2 2 2 2 3" xfId="47407"/>
    <cellStyle name="Normal 3 2 2 2 2 3 2" xfId="47408"/>
    <cellStyle name="Normal 3 2 2 2 2 4" xfId="47409"/>
    <cellStyle name="Normal 3 2 2 2 3" xfId="47410"/>
    <cellStyle name="Normal 3 2 2 2 3 2" xfId="47411"/>
    <cellStyle name="Normal 3 2 2 2 3 2 2" xfId="47412"/>
    <cellStyle name="Normal 3 2 2 2 3 3" xfId="47413"/>
    <cellStyle name="Normal 3 2 2 2 4" xfId="47414"/>
    <cellStyle name="Normal 3 2 2 2 4 2" xfId="47415"/>
    <cellStyle name="Normal 3 2 2 2 5" xfId="47416"/>
    <cellStyle name="Normal 3 2 2 3" xfId="47417"/>
    <cellStyle name="Normal 3 2 2 3 2" xfId="47418"/>
    <cellStyle name="Normal 3 2 2 3 2 2" xfId="47419"/>
    <cellStyle name="Normal 3 2 2 3 2 2 2" xfId="47420"/>
    <cellStyle name="Normal 3 2 2 3 2 2 2 2" xfId="47421"/>
    <cellStyle name="Normal 3 2 2 3 2 2 3" xfId="47422"/>
    <cellStyle name="Normal 3 2 2 3 2 3" xfId="47423"/>
    <cellStyle name="Normal 3 2 2 3 2 3 2" xfId="47424"/>
    <cellStyle name="Normal 3 2 2 3 2 4" xfId="47425"/>
    <cellStyle name="Normal 3 2 2 3 3" xfId="47426"/>
    <cellStyle name="Normal 3 2 2 3 3 2" xfId="47427"/>
    <cellStyle name="Normal 3 2 2 3 3 2 2" xfId="47428"/>
    <cellStyle name="Normal 3 2 2 3 3 3" xfId="47429"/>
    <cellStyle name="Normal 3 2 2 3 4" xfId="47430"/>
    <cellStyle name="Normal 3 2 2 3 4 2" xfId="47431"/>
    <cellStyle name="Normal 3 2 2 3 5" xfId="47432"/>
    <cellStyle name="Normal 3 2 2 4" xfId="47433"/>
    <cellStyle name="Normal 3 2 2 4 2" xfId="47434"/>
    <cellStyle name="Normal 3 2 2 4 2 2" xfId="47435"/>
    <cellStyle name="Normal 3 2 2 4 2 2 2" xfId="47436"/>
    <cellStyle name="Normal 3 2 2 4 2 2 2 2" xfId="47437"/>
    <cellStyle name="Normal 3 2 2 4 2 2 3" xfId="47438"/>
    <cellStyle name="Normal 3 2 2 4 2 3" xfId="47439"/>
    <cellStyle name="Normal 3 2 2 4 2 3 2" xfId="47440"/>
    <cellStyle name="Normal 3 2 2 4 2 4" xfId="47441"/>
    <cellStyle name="Normal 3 2 2 4 3" xfId="47442"/>
    <cellStyle name="Normal 3 2 2 4 3 2" xfId="47443"/>
    <cellStyle name="Normal 3 2 2 4 3 2 2" xfId="47444"/>
    <cellStyle name="Normal 3 2 2 4 3 3" xfId="47445"/>
    <cellStyle name="Normal 3 2 2 4 4" xfId="47446"/>
    <cellStyle name="Normal 3 2 2 4 4 2" xfId="47447"/>
    <cellStyle name="Normal 3 2 2 4 5" xfId="47448"/>
    <cellStyle name="Normal 3 2 2 5" xfId="47449"/>
    <cellStyle name="Normal 3 2 2 5 2" xfId="47450"/>
    <cellStyle name="Normal 3 2 2 5 2 2" xfId="47451"/>
    <cellStyle name="Normal 3 2 2 5 2 2 2" xfId="47452"/>
    <cellStyle name="Normal 3 2 2 5 2 2 2 2" xfId="47453"/>
    <cellStyle name="Normal 3 2 2 5 2 2 3" xfId="47454"/>
    <cellStyle name="Normal 3 2 2 5 2 3" xfId="47455"/>
    <cellStyle name="Normal 3 2 2 5 2 3 2" xfId="47456"/>
    <cellStyle name="Normal 3 2 2 5 2 4" xfId="47457"/>
    <cellStyle name="Normal 3 2 2 5 3" xfId="47458"/>
    <cellStyle name="Normal 3 2 2 5 3 2" xfId="47459"/>
    <cellStyle name="Normal 3 2 2 5 3 2 2" xfId="47460"/>
    <cellStyle name="Normal 3 2 2 5 3 3" xfId="47461"/>
    <cellStyle name="Normal 3 2 2 5 4" xfId="47462"/>
    <cellStyle name="Normal 3 2 2 5 4 2" xfId="47463"/>
    <cellStyle name="Normal 3 2 2 5 5" xfId="47464"/>
    <cellStyle name="Normal 3 2 2 6" xfId="47465"/>
    <cellStyle name="Normal 3 2 2 6 2" xfId="47466"/>
    <cellStyle name="Normal 3 2 2 6 2 2" xfId="47467"/>
    <cellStyle name="Normal 3 2 2 6 2 2 2" xfId="47468"/>
    <cellStyle name="Normal 3 2 2 6 2 2 2 2" xfId="47469"/>
    <cellStyle name="Normal 3 2 2 6 2 2 3" xfId="47470"/>
    <cellStyle name="Normal 3 2 2 6 2 3" xfId="47471"/>
    <cellStyle name="Normal 3 2 2 6 2 3 2" xfId="47472"/>
    <cellStyle name="Normal 3 2 2 6 2 4" xfId="47473"/>
    <cellStyle name="Normal 3 2 2 6 3" xfId="47474"/>
    <cellStyle name="Normal 3 2 2 6 3 2" xfId="47475"/>
    <cellStyle name="Normal 3 2 2 6 3 2 2" xfId="47476"/>
    <cellStyle name="Normal 3 2 2 6 3 3" xfId="47477"/>
    <cellStyle name="Normal 3 2 2 6 4" xfId="47478"/>
    <cellStyle name="Normal 3 2 2 6 4 2" xfId="47479"/>
    <cellStyle name="Normal 3 2 2 6 5" xfId="47480"/>
    <cellStyle name="Normal 3 2 2 7" xfId="47481"/>
    <cellStyle name="Normal 3 2 2 7 2" xfId="47482"/>
    <cellStyle name="Normal 3 2 2 7 2 2" xfId="47483"/>
    <cellStyle name="Normal 3 2 2 7 2 2 2" xfId="47484"/>
    <cellStyle name="Normal 3 2 2 7 2 3" xfId="47485"/>
    <cellStyle name="Normal 3 2 2 7 3" xfId="47486"/>
    <cellStyle name="Normal 3 2 2 7 3 2" xfId="47487"/>
    <cellStyle name="Normal 3 2 2 7 4" xfId="47488"/>
    <cellStyle name="Normal 3 2 2 8" xfId="47489"/>
    <cellStyle name="Normal 3 2 2 8 2" xfId="47490"/>
    <cellStyle name="Normal 3 2 2 8 2 2" xfId="47491"/>
    <cellStyle name="Normal 3 2 2 8 3" xfId="47492"/>
    <cellStyle name="Normal 3 2 2 9" xfId="47493"/>
    <cellStyle name="Normal 3 2 2 9 2" xfId="47494"/>
    <cellStyle name="Normal 3 2 3" xfId="47495"/>
    <cellStyle name="Normal 3 2 3 2" xfId="47496"/>
    <cellStyle name="Normal 3 2 3 2 2" xfId="47497"/>
    <cellStyle name="Normal 3 2 3 2 2 2" xfId="47498"/>
    <cellStyle name="Normal 3 2 3 2 2 2 2" xfId="47499"/>
    <cellStyle name="Normal 3 2 3 2 2 3" xfId="47500"/>
    <cellStyle name="Normal 3 2 3 2 3" xfId="47501"/>
    <cellStyle name="Normal 3 2 3 2 3 2" xfId="47502"/>
    <cellStyle name="Normal 3 2 3 2 4" xfId="47503"/>
    <cellStyle name="Normal 3 2 3 3" xfId="47504"/>
    <cellStyle name="Normal 3 2 3 3 2" xfId="47505"/>
    <cellStyle name="Normal 3 2 3 3 2 2" xfId="47506"/>
    <cellStyle name="Normal 3 2 3 3 3" xfId="47507"/>
    <cellStyle name="Normal 3 2 3 4" xfId="47508"/>
    <cellStyle name="Normal 3 2 3 4 2" xfId="47509"/>
    <cellStyle name="Normal 3 2 3 5" xfId="47510"/>
    <cellStyle name="Normal 3 2 4" xfId="47511"/>
    <cellStyle name="Normal 3 2 4 2" xfId="47512"/>
    <cellStyle name="Normal 3 2 4 2 2" xfId="47513"/>
    <cellStyle name="Normal 3 2 4 2 2 2" xfId="47514"/>
    <cellStyle name="Normal 3 2 4 2 2 2 2" xfId="47515"/>
    <cellStyle name="Normal 3 2 4 2 2 3" xfId="47516"/>
    <cellStyle name="Normal 3 2 4 2 3" xfId="47517"/>
    <cellStyle name="Normal 3 2 4 2 3 2" xfId="47518"/>
    <cellStyle name="Normal 3 2 4 2 4" xfId="47519"/>
    <cellStyle name="Normal 3 2 4 3" xfId="47520"/>
    <cellStyle name="Normal 3 2 4 3 2" xfId="47521"/>
    <cellStyle name="Normal 3 2 4 3 2 2" xfId="47522"/>
    <cellStyle name="Normal 3 2 4 3 3" xfId="47523"/>
    <cellStyle name="Normal 3 2 4 4" xfId="47524"/>
    <cellStyle name="Normal 3 2 4 4 2" xfId="47525"/>
    <cellStyle name="Normal 3 2 4 5" xfId="47526"/>
    <cellStyle name="Normal 3 2 5" xfId="47527"/>
    <cellStyle name="Normal 3 2 5 2" xfId="47528"/>
    <cellStyle name="Normal 3 2 5 2 2" xfId="47529"/>
    <cellStyle name="Normal 3 2 5 2 2 2" xfId="47530"/>
    <cellStyle name="Normal 3 2 5 2 2 2 2" xfId="47531"/>
    <cellStyle name="Normal 3 2 5 2 2 3" xfId="47532"/>
    <cellStyle name="Normal 3 2 5 2 3" xfId="47533"/>
    <cellStyle name="Normal 3 2 5 2 3 2" xfId="47534"/>
    <cellStyle name="Normal 3 2 5 2 4" xfId="47535"/>
    <cellStyle name="Normal 3 2 5 3" xfId="47536"/>
    <cellStyle name="Normal 3 2 5 3 2" xfId="47537"/>
    <cellStyle name="Normal 3 2 5 3 2 2" xfId="47538"/>
    <cellStyle name="Normal 3 2 5 3 3" xfId="47539"/>
    <cellStyle name="Normal 3 2 5 4" xfId="47540"/>
    <cellStyle name="Normal 3 2 5 4 2" xfId="47541"/>
    <cellStyle name="Normal 3 2 5 5" xfId="47542"/>
    <cellStyle name="Normal 3 2 6" xfId="47543"/>
    <cellStyle name="Normal 3 2 6 2" xfId="47544"/>
    <cellStyle name="Normal 3 2 6 2 2" xfId="47545"/>
    <cellStyle name="Normal 3 2 6 2 2 2" xfId="47546"/>
    <cellStyle name="Normal 3 2 6 2 2 2 2" xfId="47547"/>
    <cellStyle name="Normal 3 2 6 2 2 3" xfId="47548"/>
    <cellStyle name="Normal 3 2 6 2 3" xfId="47549"/>
    <cellStyle name="Normal 3 2 6 2 3 2" xfId="47550"/>
    <cellStyle name="Normal 3 2 6 2 4" xfId="47551"/>
    <cellStyle name="Normal 3 2 6 3" xfId="47552"/>
    <cellStyle name="Normal 3 2 6 3 2" xfId="47553"/>
    <cellStyle name="Normal 3 2 6 3 2 2" xfId="47554"/>
    <cellStyle name="Normal 3 2 6 3 3" xfId="47555"/>
    <cellStyle name="Normal 3 2 6 4" xfId="47556"/>
    <cellStyle name="Normal 3 2 6 4 2" xfId="47557"/>
    <cellStyle name="Normal 3 2 6 5" xfId="47558"/>
    <cellStyle name="Normal 3 2 7" xfId="47559"/>
    <cellStyle name="Normal 3 2 7 2" xfId="47560"/>
    <cellStyle name="Normal 3 2 7 2 2" xfId="47561"/>
    <cellStyle name="Normal 3 2 7 2 2 2" xfId="47562"/>
    <cellStyle name="Normal 3 2 7 2 2 2 2" xfId="47563"/>
    <cellStyle name="Normal 3 2 7 2 2 3" xfId="47564"/>
    <cellStyle name="Normal 3 2 7 2 3" xfId="47565"/>
    <cellStyle name="Normal 3 2 7 2 3 2" xfId="47566"/>
    <cellStyle name="Normal 3 2 7 2 4" xfId="47567"/>
    <cellStyle name="Normal 3 2 7 3" xfId="47568"/>
    <cellStyle name="Normal 3 2 7 3 2" xfId="47569"/>
    <cellStyle name="Normal 3 2 7 3 2 2" xfId="47570"/>
    <cellStyle name="Normal 3 2 7 3 3" xfId="47571"/>
    <cellStyle name="Normal 3 2 7 4" xfId="47572"/>
    <cellStyle name="Normal 3 2 7 4 2" xfId="47573"/>
    <cellStyle name="Normal 3 2 7 5" xfId="47574"/>
    <cellStyle name="Normal 3 2 8" xfId="47575"/>
    <cellStyle name="Normal 3 2 8 2" xfId="47576"/>
    <cellStyle name="Normal 3 2 8 2 2" xfId="47577"/>
    <cellStyle name="Normal 3 2 8 2 2 2" xfId="47578"/>
    <cellStyle name="Normal 3 2 8 2 3" xfId="47579"/>
    <cellStyle name="Normal 3 2 8 3" xfId="47580"/>
    <cellStyle name="Normal 3 2 8 3 2" xfId="47581"/>
    <cellStyle name="Normal 3 2 8 4" xfId="47582"/>
    <cellStyle name="Normal 3 2 9" xfId="47583"/>
    <cellStyle name="Normal 3 2 9 2" xfId="47584"/>
    <cellStyle name="Normal 3 2 9 2 2" xfId="47585"/>
    <cellStyle name="Normal 3 2 9 3" xfId="47586"/>
    <cellStyle name="Normal 3 3" xfId="47587"/>
    <cellStyle name="Normal 3 3 10" xfId="47588"/>
    <cellStyle name="Normal 3 3 10 2" xfId="47589"/>
    <cellStyle name="Normal 3 3 11" xfId="47590"/>
    <cellStyle name="Normal 3 3 2" xfId="47591"/>
    <cellStyle name="Normal 3 3 2 10" xfId="47592"/>
    <cellStyle name="Normal 3 3 2 2" xfId="47593"/>
    <cellStyle name="Normal 3 3 2 2 2" xfId="47594"/>
    <cellStyle name="Normal 3 3 2 2 2 2" xfId="47595"/>
    <cellStyle name="Normal 3 3 2 2 2 2 2" xfId="47596"/>
    <cellStyle name="Normal 3 3 2 2 2 2 2 2" xfId="47597"/>
    <cellStyle name="Normal 3 3 2 2 2 2 3" xfId="47598"/>
    <cellStyle name="Normal 3 3 2 2 2 3" xfId="47599"/>
    <cellStyle name="Normal 3 3 2 2 2 3 2" xfId="47600"/>
    <cellStyle name="Normal 3 3 2 2 2 4" xfId="47601"/>
    <cellStyle name="Normal 3 3 2 2 3" xfId="47602"/>
    <cellStyle name="Normal 3 3 2 2 3 2" xfId="47603"/>
    <cellStyle name="Normal 3 3 2 2 3 2 2" xfId="47604"/>
    <cellStyle name="Normal 3 3 2 2 3 3" xfId="47605"/>
    <cellStyle name="Normal 3 3 2 2 4" xfId="47606"/>
    <cellStyle name="Normal 3 3 2 2 4 2" xfId="47607"/>
    <cellStyle name="Normal 3 3 2 2 5" xfId="47608"/>
    <cellStyle name="Normal 3 3 2 3" xfId="47609"/>
    <cellStyle name="Normal 3 3 2 3 2" xfId="47610"/>
    <cellStyle name="Normal 3 3 2 3 2 2" xfId="47611"/>
    <cellStyle name="Normal 3 3 2 3 2 2 2" xfId="47612"/>
    <cellStyle name="Normal 3 3 2 3 2 2 2 2" xfId="47613"/>
    <cellStyle name="Normal 3 3 2 3 2 2 3" xfId="47614"/>
    <cellStyle name="Normal 3 3 2 3 2 3" xfId="47615"/>
    <cellStyle name="Normal 3 3 2 3 2 3 2" xfId="47616"/>
    <cellStyle name="Normal 3 3 2 3 2 4" xfId="47617"/>
    <cellStyle name="Normal 3 3 2 3 3" xfId="47618"/>
    <cellStyle name="Normal 3 3 2 3 3 2" xfId="47619"/>
    <cellStyle name="Normal 3 3 2 3 3 2 2" xfId="47620"/>
    <cellStyle name="Normal 3 3 2 3 3 3" xfId="47621"/>
    <cellStyle name="Normal 3 3 2 3 4" xfId="47622"/>
    <cellStyle name="Normal 3 3 2 3 4 2" xfId="47623"/>
    <cellStyle name="Normal 3 3 2 3 5" xfId="47624"/>
    <cellStyle name="Normal 3 3 2 4" xfId="47625"/>
    <cellStyle name="Normal 3 3 2 4 2" xfId="47626"/>
    <cellStyle name="Normal 3 3 2 4 2 2" xfId="47627"/>
    <cellStyle name="Normal 3 3 2 4 2 2 2" xfId="47628"/>
    <cellStyle name="Normal 3 3 2 4 2 2 2 2" xfId="47629"/>
    <cellStyle name="Normal 3 3 2 4 2 2 3" xfId="47630"/>
    <cellStyle name="Normal 3 3 2 4 2 3" xfId="47631"/>
    <cellStyle name="Normal 3 3 2 4 2 3 2" xfId="47632"/>
    <cellStyle name="Normal 3 3 2 4 2 4" xfId="47633"/>
    <cellStyle name="Normal 3 3 2 4 3" xfId="47634"/>
    <cellStyle name="Normal 3 3 2 4 3 2" xfId="47635"/>
    <cellStyle name="Normal 3 3 2 4 3 2 2" xfId="47636"/>
    <cellStyle name="Normal 3 3 2 4 3 3" xfId="47637"/>
    <cellStyle name="Normal 3 3 2 4 4" xfId="47638"/>
    <cellStyle name="Normal 3 3 2 4 4 2" xfId="47639"/>
    <cellStyle name="Normal 3 3 2 4 5" xfId="47640"/>
    <cellStyle name="Normal 3 3 2 5" xfId="47641"/>
    <cellStyle name="Normal 3 3 2 5 2" xfId="47642"/>
    <cellStyle name="Normal 3 3 2 5 2 2" xfId="47643"/>
    <cellStyle name="Normal 3 3 2 5 2 2 2" xfId="47644"/>
    <cellStyle name="Normal 3 3 2 5 2 2 2 2" xfId="47645"/>
    <cellStyle name="Normal 3 3 2 5 2 2 3" xfId="47646"/>
    <cellStyle name="Normal 3 3 2 5 2 3" xfId="47647"/>
    <cellStyle name="Normal 3 3 2 5 2 3 2" xfId="47648"/>
    <cellStyle name="Normal 3 3 2 5 2 4" xfId="47649"/>
    <cellStyle name="Normal 3 3 2 5 3" xfId="47650"/>
    <cellStyle name="Normal 3 3 2 5 3 2" xfId="47651"/>
    <cellStyle name="Normal 3 3 2 5 3 2 2" xfId="47652"/>
    <cellStyle name="Normal 3 3 2 5 3 3" xfId="47653"/>
    <cellStyle name="Normal 3 3 2 5 4" xfId="47654"/>
    <cellStyle name="Normal 3 3 2 5 4 2" xfId="47655"/>
    <cellStyle name="Normal 3 3 2 5 5" xfId="47656"/>
    <cellStyle name="Normal 3 3 2 6" xfId="47657"/>
    <cellStyle name="Normal 3 3 2 6 2" xfId="47658"/>
    <cellStyle name="Normal 3 3 2 6 2 2" xfId="47659"/>
    <cellStyle name="Normal 3 3 2 6 2 2 2" xfId="47660"/>
    <cellStyle name="Normal 3 3 2 6 2 2 2 2" xfId="47661"/>
    <cellStyle name="Normal 3 3 2 6 2 2 3" xfId="47662"/>
    <cellStyle name="Normal 3 3 2 6 2 3" xfId="47663"/>
    <cellStyle name="Normal 3 3 2 6 2 3 2" xfId="47664"/>
    <cellStyle name="Normal 3 3 2 6 2 4" xfId="47665"/>
    <cellStyle name="Normal 3 3 2 6 3" xfId="47666"/>
    <cellStyle name="Normal 3 3 2 6 3 2" xfId="47667"/>
    <cellStyle name="Normal 3 3 2 6 3 2 2" xfId="47668"/>
    <cellStyle name="Normal 3 3 2 6 3 3" xfId="47669"/>
    <cellStyle name="Normal 3 3 2 6 4" xfId="47670"/>
    <cellStyle name="Normal 3 3 2 6 4 2" xfId="47671"/>
    <cellStyle name="Normal 3 3 2 6 5" xfId="47672"/>
    <cellStyle name="Normal 3 3 2 7" xfId="47673"/>
    <cellStyle name="Normal 3 3 2 7 2" xfId="47674"/>
    <cellStyle name="Normal 3 3 2 7 2 2" xfId="47675"/>
    <cellStyle name="Normal 3 3 2 7 2 2 2" xfId="47676"/>
    <cellStyle name="Normal 3 3 2 7 2 3" xfId="47677"/>
    <cellStyle name="Normal 3 3 2 7 3" xfId="47678"/>
    <cellStyle name="Normal 3 3 2 7 3 2" xfId="47679"/>
    <cellStyle name="Normal 3 3 2 7 4" xfId="47680"/>
    <cellStyle name="Normal 3 3 2 8" xfId="47681"/>
    <cellStyle name="Normal 3 3 2 8 2" xfId="47682"/>
    <cellStyle name="Normal 3 3 2 8 2 2" xfId="47683"/>
    <cellStyle name="Normal 3 3 2 8 3" xfId="47684"/>
    <cellStyle name="Normal 3 3 2 9" xfId="47685"/>
    <cellStyle name="Normal 3 3 2 9 2" xfId="47686"/>
    <cellStyle name="Normal 3 3 3" xfId="47687"/>
    <cellStyle name="Normal 3 3 3 2" xfId="47688"/>
    <cellStyle name="Normal 3 3 3 2 2" xfId="47689"/>
    <cellStyle name="Normal 3 3 3 2 2 2" xfId="47690"/>
    <cellStyle name="Normal 3 3 3 2 2 2 2" xfId="47691"/>
    <cellStyle name="Normal 3 3 3 2 2 3" xfId="47692"/>
    <cellStyle name="Normal 3 3 3 2 3" xfId="47693"/>
    <cellStyle name="Normal 3 3 3 2 3 2" xfId="47694"/>
    <cellStyle name="Normal 3 3 3 2 4" xfId="47695"/>
    <cellStyle name="Normal 3 3 3 3" xfId="47696"/>
    <cellStyle name="Normal 3 3 3 3 2" xfId="47697"/>
    <cellStyle name="Normal 3 3 3 3 2 2" xfId="47698"/>
    <cellStyle name="Normal 3 3 3 3 3" xfId="47699"/>
    <cellStyle name="Normal 3 3 3 4" xfId="47700"/>
    <cellStyle name="Normal 3 3 3 4 2" xfId="47701"/>
    <cellStyle name="Normal 3 3 3 5" xfId="47702"/>
    <cellStyle name="Normal 3 3 4" xfId="47703"/>
    <cellStyle name="Normal 3 3 4 2" xfId="47704"/>
    <cellStyle name="Normal 3 3 4 2 2" xfId="47705"/>
    <cellStyle name="Normal 3 3 4 2 2 2" xfId="47706"/>
    <cellStyle name="Normal 3 3 4 2 2 2 2" xfId="47707"/>
    <cellStyle name="Normal 3 3 4 2 2 3" xfId="47708"/>
    <cellStyle name="Normal 3 3 4 2 3" xfId="47709"/>
    <cellStyle name="Normal 3 3 4 2 3 2" xfId="47710"/>
    <cellStyle name="Normal 3 3 4 2 4" xfId="47711"/>
    <cellStyle name="Normal 3 3 4 3" xfId="47712"/>
    <cellStyle name="Normal 3 3 4 3 2" xfId="47713"/>
    <cellStyle name="Normal 3 3 4 3 2 2" xfId="47714"/>
    <cellStyle name="Normal 3 3 4 3 3" xfId="47715"/>
    <cellStyle name="Normal 3 3 4 4" xfId="47716"/>
    <cellStyle name="Normal 3 3 4 4 2" xfId="47717"/>
    <cellStyle name="Normal 3 3 4 5" xfId="47718"/>
    <cellStyle name="Normal 3 3 5" xfId="47719"/>
    <cellStyle name="Normal 3 3 5 2" xfId="47720"/>
    <cellStyle name="Normal 3 3 5 2 2" xfId="47721"/>
    <cellStyle name="Normal 3 3 5 2 2 2" xfId="47722"/>
    <cellStyle name="Normal 3 3 5 2 2 2 2" xfId="47723"/>
    <cellStyle name="Normal 3 3 5 2 2 3" xfId="47724"/>
    <cellStyle name="Normal 3 3 5 2 3" xfId="47725"/>
    <cellStyle name="Normal 3 3 5 2 3 2" xfId="47726"/>
    <cellStyle name="Normal 3 3 5 2 4" xfId="47727"/>
    <cellStyle name="Normal 3 3 5 3" xfId="47728"/>
    <cellStyle name="Normal 3 3 5 3 2" xfId="47729"/>
    <cellStyle name="Normal 3 3 5 3 2 2" xfId="47730"/>
    <cellStyle name="Normal 3 3 5 3 3" xfId="47731"/>
    <cellStyle name="Normal 3 3 5 4" xfId="47732"/>
    <cellStyle name="Normal 3 3 5 4 2" xfId="47733"/>
    <cellStyle name="Normal 3 3 5 5" xfId="47734"/>
    <cellStyle name="Normal 3 3 6" xfId="47735"/>
    <cellStyle name="Normal 3 3 6 2" xfId="47736"/>
    <cellStyle name="Normal 3 3 6 2 2" xfId="47737"/>
    <cellStyle name="Normal 3 3 6 2 2 2" xfId="47738"/>
    <cellStyle name="Normal 3 3 6 2 2 2 2" xfId="47739"/>
    <cellStyle name="Normal 3 3 6 2 2 3" xfId="47740"/>
    <cellStyle name="Normal 3 3 6 2 3" xfId="47741"/>
    <cellStyle name="Normal 3 3 6 2 3 2" xfId="47742"/>
    <cellStyle name="Normal 3 3 6 2 4" xfId="47743"/>
    <cellStyle name="Normal 3 3 6 3" xfId="47744"/>
    <cellStyle name="Normal 3 3 6 3 2" xfId="47745"/>
    <cellStyle name="Normal 3 3 6 3 2 2" xfId="47746"/>
    <cellStyle name="Normal 3 3 6 3 3" xfId="47747"/>
    <cellStyle name="Normal 3 3 6 4" xfId="47748"/>
    <cellStyle name="Normal 3 3 6 4 2" xfId="47749"/>
    <cellStyle name="Normal 3 3 6 5" xfId="47750"/>
    <cellStyle name="Normal 3 3 7" xfId="47751"/>
    <cellStyle name="Normal 3 3 7 2" xfId="47752"/>
    <cellStyle name="Normal 3 3 7 2 2" xfId="47753"/>
    <cellStyle name="Normal 3 3 7 2 2 2" xfId="47754"/>
    <cellStyle name="Normal 3 3 7 2 2 2 2" xfId="47755"/>
    <cellStyle name="Normal 3 3 7 2 2 3" xfId="47756"/>
    <cellStyle name="Normal 3 3 7 2 3" xfId="47757"/>
    <cellStyle name="Normal 3 3 7 2 3 2" xfId="47758"/>
    <cellStyle name="Normal 3 3 7 2 4" xfId="47759"/>
    <cellStyle name="Normal 3 3 7 3" xfId="47760"/>
    <cellStyle name="Normal 3 3 7 3 2" xfId="47761"/>
    <cellStyle name="Normal 3 3 7 3 2 2" xfId="47762"/>
    <cellStyle name="Normal 3 3 7 3 3" xfId="47763"/>
    <cellStyle name="Normal 3 3 7 4" xfId="47764"/>
    <cellStyle name="Normal 3 3 7 4 2" xfId="47765"/>
    <cellStyle name="Normal 3 3 7 5" xfId="47766"/>
    <cellStyle name="Normal 3 3 8" xfId="47767"/>
    <cellStyle name="Normal 3 3 8 2" xfId="47768"/>
    <cellStyle name="Normal 3 3 8 2 2" xfId="47769"/>
    <cellStyle name="Normal 3 3 8 2 2 2" xfId="47770"/>
    <cellStyle name="Normal 3 3 8 2 3" xfId="47771"/>
    <cellStyle name="Normal 3 3 8 3" xfId="47772"/>
    <cellStyle name="Normal 3 3 8 3 2" xfId="47773"/>
    <cellStyle name="Normal 3 3 8 4" xfId="47774"/>
    <cellStyle name="Normal 3 3 9" xfId="47775"/>
    <cellStyle name="Normal 3 3 9 2" xfId="47776"/>
    <cellStyle name="Normal 3 3 9 2 2" xfId="47777"/>
    <cellStyle name="Normal 3 3 9 3" xfId="47778"/>
    <cellStyle name="Normal 3 4" xfId="47779"/>
    <cellStyle name="Normal 3 4 10" xfId="47780"/>
    <cellStyle name="Normal 3 4 10 2" xfId="47781"/>
    <cellStyle name="Normal 3 4 11" xfId="47782"/>
    <cellStyle name="Normal 3 4 2" xfId="47783"/>
    <cellStyle name="Normal 3 4 2 10" xfId="47784"/>
    <cellStyle name="Normal 3 4 2 2" xfId="47785"/>
    <cellStyle name="Normal 3 4 2 2 2" xfId="47786"/>
    <cellStyle name="Normal 3 4 2 2 2 2" xfId="47787"/>
    <cellStyle name="Normal 3 4 2 2 2 2 2" xfId="47788"/>
    <cellStyle name="Normal 3 4 2 2 2 2 2 2" xfId="47789"/>
    <cellStyle name="Normal 3 4 2 2 2 2 3" xfId="47790"/>
    <cellStyle name="Normal 3 4 2 2 2 3" xfId="47791"/>
    <cellStyle name="Normal 3 4 2 2 2 3 2" xfId="47792"/>
    <cellStyle name="Normal 3 4 2 2 2 4" xfId="47793"/>
    <cellStyle name="Normal 3 4 2 2 3" xfId="47794"/>
    <cellStyle name="Normal 3 4 2 2 3 2" xfId="47795"/>
    <cellStyle name="Normal 3 4 2 2 3 2 2" xfId="47796"/>
    <cellStyle name="Normal 3 4 2 2 3 3" xfId="47797"/>
    <cellStyle name="Normal 3 4 2 2 4" xfId="47798"/>
    <cellStyle name="Normal 3 4 2 2 4 2" xfId="47799"/>
    <cellStyle name="Normal 3 4 2 2 5" xfId="47800"/>
    <cellStyle name="Normal 3 4 2 3" xfId="47801"/>
    <cellStyle name="Normal 3 4 2 3 2" xfId="47802"/>
    <cellStyle name="Normal 3 4 2 3 2 2" xfId="47803"/>
    <cellStyle name="Normal 3 4 2 3 2 2 2" xfId="47804"/>
    <cellStyle name="Normal 3 4 2 3 2 2 2 2" xfId="47805"/>
    <cellStyle name="Normal 3 4 2 3 2 2 3" xfId="47806"/>
    <cellStyle name="Normal 3 4 2 3 2 3" xfId="47807"/>
    <cellStyle name="Normal 3 4 2 3 2 3 2" xfId="47808"/>
    <cellStyle name="Normal 3 4 2 3 2 4" xfId="47809"/>
    <cellStyle name="Normal 3 4 2 3 3" xfId="47810"/>
    <cellStyle name="Normal 3 4 2 3 3 2" xfId="47811"/>
    <cellStyle name="Normal 3 4 2 3 3 2 2" xfId="47812"/>
    <cellStyle name="Normal 3 4 2 3 3 3" xfId="47813"/>
    <cellStyle name="Normal 3 4 2 3 4" xfId="47814"/>
    <cellStyle name="Normal 3 4 2 3 4 2" xfId="47815"/>
    <cellStyle name="Normal 3 4 2 3 5" xfId="47816"/>
    <cellStyle name="Normal 3 4 2 4" xfId="47817"/>
    <cellStyle name="Normal 3 4 2 4 2" xfId="47818"/>
    <cellStyle name="Normal 3 4 2 4 2 2" xfId="47819"/>
    <cellStyle name="Normal 3 4 2 4 2 2 2" xfId="47820"/>
    <cellStyle name="Normal 3 4 2 4 2 2 2 2" xfId="47821"/>
    <cellStyle name="Normal 3 4 2 4 2 2 3" xfId="47822"/>
    <cellStyle name="Normal 3 4 2 4 2 3" xfId="47823"/>
    <cellStyle name="Normal 3 4 2 4 2 3 2" xfId="47824"/>
    <cellStyle name="Normal 3 4 2 4 2 4" xfId="47825"/>
    <cellStyle name="Normal 3 4 2 4 3" xfId="47826"/>
    <cellStyle name="Normal 3 4 2 4 3 2" xfId="47827"/>
    <cellStyle name="Normal 3 4 2 4 3 2 2" xfId="47828"/>
    <cellStyle name="Normal 3 4 2 4 3 3" xfId="47829"/>
    <cellStyle name="Normal 3 4 2 4 4" xfId="47830"/>
    <cellStyle name="Normal 3 4 2 4 4 2" xfId="47831"/>
    <cellStyle name="Normal 3 4 2 4 5" xfId="47832"/>
    <cellStyle name="Normal 3 4 2 5" xfId="47833"/>
    <cellStyle name="Normal 3 4 2 5 2" xfId="47834"/>
    <cellStyle name="Normal 3 4 2 5 2 2" xfId="47835"/>
    <cellStyle name="Normal 3 4 2 5 2 2 2" xfId="47836"/>
    <cellStyle name="Normal 3 4 2 5 2 2 2 2" xfId="47837"/>
    <cellStyle name="Normal 3 4 2 5 2 2 3" xfId="47838"/>
    <cellStyle name="Normal 3 4 2 5 2 3" xfId="47839"/>
    <cellStyle name="Normal 3 4 2 5 2 3 2" xfId="47840"/>
    <cellStyle name="Normal 3 4 2 5 2 4" xfId="47841"/>
    <cellStyle name="Normal 3 4 2 5 3" xfId="47842"/>
    <cellStyle name="Normal 3 4 2 5 3 2" xfId="47843"/>
    <cellStyle name="Normal 3 4 2 5 3 2 2" xfId="47844"/>
    <cellStyle name="Normal 3 4 2 5 3 3" xfId="47845"/>
    <cellStyle name="Normal 3 4 2 5 4" xfId="47846"/>
    <cellStyle name="Normal 3 4 2 5 4 2" xfId="47847"/>
    <cellStyle name="Normal 3 4 2 5 5" xfId="47848"/>
    <cellStyle name="Normal 3 4 2 6" xfId="47849"/>
    <cellStyle name="Normal 3 4 2 6 2" xfId="47850"/>
    <cellStyle name="Normal 3 4 2 6 2 2" xfId="47851"/>
    <cellStyle name="Normal 3 4 2 6 2 2 2" xfId="47852"/>
    <cellStyle name="Normal 3 4 2 6 2 2 2 2" xfId="47853"/>
    <cellStyle name="Normal 3 4 2 6 2 2 3" xfId="47854"/>
    <cellStyle name="Normal 3 4 2 6 2 3" xfId="47855"/>
    <cellStyle name="Normal 3 4 2 6 2 3 2" xfId="47856"/>
    <cellStyle name="Normal 3 4 2 6 2 4" xfId="47857"/>
    <cellStyle name="Normal 3 4 2 6 3" xfId="47858"/>
    <cellStyle name="Normal 3 4 2 6 3 2" xfId="47859"/>
    <cellStyle name="Normal 3 4 2 6 3 2 2" xfId="47860"/>
    <cellStyle name="Normal 3 4 2 6 3 3" xfId="47861"/>
    <cellStyle name="Normal 3 4 2 6 4" xfId="47862"/>
    <cellStyle name="Normal 3 4 2 6 4 2" xfId="47863"/>
    <cellStyle name="Normal 3 4 2 6 5" xfId="47864"/>
    <cellStyle name="Normal 3 4 2 7" xfId="47865"/>
    <cellStyle name="Normal 3 4 2 7 2" xfId="47866"/>
    <cellStyle name="Normal 3 4 2 7 2 2" xfId="47867"/>
    <cellStyle name="Normal 3 4 2 7 2 2 2" xfId="47868"/>
    <cellStyle name="Normal 3 4 2 7 2 3" xfId="47869"/>
    <cellStyle name="Normal 3 4 2 7 3" xfId="47870"/>
    <cellStyle name="Normal 3 4 2 7 3 2" xfId="47871"/>
    <cellStyle name="Normal 3 4 2 7 4" xfId="47872"/>
    <cellStyle name="Normal 3 4 2 8" xfId="47873"/>
    <cellStyle name="Normal 3 4 2 8 2" xfId="47874"/>
    <cellStyle name="Normal 3 4 2 8 2 2" xfId="47875"/>
    <cellStyle name="Normal 3 4 2 8 3" xfId="47876"/>
    <cellStyle name="Normal 3 4 2 9" xfId="47877"/>
    <cellStyle name="Normal 3 4 2 9 2" xfId="47878"/>
    <cellStyle name="Normal 3 4 3" xfId="47879"/>
    <cellStyle name="Normal 3 4 3 2" xfId="47880"/>
    <cellStyle name="Normal 3 4 3 2 2" xfId="47881"/>
    <cellStyle name="Normal 3 4 3 2 2 2" xfId="47882"/>
    <cellStyle name="Normal 3 4 3 2 2 2 2" xfId="47883"/>
    <cellStyle name="Normal 3 4 3 2 2 3" xfId="47884"/>
    <cellStyle name="Normal 3 4 3 2 3" xfId="47885"/>
    <cellStyle name="Normal 3 4 3 2 3 2" xfId="47886"/>
    <cellStyle name="Normal 3 4 3 2 4" xfId="47887"/>
    <cellStyle name="Normal 3 4 3 3" xfId="47888"/>
    <cellStyle name="Normal 3 4 3 3 2" xfId="47889"/>
    <cellStyle name="Normal 3 4 3 3 2 2" xfId="47890"/>
    <cellStyle name="Normal 3 4 3 3 3" xfId="47891"/>
    <cellStyle name="Normal 3 4 3 4" xfId="47892"/>
    <cellStyle name="Normal 3 4 3 4 2" xfId="47893"/>
    <cellStyle name="Normal 3 4 3 5" xfId="47894"/>
    <cellStyle name="Normal 3 4 4" xfId="47895"/>
    <cellStyle name="Normal 3 4 4 2" xfId="47896"/>
    <cellStyle name="Normal 3 4 4 2 2" xfId="47897"/>
    <cellStyle name="Normal 3 4 4 2 2 2" xfId="47898"/>
    <cellStyle name="Normal 3 4 4 2 2 2 2" xfId="47899"/>
    <cellStyle name="Normal 3 4 4 2 2 3" xfId="47900"/>
    <cellStyle name="Normal 3 4 4 2 3" xfId="47901"/>
    <cellStyle name="Normal 3 4 4 2 3 2" xfId="47902"/>
    <cellStyle name="Normal 3 4 4 2 4" xfId="47903"/>
    <cellStyle name="Normal 3 4 4 3" xfId="47904"/>
    <cellStyle name="Normal 3 4 4 3 2" xfId="47905"/>
    <cellStyle name="Normal 3 4 4 3 2 2" xfId="47906"/>
    <cellStyle name="Normal 3 4 4 3 3" xfId="47907"/>
    <cellStyle name="Normal 3 4 4 4" xfId="47908"/>
    <cellStyle name="Normal 3 4 4 4 2" xfId="47909"/>
    <cellStyle name="Normal 3 4 4 5" xfId="47910"/>
    <cellStyle name="Normal 3 4 5" xfId="47911"/>
    <cellStyle name="Normal 3 4 5 2" xfId="47912"/>
    <cellStyle name="Normal 3 4 5 2 2" xfId="47913"/>
    <cellStyle name="Normal 3 4 5 2 2 2" xfId="47914"/>
    <cellStyle name="Normal 3 4 5 2 2 2 2" xfId="47915"/>
    <cellStyle name="Normal 3 4 5 2 2 3" xfId="47916"/>
    <cellStyle name="Normal 3 4 5 2 3" xfId="47917"/>
    <cellStyle name="Normal 3 4 5 2 3 2" xfId="47918"/>
    <cellStyle name="Normal 3 4 5 2 4" xfId="47919"/>
    <cellStyle name="Normal 3 4 5 3" xfId="47920"/>
    <cellStyle name="Normal 3 4 5 3 2" xfId="47921"/>
    <cellStyle name="Normal 3 4 5 3 2 2" xfId="47922"/>
    <cellStyle name="Normal 3 4 5 3 3" xfId="47923"/>
    <cellStyle name="Normal 3 4 5 4" xfId="47924"/>
    <cellStyle name="Normal 3 4 5 4 2" xfId="47925"/>
    <cellStyle name="Normal 3 4 5 5" xfId="47926"/>
    <cellStyle name="Normal 3 4 6" xfId="47927"/>
    <cellStyle name="Normal 3 4 6 2" xfId="47928"/>
    <cellStyle name="Normal 3 4 6 2 2" xfId="47929"/>
    <cellStyle name="Normal 3 4 6 2 2 2" xfId="47930"/>
    <cellStyle name="Normal 3 4 6 2 2 2 2" xfId="47931"/>
    <cellStyle name="Normal 3 4 6 2 2 3" xfId="47932"/>
    <cellStyle name="Normal 3 4 6 2 3" xfId="47933"/>
    <cellStyle name="Normal 3 4 6 2 3 2" xfId="47934"/>
    <cellStyle name="Normal 3 4 6 2 4" xfId="47935"/>
    <cellStyle name="Normal 3 4 6 3" xfId="47936"/>
    <cellStyle name="Normal 3 4 6 3 2" xfId="47937"/>
    <cellStyle name="Normal 3 4 6 3 2 2" xfId="47938"/>
    <cellStyle name="Normal 3 4 6 3 3" xfId="47939"/>
    <cellStyle name="Normal 3 4 6 4" xfId="47940"/>
    <cellStyle name="Normal 3 4 6 4 2" xfId="47941"/>
    <cellStyle name="Normal 3 4 6 5" xfId="47942"/>
    <cellStyle name="Normal 3 4 7" xfId="47943"/>
    <cellStyle name="Normal 3 4 7 2" xfId="47944"/>
    <cellStyle name="Normal 3 4 7 2 2" xfId="47945"/>
    <cellStyle name="Normal 3 4 7 2 2 2" xfId="47946"/>
    <cellStyle name="Normal 3 4 7 2 2 2 2" xfId="47947"/>
    <cellStyle name="Normal 3 4 7 2 2 3" xfId="47948"/>
    <cellStyle name="Normal 3 4 7 2 3" xfId="47949"/>
    <cellStyle name="Normal 3 4 7 2 3 2" xfId="47950"/>
    <cellStyle name="Normal 3 4 7 2 4" xfId="47951"/>
    <cellStyle name="Normal 3 4 7 3" xfId="47952"/>
    <cellStyle name="Normal 3 4 7 3 2" xfId="47953"/>
    <cellStyle name="Normal 3 4 7 3 2 2" xfId="47954"/>
    <cellStyle name="Normal 3 4 7 3 3" xfId="47955"/>
    <cellStyle name="Normal 3 4 7 4" xfId="47956"/>
    <cellStyle name="Normal 3 4 7 4 2" xfId="47957"/>
    <cellStyle name="Normal 3 4 7 5" xfId="47958"/>
    <cellStyle name="Normal 3 4 8" xfId="47959"/>
    <cellStyle name="Normal 3 4 8 2" xfId="47960"/>
    <cellStyle name="Normal 3 4 8 2 2" xfId="47961"/>
    <cellStyle name="Normal 3 4 8 2 2 2" xfId="47962"/>
    <cellStyle name="Normal 3 4 8 2 3" xfId="47963"/>
    <cellStyle name="Normal 3 4 8 3" xfId="47964"/>
    <cellStyle name="Normal 3 4 8 3 2" xfId="47965"/>
    <cellStyle name="Normal 3 4 8 4" xfId="47966"/>
    <cellStyle name="Normal 3 4 9" xfId="47967"/>
    <cellStyle name="Normal 3 4 9 2" xfId="47968"/>
    <cellStyle name="Normal 3 4 9 2 2" xfId="47969"/>
    <cellStyle name="Normal 3 4 9 3" xfId="47970"/>
    <cellStyle name="Normal 3 5" xfId="47971"/>
    <cellStyle name="Normal 3 5 10" xfId="47972"/>
    <cellStyle name="Normal 3 5 10 2" xfId="47973"/>
    <cellStyle name="Normal 3 5 11" xfId="47974"/>
    <cellStyle name="Normal 3 5 2" xfId="47975"/>
    <cellStyle name="Normal 3 5 2 10" xfId="47976"/>
    <cellStyle name="Normal 3 5 2 2" xfId="47977"/>
    <cellStyle name="Normal 3 5 2 2 2" xfId="47978"/>
    <cellStyle name="Normal 3 5 2 2 2 2" xfId="47979"/>
    <cellStyle name="Normal 3 5 2 2 2 2 2" xfId="47980"/>
    <cellStyle name="Normal 3 5 2 2 2 2 2 2" xfId="47981"/>
    <cellStyle name="Normal 3 5 2 2 2 2 3" xfId="47982"/>
    <cellStyle name="Normal 3 5 2 2 2 3" xfId="47983"/>
    <cellStyle name="Normal 3 5 2 2 2 3 2" xfId="47984"/>
    <cellStyle name="Normal 3 5 2 2 2 4" xfId="47985"/>
    <cellStyle name="Normal 3 5 2 2 3" xfId="47986"/>
    <cellStyle name="Normal 3 5 2 2 3 2" xfId="47987"/>
    <cellStyle name="Normal 3 5 2 2 3 2 2" xfId="47988"/>
    <cellStyle name="Normal 3 5 2 2 3 3" xfId="47989"/>
    <cellStyle name="Normal 3 5 2 2 4" xfId="47990"/>
    <cellStyle name="Normal 3 5 2 2 4 2" xfId="47991"/>
    <cellStyle name="Normal 3 5 2 2 5" xfId="47992"/>
    <cellStyle name="Normal 3 5 2 3" xfId="47993"/>
    <cellStyle name="Normal 3 5 2 3 2" xfId="47994"/>
    <cellStyle name="Normal 3 5 2 3 2 2" xfId="47995"/>
    <cellStyle name="Normal 3 5 2 3 2 2 2" xfId="47996"/>
    <cellStyle name="Normal 3 5 2 3 2 2 2 2" xfId="47997"/>
    <cellStyle name="Normal 3 5 2 3 2 2 3" xfId="47998"/>
    <cellStyle name="Normal 3 5 2 3 2 3" xfId="47999"/>
    <cellStyle name="Normal 3 5 2 3 2 3 2" xfId="48000"/>
    <cellStyle name="Normal 3 5 2 3 2 4" xfId="48001"/>
    <cellStyle name="Normal 3 5 2 3 3" xfId="48002"/>
    <cellStyle name="Normal 3 5 2 3 3 2" xfId="48003"/>
    <cellStyle name="Normal 3 5 2 3 3 2 2" xfId="48004"/>
    <cellStyle name="Normal 3 5 2 3 3 3" xfId="48005"/>
    <cellStyle name="Normal 3 5 2 3 4" xfId="48006"/>
    <cellStyle name="Normal 3 5 2 3 4 2" xfId="48007"/>
    <cellStyle name="Normal 3 5 2 3 5" xfId="48008"/>
    <cellStyle name="Normal 3 5 2 4" xfId="48009"/>
    <cellStyle name="Normal 3 5 2 4 2" xfId="48010"/>
    <cellStyle name="Normal 3 5 2 4 2 2" xfId="48011"/>
    <cellStyle name="Normal 3 5 2 4 2 2 2" xfId="48012"/>
    <cellStyle name="Normal 3 5 2 4 2 2 2 2" xfId="48013"/>
    <cellStyle name="Normal 3 5 2 4 2 2 3" xfId="48014"/>
    <cellStyle name="Normal 3 5 2 4 2 3" xfId="48015"/>
    <cellStyle name="Normal 3 5 2 4 2 3 2" xfId="48016"/>
    <cellStyle name="Normal 3 5 2 4 2 4" xfId="48017"/>
    <cellStyle name="Normal 3 5 2 4 3" xfId="48018"/>
    <cellStyle name="Normal 3 5 2 4 3 2" xfId="48019"/>
    <cellStyle name="Normal 3 5 2 4 3 2 2" xfId="48020"/>
    <cellStyle name="Normal 3 5 2 4 3 3" xfId="48021"/>
    <cellStyle name="Normal 3 5 2 4 4" xfId="48022"/>
    <cellStyle name="Normal 3 5 2 4 4 2" xfId="48023"/>
    <cellStyle name="Normal 3 5 2 4 5" xfId="48024"/>
    <cellStyle name="Normal 3 5 2 5" xfId="48025"/>
    <cellStyle name="Normal 3 5 2 5 2" xfId="48026"/>
    <cellStyle name="Normal 3 5 2 5 2 2" xfId="48027"/>
    <cellStyle name="Normal 3 5 2 5 2 2 2" xfId="48028"/>
    <cellStyle name="Normal 3 5 2 5 2 2 2 2" xfId="48029"/>
    <cellStyle name="Normal 3 5 2 5 2 2 3" xfId="48030"/>
    <cellStyle name="Normal 3 5 2 5 2 3" xfId="48031"/>
    <cellStyle name="Normal 3 5 2 5 2 3 2" xfId="48032"/>
    <cellStyle name="Normal 3 5 2 5 2 4" xfId="48033"/>
    <cellStyle name="Normal 3 5 2 5 3" xfId="48034"/>
    <cellStyle name="Normal 3 5 2 5 3 2" xfId="48035"/>
    <cellStyle name="Normal 3 5 2 5 3 2 2" xfId="48036"/>
    <cellStyle name="Normal 3 5 2 5 3 3" xfId="48037"/>
    <cellStyle name="Normal 3 5 2 5 4" xfId="48038"/>
    <cellStyle name="Normal 3 5 2 5 4 2" xfId="48039"/>
    <cellStyle name="Normal 3 5 2 5 5" xfId="48040"/>
    <cellStyle name="Normal 3 5 2 6" xfId="48041"/>
    <cellStyle name="Normal 3 5 2 6 2" xfId="48042"/>
    <cellStyle name="Normal 3 5 2 6 2 2" xfId="48043"/>
    <cellStyle name="Normal 3 5 2 6 2 2 2" xfId="48044"/>
    <cellStyle name="Normal 3 5 2 6 2 2 2 2" xfId="48045"/>
    <cellStyle name="Normal 3 5 2 6 2 2 3" xfId="48046"/>
    <cellStyle name="Normal 3 5 2 6 2 3" xfId="48047"/>
    <cellStyle name="Normal 3 5 2 6 2 3 2" xfId="48048"/>
    <cellStyle name="Normal 3 5 2 6 2 4" xfId="48049"/>
    <cellStyle name="Normal 3 5 2 6 3" xfId="48050"/>
    <cellStyle name="Normal 3 5 2 6 3 2" xfId="48051"/>
    <cellStyle name="Normal 3 5 2 6 3 2 2" xfId="48052"/>
    <cellStyle name="Normal 3 5 2 6 3 3" xfId="48053"/>
    <cellStyle name="Normal 3 5 2 6 4" xfId="48054"/>
    <cellStyle name="Normal 3 5 2 6 4 2" xfId="48055"/>
    <cellStyle name="Normal 3 5 2 6 5" xfId="48056"/>
    <cellStyle name="Normal 3 5 2 7" xfId="48057"/>
    <cellStyle name="Normal 3 5 2 7 2" xfId="48058"/>
    <cellStyle name="Normal 3 5 2 7 2 2" xfId="48059"/>
    <cellStyle name="Normal 3 5 2 7 2 2 2" xfId="48060"/>
    <cellStyle name="Normal 3 5 2 7 2 3" xfId="48061"/>
    <cellStyle name="Normal 3 5 2 7 3" xfId="48062"/>
    <cellStyle name="Normal 3 5 2 7 3 2" xfId="48063"/>
    <cellStyle name="Normal 3 5 2 7 4" xfId="48064"/>
    <cellStyle name="Normal 3 5 2 8" xfId="48065"/>
    <cellStyle name="Normal 3 5 2 8 2" xfId="48066"/>
    <cellStyle name="Normal 3 5 2 8 2 2" xfId="48067"/>
    <cellStyle name="Normal 3 5 2 8 3" xfId="48068"/>
    <cellStyle name="Normal 3 5 2 9" xfId="48069"/>
    <cellStyle name="Normal 3 5 2 9 2" xfId="48070"/>
    <cellStyle name="Normal 3 5 3" xfId="48071"/>
    <cellStyle name="Normal 3 5 3 2" xfId="48072"/>
    <cellStyle name="Normal 3 5 3 2 2" xfId="48073"/>
    <cellStyle name="Normal 3 5 3 2 2 2" xfId="48074"/>
    <cellStyle name="Normal 3 5 3 2 2 2 2" xfId="48075"/>
    <cellStyle name="Normal 3 5 3 2 2 3" xfId="48076"/>
    <cellStyle name="Normal 3 5 3 2 3" xfId="48077"/>
    <cellStyle name="Normal 3 5 3 2 3 2" xfId="48078"/>
    <cellStyle name="Normal 3 5 3 2 4" xfId="48079"/>
    <cellStyle name="Normal 3 5 3 3" xfId="48080"/>
    <cellStyle name="Normal 3 5 3 3 2" xfId="48081"/>
    <cellStyle name="Normal 3 5 3 3 2 2" xfId="48082"/>
    <cellStyle name="Normal 3 5 3 3 3" xfId="48083"/>
    <cellStyle name="Normal 3 5 3 4" xfId="48084"/>
    <cellStyle name="Normal 3 5 3 4 2" xfId="48085"/>
    <cellStyle name="Normal 3 5 3 5" xfId="48086"/>
    <cellStyle name="Normal 3 5 4" xfId="48087"/>
    <cellStyle name="Normal 3 5 4 2" xfId="48088"/>
    <cellStyle name="Normal 3 5 4 2 2" xfId="48089"/>
    <cellStyle name="Normal 3 5 4 2 2 2" xfId="48090"/>
    <cellStyle name="Normal 3 5 4 2 2 2 2" xfId="48091"/>
    <cellStyle name="Normal 3 5 4 2 2 3" xfId="48092"/>
    <cellStyle name="Normal 3 5 4 2 3" xfId="48093"/>
    <cellStyle name="Normal 3 5 4 2 3 2" xfId="48094"/>
    <cellStyle name="Normal 3 5 4 2 4" xfId="48095"/>
    <cellStyle name="Normal 3 5 4 3" xfId="48096"/>
    <cellStyle name="Normal 3 5 4 3 2" xfId="48097"/>
    <cellStyle name="Normal 3 5 4 3 2 2" xfId="48098"/>
    <cellStyle name="Normal 3 5 4 3 3" xfId="48099"/>
    <cellStyle name="Normal 3 5 4 4" xfId="48100"/>
    <cellStyle name="Normal 3 5 4 4 2" xfId="48101"/>
    <cellStyle name="Normal 3 5 4 5" xfId="48102"/>
    <cellStyle name="Normal 3 5 5" xfId="48103"/>
    <cellStyle name="Normal 3 5 5 2" xfId="48104"/>
    <cellStyle name="Normal 3 5 5 2 2" xfId="48105"/>
    <cellStyle name="Normal 3 5 5 2 2 2" xfId="48106"/>
    <cellStyle name="Normal 3 5 5 2 2 2 2" xfId="48107"/>
    <cellStyle name="Normal 3 5 5 2 2 3" xfId="48108"/>
    <cellStyle name="Normal 3 5 5 2 3" xfId="48109"/>
    <cellStyle name="Normal 3 5 5 2 3 2" xfId="48110"/>
    <cellStyle name="Normal 3 5 5 2 4" xfId="48111"/>
    <cellStyle name="Normal 3 5 5 3" xfId="48112"/>
    <cellStyle name="Normal 3 5 5 3 2" xfId="48113"/>
    <cellStyle name="Normal 3 5 5 3 2 2" xfId="48114"/>
    <cellStyle name="Normal 3 5 5 3 3" xfId="48115"/>
    <cellStyle name="Normal 3 5 5 4" xfId="48116"/>
    <cellStyle name="Normal 3 5 5 4 2" xfId="48117"/>
    <cellStyle name="Normal 3 5 5 5" xfId="48118"/>
    <cellStyle name="Normal 3 5 6" xfId="48119"/>
    <cellStyle name="Normal 3 5 6 2" xfId="48120"/>
    <cellStyle name="Normal 3 5 6 2 2" xfId="48121"/>
    <cellStyle name="Normal 3 5 6 2 2 2" xfId="48122"/>
    <cellStyle name="Normal 3 5 6 2 2 2 2" xfId="48123"/>
    <cellStyle name="Normal 3 5 6 2 2 3" xfId="48124"/>
    <cellStyle name="Normal 3 5 6 2 3" xfId="48125"/>
    <cellStyle name="Normal 3 5 6 2 3 2" xfId="48126"/>
    <cellStyle name="Normal 3 5 6 2 4" xfId="48127"/>
    <cellStyle name="Normal 3 5 6 3" xfId="48128"/>
    <cellStyle name="Normal 3 5 6 3 2" xfId="48129"/>
    <cellStyle name="Normal 3 5 6 3 2 2" xfId="48130"/>
    <cellStyle name="Normal 3 5 6 3 3" xfId="48131"/>
    <cellStyle name="Normal 3 5 6 4" xfId="48132"/>
    <cellStyle name="Normal 3 5 6 4 2" xfId="48133"/>
    <cellStyle name="Normal 3 5 6 5" xfId="48134"/>
    <cellStyle name="Normal 3 5 7" xfId="48135"/>
    <cellStyle name="Normal 3 5 7 2" xfId="48136"/>
    <cellStyle name="Normal 3 5 7 2 2" xfId="48137"/>
    <cellStyle name="Normal 3 5 7 2 2 2" xfId="48138"/>
    <cellStyle name="Normal 3 5 7 2 2 2 2" xfId="48139"/>
    <cellStyle name="Normal 3 5 7 2 2 3" xfId="48140"/>
    <cellStyle name="Normal 3 5 7 2 3" xfId="48141"/>
    <cellStyle name="Normal 3 5 7 2 3 2" xfId="48142"/>
    <cellStyle name="Normal 3 5 7 2 4" xfId="48143"/>
    <cellStyle name="Normal 3 5 7 3" xfId="48144"/>
    <cellStyle name="Normal 3 5 7 3 2" xfId="48145"/>
    <cellStyle name="Normal 3 5 7 3 2 2" xfId="48146"/>
    <cellStyle name="Normal 3 5 7 3 3" xfId="48147"/>
    <cellStyle name="Normal 3 5 7 4" xfId="48148"/>
    <cellStyle name="Normal 3 5 7 4 2" xfId="48149"/>
    <cellStyle name="Normal 3 5 7 5" xfId="48150"/>
    <cellStyle name="Normal 3 5 8" xfId="48151"/>
    <cellStyle name="Normal 3 5 8 2" xfId="48152"/>
    <cellStyle name="Normal 3 5 8 2 2" xfId="48153"/>
    <cellStyle name="Normal 3 5 8 2 2 2" xfId="48154"/>
    <cellStyle name="Normal 3 5 8 2 3" xfId="48155"/>
    <cellStyle name="Normal 3 5 8 3" xfId="48156"/>
    <cellStyle name="Normal 3 5 8 3 2" xfId="48157"/>
    <cellStyle name="Normal 3 5 8 4" xfId="48158"/>
    <cellStyle name="Normal 3 5 9" xfId="48159"/>
    <cellStyle name="Normal 3 5 9 2" xfId="48160"/>
    <cellStyle name="Normal 3 5 9 2 2" xfId="48161"/>
    <cellStyle name="Normal 3 5 9 3" xfId="48162"/>
    <cellStyle name="Normal 3 6" xfId="48163"/>
    <cellStyle name="Normal 3 6 10" xfId="48164"/>
    <cellStyle name="Normal 3 6 10 2" xfId="48165"/>
    <cellStyle name="Normal 3 6 11" xfId="48166"/>
    <cellStyle name="Normal 3 6 2" xfId="48167"/>
    <cellStyle name="Normal 3 6 2 10" xfId="48168"/>
    <cellStyle name="Normal 3 6 2 2" xfId="48169"/>
    <cellStyle name="Normal 3 6 2 2 2" xfId="48170"/>
    <cellStyle name="Normal 3 6 2 2 2 2" xfId="48171"/>
    <cellStyle name="Normal 3 6 2 2 2 2 2" xfId="48172"/>
    <cellStyle name="Normal 3 6 2 2 2 2 2 2" xfId="48173"/>
    <cellStyle name="Normal 3 6 2 2 2 2 3" xfId="48174"/>
    <cellStyle name="Normal 3 6 2 2 2 3" xfId="48175"/>
    <cellStyle name="Normal 3 6 2 2 2 3 2" xfId="48176"/>
    <cellStyle name="Normal 3 6 2 2 2 4" xfId="48177"/>
    <cellStyle name="Normal 3 6 2 2 3" xfId="48178"/>
    <cellStyle name="Normal 3 6 2 2 3 2" xfId="48179"/>
    <cellStyle name="Normal 3 6 2 2 3 2 2" xfId="48180"/>
    <cellStyle name="Normal 3 6 2 2 3 3" xfId="48181"/>
    <cellStyle name="Normal 3 6 2 2 4" xfId="48182"/>
    <cellStyle name="Normal 3 6 2 2 4 2" xfId="48183"/>
    <cellStyle name="Normal 3 6 2 2 5" xfId="48184"/>
    <cellStyle name="Normal 3 6 2 3" xfId="48185"/>
    <cellStyle name="Normal 3 6 2 3 2" xfId="48186"/>
    <cellStyle name="Normal 3 6 2 3 2 2" xfId="48187"/>
    <cellStyle name="Normal 3 6 2 3 2 2 2" xfId="48188"/>
    <cellStyle name="Normal 3 6 2 3 2 2 2 2" xfId="48189"/>
    <cellStyle name="Normal 3 6 2 3 2 2 3" xfId="48190"/>
    <cellStyle name="Normal 3 6 2 3 2 3" xfId="48191"/>
    <cellStyle name="Normal 3 6 2 3 2 3 2" xfId="48192"/>
    <cellStyle name="Normal 3 6 2 3 2 4" xfId="48193"/>
    <cellStyle name="Normal 3 6 2 3 3" xfId="48194"/>
    <cellStyle name="Normal 3 6 2 3 3 2" xfId="48195"/>
    <cellStyle name="Normal 3 6 2 3 3 2 2" xfId="48196"/>
    <cellStyle name="Normal 3 6 2 3 3 3" xfId="48197"/>
    <cellStyle name="Normal 3 6 2 3 4" xfId="48198"/>
    <cellStyle name="Normal 3 6 2 3 4 2" xfId="48199"/>
    <cellStyle name="Normal 3 6 2 3 5" xfId="48200"/>
    <cellStyle name="Normal 3 6 2 4" xfId="48201"/>
    <cellStyle name="Normal 3 6 2 4 2" xfId="48202"/>
    <cellStyle name="Normal 3 6 2 4 2 2" xfId="48203"/>
    <cellStyle name="Normal 3 6 2 4 2 2 2" xfId="48204"/>
    <cellStyle name="Normal 3 6 2 4 2 2 2 2" xfId="48205"/>
    <cellStyle name="Normal 3 6 2 4 2 2 3" xfId="48206"/>
    <cellStyle name="Normal 3 6 2 4 2 3" xfId="48207"/>
    <cellStyle name="Normal 3 6 2 4 2 3 2" xfId="48208"/>
    <cellStyle name="Normal 3 6 2 4 2 4" xfId="48209"/>
    <cellStyle name="Normal 3 6 2 4 3" xfId="48210"/>
    <cellStyle name="Normal 3 6 2 4 3 2" xfId="48211"/>
    <cellStyle name="Normal 3 6 2 4 3 2 2" xfId="48212"/>
    <cellStyle name="Normal 3 6 2 4 3 3" xfId="48213"/>
    <cellStyle name="Normal 3 6 2 4 4" xfId="48214"/>
    <cellStyle name="Normal 3 6 2 4 4 2" xfId="48215"/>
    <cellStyle name="Normal 3 6 2 4 5" xfId="48216"/>
    <cellStyle name="Normal 3 6 2 5" xfId="48217"/>
    <cellStyle name="Normal 3 6 2 5 2" xfId="48218"/>
    <cellStyle name="Normal 3 6 2 5 2 2" xfId="48219"/>
    <cellStyle name="Normal 3 6 2 5 2 2 2" xfId="48220"/>
    <cellStyle name="Normal 3 6 2 5 2 2 2 2" xfId="48221"/>
    <cellStyle name="Normal 3 6 2 5 2 2 3" xfId="48222"/>
    <cellStyle name="Normal 3 6 2 5 2 3" xfId="48223"/>
    <cellStyle name="Normal 3 6 2 5 2 3 2" xfId="48224"/>
    <cellStyle name="Normal 3 6 2 5 2 4" xfId="48225"/>
    <cellStyle name="Normal 3 6 2 5 3" xfId="48226"/>
    <cellStyle name="Normal 3 6 2 5 3 2" xfId="48227"/>
    <cellStyle name="Normal 3 6 2 5 3 2 2" xfId="48228"/>
    <cellStyle name="Normal 3 6 2 5 3 3" xfId="48229"/>
    <cellStyle name="Normal 3 6 2 5 4" xfId="48230"/>
    <cellStyle name="Normal 3 6 2 5 4 2" xfId="48231"/>
    <cellStyle name="Normal 3 6 2 5 5" xfId="48232"/>
    <cellStyle name="Normal 3 6 2 6" xfId="48233"/>
    <cellStyle name="Normal 3 6 2 6 2" xfId="48234"/>
    <cellStyle name="Normal 3 6 2 6 2 2" xfId="48235"/>
    <cellStyle name="Normal 3 6 2 6 2 2 2" xfId="48236"/>
    <cellStyle name="Normal 3 6 2 6 2 2 2 2" xfId="48237"/>
    <cellStyle name="Normal 3 6 2 6 2 2 3" xfId="48238"/>
    <cellStyle name="Normal 3 6 2 6 2 3" xfId="48239"/>
    <cellStyle name="Normal 3 6 2 6 2 3 2" xfId="48240"/>
    <cellStyle name="Normal 3 6 2 6 2 4" xfId="48241"/>
    <cellStyle name="Normal 3 6 2 6 3" xfId="48242"/>
    <cellStyle name="Normal 3 6 2 6 3 2" xfId="48243"/>
    <cellStyle name="Normal 3 6 2 6 3 2 2" xfId="48244"/>
    <cellStyle name="Normal 3 6 2 6 3 3" xfId="48245"/>
    <cellStyle name="Normal 3 6 2 6 4" xfId="48246"/>
    <cellStyle name="Normal 3 6 2 6 4 2" xfId="48247"/>
    <cellStyle name="Normal 3 6 2 6 5" xfId="48248"/>
    <cellStyle name="Normal 3 6 2 7" xfId="48249"/>
    <cellStyle name="Normal 3 6 2 7 2" xfId="48250"/>
    <cellStyle name="Normal 3 6 2 7 2 2" xfId="48251"/>
    <cellStyle name="Normal 3 6 2 7 2 2 2" xfId="48252"/>
    <cellStyle name="Normal 3 6 2 7 2 3" xfId="48253"/>
    <cellStyle name="Normal 3 6 2 7 3" xfId="48254"/>
    <cellStyle name="Normal 3 6 2 7 3 2" xfId="48255"/>
    <cellStyle name="Normal 3 6 2 7 4" xfId="48256"/>
    <cellStyle name="Normal 3 6 2 8" xfId="48257"/>
    <cellStyle name="Normal 3 6 2 8 2" xfId="48258"/>
    <cellStyle name="Normal 3 6 2 8 2 2" xfId="48259"/>
    <cellStyle name="Normal 3 6 2 8 3" xfId="48260"/>
    <cellStyle name="Normal 3 6 2 9" xfId="48261"/>
    <cellStyle name="Normal 3 6 2 9 2" xfId="48262"/>
    <cellStyle name="Normal 3 6 3" xfId="48263"/>
    <cellStyle name="Normal 3 6 3 2" xfId="48264"/>
    <cellStyle name="Normal 3 6 3 2 2" xfId="48265"/>
    <cellStyle name="Normal 3 6 3 2 2 2" xfId="48266"/>
    <cellStyle name="Normal 3 6 3 2 2 2 2" xfId="48267"/>
    <cellStyle name="Normal 3 6 3 2 2 3" xfId="48268"/>
    <cellStyle name="Normal 3 6 3 2 3" xfId="48269"/>
    <cellStyle name="Normal 3 6 3 2 3 2" xfId="48270"/>
    <cellStyle name="Normal 3 6 3 2 4" xfId="48271"/>
    <cellStyle name="Normal 3 6 3 3" xfId="48272"/>
    <cellStyle name="Normal 3 6 3 3 2" xfId="48273"/>
    <cellStyle name="Normal 3 6 3 3 2 2" xfId="48274"/>
    <cellStyle name="Normal 3 6 3 3 3" xfId="48275"/>
    <cellStyle name="Normal 3 6 3 4" xfId="48276"/>
    <cellStyle name="Normal 3 6 3 4 2" xfId="48277"/>
    <cellStyle name="Normal 3 6 3 5" xfId="48278"/>
    <cellStyle name="Normal 3 6 4" xfId="48279"/>
    <cellStyle name="Normal 3 6 4 2" xfId="48280"/>
    <cellStyle name="Normal 3 6 4 2 2" xfId="48281"/>
    <cellStyle name="Normal 3 6 4 2 2 2" xfId="48282"/>
    <cellStyle name="Normal 3 6 4 2 2 2 2" xfId="48283"/>
    <cellStyle name="Normal 3 6 4 2 2 3" xfId="48284"/>
    <cellStyle name="Normal 3 6 4 2 3" xfId="48285"/>
    <cellStyle name="Normal 3 6 4 2 3 2" xfId="48286"/>
    <cellStyle name="Normal 3 6 4 2 4" xfId="48287"/>
    <cellStyle name="Normal 3 6 4 3" xfId="48288"/>
    <cellStyle name="Normal 3 6 4 3 2" xfId="48289"/>
    <cellStyle name="Normal 3 6 4 3 2 2" xfId="48290"/>
    <cellStyle name="Normal 3 6 4 3 3" xfId="48291"/>
    <cellStyle name="Normal 3 6 4 4" xfId="48292"/>
    <cellStyle name="Normal 3 6 4 4 2" xfId="48293"/>
    <cellStyle name="Normal 3 6 4 5" xfId="48294"/>
    <cellStyle name="Normal 3 6 5" xfId="48295"/>
    <cellStyle name="Normal 3 6 5 2" xfId="48296"/>
    <cellStyle name="Normal 3 6 5 2 2" xfId="48297"/>
    <cellStyle name="Normal 3 6 5 2 2 2" xfId="48298"/>
    <cellStyle name="Normal 3 6 5 2 2 2 2" xfId="48299"/>
    <cellStyle name="Normal 3 6 5 2 2 3" xfId="48300"/>
    <cellStyle name="Normal 3 6 5 2 3" xfId="48301"/>
    <cellStyle name="Normal 3 6 5 2 3 2" xfId="48302"/>
    <cellStyle name="Normal 3 6 5 2 4" xfId="48303"/>
    <cellStyle name="Normal 3 6 5 3" xfId="48304"/>
    <cellStyle name="Normal 3 6 5 3 2" xfId="48305"/>
    <cellStyle name="Normal 3 6 5 3 2 2" xfId="48306"/>
    <cellStyle name="Normal 3 6 5 3 3" xfId="48307"/>
    <cellStyle name="Normal 3 6 5 4" xfId="48308"/>
    <cellStyle name="Normal 3 6 5 4 2" xfId="48309"/>
    <cellStyle name="Normal 3 6 5 5" xfId="48310"/>
    <cellStyle name="Normal 3 6 6" xfId="48311"/>
    <cellStyle name="Normal 3 6 6 2" xfId="48312"/>
    <cellStyle name="Normal 3 6 6 2 2" xfId="48313"/>
    <cellStyle name="Normal 3 6 6 2 2 2" xfId="48314"/>
    <cellStyle name="Normal 3 6 6 2 2 2 2" xfId="48315"/>
    <cellStyle name="Normal 3 6 6 2 2 3" xfId="48316"/>
    <cellStyle name="Normal 3 6 6 2 3" xfId="48317"/>
    <cellStyle name="Normal 3 6 6 2 3 2" xfId="48318"/>
    <cellStyle name="Normal 3 6 6 2 4" xfId="48319"/>
    <cellStyle name="Normal 3 6 6 3" xfId="48320"/>
    <cellStyle name="Normal 3 6 6 3 2" xfId="48321"/>
    <cellStyle name="Normal 3 6 6 3 2 2" xfId="48322"/>
    <cellStyle name="Normal 3 6 6 3 3" xfId="48323"/>
    <cellStyle name="Normal 3 6 6 4" xfId="48324"/>
    <cellStyle name="Normal 3 6 6 4 2" xfId="48325"/>
    <cellStyle name="Normal 3 6 6 5" xfId="48326"/>
    <cellStyle name="Normal 3 6 7" xfId="48327"/>
    <cellStyle name="Normal 3 6 7 2" xfId="48328"/>
    <cellStyle name="Normal 3 6 7 2 2" xfId="48329"/>
    <cellStyle name="Normal 3 6 7 2 2 2" xfId="48330"/>
    <cellStyle name="Normal 3 6 7 2 2 2 2" xfId="48331"/>
    <cellStyle name="Normal 3 6 7 2 2 3" xfId="48332"/>
    <cellStyle name="Normal 3 6 7 2 3" xfId="48333"/>
    <cellStyle name="Normal 3 6 7 2 3 2" xfId="48334"/>
    <cellStyle name="Normal 3 6 7 2 4" xfId="48335"/>
    <cellStyle name="Normal 3 6 7 3" xfId="48336"/>
    <cellStyle name="Normal 3 6 7 3 2" xfId="48337"/>
    <cellStyle name="Normal 3 6 7 3 2 2" xfId="48338"/>
    <cellStyle name="Normal 3 6 7 3 3" xfId="48339"/>
    <cellStyle name="Normal 3 6 7 4" xfId="48340"/>
    <cellStyle name="Normal 3 6 7 4 2" xfId="48341"/>
    <cellStyle name="Normal 3 6 7 5" xfId="48342"/>
    <cellStyle name="Normal 3 6 8" xfId="48343"/>
    <cellStyle name="Normal 3 6 8 2" xfId="48344"/>
    <cellStyle name="Normal 3 6 8 2 2" xfId="48345"/>
    <cellStyle name="Normal 3 6 8 2 2 2" xfId="48346"/>
    <cellStyle name="Normal 3 6 8 2 3" xfId="48347"/>
    <cellStyle name="Normal 3 6 8 3" xfId="48348"/>
    <cellStyle name="Normal 3 6 8 3 2" xfId="48349"/>
    <cellStyle name="Normal 3 6 8 4" xfId="48350"/>
    <cellStyle name="Normal 3 6 9" xfId="48351"/>
    <cellStyle name="Normal 3 6 9 2" xfId="48352"/>
    <cellStyle name="Normal 3 6 9 2 2" xfId="48353"/>
    <cellStyle name="Normal 3 6 9 3" xfId="48354"/>
    <cellStyle name="Normal 3 7" xfId="48355"/>
    <cellStyle name="Normal 3 7 10" xfId="48356"/>
    <cellStyle name="Normal 3 7 10 2" xfId="48357"/>
    <cellStyle name="Normal 3 7 11" xfId="48358"/>
    <cellStyle name="Normal 3 7 2" xfId="48359"/>
    <cellStyle name="Normal 3 7 2 10" xfId="48360"/>
    <cellStyle name="Normal 3 7 2 2" xfId="48361"/>
    <cellStyle name="Normal 3 7 2 2 2" xfId="48362"/>
    <cellStyle name="Normal 3 7 2 2 2 2" xfId="48363"/>
    <cellStyle name="Normal 3 7 2 2 2 2 2" xfId="48364"/>
    <cellStyle name="Normal 3 7 2 2 2 2 2 2" xfId="48365"/>
    <cellStyle name="Normal 3 7 2 2 2 2 3" xfId="48366"/>
    <cellStyle name="Normal 3 7 2 2 2 3" xfId="48367"/>
    <cellStyle name="Normal 3 7 2 2 2 3 2" xfId="48368"/>
    <cellStyle name="Normal 3 7 2 2 2 4" xfId="48369"/>
    <cellStyle name="Normal 3 7 2 2 3" xfId="48370"/>
    <cellStyle name="Normal 3 7 2 2 3 2" xfId="48371"/>
    <cellStyle name="Normal 3 7 2 2 3 2 2" xfId="48372"/>
    <cellStyle name="Normal 3 7 2 2 3 3" xfId="48373"/>
    <cellStyle name="Normal 3 7 2 2 4" xfId="48374"/>
    <cellStyle name="Normal 3 7 2 2 4 2" xfId="48375"/>
    <cellStyle name="Normal 3 7 2 2 5" xfId="48376"/>
    <cellStyle name="Normal 3 7 2 3" xfId="48377"/>
    <cellStyle name="Normal 3 7 2 3 2" xfId="48378"/>
    <cellStyle name="Normal 3 7 2 3 2 2" xfId="48379"/>
    <cellStyle name="Normal 3 7 2 3 2 2 2" xfId="48380"/>
    <cellStyle name="Normal 3 7 2 3 2 2 2 2" xfId="48381"/>
    <cellStyle name="Normal 3 7 2 3 2 2 3" xfId="48382"/>
    <cellStyle name="Normal 3 7 2 3 2 3" xfId="48383"/>
    <cellStyle name="Normal 3 7 2 3 2 3 2" xfId="48384"/>
    <cellStyle name="Normal 3 7 2 3 2 4" xfId="48385"/>
    <cellStyle name="Normal 3 7 2 3 3" xfId="48386"/>
    <cellStyle name="Normal 3 7 2 3 3 2" xfId="48387"/>
    <cellStyle name="Normal 3 7 2 3 3 2 2" xfId="48388"/>
    <cellStyle name="Normal 3 7 2 3 3 3" xfId="48389"/>
    <cellStyle name="Normal 3 7 2 3 4" xfId="48390"/>
    <cellStyle name="Normal 3 7 2 3 4 2" xfId="48391"/>
    <cellStyle name="Normal 3 7 2 3 5" xfId="48392"/>
    <cellStyle name="Normal 3 7 2 4" xfId="48393"/>
    <cellStyle name="Normal 3 7 2 4 2" xfId="48394"/>
    <cellStyle name="Normal 3 7 2 4 2 2" xfId="48395"/>
    <cellStyle name="Normal 3 7 2 4 2 2 2" xfId="48396"/>
    <cellStyle name="Normal 3 7 2 4 2 2 2 2" xfId="48397"/>
    <cellStyle name="Normal 3 7 2 4 2 2 3" xfId="48398"/>
    <cellStyle name="Normal 3 7 2 4 2 3" xfId="48399"/>
    <cellStyle name="Normal 3 7 2 4 2 3 2" xfId="48400"/>
    <cellStyle name="Normal 3 7 2 4 2 4" xfId="48401"/>
    <cellStyle name="Normal 3 7 2 4 3" xfId="48402"/>
    <cellStyle name="Normal 3 7 2 4 3 2" xfId="48403"/>
    <cellStyle name="Normal 3 7 2 4 3 2 2" xfId="48404"/>
    <cellStyle name="Normal 3 7 2 4 3 3" xfId="48405"/>
    <cellStyle name="Normal 3 7 2 4 4" xfId="48406"/>
    <cellStyle name="Normal 3 7 2 4 4 2" xfId="48407"/>
    <cellStyle name="Normal 3 7 2 4 5" xfId="48408"/>
    <cellStyle name="Normal 3 7 2 5" xfId="48409"/>
    <cellStyle name="Normal 3 7 2 5 2" xfId="48410"/>
    <cellStyle name="Normal 3 7 2 5 2 2" xfId="48411"/>
    <cellStyle name="Normal 3 7 2 5 2 2 2" xfId="48412"/>
    <cellStyle name="Normal 3 7 2 5 2 2 2 2" xfId="48413"/>
    <cellStyle name="Normal 3 7 2 5 2 2 3" xfId="48414"/>
    <cellStyle name="Normal 3 7 2 5 2 3" xfId="48415"/>
    <cellStyle name="Normal 3 7 2 5 2 3 2" xfId="48416"/>
    <cellStyle name="Normal 3 7 2 5 2 4" xfId="48417"/>
    <cellStyle name="Normal 3 7 2 5 3" xfId="48418"/>
    <cellStyle name="Normal 3 7 2 5 3 2" xfId="48419"/>
    <cellStyle name="Normal 3 7 2 5 3 2 2" xfId="48420"/>
    <cellStyle name="Normal 3 7 2 5 3 3" xfId="48421"/>
    <cellStyle name="Normal 3 7 2 5 4" xfId="48422"/>
    <cellStyle name="Normal 3 7 2 5 4 2" xfId="48423"/>
    <cellStyle name="Normal 3 7 2 5 5" xfId="48424"/>
    <cellStyle name="Normal 3 7 2 6" xfId="48425"/>
    <cellStyle name="Normal 3 7 2 6 2" xfId="48426"/>
    <cellStyle name="Normal 3 7 2 6 2 2" xfId="48427"/>
    <cellStyle name="Normal 3 7 2 6 2 2 2" xfId="48428"/>
    <cellStyle name="Normal 3 7 2 6 2 2 2 2" xfId="48429"/>
    <cellStyle name="Normal 3 7 2 6 2 2 3" xfId="48430"/>
    <cellStyle name="Normal 3 7 2 6 2 3" xfId="48431"/>
    <cellStyle name="Normal 3 7 2 6 2 3 2" xfId="48432"/>
    <cellStyle name="Normal 3 7 2 6 2 4" xfId="48433"/>
    <cellStyle name="Normal 3 7 2 6 3" xfId="48434"/>
    <cellStyle name="Normal 3 7 2 6 3 2" xfId="48435"/>
    <cellStyle name="Normal 3 7 2 6 3 2 2" xfId="48436"/>
    <cellStyle name="Normal 3 7 2 6 3 3" xfId="48437"/>
    <cellStyle name="Normal 3 7 2 6 4" xfId="48438"/>
    <cellStyle name="Normal 3 7 2 6 4 2" xfId="48439"/>
    <cellStyle name="Normal 3 7 2 6 5" xfId="48440"/>
    <cellStyle name="Normal 3 7 2 7" xfId="48441"/>
    <cellStyle name="Normal 3 7 2 7 2" xfId="48442"/>
    <cellStyle name="Normal 3 7 2 7 2 2" xfId="48443"/>
    <cellStyle name="Normal 3 7 2 7 2 2 2" xfId="48444"/>
    <cellStyle name="Normal 3 7 2 7 2 3" xfId="48445"/>
    <cellStyle name="Normal 3 7 2 7 3" xfId="48446"/>
    <cellStyle name="Normal 3 7 2 7 3 2" xfId="48447"/>
    <cellStyle name="Normal 3 7 2 7 4" xfId="48448"/>
    <cellStyle name="Normal 3 7 2 8" xfId="48449"/>
    <cellStyle name="Normal 3 7 2 8 2" xfId="48450"/>
    <cellStyle name="Normal 3 7 2 8 2 2" xfId="48451"/>
    <cellStyle name="Normal 3 7 2 8 3" xfId="48452"/>
    <cellStyle name="Normal 3 7 2 9" xfId="48453"/>
    <cellStyle name="Normal 3 7 2 9 2" xfId="48454"/>
    <cellStyle name="Normal 3 7 3" xfId="48455"/>
    <cellStyle name="Normal 3 7 3 2" xfId="48456"/>
    <cellStyle name="Normal 3 7 3 2 2" xfId="48457"/>
    <cellStyle name="Normal 3 7 3 2 2 2" xfId="48458"/>
    <cellStyle name="Normal 3 7 3 2 2 2 2" xfId="48459"/>
    <cellStyle name="Normal 3 7 3 2 2 3" xfId="48460"/>
    <cellStyle name="Normal 3 7 3 2 3" xfId="48461"/>
    <cellStyle name="Normal 3 7 3 2 3 2" xfId="48462"/>
    <cellStyle name="Normal 3 7 3 2 4" xfId="48463"/>
    <cellStyle name="Normal 3 7 3 3" xfId="48464"/>
    <cellStyle name="Normal 3 7 3 3 2" xfId="48465"/>
    <cellStyle name="Normal 3 7 3 3 2 2" xfId="48466"/>
    <cellStyle name="Normal 3 7 3 3 3" xfId="48467"/>
    <cellStyle name="Normal 3 7 3 4" xfId="48468"/>
    <cellStyle name="Normal 3 7 3 4 2" xfId="48469"/>
    <cellStyle name="Normal 3 7 3 5" xfId="48470"/>
    <cellStyle name="Normal 3 7 4" xfId="48471"/>
    <cellStyle name="Normal 3 7 4 2" xfId="48472"/>
    <cellStyle name="Normal 3 7 4 2 2" xfId="48473"/>
    <cellStyle name="Normal 3 7 4 2 2 2" xfId="48474"/>
    <cellStyle name="Normal 3 7 4 2 2 2 2" xfId="48475"/>
    <cellStyle name="Normal 3 7 4 2 2 3" xfId="48476"/>
    <cellStyle name="Normal 3 7 4 2 3" xfId="48477"/>
    <cellStyle name="Normal 3 7 4 2 3 2" xfId="48478"/>
    <cellStyle name="Normal 3 7 4 2 4" xfId="48479"/>
    <cellStyle name="Normal 3 7 4 3" xfId="48480"/>
    <cellStyle name="Normal 3 7 4 3 2" xfId="48481"/>
    <cellStyle name="Normal 3 7 4 3 2 2" xfId="48482"/>
    <cellStyle name="Normal 3 7 4 3 3" xfId="48483"/>
    <cellStyle name="Normal 3 7 4 4" xfId="48484"/>
    <cellStyle name="Normal 3 7 4 4 2" xfId="48485"/>
    <cellStyle name="Normal 3 7 4 5" xfId="48486"/>
    <cellStyle name="Normal 3 7 5" xfId="48487"/>
    <cellStyle name="Normal 3 7 5 2" xfId="48488"/>
    <cellStyle name="Normal 3 7 5 2 2" xfId="48489"/>
    <cellStyle name="Normal 3 7 5 2 2 2" xfId="48490"/>
    <cellStyle name="Normal 3 7 5 2 2 2 2" xfId="48491"/>
    <cellStyle name="Normal 3 7 5 2 2 3" xfId="48492"/>
    <cellStyle name="Normal 3 7 5 2 3" xfId="48493"/>
    <cellStyle name="Normal 3 7 5 2 3 2" xfId="48494"/>
    <cellStyle name="Normal 3 7 5 2 4" xfId="48495"/>
    <cellStyle name="Normal 3 7 5 3" xfId="48496"/>
    <cellStyle name="Normal 3 7 5 3 2" xfId="48497"/>
    <cellStyle name="Normal 3 7 5 3 2 2" xfId="48498"/>
    <cellStyle name="Normal 3 7 5 3 3" xfId="48499"/>
    <cellStyle name="Normal 3 7 5 4" xfId="48500"/>
    <cellStyle name="Normal 3 7 5 4 2" xfId="48501"/>
    <cellStyle name="Normal 3 7 5 5" xfId="48502"/>
    <cellStyle name="Normal 3 7 6" xfId="48503"/>
    <cellStyle name="Normal 3 7 6 2" xfId="48504"/>
    <cellStyle name="Normal 3 7 6 2 2" xfId="48505"/>
    <cellStyle name="Normal 3 7 6 2 2 2" xfId="48506"/>
    <cellStyle name="Normal 3 7 6 2 2 2 2" xfId="48507"/>
    <cellStyle name="Normal 3 7 6 2 2 3" xfId="48508"/>
    <cellStyle name="Normal 3 7 6 2 3" xfId="48509"/>
    <cellStyle name="Normal 3 7 6 2 3 2" xfId="48510"/>
    <cellStyle name="Normal 3 7 6 2 4" xfId="48511"/>
    <cellStyle name="Normal 3 7 6 3" xfId="48512"/>
    <cellStyle name="Normal 3 7 6 3 2" xfId="48513"/>
    <cellStyle name="Normal 3 7 6 3 2 2" xfId="48514"/>
    <cellStyle name="Normal 3 7 6 3 3" xfId="48515"/>
    <cellStyle name="Normal 3 7 6 4" xfId="48516"/>
    <cellStyle name="Normal 3 7 6 4 2" xfId="48517"/>
    <cellStyle name="Normal 3 7 6 5" xfId="48518"/>
    <cellStyle name="Normal 3 7 7" xfId="48519"/>
    <cellStyle name="Normal 3 7 7 2" xfId="48520"/>
    <cellStyle name="Normal 3 7 7 2 2" xfId="48521"/>
    <cellStyle name="Normal 3 7 7 2 2 2" xfId="48522"/>
    <cellStyle name="Normal 3 7 7 2 2 2 2" xfId="48523"/>
    <cellStyle name="Normal 3 7 7 2 2 3" xfId="48524"/>
    <cellStyle name="Normal 3 7 7 2 3" xfId="48525"/>
    <cellStyle name="Normal 3 7 7 2 3 2" xfId="48526"/>
    <cellStyle name="Normal 3 7 7 2 4" xfId="48527"/>
    <cellStyle name="Normal 3 7 7 3" xfId="48528"/>
    <cellStyle name="Normal 3 7 7 3 2" xfId="48529"/>
    <cellStyle name="Normal 3 7 7 3 2 2" xfId="48530"/>
    <cellStyle name="Normal 3 7 7 3 3" xfId="48531"/>
    <cellStyle name="Normal 3 7 7 4" xfId="48532"/>
    <cellStyle name="Normal 3 7 7 4 2" xfId="48533"/>
    <cellStyle name="Normal 3 7 7 5" xfId="48534"/>
    <cellStyle name="Normal 3 7 8" xfId="48535"/>
    <cellStyle name="Normal 3 7 8 2" xfId="48536"/>
    <cellStyle name="Normal 3 7 8 2 2" xfId="48537"/>
    <cellStyle name="Normal 3 7 8 2 2 2" xfId="48538"/>
    <cellStyle name="Normal 3 7 8 2 3" xfId="48539"/>
    <cellStyle name="Normal 3 7 8 3" xfId="48540"/>
    <cellStyle name="Normal 3 7 8 3 2" xfId="48541"/>
    <cellStyle name="Normal 3 7 8 4" xfId="48542"/>
    <cellStyle name="Normal 3 7 9" xfId="48543"/>
    <cellStyle name="Normal 3 7 9 2" xfId="48544"/>
    <cellStyle name="Normal 3 7 9 2 2" xfId="48545"/>
    <cellStyle name="Normal 3 7 9 3" xfId="48546"/>
    <cellStyle name="Normal 3 8" xfId="48547"/>
    <cellStyle name="Normal 3 8 10" xfId="48548"/>
    <cellStyle name="Normal 3 8 10 2" xfId="48549"/>
    <cellStyle name="Normal 3 8 11" xfId="48550"/>
    <cellStyle name="Normal 3 8 2" xfId="48551"/>
    <cellStyle name="Normal 3 8 2 10" xfId="48552"/>
    <cellStyle name="Normal 3 8 2 2" xfId="48553"/>
    <cellStyle name="Normal 3 8 2 2 2" xfId="48554"/>
    <cellStyle name="Normal 3 8 2 2 2 2" xfId="48555"/>
    <cellStyle name="Normal 3 8 2 2 2 2 2" xfId="48556"/>
    <cellStyle name="Normal 3 8 2 2 2 2 2 2" xfId="48557"/>
    <cellStyle name="Normal 3 8 2 2 2 2 3" xfId="48558"/>
    <cellStyle name="Normal 3 8 2 2 2 3" xfId="48559"/>
    <cellStyle name="Normal 3 8 2 2 2 3 2" xfId="48560"/>
    <cellStyle name="Normal 3 8 2 2 2 4" xfId="48561"/>
    <cellStyle name="Normal 3 8 2 2 3" xfId="48562"/>
    <cellStyle name="Normal 3 8 2 2 3 2" xfId="48563"/>
    <cellStyle name="Normal 3 8 2 2 3 2 2" xfId="48564"/>
    <cellStyle name="Normal 3 8 2 2 3 3" xfId="48565"/>
    <cellStyle name="Normal 3 8 2 2 4" xfId="48566"/>
    <cellStyle name="Normal 3 8 2 2 4 2" xfId="48567"/>
    <cellStyle name="Normal 3 8 2 2 5" xfId="48568"/>
    <cellStyle name="Normal 3 8 2 3" xfId="48569"/>
    <cellStyle name="Normal 3 8 2 3 2" xfId="48570"/>
    <cellStyle name="Normal 3 8 2 3 2 2" xfId="48571"/>
    <cellStyle name="Normal 3 8 2 3 2 2 2" xfId="48572"/>
    <cellStyle name="Normal 3 8 2 3 2 2 2 2" xfId="48573"/>
    <cellStyle name="Normal 3 8 2 3 2 2 3" xfId="48574"/>
    <cellStyle name="Normal 3 8 2 3 2 3" xfId="48575"/>
    <cellStyle name="Normal 3 8 2 3 2 3 2" xfId="48576"/>
    <cellStyle name="Normal 3 8 2 3 2 4" xfId="48577"/>
    <cellStyle name="Normal 3 8 2 3 3" xfId="48578"/>
    <cellStyle name="Normal 3 8 2 3 3 2" xfId="48579"/>
    <cellStyle name="Normal 3 8 2 3 3 2 2" xfId="48580"/>
    <cellStyle name="Normal 3 8 2 3 3 3" xfId="48581"/>
    <cellStyle name="Normal 3 8 2 3 4" xfId="48582"/>
    <cellStyle name="Normal 3 8 2 3 4 2" xfId="48583"/>
    <cellStyle name="Normal 3 8 2 3 5" xfId="48584"/>
    <cellStyle name="Normal 3 8 2 4" xfId="48585"/>
    <cellStyle name="Normal 3 8 2 4 2" xfId="48586"/>
    <cellStyle name="Normal 3 8 2 4 2 2" xfId="48587"/>
    <cellStyle name="Normal 3 8 2 4 2 2 2" xfId="48588"/>
    <cellStyle name="Normal 3 8 2 4 2 2 2 2" xfId="48589"/>
    <cellStyle name="Normal 3 8 2 4 2 2 3" xfId="48590"/>
    <cellStyle name="Normal 3 8 2 4 2 3" xfId="48591"/>
    <cellStyle name="Normal 3 8 2 4 2 3 2" xfId="48592"/>
    <cellStyle name="Normal 3 8 2 4 2 4" xfId="48593"/>
    <cellStyle name="Normal 3 8 2 4 3" xfId="48594"/>
    <cellStyle name="Normal 3 8 2 4 3 2" xfId="48595"/>
    <cellStyle name="Normal 3 8 2 4 3 2 2" xfId="48596"/>
    <cellStyle name="Normal 3 8 2 4 3 3" xfId="48597"/>
    <cellStyle name="Normal 3 8 2 4 4" xfId="48598"/>
    <cellStyle name="Normal 3 8 2 4 4 2" xfId="48599"/>
    <cellStyle name="Normal 3 8 2 4 5" xfId="48600"/>
    <cellStyle name="Normal 3 8 2 5" xfId="48601"/>
    <cellStyle name="Normal 3 8 2 5 2" xfId="48602"/>
    <cellStyle name="Normal 3 8 2 5 2 2" xfId="48603"/>
    <cellStyle name="Normal 3 8 2 5 2 2 2" xfId="48604"/>
    <cellStyle name="Normal 3 8 2 5 2 2 2 2" xfId="48605"/>
    <cellStyle name="Normal 3 8 2 5 2 2 3" xfId="48606"/>
    <cellStyle name="Normal 3 8 2 5 2 3" xfId="48607"/>
    <cellStyle name="Normal 3 8 2 5 2 3 2" xfId="48608"/>
    <cellStyle name="Normal 3 8 2 5 2 4" xfId="48609"/>
    <cellStyle name="Normal 3 8 2 5 3" xfId="48610"/>
    <cellStyle name="Normal 3 8 2 5 3 2" xfId="48611"/>
    <cellStyle name="Normal 3 8 2 5 3 2 2" xfId="48612"/>
    <cellStyle name="Normal 3 8 2 5 3 3" xfId="48613"/>
    <cellStyle name="Normal 3 8 2 5 4" xfId="48614"/>
    <cellStyle name="Normal 3 8 2 5 4 2" xfId="48615"/>
    <cellStyle name="Normal 3 8 2 5 5" xfId="48616"/>
    <cellStyle name="Normal 3 8 2 6" xfId="48617"/>
    <cellStyle name="Normal 3 8 2 6 2" xfId="48618"/>
    <cellStyle name="Normal 3 8 2 6 2 2" xfId="48619"/>
    <cellStyle name="Normal 3 8 2 6 2 2 2" xfId="48620"/>
    <cellStyle name="Normal 3 8 2 6 2 2 2 2" xfId="48621"/>
    <cellStyle name="Normal 3 8 2 6 2 2 3" xfId="48622"/>
    <cellStyle name="Normal 3 8 2 6 2 3" xfId="48623"/>
    <cellStyle name="Normal 3 8 2 6 2 3 2" xfId="48624"/>
    <cellStyle name="Normal 3 8 2 6 2 4" xfId="48625"/>
    <cellStyle name="Normal 3 8 2 6 3" xfId="48626"/>
    <cellStyle name="Normal 3 8 2 6 3 2" xfId="48627"/>
    <cellStyle name="Normal 3 8 2 6 3 2 2" xfId="48628"/>
    <cellStyle name="Normal 3 8 2 6 3 3" xfId="48629"/>
    <cellStyle name="Normal 3 8 2 6 4" xfId="48630"/>
    <cellStyle name="Normal 3 8 2 6 4 2" xfId="48631"/>
    <cellStyle name="Normal 3 8 2 6 5" xfId="48632"/>
    <cellStyle name="Normal 3 8 2 7" xfId="48633"/>
    <cellStyle name="Normal 3 8 2 7 2" xfId="48634"/>
    <cellStyle name="Normal 3 8 2 7 2 2" xfId="48635"/>
    <cellStyle name="Normal 3 8 2 7 2 2 2" xfId="48636"/>
    <cellStyle name="Normal 3 8 2 7 2 3" xfId="48637"/>
    <cellStyle name="Normal 3 8 2 7 3" xfId="48638"/>
    <cellStyle name="Normal 3 8 2 7 3 2" xfId="48639"/>
    <cellStyle name="Normal 3 8 2 7 4" xfId="48640"/>
    <cellStyle name="Normal 3 8 2 8" xfId="48641"/>
    <cellStyle name="Normal 3 8 2 8 2" xfId="48642"/>
    <cellStyle name="Normal 3 8 2 8 2 2" xfId="48643"/>
    <cellStyle name="Normal 3 8 2 8 3" xfId="48644"/>
    <cellStyle name="Normal 3 8 2 9" xfId="48645"/>
    <cellStyle name="Normal 3 8 2 9 2" xfId="48646"/>
    <cellStyle name="Normal 3 8 3" xfId="48647"/>
    <cellStyle name="Normal 3 8 3 2" xfId="48648"/>
    <cellStyle name="Normal 3 8 3 2 2" xfId="48649"/>
    <cellStyle name="Normal 3 8 3 2 2 2" xfId="48650"/>
    <cellStyle name="Normal 3 8 3 2 2 2 2" xfId="48651"/>
    <cellStyle name="Normal 3 8 3 2 2 3" xfId="48652"/>
    <cellStyle name="Normal 3 8 3 2 3" xfId="48653"/>
    <cellStyle name="Normal 3 8 3 2 3 2" xfId="48654"/>
    <cellStyle name="Normal 3 8 3 2 4" xfId="48655"/>
    <cellStyle name="Normal 3 8 3 3" xfId="48656"/>
    <cellStyle name="Normal 3 8 3 3 2" xfId="48657"/>
    <cellStyle name="Normal 3 8 3 3 2 2" xfId="48658"/>
    <cellStyle name="Normal 3 8 3 3 3" xfId="48659"/>
    <cellStyle name="Normal 3 8 3 4" xfId="48660"/>
    <cellStyle name="Normal 3 8 3 4 2" xfId="48661"/>
    <cellStyle name="Normal 3 8 3 5" xfId="48662"/>
    <cellStyle name="Normal 3 8 4" xfId="48663"/>
    <cellStyle name="Normal 3 8 4 2" xfId="48664"/>
    <cellStyle name="Normal 3 8 4 2 2" xfId="48665"/>
    <cellStyle name="Normal 3 8 4 2 2 2" xfId="48666"/>
    <cellStyle name="Normal 3 8 4 2 2 2 2" xfId="48667"/>
    <cellStyle name="Normal 3 8 4 2 2 3" xfId="48668"/>
    <cellStyle name="Normal 3 8 4 2 3" xfId="48669"/>
    <cellStyle name="Normal 3 8 4 2 3 2" xfId="48670"/>
    <cellStyle name="Normal 3 8 4 2 4" xfId="48671"/>
    <cellStyle name="Normal 3 8 4 3" xfId="48672"/>
    <cellStyle name="Normal 3 8 4 3 2" xfId="48673"/>
    <cellStyle name="Normal 3 8 4 3 2 2" xfId="48674"/>
    <cellStyle name="Normal 3 8 4 3 3" xfId="48675"/>
    <cellStyle name="Normal 3 8 4 4" xfId="48676"/>
    <cellStyle name="Normal 3 8 4 4 2" xfId="48677"/>
    <cellStyle name="Normal 3 8 4 5" xfId="48678"/>
    <cellStyle name="Normal 3 8 5" xfId="48679"/>
    <cellStyle name="Normal 3 8 5 2" xfId="48680"/>
    <cellStyle name="Normal 3 8 5 2 2" xfId="48681"/>
    <cellStyle name="Normal 3 8 5 2 2 2" xfId="48682"/>
    <cellStyle name="Normal 3 8 5 2 2 2 2" xfId="48683"/>
    <cellStyle name="Normal 3 8 5 2 2 3" xfId="48684"/>
    <cellStyle name="Normal 3 8 5 2 3" xfId="48685"/>
    <cellStyle name="Normal 3 8 5 2 3 2" xfId="48686"/>
    <cellStyle name="Normal 3 8 5 2 4" xfId="48687"/>
    <cellStyle name="Normal 3 8 5 3" xfId="48688"/>
    <cellStyle name="Normal 3 8 5 3 2" xfId="48689"/>
    <cellStyle name="Normal 3 8 5 3 2 2" xfId="48690"/>
    <cellStyle name="Normal 3 8 5 3 3" xfId="48691"/>
    <cellStyle name="Normal 3 8 5 4" xfId="48692"/>
    <cellStyle name="Normal 3 8 5 4 2" xfId="48693"/>
    <cellStyle name="Normal 3 8 5 5" xfId="48694"/>
    <cellStyle name="Normal 3 8 6" xfId="48695"/>
    <cellStyle name="Normal 3 8 6 2" xfId="48696"/>
    <cellStyle name="Normal 3 8 6 2 2" xfId="48697"/>
    <cellStyle name="Normal 3 8 6 2 2 2" xfId="48698"/>
    <cellStyle name="Normal 3 8 6 2 2 2 2" xfId="48699"/>
    <cellStyle name="Normal 3 8 6 2 2 3" xfId="48700"/>
    <cellStyle name="Normal 3 8 6 2 3" xfId="48701"/>
    <cellStyle name="Normal 3 8 6 2 3 2" xfId="48702"/>
    <cellStyle name="Normal 3 8 6 2 4" xfId="48703"/>
    <cellStyle name="Normal 3 8 6 3" xfId="48704"/>
    <cellStyle name="Normal 3 8 6 3 2" xfId="48705"/>
    <cellStyle name="Normal 3 8 6 3 2 2" xfId="48706"/>
    <cellStyle name="Normal 3 8 6 3 3" xfId="48707"/>
    <cellStyle name="Normal 3 8 6 4" xfId="48708"/>
    <cellStyle name="Normal 3 8 6 4 2" xfId="48709"/>
    <cellStyle name="Normal 3 8 6 5" xfId="48710"/>
    <cellStyle name="Normal 3 8 7" xfId="48711"/>
    <cellStyle name="Normal 3 8 7 2" xfId="48712"/>
    <cellStyle name="Normal 3 8 7 2 2" xfId="48713"/>
    <cellStyle name="Normal 3 8 7 2 2 2" xfId="48714"/>
    <cellStyle name="Normal 3 8 7 2 2 2 2" xfId="48715"/>
    <cellStyle name="Normal 3 8 7 2 2 3" xfId="48716"/>
    <cellStyle name="Normal 3 8 7 2 3" xfId="48717"/>
    <cellStyle name="Normal 3 8 7 2 3 2" xfId="48718"/>
    <cellStyle name="Normal 3 8 7 2 4" xfId="48719"/>
    <cellStyle name="Normal 3 8 7 3" xfId="48720"/>
    <cellStyle name="Normal 3 8 7 3 2" xfId="48721"/>
    <cellStyle name="Normal 3 8 7 3 2 2" xfId="48722"/>
    <cellStyle name="Normal 3 8 7 3 3" xfId="48723"/>
    <cellStyle name="Normal 3 8 7 4" xfId="48724"/>
    <cellStyle name="Normal 3 8 7 4 2" xfId="48725"/>
    <cellStyle name="Normal 3 8 7 5" xfId="48726"/>
    <cellStyle name="Normal 3 8 8" xfId="48727"/>
    <cellStyle name="Normal 3 8 8 2" xfId="48728"/>
    <cellStyle name="Normal 3 8 8 2 2" xfId="48729"/>
    <cellStyle name="Normal 3 8 8 2 2 2" xfId="48730"/>
    <cellStyle name="Normal 3 8 8 2 3" xfId="48731"/>
    <cellStyle name="Normal 3 8 8 3" xfId="48732"/>
    <cellStyle name="Normal 3 8 8 3 2" xfId="48733"/>
    <cellStyle name="Normal 3 8 8 4" xfId="48734"/>
    <cellStyle name="Normal 3 8 9" xfId="48735"/>
    <cellStyle name="Normal 3 8 9 2" xfId="48736"/>
    <cellStyle name="Normal 3 8 9 2 2" xfId="48737"/>
    <cellStyle name="Normal 3 8 9 3" xfId="48738"/>
    <cellStyle name="Normal 3 9" xfId="48739"/>
    <cellStyle name="Normal 3 9 10" xfId="48740"/>
    <cellStyle name="Normal 3 9 10 2" xfId="48741"/>
    <cellStyle name="Normal 3 9 11" xfId="48742"/>
    <cellStyle name="Normal 3 9 2" xfId="48743"/>
    <cellStyle name="Normal 3 9 2 10" xfId="48744"/>
    <cellStyle name="Normal 3 9 2 2" xfId="48745"/>
    <cellStyle name="Normal 3 9 2 2 2" xfId="48746"/>
    <cellStyle name="Normal 3 9 2 2 2 2" xfId="48747"/>
    <cellStyle name="Normal 3 9 2 2 2 2 2" xfId="48748"/>
    <cellStyle name="Normal 3 9 2 2 2 2 2 2" xfId="48749"/>
    <cellStyle name="Normal 3 9 2 2 2 2 3" xfId="48750"/>
    <cellStyle name="Normal 3 9 2 2 2 3" xfId="48751"/>
    <cellStyle name="Normal 3 9 2 2 2 3 2" xfId="48752"/>
    <cellStyle name="Normal 3 9 2 2 2 4" xfId="48753"/>
    <cellStyle name="Normal 3 9 2 2 3" xfId="48754"/>
    <cellStyle name="Normal 3 9 2 2 3 2" xfId="48755"/>
    <cellStyle name="Normal 3 9 2 2 3 2 2" xfId="48756"/>
    <cellStyle name="Normal 3 9 2 2 3 3" xfId="48757"/>
    <cellStyle name="Normal 3 9 2 2 4" xfId="48758"/>
    <cellStyle name="Normal 3 9 2 2 4 2" xfId="48759"/>
    <cellStyle name="Normal 3 9 2 2 5" xfId="48760"/>
    <cellStyle name="Normal 3 9 2 3" xfId="48761"/>
    <cellStyle name="Normal 3 9 2 3 2" xfId="48762"/>
    <cellStyle name="Normal 3 9 2 3 2 2" xfId="48763"/>
    <cellStyle name="Normal 3 9 2 3 2 2 2" xfId="48764"/>
    <cellStyle name="Normal 3 9 2 3 2 2 2 2" xfId="48765"/>
    <cellStyle name="Normal 3 9 2 3 2 2 3" xfId="48766"/>
    <cellStyle name="Normal 3 9 2 3 2 3" xfId="48767"/>
    <cellStyle name="Normal 3 9 2 3 2 3 2" xfId="48768"/>
    <cellStyle name="Normal 3 9 2 3 2 4" xfId="48769"/>
    <cellStyle name="Normal 3 9 2 3 3" xfId="48770"/>
    <cellStyle name="Normal 3 9 2 3 3 2" xfId="48771"/>
    <cellStyle name="Normal 3 9 2 3 3 2 2" xfId="48772"/>
    <cellStyle name="Normal 3 9 2 3 3 3" xfId="48773"/>
    <cellStyle name="Normal 3 9 2 3 4" xfId="48774"/>
    <cellStyle name="Normal 3 9 2 3 4 2" xfId="48775"/>
    <cellStyle name="Normal 3 9 2 3 5" xfId="48776"/>
    <cellStyle name="Normal 3 9 2 4" xfId="48777"/>
    <cellStyle name="Normal 3 9 2 4 2" xfId="48778"/>
    <cellStyle name="Normal 3 9 2 4 2 2" xfId="48779"/>
    <cellStyle name="Normal 3 9 2 4 2 2 2" xfId="48780"/>
    <cellStyle name="Normal 3 9 2 4 2 2 2 2" xfId="48781"/>
    <cellStyle name="Normal 3 9 2 4 2 2 3" xfId="48782"/>
    <cellStyle name="Normal 3 9 2 4 2 3" xfId="48783"/>
    <cellStyle name="Normal 3 9 2 4 2 3 2" xfId="48784"/>
    <cellStyle name="Normal 3 9 2 4 2 4" xfId="48785"/>
    <cellStyle name="Normal 3 9 2 4 3" xfId="48786"/>
    <cellStyle name="Normal 3 9 2 4 3 2" xfId="48787"/>
    <cellStyle name="Normal 3 9 2 4 3 2 2" xfId="48788"/>
    <cellStyle name="Normal 3 9 2 4 3 3" xfId="48789"/>
    <cellStyle name="Normal 3 9 2 4 4" xfId="48790"/>
    <cellStyle name="Normal 3 9 2 4 4 2" xfId="48791"/>
    <cellStyle name="Normal 3 9 2 4 5" xfId="48792"/>
    <cellStyle name="Normal 3 9 2 5" xfId="48793"/>
    <cellStyle name="Normal 3 9 2 5 2" xfId="48794"/>
    <cellStyle name="Normal 3 9 2 5 2 2" xfId="48795"/>
    <cellStyle name="Normal 3 9 2 5 2 2 2" xfId="48796"/>
    <cellStyle name="Normal 3 9 2 5 2 2 2 2" xfId="48797"/>
    <cellStyle name="Normal 3 9 2 5 2 2 3" xfId="48798"/>
    <cellStyle name="Normal 3 9 2 5 2 3" xfId="48799"/>
    <cellStyle name="Normal 3 9 2 5 2 3 2" xfId="48800"/>
    <cellStyle name="Normal 3 9 2 5 2 4" xfId="48801"/>
    <cellStyle name="Normal 3 9 2 5 3" xfId="48802"/>
    <cellStyle name="Normal 3 9 2 5 3 2" xfId="48803"/>
    <cellStyle name="Normal 3 9 2 5 3 2 2" xfId="48804"/>
    <cellStyle name="Normal 3 9 2 5 3 3" xfId="48805"/>
    <cellStyle name="Normal 3 9 2 5 4" xfId="48806"/>
    <cellStyle name="Normal 3 9 2 5 4 2" xfId="48807"/>
    <cellStyle name="Normal 3 9 2 5 5" xfId="48808"/>
    <cellStyle name="Normal 3 9 2 6" xfId="48809"/>
    <cellStyle name="Normal 3 9 2 6 2" xfId="48810"/>
    <cellStyle name="Normal 3 9 2 6 2 2" xfId="48811"/>
    <cellStyle name="Normal 3 9 2 6 2 2 2" xfId="48812"/>
    <cellStyle name="Normal 3 9 2 6 2 2 2 2" xfId="48813"/>
    <cellStyle name="Normal 3 9 2 6 2 2 3" xfId="48814"/>
    <cellStyle name="Normal 3 9 2 6 2 3" xfId="48815"/>
    <cellStyle name="Normal 3 9 2 6 2 3 2" xfId="48816"/>
    <cellStyle name="Normal 3 9 2 6 2 4" xfId="48817"/>
    <cellStyle name="Normal 3 9 2 6 3" xfId="48818"/>
    <cellStyle name="Normal 3 9 2 6 3 2" xfId="48819"/>
    <cellStyle name="Normal 3 9 2 6 3 2 2" xfId="48820"/>
    <cellStyle name="Normal 3 9 2 6 3 3" xfId="48821"/>
    <cellStyle name="Normal 3 9 2 6 4" xfId="48822"/>
    <cellStyle name="Normal 3 9 2 6 4 2" xfId="48823"/>
    <cellStyle name="Normal 3 9 2 6 5" xfId="48824"/>
    <cellStyle name="Normal 3 9 2 7" xfId="48825"/>
    <cellStyle name="Normal 3 9 2 7 2" xfId="48826"/>
    <cellStyle name="Normal 3 9 2 7 2 2" xfId="48827"/>
    <cellStyle name="Normal 3 9 2 7 2 2 2" xfId="48828"/>
    <cellStyle name="Normal 3 9 2 7 2 3" xfId="48829"/>
    <cellStyle name="Normal 3 9 2 7 3" xfId="48830"/>
    <cellStyle name="Normal 3 9 2 7 3 2" xfId="48831"/>
    <cellStyle name="Normal 3 9 2 7 4" xfId="48832"/>
    <cellStyle name="Normal 3 9 2 8" xfId="48833"/>
    <cellStyle name="Normal 3 9 2 8 2" xfId="48834"/>
    <cellStyle name="Normal 3 9 2 8 2 2" xfId="48835"/>
    <cellStyle name="Normal 3 9 2 8 3" xfId="48836"/>
    <cellStyle name="Normal 3 9 2 9" xfId="48837"/>
    <cellStyle name="Normal 3 9 2 9 2" xfId="48838"/>
    <cellStyle name="Normal 3 9 3" xfId="48839"/>
    <cellStyle name="Normal 3 9 3 2" xfId="48840"/>
    <cellStyle name="Normal 3 9 3 2 2" xfId="48841"/>
    <cellStyle name="Normal 3 9 3 2 2 2" xfId="48842"/>
    <cellStyle name="Normal 3 9 3 2 2 2 2" xfId="48843"/>
    <cellStyle name="Normal 3 9 3 2 2 3" xfId="48844"/>
    <cellStyle name="Normal 3 9 3 2 3" xfId="48845"/>
    <cellStyle name="Normal 3 9 3 2 3 2" xfId="48846"/>
    <cellStyle name="Normal 3 9 3 2 4" xfId="48847"/>
    <cellStyle name="Normal 3 9 3 3" xfId="48848"/>
    <cellStyle name="Normal 3 9 3 3 2" xfId="48849"/>
    <cellStyle name="Normal 3 9 3 3 2 2" xfId="48850"/>
    <cellStyle name="Normal 3 9 3 3 3" xfId="48851"/>
    <cellStyle name="Normal 3 9 3 4" xfId="48852"/>
    <cellStyle name="Normal 3 9 3 4 2" xfId="48853"/>
    <cellStyle name="Normal 3 9 3 5" xfId="48854"/>
    <cellStyle name="Normal 3 9 4" xfId="48855"/>
    <cellStyle name="Normal 3 9 4 2" xfId="48856"/>
    <cellStyle name="Normal 3 9 4 2 2" xfId="48857"/>
    <cellStyle name="Normal 3 9 4 2 2 2" xfId="48858"/>
    <cellStyle name="Normal 3 9 4 2 2 2 2" xfId="48859"/>
    <cellStyle name="Normal 3 9 4 2 2 3" xfId="48860"/>
    <cellStyle name="Normal 3 9 4 2 3" xfId="48861"/>
    <cellStyle name="Normal 3 9 4 2 3 2" xfId="48862"/>
    <cellStyle name="Normal 3 9 4 2 4" xfId="48863"/>
    <cellStyle name="Normal 3 9 4 3" xfId="48864"/>
    <cellStyle name="Normal 3 9 4 3 2" xfId="48865"/>
    <cellStyle name="Normal 3 9 4 3 2 2" xfId="48866"/>
    <cellStyle name="Normal 3 9 4 3 3" xfId="48867"/>
    <cellStyle name="Normal 3 9 4 4" xfId="48868"/>
    <cellStyle name="Normal 3 9 4 4 2" xfId="48869"/>
    <cellStyle name="Normal 3 9 4 5" xfId="48870"/>
    <cellStyle name="Normal 3 9 5" xfId="48871"/>
    <cellStyle name="Normal 3 9 5 2" xfId="48872"/>
    <cellStyle name="Normal 3 9 5 2 2" xfId="48873"/>
    <cellStyle name="Normal 3 9 5 2 2 2" xfId="48874"/>
    <cellStyle name="Normal 3 9 5 2 2 2 2" xfId="48875"/>
    <cellStyle name="Normal 3 9 5 2 2 3" xfId="48876"/>
    <cellStyle name="Normal 3 9 5 2 3" xfId="48877"/>
    <cellStyle name="Normal 3 9 5 2 3 2" xfId="48878"/>
    <cellStyle name="Normal 3 9 5 2 4" xfId="48879"/>
    <cellStyle name="Normal 3 9 5 3" xfId="48880"/>
    <cellStyle name="Normal 3 9 5 3 2" xfId="48881"/>
    <cellStyle name="Normal 3 9 5 3 2 2" xfId="48882"/>
    <cellStyle name="Normal 3 9 5 3 3" xfId="48883"/>
    <cellStyle name="Normal 3 9 5 4" xfId="48884"/>
    <cellStyle name="Normal 3 9 5 4 2" xfId="48885"/>
    <cellStyle name="Normal 3 9 5 5" xfId="48886"/>
    <cellStyle name="Normal 3 9 6" xfId="48887"/>
    <cellStyle name="Normal 3 9 6 2" xfId="48888"/>
    <cellStyle name="Normal 3 9 6 2 2" xfId="48889"/>
    <cellStyle name="Normal 3 9 6 2 2 2" xfId="48890"/>
    <cellStyle name="Normal 3 9 6 2 2 2 2" xfId="48891"/>
    <cellStyle name="Normal 3 9 6 2 2 3" xfId="48892"/>
    <cellStyle name="Normal 3 9 6 2 3" xfId="48893"/>
    <cellStyle name="Normal 3 9 6 2 3 2" xfId="48894"/>
    <cellStyle name="Normal 3 9 6 2 4" xfId="48895"/>
    <cellStyle name="Normal 3 9 6 3" xfId="48896"/>
    <cellStyle name="Normal 3 9 6 3 2" xfId="48897"/>
    <cellStyle name="Normal 3 9 6 3 2 2" xfId="48898"/>
    <cellStyle name="Normal 3 9 6 3 3" xfId="48899"/>
    <cellStyle name="Normal 3 9 6 4" xfId="48900"/>
    <cellStyle name="Normal 3 9 6 4 2" xfId="48901"/>
    <cellStyle name="Normal 3 9 6 5" xfId="48902"/>
    <cellStyle name="Normal 3 9 7" xfId="48903"/>
    <cellStyle name="Normal 3 9 7 2" xfId="48904"/>
    <cellStyle name="Normal 3 9 7 2 2" xfId="48905"/>
    <cellStyle name="Normal 3 9 7 2 2 2" xfId="48906"/>
    <cellStyle name="Normal 3 9 7 2 2 2 2" xfId="48907"/>
    <cellStyle name="Normal 3 9 7 2 2 3" xfId="48908"/>
    <cellStyle name="Normal 3 9 7 2 3" xfId="48909"/>
    <cellStyle name="Normal 3 9 7 2 3 2" xfId="48910"/>
    <cellStyle name="Normal 3 9 7 2 4" xfId="48911"/>
    <cellStyle name="Normal 3 9 7 3" xfId="48912"/>
    <cellStyle name="Normal 3 9 7 3 2" xfId="48913"/>
    <cellStyle name="Normal 3 9 7 3 2 2" xfId="48914"/>
    <cellStyle name="Normal 3 9 7 3 3" xfId="48915"/>
    <cellStyle name="Normal 3 9 7 4" xfId="48916"/>
    <cellStyle name="Normal 3 9 7 4 2" xfId="48917"/>
    <cellStyle name="Normal 3 9 7 5" xfId="48918"/>
    <cellStyle name="Normal 3 9 8" xfId="48919"/>
    <cellStyle name="Normal 3 9 8 2" xfId="48920"/>
    <cellStyle name="Normal 3 9 8 2 2" xfId="48921"/>
    <cellStyle name="Normal 3 9 8 2 2 2" xfId="48922"/>
    <cellStyle name="Normal 3 9 8 2 3" xfId="48923"/>
    <cellStyle name="Normal 3 9 8 3" xfId="48924"/>
    <cellStyle name="Normal 3 9 8 3 2" xfId="48925"/>
    <cellStyle name="Normal 3 9 8 4" xfId="48926"/>
    <cellStyle name="Normal 3 9 9" xfId="48927"/>
    <cellStyle name="Normal 3 9 9 2" xfId="48928"/>
    <cellStyle name="Normal 3 9 9 2 2" xfId="48929"/>
    <cellStyle name="Normal 3 9 9 3" xfId="48930"/>
    <cellStyle name="Normal 4" xfId="48931"/>
    <cellStyle name="Normal 4 2" xfId="48932"/>
    <cellStyle name="Normal 5" xfId="48933"/>
    <cellStyle name="Normal 5 2" xfId="48934"/>
    <cellStyle name="Normal 6" xfId="48935"/>
    <cellStyle name="Normal 6 2" xfId="48936"/>
    <cellStyle name="Normal 7" xfId="48937"/>
    <cellStyle name="Normal 7 2" xfId="48938"/>
    <cellStyle name="Normal 7 3" xfId="48939"/>
    <cellStyle name="Normal 7 4" xfId="48940"/>
    <cellStyle name="Normal 7 5" xfId="48941"/>
    <cellStyle name="Normal 7 6" xfId="48942"/>
    <cellStyle name="Normal 7 7" xfId="48943"/>
    <cellStyle name="Normal 8" xfId="48944"/>
    <cellStyle name="Normal 8 10" xfId="48945"/>
    <cellStyle name="Normal 8 2" xfId="48946"/>
    <cellStyle name="Normal 8 2 2" xfId="48947"/>
    <cellStyle name="Normal 8 2 2 2" xfId="48948"/>
    <cellStyle name="Normal 8 2 2 2 2" xfId="48949"/>
    <cellStyle name="Normal 8 2 2 2 2 2" xfId="48950"/>
    <cellStyle name="Normal 8 2 2 2 3" xfId="48951"/>
    <cellStyle name="Normal 8 2 2 3" xfId="48952"/>
    <cellStyle name="Normal 8 2 2 3 2" xfId="48953"/>
    <cellStyle name="Normal 8 2 2 4" xfId="48954"/>
    <cellStyle name="Normal 8 2 3" xfId="48955"/>
    <cellStyle name="Normal 8 2 3 2" xfId="48956"/>
    <cellStyle name="Normal 8 2 3 2 2" xfId="48957"/>
    <cellStyle name="Normal 8 2 3 3" xfId="48958"/>
    <cellStyle name="Normal 8 2 4" xfId="48959"/>
    <cellStyle name="Normal 8 2 4 2" xfId="48960"/>
    <cellStyle name="Normal 8 2 5" xfId="48961"/>
    <cellStyle name="Normal 8 3" xfId="48962"/>
    <cellStyle name="Normal 8 3 2" xfId="48963"/>
    <cellStyle name="Normal 8 3 2 2" xfId="48964"/>
    <cellStyle name="Normal 8 3 2 2 2" xfId="48965"/>
    <cellStyle name="Normal 8 3 2 2 2 2" xfId="48966"/>
    <cellStyle name="Normal 8 3 2 2 3" xfId="48967"/>
    <cellStyle name="Normal 8 3 2 3" xfId="48968"/>
    <cellStyle name="Normal 8 3 2 3 2" xfId="48969"/>
    <cellStyle name="Normal 8 3 2 4" xfId="48970"/>
    <cellStyle name="Normal 8 3 3" xfId="48971"/>
    <cellStyle name="Normal 8 3 3 2" xfId="48972"/>
    <cellStyle name="Normal 8 3 3 2 2" xfId="48973"/>
    <cellStyle name="Normal 8 3 3 3" xfId="48974"/>
    <cellStyle name="Normal 8 3 4" xfId="48975"/>
    <cellStyle name="Normal 8 3 4 2" xfId="48976"/>
    <cellStyle name="Normal 8 3 5" xfId="48977"/>
    <cellStyle name="Normal 8 4" xfId="48978"/>
    <cellStyle name="Normal 8 4 2" xfId="48979"/>
    <cellStyle name="Normal 8 4 2 2" xfId="48980"/>
    <cellStyle name="Normal 8 4 2 2 2" xfId="48981"/>
    <cellStyle name="Normal 8 4 2 2 2 2" xfId="48982"/>
    <cellStyle name="Normal 8 4 2 2 3" xfId="48983"/>
    <cellStyle name="Normal 8 4 2 3" xfId="48984"/>
    <cellStyle name="Normal 8 4 2 3 2" xfId="48985"/>
    <cellStyle name="Normal 8 4 2 4" xfId="48986"/>
    <cellStyle name="Normal 8 4 3" xfId="48987"/>
    <cellStyle name="Normal 8 4 3 2" xfId="48988"/>
    <cellStyle name="Normal 8 4 3 2 2" xfId="48989"/>
    <cellStyle name="Normal 8 4 3 3" xfId="48990"/>
    <cellStyle name="Normal 8 4 4" xfId="48991"/>
    <cellStyle name="Normal 8 4 4 2" xfId="48992"/>
    <cellStyle name="Normal 8 4 5" xfId="48993"/>
    <cellStyle name="Normal 8 5" xfId="48994"/>
    <cellStyle name="Normal 8 5 2" xfId="48995"/>
    <cellStyle name="Normal 8 5 2 2" xfId="48996"/>
    <cellStyle name="Normal 8 5 2 2 2" xfId="48997"/>
    <cellStyle name="Normal 8 5 2 2 2 2" xfId="48998"/>
    <cellStyle name="Normal 8 5 2 2 3" xfId="48999"/>
    <cellStyle name="Normal 8 5 2 3" xfId="49000"/>
    <cellStyle name="Normal 8 5 2 3 2" xfId="49001"/>
    <cellStyle name="Normal 8 5 2 4" xfId="49002"/>
    <cellStyle name="Normal 8 5 3" xfId="49003"/>
    <cellStyle name="Normal 8 5 3 2" xfId="49004"/>
    <cellStyle name="Normal 8 5 3 2 2" xfId="49005"/>
    <cellStyle name="Normal 8 5 3 3" xfId="49006"/>
    <cellStyle name="Normal 8 5 4" xfId="49007"/>
    <cellStyle name="Normal 8 5 4 2" xfId="49008"/>
    <cellStyle name="Normal 8 5 5" xfId="49009"/>
    <cellStyle name="Normal 8 6" xfId="49010"/>
    <cellStyle name="Normal 8 6 2" xfId="49011"/>
    <cellStyle name="Normal 8 6 2 2" xfId="49012"/>
    <cellStyle name="Normal 8 6 2 2 2" xfId="49013"/>
    <cellStyle name="Normal 8 6 2 2 2 2" xfId="49014"/>
    <cellStyle name="Normal 8 6 2 2 3" xfId="49015"/>
    <cellStyle name="Normal 8 6 2 3" xfId="49016"/>
    <cellStyle name="Normal 8 6 2 3 2" xfId="49017"/>
    <cellStyle name="Normal 8 6 2 4" xfId="49018"/>
    <cellStyle name="Normal 8 6 3" xfId="49019"/>
    <cellStyle name="Normal 8 6 3 2" xfId="49020"/>
    <cellStyle name="Normal 8 6 3 2 2" xfId="49021"/>
    <cellStyle name="Normal 8 6 3 3" xfId="49022"/>
    <cellStyle name="Normal 8 6 4" xfId="49023"/>
    <cellStyle name="Normal 8 6 4 2" xfId="49024"/>
    <cellStyle name="Normal 8 6 5" xfId="49025"/>
    <cellStyle name="Normal 8 7" xfId="49026"/>
    <cellStyle name="Normal 8 7 2" xfId="49027"/>
    <cellStyle name="Normal 8 7 2 2" xfId="49028"/>
    <cellStyle name="Normal 8 7 2 2 2" xfId="49029"/>
    <cellStyle name="Normal 8 7 2 3" xfId="49030"/>
    <cellStyle name="Normal 8 7 3" xfId="49031"/>
    <cellStyle name="Normal 8 7 3 2" xfId="49032"/>
    <cellStyle name="Normal 8 7 4" xfId="49033"/>
    <cellStyle name="Normal 8 8" xfId="49034"/>
    <cellStyle name="Normal 8 8 2" xfId="49035"/>
    <cellStyle name="Normal 8 8 2 2" xfId="49036"/>
    <cellStyle name="Normal 8 8 3" xfId="49037"/>
    <cellStyle name="Normal 8 9" xfId="49038"/>
    <cellStyle name="Normal 8 9 2" xfId="49039"/>
    <cellStyle name="Normal 9" xfId="49040"/>
    <cellStyle name="Normal 9 2" xfId="49041"/>
    <cellStyle name="Note 2" xfId="49042"/>
    <cellStyle name="Note 2 10" xfId="49043"/>
    <cellStyle name="Note 2 10 10" xfId="49044"/>
    <cellStyle name="Note 2 10 2" xfId="49045"/>
    <cellStyle name="Note 2 10 2 2" xfId="49046"/>
    <cellStyle name="Note 2 10 2 2 2" xfId="49047"/>
    <cellStyle name="Note 2 10 2 2 2 2" xfId="49048"/>
    <cellStyle name="Note 2 10 2 2 2 2 2" xfId="49049"/>
    <cellStyle name="Note 2 10 2 2 2 3" xfId="49050"/>
    <cellStyle name="Note 2 10 2 2 3" xfId="49051"/>
    <cellStyle name="Note 2 10 2 2 3 2" xfId="49052"/>
    <cellStyle name="Note 2 10 2 2 4" xfId="49053"/>
    <cellStyle name="Note 2 10 2 3" xfId="49054"/>
    <cellStyle name="Note 2 10 2 3 2" xfId="49055"/>
    <cellStyle name="Note 2 10 2 3 2 2" xfId="49056"/>
    <cellStyle name="Note 2 10 2 3 3" xfId="49057"/>
    <cellStyle name="Note 2 10 2 4" xfId="49058"/>
    <cellStyle name="Note 2 10 2 4 2" xfId="49059"/>
    <cellStyle name="Note 2 10 2 5" xfId="49060"/>
    <cellStyle name="Note 2 10 3" xfId="49061"/>
    <cellStyle name="Note 2 10 3 2" xfId="49062"/>
    <cellStyle name="Note 2 10 3 2 2" xfId="49063"/>
    <cellStyle name="Note 2 10 3 2 2 2" xfId="49064"/>
    <cellStyle name="Note 2 10 3 2 2 2 2" xfId="49065"/>
    <cellStyle name="Note 2 10 3 2 2 3" xfId="49066"/>
    <cellStyle name="Note 2 10 3 2 3" xfId="49067"/>
    <cellStyle name="Note 2 10 3 2 3 2" xfId="49068"/>
    <cellStyle name="Note 2 10 3 2 4" xfId="49069"/>
    <cellStyle name="Note 2 10 3 3" xfId="49070"/>
    <cellStyle name="Note 2 10 3 3 2" xfId="49071"/>
    <cellStyle name="Note 2 10 3 3 2 2" xfId="49072"/>
    <cellStyle name="Note 2 10 3 3 3" xfId="49073"/>
    <cellStyle name="Note 2 10 3 4" xfId="49074"/>
    <cellStyle name="Note 2 10 3 4 2" xfId="49075"/>
    <cellStyle name="Note 2 10 3 5" xfId="49076"/>
    <cellStyle name="Note 2 10 4" xfId="49077"/>
    <cellStyle name="Note 2 10 4 2" xfId="49078"/>
    <cellStyle name="Note 2 10 4 2 2" xfId="49079"/>
    <cellStyle name="Note 2 10 4 2 2 2" xfId="49080"/>
    <cellStyle name="Note 2 10 4 2 2 2 2" xfId="49081"/>
    <cellStyle name="Note 2 10 4 2 2 3" xfId="49082"/>
    <cellStyle name="Note 2 10 4 2 3" xfId="49083"/>
    <cellStyle name="Note 2 10 4 2 3 2" xfId="49084"/>
    <cellStyle name="Note 2 10 4 2 4" xfId="49085"/>
    <cellStyle name="Note 2 10 4 3" xfId="49086"/>
    <cellStyle name="Note 2 10 4 3 2" xfId="49087"/>
    <cellStyle name="Note 2 10 4 3 2 2" xfId="49088"/>
    <cellStyle name="Note 2 10 4 3 3" xfId="49089"/>
    <cellStyle name="Note 2 10 4 4" xfId="49090"/>
    <cellStyle name="Note 2 10 4 4 2" xfId="49091"/>
    <cellStyle name="Note 2 10 4 5" xfId="49092"/>
    <cellStyle name="Note 2 10 5" xfId="49093"/>
    <cellStyle name="Note 2 10 5 2" xfId="49094"/>
    <cellStyle name="Note 2 10 5 2 2" xfId="49095"/>
    <cellStyle name="Note 2 10 5 2 2 2" xfId="49096"/>
    <cellStyle name="Note 2 10 5 2 2 2 2" xfId="49097"/>
    <cellStyle name="Note 2 10 5 2 2 3" xfId="49098"/>
    <cellStyle name="Note 2 10 5 2 3" xfId="49099"/>
    <cellStyle name="Note 2 10 5 2 3 2" xfId="49100"/>
    <cellStyle name="Note 2 10 5 2 4" xfId="49101"/>
    <cellStyle name="Note 2 10 5 3" xfId="49102"/>
    <cellStyle name="Note 2 10 5 3 2" xfId="49103"/>
    <cellStyle name="Note 2 10 5 3 2 2" xfId="49104"/>
    <cellStyle name="Note 2 10 5 3 3" xfId="49105"/>
    <cellStyle name="Note 2 10 5 4" xfId="49106"/>
    <cellStyle name="Note 2 10 5 4 2" xfId="49107"/>
    <cellStyle name="Note 2 10 5 5" xfId="49108"/>
    <cellStyle name="Note 2 10 6" xfId="49109"/>
    <cellStyle name="Note 2 10 6 2" xfId="49110"/>
    <cellStyle name="Note 2 10 6 2 2" xfId="49111"/>
    <cellStyle name="Note 2 10 6 2 2 2" xfId="49112"/>
    <cellStyle name="Note 2 10 6 2 2 2 2" xfId="49113"/>
    <cellStyle name="Note 2 10 6 2 2 3" xfId="49114"/>
    <cellStyle name="Note 2 10 6 2 3" xfId="49115"/>
    <cellStyle name="Note 2 10 6 2 3 2" xfId="49116"/>
    <cellStyle name="Note 2 10 6 2 4" xfId="49117"/>
    <cellStyle name="Note 2 10 6 3" xfId="49118"/>
    <cellStyle name="Note 2 10 6 3 2" xfId="49119"/>
    <cellStyle name="Note 2 10 6 3 2 2" xfId="49120"/>
    <cellStyle name="Note 2 10 6 3 3" xfId="49121"/>
    <cellStyle name="Note 2 10 6 4" xfId="49122"/>
    <cellStyle name="Note 2 10 6 4 2" xfId="49123"/>
    <cellStyle name="Note 2 10 6 5" xfId="49124"/>
    <cellStyle name="Note 2 10 7" xfId="49125"/>
    <cellStyle name="Note 2 10 7 2" xfId="49126"/>
    <cellStyle name="Note 2 10 7 2 2" xfId="49127"/>
    <cellStyle name="Note 2 10 7 2 2 2" xfId="49128"/>
    <cellStyle name="Note 2 10 7 2 3" xfId="49129"/>
    <cellStyle name="Note 2 10 7 3" xfId="49130"/>
    <cellStyle name="Note 2 10 7 3 2" xfId="49131"/>
    <cellStyle name="Note 2 10 7 4" xfId="49132"/>
    <cellStyle name="Note 2 10 8" xfId="49133"/>
    <cellStyle name="Note 2 10 8 2" xfId="49134"/>
    <cellStyle name="Note 2 10 8 2 2" xfId="49135"/>
    <cellStyle name="Note 2 10 8 3" xfId="49136"/>
    <cellStyle name="Note 2 10 9" xfId="49137"/>
    <cellStyle name="Note 2 10 9 2" xfId="49138"/>
    <cellStyle name="Note 2 11" xfId="49139"/>
    <cellStyle name="Note 2 11 2" xfId="49140"/>
    <cellStyle name="Note 2 11 2 2" xfId="49141"/>
    <cellStyle name="Note 2 11 2 2 2" xfId="49142"/>
    <cellStyle name="Note 2 11 2 2 2 2" xfId="49143"/>
    <cellStyle name="Note 2 11 2 2 3" xfId="49144"/>
    <cellStyle name="Note 2 11 2 3" xfId="49145"/>
    <cellStyle name="Note 2 11 2 3 2" xfId="49146"/>
    <cellStyle name="Note 2 11 2 4" xfId="49147"/>
    <cellStyle name="Note 2 11 3" xfId="49148"/>
    <cellStyle name="Note 2 11 3 2" xfId="49149"/>
    <cellStyle name="Note 2 11 3 2 2" xfId="49150"/>
    <cellStyle name="Note 2 11 3 3" xfId="49151"/>
    <cellStyle name="Note 2 11 4" xfId="49152"/>
    <cellStyle name="Note 2 11 4 2" xfId="49153"/>
    <cellStyle name="Note 2 11 5" xfId="49154"/>
    <cellStyle name="Note 2 12" xfId="49155"/>
    <cellStyle name="Note 2 12 2" xfId="49156"/>
    <cellStyle name="Note 2 12 2 2" xfId="49157"/>
    <cellStyle name="Note 2 12 2 2 2" xfId="49158"/>
    <cellStyle name="Note 2 12 2 2 2 2" xfId="49159"/>
    <cellStyle name="Note 2 12 2 2 3" xfId="49160"/>
    <cellStyle name="Note 2 12 2 3" xfId="49161"/>
    <cellStyle name="Note 2 12 2 3 2" xfId="49162"/>
    <cellStyle name="Note 2 12 2 4" xfId="49163"/>
    <cellStyle name="Note 2 12 3" xfId="49164"/>
    <cellStyle name="Note 2 12 3 2" xfId="49165"/>
    <cellStyle name="Note 2 12 3 2 2" xfId="49166"/>
    <cellStyle name="Note 2 12 3 3" xfId="49167"/>
    <cellStyle name="Note 2 12 4" xfId="49168"/>
    <cellStyle name="Note 2 12 4 2" xfId="49169"/>
    <cellStyle name="Note 2 12 5" xfId="49170"/>
    <cellStyle name="Note 2 13" xfId="49171"/>
    <cellStyle name="Note 2 13 2" xfId="49172"/>
    <cellStyle name="Note 2 13 2 2" xfId="49173"/>
    <cellStyle name="Note 2 13 2 2 2" xfId="49174"/>
    <cellStyle name="Note 2 13 2 2 2 2" xfId="49175"/>
    <cellStyle name="Note 2 13 2 2 3" xfId="49176"/>
    <cellStyle name="Note 2 13 2 3" xfId="49177"/>
    <cellStyle name="Note 2 13 2 3 2" xfId="49178"/>
    <cellStyle name="Note 2 13 2 4" xfId="49179"/>
    <cellStyle name="Note 2 13 3" xfId="49180"/>
    <cellStyle name="Note 2 13 3 2" xfId="49181"/>
    <cellStyle name="Note 2 13 3 2 2" xfId="49182"/>
    <cellStyle name="Note 2 13 3 3" xfId="49183"/>
    <cellStyle name="Note 2 13 4" xfId="49184"/>
    <cellStyle name="Note 2 13 4 2" xfId="49185"/>
    <cellStyle name="Note 2 13 5" xfId="49186"/>
    <cellStyle name="Note 2 14" xfId="49187"/>
    <cellStyle name="Note 2 14 2" xfId="49188"/>
    <cellStyle name="Note 2 14 2 2" xfId="49189"/>
    <cellStyle name="Note 2 14 2 2 2" xfId="49190"/>
    <cellStyle name="Note 2 14 2 2 2 2" xfId="49191"/>
    <cellStyle name="Note 2 14 2 2 3" xfId="49192"/>
    <cellStyle name="Note 2 14 2 3" xfId="49193"/>
    <cellStyle name="Note 2 14 2 3 2" xfId="49194"/>
    <cellStyle name="Note 2 14 2 4" xfId="49195"/>
    <cellStyle name="Note 2 14 3" xfId="49196"/>
    <cellStyle name="Note 2 14 3 2" xfId="49197"/>
    <cellStyle name="Note 2 14 3 2 2" xfId="49198"/>
    <cellStyle name="Note 2 14 3 3" xfId="49199"/>
    <cellStyle name="Note 2 14 4" xfId="49200"/>
    <cellStyle name="Note 2 14 4 2" xfId="49201"/>
    <cellStyle name="Note 2 14 5" xfId="49202"/>
    <cellStyle name="Note 2 15" xfId="49203"/>
    <cellStyle name="Note 2 15 2" xfId="49204"/>
    <cellStyle name="Note 2 15 2 2" xfId="49205"/>
    <cellStyle name="Note 2 15 2 2 2" xfId="49206"/>
    <cellStyle name="Note 2 15 2 2 2 2" xfId="49207"/>
    <cellStyle name="Note 2 15 2 2 3" xfId="49208"/>
    <cellStyle name="Note 2 15 2 3" xfId="49209"/>
    <cellStyle name="Note 2 15 2 3 2" xfId="49210"/>
    <cellStyle name="Note 2 15 2 4" xfId="49211"/>
    <cellStyle name="Note 2 15 3" xfId="49212"/>
    <cellStyle name="Note 2 15 3 2" xfId="49213"/>
    <cellStyle name="Note 2 15 3 2 2" xfId="49214"/>
    <cellStyle name="Note 2 15 3 3" xfId="49215"/>
    <cellStyle name="Note 2 15 4" xfId="49216"/>
    <cellStyle name="Note 2 15 4 2" xfId="49217"/>
    <cellStyle name="Note 2 15 5" xfId="49218"/>
    <cellStyle name="Note 2 16" xfId="49219"/>
    <cellStyle name="Note 2 16 2" xfId="49220"/>
    <cellStyle name="Note 2 16 2 2" xfId="49221"/>
    <cellStyle name="Note 2 16 2 2 2" xfId="49222"/>
    <cellStyle name="Note 2 16 2 3" xfId="49223"/>
    <cellStyle name="Note 2 16 3" xfId="49224"/>
    <cellStyle name="Note 2 16 3 2" xfId="49225"/>
    <cellStyle name="Note 2 16 4" xfId="49226"/>
    <cellStyle name="Note 2 17" xfId="49227"/>
    <cellStyle name="Note 2 17 2" xfId="49228"/>
    <cellStyle name="Note 2 17 2 2" xfId="49229"/>
    <cellStyle name="Note 2 17 3" xfId="49230"/>
    <cellStyle name="Note 2 18" xfId="49231"/>
    <cellStyle name="Note 2 18 2" xfId="49232"/>
    <cellStyle name="Note 2 19" xfId="49233"/>
    <cellStyle name="Note 2 2" xfId="49234"/>
    <cellStyle name="Note 2 2 10" xfId="49235"/>
    <cellStyle name="Note 2 2 10 2" xfId="49236"/>
    <cellStyle name="Note 2 2 11" xfId="49237"/>
    <cellStyle name="Note 2 2 2" xfId="49238"/>
    <cellStyle name="Note 2 2 2 10" xfId="49239"/>
    <cellStyle name="Note 2 2 2 2" xfId="49240"/>
    <cellStyle name="Note 2 2 2 2 2" xfId="49241"/>
    <cellStyle name="Note 2 2 2 2 2 2" xfId="49242"/>
    <cellStyle name="Note 2 2 2 2 2 2 2" xfId="49243"/>
    <cellStyle name="Note 2 2 2 2 2 2 2 2" xfId="49244"/>
    <cellStyle name="Note 2 2 2 2 2 2 3" xfId="49245"/>
    <cellStyle name="Note 2 2 2 2 2 3" xfId="49246"/>
    <cellStyle name="Note 2 2 2 2 2 3 2" xfId="49247"/>
    <cellStyle name="Note 2 2 2 2 2 4" xfId="49248"/>
    <cellStyle name="Note 2 2 2 2 3" xfId="49249"/>
    <cellStyle name="Note 2 2 2 2 3 2" xfId="49250"/>
    <cellStyle name="Note 2 2 2 2 3 2 2" xfId="49251"/>
    <cellStyle name="Note 2 2 2 2 3 3" xfId="49252"/>
    <cellStyle name="Note 2 2 2 2 4" xfId="49253"/>
    <cellStyle name="Note 2 2 2 2 4 2" xfId="49254"/>
    <cellStyle name="Note 2 2 2 2 5" xfId="49255"/>
    <cellStyle name="Note 2 2 2 3" xfId="49256"/>
    <cellStyle name="Note 2 2 2 3 2" xfId="49257"/>
    <cellStyle name="Note 2 2 2 3 2 2" xfId="49258"/>
    <cellStyle name="Note 2 2 2 3 2 2 2" xfId="49259"/>
    <cellStyle name="Note 2 2 2 3 2 2 2 2" xfId="49260"/>
    <cellStyle name="Note 2 2 2 3 2 2 3" xfId="49261"/>
    <cellStyle name="Note 2 2 2 3 2 3" xfId="49262"/>
    <cellStyle name="Note 2 2 2 3 2 3 2" xfId="49263"/>
    <cellStyle name="Note 2 2 2 3 2 4" xfId="49264"/>
    <cellStyle name="Note 2 2 2 3 3" xfId="49265"/>
    <cellStyle name="Note 2 2 2 3 3 2" xfId="49266"/>
    <cellStyle name="Note 2 2 2 3 3 2 2" xfId="49267"/>
    <cellStyle name="Note 2 2 2 3 3 3" xfId="49268"/>
    <cellStyle name="Note 2 2 2 3 4" xfId="49269"/>
    <cellStyle name="Note 2 2 2 3 4 2" xfId="49270"/>
    <cellStyle name="Note 2 2 2 3 5" xfId="49271"/>
    <cellStyle name="Note 2 2 2 4" xfId="49272"/>
    <cellStyle name="Note 2 2 2 4 2" xfId="49273"/>
    <cellStyle name="Note 2 2 2 4 2 2" xfId="49274"/>
    <cellStyle name="Note 2 2 2 4 2 2 2" xfId="49275"/>
    <cellStyle name="Note 2 2 2 4 2 2 2 2" xfId="49276"/>
    <cellStyle name="Note 2 2 2 4 2 2 3" xfId="49277"/>
    <cellStyle name="Note 2 2 2 4 2 3" xfId="49278"/>
    <cellStyle name="Note 2 2 2 4 2 3 2" xfId="49279"/>
    <cellStyle name="Note 2 2 2 4 2 4" xfId="49280"/>
    <cellStyle name="Note 2 2 2 4 3" xfId="49281"/>
    <cellStyle name="Note 2 2 2 4 3 2" xfId="49282"/>
    <cellStyle name="Note 2 2 2 4 3 2 2" xfId="49283"/>
    <cellStyle name="Note 2 2 2 4 3 3" xfId="49284"/>
    <cellStyle name="Note 2 2 2 4 4" xfId="49285"/>
    <cellStyle name="Note 2 2 2 4 4 2" xfId="49286"/>
    <cellStyle name="Note 2 2 2 4 5" xfId="49287"/>
    <cellStyle name="Note 2 2 2 5" xfId="49288"/>
    <cellStyle name="Note 2 2 2 5 2" xfId="49289"/>
    <cellStyle name="Note 2 2 2 5 2 2" xfId="49290"/>
    <cellStyle name="Note 2 2 2 5 2 2 2" xfId="49291"/>
    <cellStyle name="Note 2 2 2 5 2 2 2 2" xfId="49292"/>
    <cellStyle name="Note 2 2 2 5 2 2 3" xfId="49293"/>
    <cellStyle name="Note 2 2 2 5 2 3" xfId="49294"/>
    <cellStyle name="Note 2 2 2 5 2 3 2" xfId="49295"/>
    <cellStyle name="Note 2 2 2 5 2 4" xfId="49296"/>
    <cellStyle name="Note 2 2 2 5 3" xfId="49297"/>
    <cellStyle name="Note 2 2 2 5 3 2" xfId="49298"/>
    <cellStyle name="Note 2 2 2 5 3 2 2" xfId="49299"/>
    <cellStyle name="Note 2 2 2 5 3 3" xfId="49300"/>
    <cellStyle name="Note 2 2 2 5 4" xfId="49301"/>
    <cellStyle name="Note 2 2 2 5 4 2" xfId="49302"/>
    <cellStyle name="Note 2 2 2 5 5" xfId="49303"/>
    <cellStyle name="Note 2 2 2 6" xfId="49304"/>
    <cellStyle name="Note 2 2 2 6 2" xfId="49305"/>
    <cellStyle name="Note 2 2 2 6 2 2" xfId="49306"/>
    <cellStyle name="Note 2 2 2 6 2 2 2" xfId="49307"/>
    <cellStyle name="Note 2 2 2 6 2 2 2 2" xfId="49308"/>
    <cellStyle name="Note 2 2 2 6 2 2 3" xfId="49309"/>
    <cellStyle name="Note 2 2 2 6 2 3" xfId="49310"/>
    <cellStyle name="Note 2 2 2 6 2 3 2" xfId="49311"/>
    <cellStyle name="Note 2 2 2 6 2 4" xfId="49312"/>
    <cellStyle name="Note 2 2 2 6 3" xfId="49313"/>
    <cellStyle name="Note 2 2 2 6 3 2" xfId="49314"/>
    <cellStyle name="Note 2 2 2 6 3 2 2" xfId="49315"/>
    <cellStyle name="Note 2 2 2 6 3 3" xfId="49316"/>
    <cellStyle name="Note 2 2 2 6 4" xfId="49317"/>
    <cellStyle name="Note 2 2 2 6 4 2" xfId="49318"/>
    <cellStyle name="Note 2 2 2 6 5" xfId="49319"/>
    <cellStyle name="Note 2 2 2 7" xfId="49320"/>
    <cellStyle name="Note 2 2 2 7 2" xfId="49321"/>
    <cellStyle name="Note 2 2 2 7 2 2" xfId="49322"/>
    <cellStyle name="Note 2 2 2 7 2 2 2" xfId="49323"/>
    <cellStyle name="Note 2 2 2 7 2 3" xfId="49324"/>
    <cellStyle name="Note 2 2 2 7 3" xfId="49325"/>
    <cellStyle name="Note 2 2 2 7 3 2" xfId="49326"/>
    <cellStyle name="Note 2 2 2 7 4" xfId="49327"/>
    <cellStyle name="Note 2 2 2 8" xfId="49328"/>
    <cellStyle name="Note 2 2 2 8 2" xfId="49329"/>
    <cellStyle name="Note 2 2 2 8 2 2" xfId="49330"/>
    <cellStyle name="Note 2 2 2 8 3" xfId="49331"/>
    <cellStyle name="Note 2 2 2 9" xfId="49332"/>
    <cellStyle name="Note 2 2 2 9 2" xfId="49333"/>
    <cellStyle name="Note 2 2 3" xfId="49334"/>
    <cellStyle name="Note 2 2 3 2" xfId="49335"/>
    <cellStyle name="Note 2 2 3 2 2" xfId="49336"/>
    <cellStyle name="Note 2 2 3 2 2 2" xfId="49337"/>
    <cellStyle name="Note 2 2 3 2 2 2 2" xfId="49338"/>
    <cellStyle name="Note 2 2 3 2 2 3" xfId="49339"/>
    <cellStyle name="Note 2 2 3 2 3" xfId="49340"/>
    <cellStyle name="Note 2 2 3 2 3 2" xfId="49341"/>
    <cellStyle name="Note 2 2 3 2 4" xfId="49342"/>
    <cellStyle name="Note 2 2 3 3" xfId="49343"/>
    <cellStyle name="Note 2 2 3 3 2" xfId="49344"/>
    <cellStyle name="Note 2 2 3 3 2 2" xfId="49345"/>
    <cellStyle name="Note 2 2 3 3 3" xfId="49346"/>
    <cellStyle name="Note 2 2 3 4" xfId="49347"/>
    <cellStyle name="Note 2 2 3 4 2" xfId="49348"/>
    <cellStyle name="Note 2 2 3 5" xfId="49349"/>
    <cellStyle name="Note 2 2 4" xfId="49350"/>
    <cellStyle name="Note 2 2 4 2" xfId="49351"/>
    <cellStyle name="Note 2 2 4 2 2" xfId="49352"/>
    <cellStyle name="Note 2 2 4 2 2 2" xfId="49353"/>
    <cellStyle name="Note 2 2 4 2 2 2 2" xfId="49354"/>
    <cellStyle name="Note 2 2 4 2 2 3" xfId="49355"/>
    <cellStyle name="Note 2 2 4 2 3" xfId="49356"/>
    <cellStyle name="Note 2 2 4 2 3 2" xfId="49357"/>
    <cellStyle name="Note 2 2 4 2 4" xfId="49358"/>
    <cellStyle name="Note 2 2 4 3" xfId="49359"/>
    <cellStyle name="Note 2 2 4 3 2" xfId="49360"/>
    <cellStyle name="Note 2 2 4 3 2 2" xfId="49361"/>
    <cellStyle name="Note 2 2 4 3 3" xfId="49362"/>
    <cellStyle name="Note 2 2 4 4" xfId="49363"/>
    <cellStyle name="Note 2 2 4 4 2" xfId="49364"/>
    <cellStyle name="Note 2 2 4 5" xfId="49365"/>
    <cellStyle name="Note 2 2 5" xfId="49366"/>
    <cellStyle name="Note 2 2 5 2" xfId="49367"/>
    <cellStyle name="Note 2 2 5 2 2" xfId="49368"/>
    <cellStyle name="Note 2 2 5 2 2 2" xfId="49369"/>
    <cellStyle name="Note 2 2 5 2 2 2 2" xfId="49370"/>
    <cellStyle name="Note 2 2 5 2 2 3" xfId="49371"/>
    <cellStyle name="Note 2 2 5 2 3" xfId="49372"/>
    <cellStyle name="Note 2 2 5 2 3 2" xfId="49373"/>
    <cellStyle name="Note 2 2 5 2 4" xfId="49374"/>
    <cellStyle name="Note 2 2 5 3" xfId="49375"/>
    <cellStyle name="Note 2 2 5 3 2" xfId="49376"/>
    <cellStyle name="Note 2 2 5 3 2 2" xfId="49377"/>
    <cellStyle name="Note 2 2 5 3 3" xfId="49378"/>
    <cellStyle name="Note 2 2 5 4" xfId="49379"/>
    <cellStyle name="Note 2 2 5 4 2" xfId="49380"/>
    <cellStyle name="Note 2 2 5 5" xfId="49381"/>
    <cellStyle name="Note 2 2 6" xfId="49382"/>
    <cellStyle name="Note 2 2 6 2" xfId="49383"/>
    <cellStyle name="Note 2 2 6 2 2" xfId="49384"/>
    <cellStyle name="Note 2 2 6 2 2 2" xfId="49385"/>
    <cellStyle name="Note 2 2 6 2 2 2 2" xfId="49386"/>
    <cellStyle name="Note 2 2 6 2 2 3" xfId="49387"/>
    <cellStyle name="Note 2 2 6 2 3" xfId="49388"/>
    <cellStyle name="Note 2 2 6 2 3 2" xfId="49389"/>
    <cellStyle name="Note 2 2 6 2 4" xfId="49390"/>
    <cellStyle name="Note 2 2 6 3" xfId="49391"/>
    <cellStyle name="Note 2 2 6 3 2" xfId="49392"/>
    <cellStyle name="Note 2 2 6 3 2 2" xfId="49393"/>
    <cellStyle name="Note 2 2 6 3 3" xfId="49394"/>
    <cellStyle name="Note 2 2 6 4" xfId="49395"/>
    <cellStyle name="Note 2 2 6 4 2" xfId="49396"/>
    <cellStyle name="Note 2 2 6 5" xfId="49397"/>
    <cellStyle name="Note 2 2 7" xfId="49398"/>
    <cellStyle name="Note 2 2 7 2" xfId="49399"/>
    <cellStyle name="Note 2 2 7 2 2" xfId="49400"/>
    <cellStyle name="Note 2 2 7 2 2 2" xfId="49401"/>
    <cellStyle name="Note 2 2 7 2 2 2 2" xfId="49402"/>
    <cellStyle name="Note 2 2 7 2 2 3" xfId="49403"/>
    <cellStyle name="Note 2 2 7 2 3" xfId="49404"/>
    <cellStyle name="Note 2 2 7 2 3 2" xfId="49405"/>
    <cellStyle name="Note 2 2 7 2 4" xfId="49406"/>
    <cellStyle name="Note 2 2 7 3" xfId="49407"/>
    <cellStyle name="Note 2 2 7 3 2" xfId="49408"/>
    <cellStyle name="Note 2 2 7 3 2 2" xfId="49409"/>
    <cellStyle name="Note 2 2 7 3 3" xfId="49410"/>
    <cellStyle name="Note 2 2 7 4" xfId="49411"/>
    <cellStyle name="Note 2 2 7 4 2" xfId="49412"/>
    <cellStyle name="Note 2 2 7 5" xfId="49413"/>
    <cellStyle name="Note 2 2 8" xfId="49414"/>
    <cellStyle name="Note 2 2 8 2" xfId="49415"/>
    <cellStyle name="Note 2 2 8 2 2" xfId="49416"/>
    <cellStyle name="Note 2 2 8 2 2 2" xfId="49417"/>
    <cellStyle name="Note 2 2 8 2 3" xfId="49418"/>
    <cellStyle name="Note 2 2 8 3" xfId="49419"/>
    <cellStyle name="Note 2 2 8 3 2" xfId="49420"/>
    <cellStyle name="Note 2 2 8 4" xfId="49421"/>
    <cellStyle name="Note 2 2 9" xfId="49422"/>
    <cellStyle name="Note 2 2 9 2" xfId="49423"/>
    <cellStyle name="Note 2 2 9 2 2" xfId="49424"/>
    <cellStyle name="Note 2 2 9 3" xfId="49425"/>
    <cellStyle name="Note 2 3" xfId="49426"/>
    <cellStyle name="Note 2 3 10" xfId="49427"/>
    <cellStyle name="Note 2 3 10 2" xfId="49428"/>
    <cellStyle name="Note 2 3 11" xfId="49429"/>
    <cellStyle name="Note 2 3 2" xfId="49430"/>
    <cellStyle name="Note 2 3 2 10" xfId="49431"/>
    <cellStyle name="Note 2 3 2 2" xfId="49432"/>
    <cellStyle name="Note 2 3 2 2 2" xfId="49433"/>
    <cellStyle name="Note 2 3 2 2 2 2" xfId="49434"/>
    <cellStyle name="Note 2 3 2 2 2 2 2" xfId="49435"/>
    <cellStyle name="Note 2 3 2 2 2 2 2 2" xfId="49436"/>
    <cellStyle name="Note 2 3 2 2 2 2 3" xfId="49437"/>
    <cellStyle name="Note 2 3 2 2 2 3" xfId="49438"/>
    <cellStyle name="Note 2 3 2 2 2 3 2" xfId="49439"/>
    <cellStyle name="Note 2 3 2 2 2 4" xfId="49440"/>
    <cellStyle name="Note 2 3 2 2 3" xfId="49441"/>
    <cellStyle name="Note 2 3 2 2 3 2" xfId="49442"/>
    <cellStyle name="Note 2 3 2 2 3 2 2" xfId="49443"/>
    <cellStyle name="Note 2 3 2 2 3 3" xfId="49444"/>
    <cellStyle name="Note 2 3 2 2 4" xfId="49445"/>
    <cellStyle name="Note 2 3 2 2 4 2" xfId="49446"/>
    <cellStyle name="Note 2 3 2 2 5" xfId="49447"/>
    <cellStyle name="Note 2 3 2 3" xfId="49448"/>
    <cellStyle name="Note 2 3 2 3 2" xfId="49449"/>
    <cellStyle name="Note 2 3 2 3 2 2" xfId="49450"/>
    <cellStyle name="Note 2 3 2 3 2 2 2" xfId="49451"/>
    <cellStyle name="Note 2 3 2 3 2 2 2 2" xfId="49452"/>
    <cellStyle name="Note 2 3 2 3 2 2 3" xfId="49453"/>
    <cellStyle name="Note 2 3 2 3 2 3" xfId="49454"/>
    <cellStyle name="Note 2 3 2 3 2 3 2" xfId="49455"/>
    <cellStyle name="Note 2 3 2 3 2 4" xfId="49456"/>
    <cellStyle name="Note 2 3 2 3 3" xfId="49457"/>
    <cellStyle name="Note 2 3 2 3 3 2" xfId="49458"/>
    <cellStyle name="Note 2 3 2 3 3 2 2" xfId="49459"/>
    <cellStyle name="Note 2 3 2 3 3 3" xfId="49460"/>
    <cellStyle name="Note 2 3 2 3 4" xfId="49461"/>
    <cellStyle name="Note 2 3 2 3 4 2" xfId="49462"/>
    <cellStyle name="Note 2 3 2 3 5" xfId="49463"/>
    <cellStyle name="Note 2 3 2 4" xfId="49464"/>
    <cellStyle name="Note 2 3 2 4 2" xfId="49465"/>
    <cellStyle name="Note 2 3 2 4 2 2" xfId="49466"/>
    <cellStyle name="Note 2 3 2 4 2 2 2" xfId="49467"/>
    <cellStyle name="Note 2 3 2 4 2 2 2 2" xfId="49468"/>
    <cellStyle name="Note 2 3 2 4 2 2 3" xfId="49469"/>
    <cellStyle name="Note 2 3 2 4 2 3" xfId="49470"/>
    <cellStyle name="Note 2 3 2 4 2 3 2" xfId="49471"/>
    <cellStyle name="Note 2 3 2 4 2 4" xfId="49472"/>
    <cellStyle name="Note 2 3 2 4 3" xfId="49473"/>
    <cellStyle name="Note 2 3 2 4 3 2" xfId="49474"/>
    <cellStyle name="Note 2 3 2 4 3 2 2" xfId="49475"/>
    <cellStyle name="Note 2 3 2 4 3 3" xfId="49476"/>
    <cellStyle name="Note 2 3 2 4 4" xfId="49477"/>
    <cellStyle name="Note 2 3 2 4 4 2" xfId="49478"/>
    <cellStyle name="Note 2 3 2 4 5" xfId="49479"/>
    <cellStyle name="Note 2 3 2 5" xfId="49480"/>
    <cellStyle name="Note 2 3 2 5 2" xfId="49481"/>
    <cellStyle name="Note 2 3 2 5 2 2" xfId="49482"/>
    <cellStyle name="Note 2 3 2 5 2 2 2" xfId="49483"/>
    <cellStyle name="Note 2 3 2 5 2 2 2 2" xfId="49484"/>
    <cellStyle name="Note 2 3 2 5 2 2 3" xfId="49485"/>
    <cellStyle name="Note 2 3 2 5 2 3" xfId="49486"/>
    <cellStyle name="Note 2 3 2 5 2 3 2" xfId="49487"/>
    <cellStyle name="Note 2 3 2 5 2 4" xfId="49488"/>
    <cellStyle name="Note 2 3 2 5 3" xfId="49489"/>
    <cellStyle name="Note 2 3 2 5 3 2" xfId="49490"/>
    <cellStyle name="Note 2 3 2 5 3 2 2" xfId="49491"/>
    <cellStyle name="Note 2 3 2 5 3 3" xfId="49492"/>
    <cellStyle name="Note 2 3 2 5 4" xfId="49493"/>
    <cellStyle name="Note 2 3 2 5 4 2" xfId="49494"/>
    <cellStyle name="Note 2 3 2 5 5" xfId="49495"/>
    <cellStyle name="Note 2 3 2 6" xfId="49496"/>
    <cellStyle name="Note 2 3 2 6 2" xfId="49497"/>
    <cellStyle name="Note 2 3 2 6 2 2" xfId="49498"/>
    <cellStyle name="Note 2 3 2 6 2 2 2" xfId="49499"/>
    <cellStyle name="Note 2 3 2 6 2 2 2 2" xfId="49500"/>
    <cellStyle name="Note 2 3 2 6 2 2 3" xfId="49501"/>
    <cellStyle name="Note 2 3 2 6 2 3" xfId="49502"/>
    <cellStyle name="Note 2 3 2 6 2 3 2" xfId="49503"/>
    <cellStyle name="Note 2 3 2 6 2 4" xfId="49504"/>
    <cellStyle name="Note 2 3 2 6 3" xfId="49505"/>
    <cellStyle name="Note 2 3 2 6 3 2" xfId="49506"/>
    <cellStyle name="Note 2 3 2 6 3 2 2" xfId="49507"/>
    <cellStyle name="Note 2 3 2 6 3 3" xfId="49508"/>
    <cellStyle name="Note 2 3 2 6 4" xfId="49509"/>
    <cellStyle name="Note 2 3 2 6 4 2" xfId="49510"/>
    <cellStyle name="Note 2 3 2 6 5" xfId="49511"/>
    <cellStyle name="Note 2 3 2 7" xfId="49512"/>
    <cellStyle name="Note 2 3 2 7 2" xfId="49513"/>
    <cellStyle name="Note 2 3 2 7 2 2" xfId="49514"/>
    <cellStyle name="Note 2 3 2 7 2 2 2" xfId="49515"/>
    <cellStyle name="Note 2 3 2 7 2 3" xfId="49516"/>
    <cellStyle name="Note 2 3 2 7 3" xfId="49517"/>
    <cellStyle name="Note 2 3 2 7 3 2" xfId="49518"/>
    <cellStyle name="Note 2 3 2 7 4" xfId="49519"/>
    <cellStyle name="Note 2 3 2 8" xfId="49520"/>
    <cellStyle name="Note 2 3 2 8 2" xfId="49521"/>
    <cellStyle name="Note 2 3 2 8 2 2" xfId="49522"/>
    <cellStyle name="Note 2 3 2 8 3" xfId="49523"/>
    <cellStyle name="Note 2 3 2 9" xfId="49524"/>
    <cellStyle name="Note 2 3 2 9 2" xfId="49525"/>
    <cellStyle name="Note 2 3 3" xfId="49526"/>
    <cellStyle name="Note 2 3 3 2" xfId="49527"/>
    <cellStyle name="Note 2 3 3 2 2" xfId="49528"/>
    <cellStyle name="Note 2 3 3 2 2 2" xfId="49529"/>
    <cellStyle name="Note 2 3 3 2 2 2 2" xfId="49530"/>
    <cellStyle name="Note 2 3 3 2 2 3" xfId="49531"/>
    <cellStyle name="Note 2 3 3 2 3" xfId="49532"/>
    <cellStyle name="Note 2 3 3 2 3 2" xfId="49533"/>
    <cellStyle name="Note 2 3 3 2 4" xfId="49534"/>
    <cellStyle name="Note 2 3 3 3" xfId="49535"/>
    <cellStyle name="Note 2 3 3 3 2" xfId="49536"/>
    <cellStyle name="Note 2 3 3 3 2 2" xfId="49537"/>
    <cellStyle name="Note 2 3 3 3 3" xfId="49538"/>
    <cellStyle name="Note 2 3 3 4" xfId="49539"/>
    <cellStyle name="Note 2 3 3 4 2" xfId="49540"/>
    <cellStyle name="Note 2 3 3 5" xfId="49541"/>
    <cellStyle name="Note 2 3 4" xfId="49542"/>
    <cellStyle name="Note 2 3 4 2" xfId="49543"/>
    <cellStyle name="Note 2 3 4 2 2" xfId="49544"/>
    <cellStyle name="Note 2 3 4 2 2 2" xfId="49545"/>
    <cellStyle name="Note 2 3 4 2 2 2 2" xfId="49546"/>
    <cellStyle name="Note 2 3 4 2 2 3" xfId="49547"/>
    <cellStyle name="Note 2 3 4 2 3" xfId="49548"/>
    <cellStyle name="Note 2 3 4 2 3 2" xfId="49549"/>
    <cellStyle name="Note 2 3 4 2 4" xfId="49550"/>
    <cellStyle name="Note 2 3 4 3" xfId="49551"/>
    <cellStyle name="Note 2 3 4 3 2" xfId="49552"/>
    <cellStyle name="Note 2 3 4 3 2 2" xfId="49553"/>
    <cellStyle name="Note 2 3 4 3 3" xfId="49554"/>
    <cellStyle name="Note 2 3 4 4" xfId="49555"/>
    <cellStyle name="Note 2 3 4 4 2" xfId="49556"/>
    <cellStyle name="Note 2 3 4 5" xfId="49557"/>
    <cellStyle name="Note 2 3 5" xfId="49558"/>
    <cellStyle name="Note 2 3 5 2" xfId="49559"/>
    <cellStyle name="Note 2 3 5 2 2" xfId="49560"/>
    <cellStyle name="Note 2 3 5 2 2 2" xfId="49561"/>
    <cellStyle name="Note 2 3 5 2 2 2 2" xfId="49562"/>
    <cellStyle name="Note 2 3 5 2 2 3" xfId="49563"/>
    <cellStyle name="Note 2 3 5 2 3" xfId="49564"/>
    <cellStyle name="Note 2 3 5 2 3 2" xfId="49565"/>
    <cellStyle name="Note 2 3 5 2 4" xfId="49566"/>
    <cellStyle name="Note 2 3 5 3" xfId="49567"/>
    <cellStyle name="Note 2 3 5 3 2" xfId="49568"/>
    <cellStyle name="Note 2 3 5 3 2 2" xfId="49569"/>
    <cellStyle name="Note 2 3 5 3 3" xfId="49570"/>
    <cellStyle name="Note 2 3 5 4" xfId="49571"/>
    <cellStyle name="Note 2 3 5 4 2" xfId="49572"/>
    <cellStyle name="Note 2 3 5 5" xfId="49573"/>
    <cellStyle name="Note 2 3 6" xfId="49574"/>
    <cellStyle name="Note 2 3 6 2" xfId="49575"/>
    <cellStyle name="Note 2 3 6 2 2" xfId="49576"/>
    <cellStyle name="Note 2 3 6 2 2 2" xfId="49577"/>
    <cellStyle name="Note 2 3 6 2 2 2 2" xfId="49578"/>
    <cellStyle name="Note 2 3 6 2 2 3" xfId="49579"/>
    <cellStyle name="Note 2 3 6 2 3" xfId="49580"/>
    <cellStyle name="Note 2 3 6 2 3 2" xfId="49581"/>
    <cellStyle name="Note 2 3 6 2 4" xfId="49582"/>
    <cellStyle name="Note 2 3 6 3" xfId="49583"/>
    <cellStyle name="Note 2 3 6 3 2" xfId="49584"/>
    <cellStyle name="Note 2 3 6 3 2 2" xfId="49585"/>
    <cellStyle name="Note 2 3 6 3 3" xfId="49586"/>
    <cellStyle name="Note 2 3 6 4" xfId="49587"/>
    <cellStyle name="Note 2 3 6 4 2" xfId="49588"/>
    <cellStyle name="Note 2 3 6 5" xfId="49589"/>
    <cellStyle name="Note 2 3 7" xfId="49590"/>
    <cellStyle name="Note 2 3 7 2" xfId="49591"/>
    <cellStyle name="Note 2 3 7 2 2" xfId="49592"/>
    <cellStyle name="Note 2 3 7 2 2 2" xfId="49593"/>
    <cellStyle name="Note 2 3 7 2 2 2 2" xfId="49594"/>
    <cellStyle name="Note 2 3 7 2 2 3" xfId="49595"/>
    <cellStyle name="Note 2 3 7 2 3" xfId="49596"/>
    <cellStyle name="Note 2 3 7 2 3 2" xfId="49597"/>
    <cellStyle name="Note 2 3 7 2 4" xfId="49598"/>
    <cellStyle name="Note 2 3 7 3" xfId="49599"/>
    <cellStyle name="Note 2 3 7 3 2" xfId="49600"/>
    <cellStyle name="Note 2 3 7 3 2 2" xfId="49601"/>
    <cellStyle name="Note 2 3 7 3 3" xfId="49602"/>
    <cellStyle name="Note 2 3 7 4" xfId="49603"/>
    <cellStyle name="Note 2 3 7 4 2" xfId="49604"/>
    <cellStyle name="Note 2 3 7 5" xfId="49605"/>
    <cellStyle name="Note 2 3 8" xfId="49606"/>
    <cellStyle name="Note 2 3 8 2" xfId="49607"/>
    <cellStyle name="Note 2 3 8 2 2" xfId="49608"/>
    <cellStyle name="Note 2 3 8 2 2 2" xfId="49609"/>
    <cellStyle name="Note 2 3 8 2 3" xfId="49610"/>
    <cellStyle name="Note 2 3 8 3" xfId="49611"/>
    <cellStyle name="Note 2 3 8 3 2" xfId="49612"/>
    <cellStyle name="Note 2 3 8 4" xfId="49613"/>
    <cellStyle name="Note 2 3 9" xfId="49614"/>
    <cellStyle name="Note 2 3 9 2" xfId="49615"/>
    <cellStyle name="Note 2 3 9 2 2" xfId="49616"/>
    <cellStyle name="Note 2 3 9 3" xfId="49617"/>
    <cellStyle name="Note 2 4" xfId="49618"/>
    <cellStyle name="Note 2 4 10" xfId="49619"/>
    <cellStyle name="Note 2 4 10 2" xfId="49620"/>
    <cellStyle name="Note 2 4 11" xfId="49621"/>
    <cellStyle name="Note 2 4 2" xfId="49622"/>
    <cellStyle name="Note 2 4 2 10" xfId="49623"/>
    <cellStyle name="Note 2 4 2 2" xfId="49624"/>
    <cellStyle name="Note 2 4 2 2 2" xfId="49625"/>
    <cellStyle name="Note 2 4 2 2 2 2" xfId="49626"/>
    <cellStyle name="Note 2 4 2 2 2 2 2" xfId="49627"/>
    <cellStyle name="Note 2 4 2 2 2 2 2 2" xfId="49628"/>
    <cellStyle name="Note 2 4 2 2 2 2 3" xfId="49629"/>
    <cellStyle name="Note 2 4 2 2 2 3" xfId="49630"/>
    <cellStyle name="Note 2 4 2 2 2 3 2" xfId="49631"/>
    <cellStyle name="Note 2 4 2 2 2 4" xfId="49632"/>
    <cellStyle name="Note 2 4 2 2 3" xfId="49633"/>
    <cellStyle name="Note 2 4 2 2 3 2" xfId="49634"/>
    <cellStyle name="Note 2 4 2 2 3 2 2" xfId="49635"/>
    <cellStyle name="Note 2 4 2 2 3 3" xfId="49636"/>
    <cellStyle name="Note 2 4 2 2 4" xfId="49637"/>
    <cellStyle name="Note 2 4 2 2 4 2" xfId="49638"/>
    <cellStyle name="Note 2 4 2 2 5" xfId="49639"/>
    <cellStyle name="Note 2 4 2 3" xfId="49640"/>
    <cellStyle name="Note 2 4 2 3 2" xfId="49641"/>
    <cellStyle name="Note 2 4 2 3 2 2" xfId="49642"/>
    <cellStyle name="Note 2 4 2 3 2 2 2" xfId="49643"/>
    <cellStyle name="Note 2 4 2 3 2 2 2 2" xfId="49644"/>
    <cellStyle name="Note 2 4 2 3 2 2 3" xfId="49645"/>
    <cellStyle name="Note 2 4 2 3 2 3" xfId="49646"/>
    <cellStyle name="Note 2 4 2 3 2 3 2" xfId="49647"/>
    <cellStyle name="Note 2 4 2 3 2 4" xfId="49648"/>
    <cellStyle name="Note 2 4 2 3 3" xfId="49649"/>
    <cellStyle name="Note 2 4 2 3 3 2" xfId="49650"/>
    <cellStyle name="Note 2 4 2 3 3 2 2" xfId="49651"/>
    <cellStyle name="Note 2 4 2 3 3 3" xfId="49652"/>
    <cellStyle name="Note 2 4 2 3 4" xfId="49653"/>
    <cellStyle name="Note 2 4 2 3 4 2" xfId="49654"/>
    <cellStyle name="Note 2 4 2 3 5" xfId="49655"/>
    <cellStyle name="Note 2 4 2 4" xfId="49656"/>
    <cellStyle name="Note 2 4 2 4 2" xfId="49657"/>
    <cellStyle name="Note 2 4 2 4 2 2" xfId="49658"/>
    <cellStyle name="Note 2 4 2 4 2 2 2" xfId="49659"/>
    <cellStyle name="Note 2 4 2 4 2 2 2 2" xfId="49660"/>
    <cellStyle name="Note 2 4 2 4 2 2 3" xfId="49661"/>
    <cellStyle name="Note 2 4 2 4 2 3" xfId="49662"/>
    <cellStyle name="Note 2 4 2 4 2 3 2" xfId="49663"/>
    <cellStyle name="Note 2 4 2 4 2 4" xfId="49664"/>
    <cellStyle name="Note 2 4 2 4 3" xfId="49665"/>
    <cellStyle name="Note 2 4 2 4 3 2" xfId="49666"/>
    <cellStyle name="Note 2 4 2 4 3 2 2" xfId="49667"/>
    <cellStyle name="Note 2 4 2 4 3 3" xfId="49668"/>
    <cellStyle name="Note 2 4 2 4 4" xfId="49669"/>
    <cellStyle name="Note 2 4 2 4 4 2" xfId="49670"/>
    <cellStyle name="Note 2 4 2 4 5" xfId="49671"/>
    <cellStyle name="Note 2 4 2 5" xfId="49672"/>
    <cellStyle name="Note 2 4 2 5 2" xfId="49673"/>
    <cellStyle name="Note 2 4 2 5 2 2" xfId="49674"/>
    <cellStyle name="Note 2 4 2 5 2 2 2" xfId="49675"/>
    <cellStyle name="Note 2 4 2 5 2 2 2 2" xfId="49676"/>
    <cellStyle name="Note 2 4 2 5 2 2 3" xfId="49677"/>
    <cellStyle name="Note 2 4 2 5 2 3" xfId="49678"/>
    <cellStyle name="Note 2 4 2 5 2 3 2" xfId="49679"/>
    <cellStyle name="Note 2 4 2 5 2 4" xfId="49680"/>
    <cellStyle name="Note 2 4 2 5 3" xfId="49681"/>
    <cellStyle name="Note 2 4 2 5 3 2" xfId="49682"/>
    <cellStyle name="Note 2 4 2 5 3 2 2" xfId="49683"/>
    <cellStyle name="Note 2 4 2 5 3 3" xfId="49684"/>
    <cellStyle name="Note 2 4 2 5 4" xfId="49685"/>
    <cellStyle name="Note 2 4 2 5 4 2" xfId="49686"/>
    <cellStyle name="Note 2 4 2 5 5" xfId="49687"/>
    <cellStyle name="Note 2 4 2 6" xfId="49688"/>
    <cellStyle name="Note 2 4 2 6 2" xfId="49689"/>
    <cellStyle name="Note 2 4 2 6 2 2" xfId="49690"/>
    <cellStyle name="Note 2 4 2 6 2 2 2" xfId="49691"/>
    <cellStyle name="Note 2 4 2 6 2 2 2 2" xfId="49692"/>
    <cellStyle name="Note 2 4 2 6 2 2 3" xfId="49693"/>
    <cellStyle name="Note 2 4 2 6 2 3" xfId="49694"/>
    <cellStyle name="Note 2 4 2 6 2 3 2" xfId="49695"/>
    <cellStyle name="Note 2 4 2 6 2 4" xfId="49696"/>
    <cellStyle name="Note 2 4 2 6 3" xfId="49697"/>
    <cellStyle name="Note 2 4 2 6 3 2" xfId="49698"/>
    <cellStyle name="Note 2 4 2 6 3 2 2" xfId="49699"/>
    <cellStyle name="Note 2 4 2 6 3 3" xfId="49700"/>
    <cellStyle name="Note 2 4 2 6 4" xfId="49701"/>
    <cellStyle name="Note 2 4 2 6 4 2" xfId="49702"/>
    <cellStyle name="Note 2 4 2 6 5" xfId="49703"/>
    <cellStyle name="Note 2 4 2 7" xfId="49704"/>
    <cellStyle name="Note 2 4 2 7 2" xfId="49705"/>
    <cellStyle name="Note 2 4 2 7 2 2" xfId="49706"/>
    <cellStyle name="Note 2 4 2 7 2 2 2" xfId="49707"/>
    <cellStyle name="Note 2 4 2 7 2 3" xfId="49708"/>
    <cellStyle name="Note 2 4 2 7 3" xfId="49709"/>
    <cellStyle name="Note 2 4 2 7 3 2" xfId="49710"/>
    <cellStyle name="Note 2 4 2 7 4" xfId="49711"/>
    <cellStyle name="Note 2 4 2 8" xfId="49712"/>
    <cellStyle name="Note 2 4 2 8 2" xfId="49713"/>
    <cellStyle name="Note 2 4 2 8 2 2" xfId="49714"/>
    <cellStyle name="Note 2 4 2 8 3" xfId="49715"/>
    <cellStyle name="Note 2 4 2 9" xfId="49716"/>
    <cellStyle name="Note 2 4 2 9 2" xfId="49717"/>
    <cellStyle name="Note 2 4 3" xfId="49718"/>
    <cellStyle name="Note 2 4 3 2" xfId="49719"/>
    <cellStyle name="Note 2 4 3 2 2" xfId="49720"/>
    <cellStyle name="Note 2 4 3 2 2 2" xfId="49721"/>
    <cellStyle name="Note 2 4 3 2 2 2 2" xfId="49722"/>
    <cellStyle name="Note 2 4 3 2 2 3" xfId="49723"/>
    <cellStyle name="Note 2 4 3 2 3" xfId="49724"/>
    <cellStyle name="Note 2 4 3 2 3 2" xfId="49725"/>
    <cellStyle name="Note 2 4 3 2 4" xfId="49726"/>
    <cellStyle name="Note 2 4 3 3" xfId="49727"/>
    <cellStyle name="Note 2 4 3 3 2" xfId="49728"/>
    <cellStyle name="Note 2 4 3 3 2 2" xfId="49729"/>
    <cellStyle name="Note 2 4 3 3 3" xfId="49730"/>
    <cellStyle name="Note 2 4 3 4" xfId="49731"/>
    <cellStyle name="Note 2 4 3 4 2" xfId="49732"/>
    <cellStyle name="Note 2 4 3 5" xfId="49733"/>
    <cellStyle name="Note 2 4 4" xfId="49734"/>
    <cellStyle name="Note 2 4 4 2" xfId="49735"/>
    <cellStyle name="Note 2 4 4 2 2" xfId="49736"/>
    <cellStyle name="Note 2 4 4 2 2 2" xfId="49737"/>
    <cellStyle name="Note 2 4 4 2 2 2 2" xfId="49738"/>
    <cellStyle name="Note 2 4 4 2 2 3" xfId="49739"/>
    <cellStyle name="Note 2 4 4 2 3" xfId="49740"/>
    <cellStyle name="Note 2 4 4 2 3 2" xfId="49741"/>
    <cellStyle name="Note 2 4 4 2 4" xfId="49742"/>
    <cellStyle name="Note 2 4 4 3" xfId="49743"/>
    <cellStyle name="Note 2 4 4 3 2" xfId="49744"/>
    <cellStyle name="Note 2 4 4 3 2 2" xfId="49745"/>
    <cellStyle name="Note 2 4 4 3 3" xfId="49746"/>
    <cellStyle name="Note 2 4 4 4" xfId="49747"/>
    <cellStyle name="Note 2 4 4 4 2" xfId="49748"/>
    <cellStyle name="Note 2 4 4 5" xfId="49749"/>
    <cellStyle name="Note 2 4 5" xfId="49750"/>
    <cellStyle name="Note 2 4 5 2" xfId="49751"/>
    <cellStyle name="Note 2 4 5 2 2" xfId="49752"/>
    <cellStyle name="Note 2 4 5 2 2 2" xfId="49753"/>
    <cellStyle name="Note 2 4 5 2 2 2 2" xfId="49754"/>
    <cellStyle name="Note 2 4 5 2 2 3" xfId="49755"/>
    <cellStyle name="Note 2 4 5 2 3" xfId="49756"/>
    <cellStyle name="Note 2 4 5 2 3 2" xfId="49757"/>
    <cellStyle name="Note 2 4 5 2 4" xfId="49758"/>
    <cellStyle name="Note 2 4 5 3" xfId="49759"/>
    <cellStyle name="Note 2 4 5 3 2" xfId="49760"/>
    <cellStyle name="Note 2 4 5 3 2 2" xfId="49761"/>
    <cellStyle name="Note 2 4 5 3 3" xfId="49762"/>
    <cellStyle name="Note 2 4 5 4" xfId="49763"/>
    <cellStyle name="Note 2 4 5 4 2" xfId="49764"/>
    <cellStyle name="Note 2 4 5 5" xfId="49765"/>
    <cellStyle name="Note 2 4 6" xfId="49766"/>
    <cellStyle name="Note 2 4 6 2" xfId="49767"/>
    <cellStyle name="Note 2 4 6 2 2" xfId="49768"/>
    <cellStyle name="Note 2 4 6 2 2 2" xfId="49769"/>
    <cellStyle name="Note 2 4 6 2 2 2 2" xfId="49770"/>
    <cellStyle name="Note 2 4 6 2 2 3" xfId="49771"/>
    <cellStyle name="Note 2 4 6 2 3" xfId="49772"/>
    <cellStyle name="Note 2 4 6 2 3 2" xfId="49773"/>
    <cellStyle name="Note 2 4 6 2 4" xfId="49774"/>
    <cellStyle name="Note 2 4 6 3" xfId="49775"/>
    <cellStyle name="Note 2 4 6 3 2" xfId="49776"/>
    <cellStyle name="Note 2 4 6 3 2 2" xfId="49777"/>
    <cellStyle name="Note 2 4 6 3 3" xfId="49778"/>
    <cellStyle name="Note 2 4 6 4" xfId="49779"/>
    <cellStyle name="Note 2 4 6 4 2" xfId="49780"/>
    <cellStyle name="Note 2 4 6 5" xfId="49781"/>
    <cellStyle name="Note 2 4 7" xfId="49782"/>
    <cellStyle name="Note 2 4 7 2" xfId="49783"/>
    <cellStyle name="Note 2 4 7 2 2" xfId="49784"/>
    <cellStyle name="Note 2 4 7 2 2 2" xfId="49785"/>
    <cellStyle name="Note 2 4 7 2 2 2 2" xfId="49786"/>
    <cellStyle name="Note 2 4 7 2 2 3" xfId="49787"/>
    <cellStyle name="Note 2 4 7 2 3" xfId="49788"/>
    <cellStyle name="Note 2 4 7 2 3 2" xfId="49789"/>
    <cellStyle name="Note 2 4 7 2 4" xfId="49790"/>
    <cellStyle name="Note 2 4 7 3" xfId="49791"/>
    <cellStyle name="Note 2 4 7 3 2" xfId="49792"/>
    <cellStyle name="Note 2 4 7 3 2 2" xfId="49793"/>
    <cellStyle name="Note 2 4 7 3 3" xfId="49794"/>
    <cellStyle name="Note 2 4 7 4" xfId="49795"/>
    <cellStyle name="Note 2 4 7 4 2" xfId="49796"/>
    <cellStyle name="Note 2 4 7 5" xfId="49797"/>
    <cellStyle name="Note 2 4 8" xfId="49798"/>
    <cellStyle name="Note 2 4 8 2" xfId="49799"/>
    <cellStyle name="Note 2 4 8 2 2" xfId="49800"/>
    <cellStyle name="Note 2 4 8 2 2 2" xfId="49801"/>
    <cellStyle name="Note 2 4 8 2 3" xfId="49802"/>
    <cellStyle name="Note 2 4 8 3" xfId="49803"/>
    <cellStyle name="Note 2 4 8 3 2" xfId="49804"/>
    <cellStyle name="Note 2 4 8 4" xfId="49805"/>
    <cellStyle name="Note 2 4 9" xfId="49806"/>
    <cellStyle name="Note 2 4 9 2" xfId="49807"/>
    <cellStyle name="Note 2 4 9 2 2" xfId="49808"/>
    <cellStyle name="Note 2 4 9 3" xfId="49809"/>
    <cellStyle name="Note 2 5" xfId="49810"/>
    <cellStyle name="Note 2 5 10" xfId="49811"/>
    <cellStyle name="Note 2 5 10 2" xfId="49812"/>
    <cellStyle name="Note 2 5 11" xfId="49813"/>
    <cellStyle name="Note 2 5 2" xfId="49814"/>
    <cellStyle name="Note 2 5 2 10" xfId="49815"/>
    <cellStyle name="Note 2 5 2 2" xfId="49816"/>
    <cellStyle name="Note 2 5 2 2 2" xfId="49817"/>
    <cellStyle name="Note 2 5 2 2 2 2" xfId="49818"/>
    <cellStyle name="Note 2 5 2 2 2 2 2" xfId="49819"/>
    <cellStyle name="Note 2 5 2 2 2 2 2 2" xfId="49820"/>
    <cellStyle name="Note 2 5 2 2 2 2 3" xfId="49821"/>
    <cellStyle name="Note 2 5 2 2 2 3" xfId="49822"/>
    <cellStyle name="Note 2 5 2 2 2 3 2" xfId="49823"/>
    <cellStyle name="Note 2 5 2 2 2 4" xfId="49824"/>
    <cellStyle name="Note 2 5 2 2 3" xfId="49825"/>
    <cellStyle name="Note 2 5 2 2 3 2" xfId="49826"/>
    <cellStyle name="Note 2 5 2 2 3 2 2" xfId="49827"/>
    <cellStyle name="Note 2 5 2 2 3 3" xfId="49828"/>
    <cellStyle name="Note 2 5 2 2 4" xfId="49829"/>
    <cellStyle name="Note 2 5 2 2 4 2" xfId="49830"/>
    <cellStyle name="Note 2 5 2 2 5" xfId="49831"/>
    <cellStyle name="Note 2 5 2 3" xfId="49832"/>
    <cellStyle name="Note 2 5 2 3 2" xfId="49833"/>
    <cellStyle name="Note 2 5 2 3 2 2" xfId="49834"/>
    <cellStyle name="Note 2 5 2 3 2 2 2" xfId="49835"/>
    <cellStyle name="Note 2 5 2 3 2 2 2 2" xfId="49836"/>
    <cellStyle name="Note 2 5 2 3 2 2 3" xfId="49837"/>
    <cellStyle name="Note 2 5 2 3 2 3" xfId="49838"/>
    <cellStyle name="Note 2 5 2 3 2 3 2" xfId="49839"/>
    <cellStyle name="Note 2 5 2 3 2 4" xfId="49840"/>
    <cellStyle name="Note 2 5 2 3 3" xfId="49841"/>
    <cellStyle name="Note 2 5 2 3 3 2" xfId="49842"/>
    <cellStyle name="Note 2 5 2 3 3 2 2" xfId="49843"/>
    <cellStyle name="Note 2 5 2 3 3 3" xfId="49844"/>
    <cellStyle name="Note 2 5 2 3 4" xfId="49845"/>
    <cellStyle name="Note 2 5 2 3 4 2" xfId="49846"/>
    <cellStyle name="Note 2 5 2 3 5" xfId="49847"/>
    <cellStyle name="Note 2 5 2 4" xfId="49848"/>
    <cellStyle name="Note 2 5 2 4 2" xfId="49849"/>
    <cellStyle name="Note 2 5 2 4 2 2" xfId="49850"/>
    <cellStyle name="Note 2 5 2 4 2 2 2" xfId="49851"/>
    <cellStyle name="Note 2 5 2 4 2 2 2 2" xfId="49852"/>
    <cellStyle name="Note 2 5 2 4 2 2 3" xfId="49853"/>
    <cellStyle name="Note 2 5 2 4 2 3" xfId="49854"/>
    <cellStyle name="Note 2 5 2 4 2 3 2" xfId="49855"/>
    <cellStyle name="Note 2 5 2 4 2 4" xfId="49856"/>
    <cellStyle name="Note 2 5 2 4 3" xfId="49857"/>
    <cellStyle name="Note 2 5 2 4 3 2" xfId="49858"/>
    <cellStyle name="Note 2 5 2 4 3 2 2" xfId="49859"/>
    <cellStyle name="Note 2 5 2 4 3 3" xfId="49860"/>
    <cellStyle name="Note 2 5 2 4 4" xfId="49861"/>
    <cellStyle name="Note 2 5 2 4 4 2" xfId="49862"/>
    <cellStyle name="Note 2 5 2 4 5" xfId="49863"/>
    <cellStyle name="Note 2 5 2 5" xfId="49864"/>
    <cellStyle name="Note 2 5 2 5 2" xfId="49865"/>
    <cellStyle name="Note 2 5 2 5 2 2" xfId="49866"/>
    <cellStyle name="Note 2 5 2 5 2 2 2" xfId="49867"/>
    <cellStyle name="Note 2 5 2 5 2 2 2 2" xfId="49868"/>
    <cellStyle name="Note 2 5 2 5 2 2 3" xfId="49869"/>
    <cellStyle name="Note 2 5 2 5 2 3" xfId="49870"/>
    <cellStyle name="Note 2 5 2 5 2 3 2" xfId="49871"/>
    <cellStyle name="Note 2 5 2 5 2 4" xfId="49872"/>
    <cellStyle name="Note 2 5 2 5 3" xfId="49873"/>
    <cellStyle name="Note 2 5 2 5 3 2" xfId="49874"/>
    <cellStyle name="Note 2 5 2 5 3 2 2" xfId="49875"/>
    <cellStyle name="Note 2 5 2 5 3 3" xfId="49876"/>
    <cellStyle name="Note 2 5 2 5 4" xfId="49877"/>
    <cellStyle name="Note 2 5 2 5 4 2" xfId="49878"/>
    <cellStyle name="Note 2 5 2 5 5" xfId="49879"/>
    <cellStyle name="Note 2 5 2 6" xfId="49880"/>
    <cellStyle name="Note 2 5 2 6 2" xfId="49881"/>
    <cellStyle name="Note 2 5 2 6 2 2" xfId="49882"/>
    <cellStyle name="Note 2 5 2 6 2 2 2" xfId="49883"/>
    <cellStyle name="Note 2 5 2 6 2 2 2 2" xfId="49884"/>
    <cellStyle name="Note 2 5 2 6 2 2 3" xfId="49885"/>
    <cellStyle name="Note 2 5 2 6 2 3" xfId="49886"/>
    <cellStyle name="Note 2 5 2 6 2 3 2" xfId="49887"/>
    <cellStyle name="Note 2 5 2 6 2 4" xfId="49888"/>
    <cellStyle name="Note 2 5 2 6 3" xfId="49889"/>
    <cellStyle name="Note 2 5 2 6 3 2" xfId="49890"/>
    <cellStyle name="Note 2 5 2 6 3 2 2" xfId="49891"/>
    <cellStyle name="Note 2 5 2 6 3 3" xfId="49892"/>
    <cellStyle name="Note 2 5 2 6 4" xfId="49893"/>
    <cellStyle name="Note 2 5 2 6 4 2" xfId="49894"/>
    <cellStyle name="Note 2 5 2 6 5" xfId="49895"/>
    <cellStyle name="Note 2 5 2 7" xfId="49896"/>
    <cellStyle name="Note 2 5 2 7 2" xfId="49897"/>
    <cellStyle name="Note 2 5 2 7 2 2" xfId="49898"/>
    <cellStyle name="Note 2 5 2 7 2 2 2" xfId="49899"/>
    <cellStyle name="Note 2 5 2 7 2 3" xfId="49900"/>
    <cellStyle name="Note 2 5 2 7 3" xfId="49901"/>
    <cellStyle name="Note 2 5 2 7 3 2" xfId="49902"/>
    <cellStyle name="Note 2 5 2 7 4" xfId="49903"/>
    <cellStyle name="Note 2 5 2 8" xfId="49904"/>
    <cellStyle name="Note 2 5 2 8 2" xfId="49905"/>
    <cellStyle name="Note 2 5 2 8 2 2" xfId="49906"/>
    <cellStyle name="Note 2 5 2 8 3" xfId="49907"/>
    <cellStyle name="Note 2 5 2 9" xfId="49908"/>
    <cellStyle name="Note 2 5 2 9 2" xfId="49909"/>
    <cellStyle name="Note 2 5 3" xfId="49910"/>
    <cellStyle name="Note 2 5 3 2" xfId="49911"/>
    <cellStyle name="Note 2 5 3 2 2" xfId="49912"/>
    <cellStyle name="Note 2 5 3 2 2 2" xfId="49913"/>
    <cellStyle name="Note 2 5 3 2 2 2 2" xfId="49914"/>
    <cellStyle name="Note 2 5 3 2 2 3" xfId="49915"/>
    <cellStyle name="Note 2 5 3 2 3" xfId="49916"/>
    <cellStyle name="Note 2 5 3 2 3 2" xfId="49917"/>
    <cellStyle name="Note 2 5 3 2 4" xfId="49918"/>
    <cellStyle name="Note 2 5 3 3" xfId="49919"/>
    <cellStyle name="Note 2 5 3 3 2" xfId="49920"/>
    <cellStyle name="Note 2 5 3 3 2 2" xfId="49921"/>
    <cellStyle name="Note 2 5 3 3 3" xfId="49922"/>
    <cellStyle name="Note 2 5 3 4" xfId="49923"/>
    <cellStyle name="Note 2 5 3 4 2" xfId="49924"/>
    <cellStyle name="Note 2 5 3 5" xfId="49925"/>
    <cellStyle name="Note 2 5 4" xfId="49926"/>
    <cellStyle name="Note 2 5 4 2" xfId="49927"/>
    <cellStyle name="Note 2 5 4 2 2" xfId="49928"/>
    <cellStyle name="Note 2 5 4 2 2 2" xfId="49929"/>
    <cellStyle name="Note 2 5 4 2 2 2 2" xfId="49930"/>
    <cellStyle name="Note 2 5 4 2 2 3" xfId="49931"/>
    <cellStyle name="Note 2 5 4 2 3" xfId="49932"/>
    <cellStyle name="Note 2 5 4 2 3 2" xfId="49933"/>
    <cellStyle name="Note 2 5 4 2 4" xfId="49934"/>
    <cellStyle name="Note 2 5 4 3" xfId="49935"/>
    <cellStyle name="Note 2 5 4 3 2" xfId="49936"/>
    <cellStyle name="Note 2 5 4 3 2 2" xfId="49937"/>
    <cellStyle name="Note 2 5 4 3 3" xfId="49938"/>
    <cellStyle name="Note 2 5 4 4" xfId="49939"/>
    <cellStyle name="Note 2 5 4 4 2" xfId="49940"/>
    <cellStyle name="Note 2 5 4 5" xfId="49941"/>
    <cellStyle name="Note 2 5 5" xfId="49942"/>
    <cellStyle name="Note 2 5 5 2" xfId="49943"/>
    <cellStyle name="Note 2 5 5 2 2" xfId="49944"/>
    <cellStyle name="Note 2 5 5 2 2 2" xfId="49945"/>
    <cellStyle name="Note 2 5 5 2 2 2 2" xfId="49946"/>
    <cellStyle name="Note 2 5 5 2 2 3" xfId="49947"/>
    <cellStyle name="Note 2 5 5 2 3" xfId="49948"/>
    <cellStyle name="Note 2 5 5 2 3 2" xfId="49949"/>
    <cellStyle name="Note 2 5 5 2 4" xfId="49950"/>
    <cellStyle name="Note 2 5 5 3" xfId="49951"/>
    <cellStyle name="Note 2 5 5 3 2" xfId="49952"/>
    <cellStyle name="Note 2 5 5 3 2 2" xfId="49953"/>
    <cellStyle name="Note 2 5 5 3 3" xfId="49954"/>
    <cellStyle name="Note 2 5 5 4" xfId="49955"/>
    <cellStyle name="Note 2 5 5 4 2" xfId="49956"/>
    <cellStyle name="Note 2 5 5 5" xfId="49957"/>
    <cellStyle name="Note 2 5 6" xfId="49958"/>
    <cellStyle name="Note 2 5 6 2" xfId="49959"/>
    <cellStyle name="Note 2 5 6 2 2" xfId="49960"/>
    <cellStyle name="Note 2 5 6 2 2 2" xfId="49961"/>
    <cellStyle name="Note 2 5 6 2 2 2 2" xfId="49962"/>
    <cellStyle name="Note 2 5 6 2 2 3" xfId="49963"/>
    <cellStyle name="Note 2 5 6 2 3" xfId="49964"/>
    <cellStyle name="Note 2 5 6 2 3 2" xfId="49965"/>
    <cellStyle name="Note 2 5 6 2 4" xfId="49966"/>
    <cellStyle name="Note 2 5 6 3" xfId="49967"/>
    <cellStyle name="Note 2 5 6 3 2" xfId="49968"/>
    <cellStyle name="Note 2 5 6 3 2 2" xfId="49969"/>
    <cellStyle name="Note 2 5 6 3 3" xfId="49970"/>
    <cellStyle name="Note 2 5 6 4" xfId="49971"/>
    <cellStyle name="Note 2 5 6 4 2" xfId="49972"/>
    <cellStyle name="Note 2 5 6 5" xfId="49973"/>
    <cellStyle name="Note 2 5 7" xfId="49974"/>
    <cellStyle name="Note 2 5 7 2" xfId="49975"/>
    <cellStyle name="Note 2 5 7 2 2" xfId="49976"/>
    <cellStyle name="Note 2 5 7 2 2 2" xfId="49977"/>
    <cellStyle name="Note 2 5 7 2 2 2 2" xfId="49978"/>
    <cellStyle name="Note 2 5 7 2 2 3" xfId="49979"/>
    <cellStyle name="Note 2 5 7 2 3" xfId="49980"/>
    <cellStyle name="Note 2 5 7 2 3 2" xfId="49981"/>
    <cellStyle name="Note 2 5 7 2 4" xfId="49982"/>
    <cellStyle name="Note 2 5 7 3" xfId="49983"/>
    <cellStyle name="Note 2 5 7 3 2" xfId="49984"/>
    <cellStyle name="Note 2 5 7 3 2 2" xfId="49985"/>
    <cellStyle name="Note 2 5 7 3 3" xfId="49986"/>
    <cellStyle name="Note 2 5 7 4" xfId="49987"/>
    <cellStyle name="Note 2 5 7 4 2" xfId="49988"/>
    <cellStyle name="Note 2 5 7 5" xfId="49989"/>
    <cellStyle name="Note 2 5 8" xfId="49990"/>
    <cellStyle name="Note 2 5 8 2" xfId="49991"/>
    <cellStyle name="Note 2 5 8 2 2" xfId="49992"/>
    <cellStyle name="Note 2 5 8 2 2 2" xfId="49993"/>
    <cellStyle name="Note 2 5 8 2 3" xfId="49994"/>
    <cellStyle name="Note 2 5 8 3" xfId="49995"/>
    <cellStyle name="Note 2 5 8 3 2" xfId="49996"/>
    <cellStyle name="Note 2 5 8 4" xfId="49997"/>
    <cellStyle name="Note 2 5 9" xfId="49998"/>
    <cellStyle name="Note 2 5 9 2" xfId="49999"/>
    <cellStyle name="Note 2 5 9 2 2" xfId="50000"/>
    <cellStyle name="Note 2 5 9 3" xfId="50001"/>
    <cellStyle name="Note 2 6" xfId="50002"/>
    <cellStyle name="Note 2 6 10" xfId="50003"/>
    <cellStyle name="Note 2 6 10 2" xfId="50004"/>
    <cellStyle name="Note 2 6 11" xfId="50005"/>
    <cellStyle name="Note 2 6 2" xfId="50006"/>
    <cellStyle name="Note 2 6 2 10" xfId="50007"/>
    <cellStyle name="Note 2 6 2 2" xfId="50008"/>
    <cellStyle name="Note 2 6 2 2 2" xfId="50009"/>
    <cellStyle name="Note 2 6 2 2 2 2" xfId="50010"/>
    <cellStyle name="Note 2 6 2 2 2 2 2" xfId="50011"/>
    <cellStyle name="Note 2 6 2 2 2 2 2 2" xfId="50012"/>
    <cellStyle name="Note 2 6 2 2 2 2 3" xfId="50013"/>
    <cellStyle name="Note 2 6 2 2 2 3" xfId="50014"/>
    <cellStyle name="Note 2 6 2 2 2 3 2" xfId="50015"/>
    <cellStyle name="Note 2 6 2 2 2 4" xfId="50016"/>
    <cellStyle name="Note 2 6 2 2 3" xfId="50017"/>
    <cellStyle name="Note 2 6 2 2 3 2" xfId="50018"/>
    <cellStyle name="Note 2 6 2 2 3 2 2" xfId="50019"/>
    <cellStyle name="Note 2 6 2 2 3 3" xfId="50020"/>
    <cellStyle name="Note 2 6 2 2 4" xfId="50021"/>
    <cellStyle name="Note 2 6 2 2 4 2" xfId="50022"/>
    <cellStyle name="Note 2 6 2 2 5" xfId="50023"/>
    <cellStyle name="Note 2 6 2 3" xfId="50024"/>
    <cellStyle name="Note 2 6 2 3 2" xfId="50025"/>
    <cellStyle name="Note 2 6 2 3 2 2" xfId="50026"/>
    <cellStyle name="Note 2 6 2 3 2 2 2" xfId="50027"/>
    <cellStyle name="Note 2 6 2 3 2 2 2 2" xfId="50028"/>
    <cellStyle name="Note 2 6 2 3 2 2 3" xfId="50029"/>
    <cellStyle name="Note 2 6 2 3 2 3" xfId="50030"/>
    <cellStyle name="Note 2 6 2 3 2 3 2" xfId="50031"/>
    <cellStyle name="Note 2 6 2 3 2 4" xfId="50032"/>
    <cellStyle name="Note 2 6 2 3 3" xfId="50033"/>
    <cellStyle name="Note 2 6 2 3 3 2" xfId="50034"/>
    <cellStyle name="Note 2 6 2 3 3 2 2" xfId="50035"/>
    <cellStyle name="Note 2 6 2 3 3 3" xfId="50036"/>
    <cellStyle name="Note 2 6 2 3 4" xfId="50037"/>
    <cellStyle name="Note 2 6 2 3 4 2" xfId="50038"/>
    <cellStyle name="Note 2 6 2 3 5" xfId="50039"/>
    <cellStyle name="Note 2 6 2 4" xfId="50040"/>
    <cellStyle name="Note 2 6 2 4 2" xfId="50041"/>
    <cellStyle name="Note 2 6 2 4 2 2" xfId="50042"/>
    <cellStyle name="Note 2 6 2 4 2 2 2" xfId="50043"/>
    <cellStyle name="Note 2 6 2 4 2 2 2 2" xfId="50044"/>
    <cellStyle name="Note 2 6 2 4 2 2 3" xfId="50045"/>
    <cellStyle name="Note 2 6 2 4 2 3" xfId="50046"/>
    <cellStyle name="Note 2 6 2 4 2 3 2" xfId="50047"/>
    <cellStyle name="Note 2 6 2 4 2 4" xfId="50048"/>
    <cellStyle name="Note 2 6 2 4 3" xfId="50049"/>
    <cellStyle name="Note 2 6 2 4 3 2" xfId="50050"/>
    <cellStyle name="Note 2 6 2 4 3 2 2" xfId="50051"/>
    <cellStyle name="Note 2 6 2 4 3 3" xfId="50052"/>
    <cellStyle name="Note 2 6 2 4 4" xfId="50053"/>
    <cellStyle name="Note 2 6 2 4 4 2" xfId="50054"/>
    <cellStyle name="Note 2 6 2 4 5" xfId="50055"/>
    <cellStyle name="Note 2 6 2 5" xfId="50056"/>
    <cellStyle name="Note 2 6 2 5 2" xfId="50057"/>
    <cellStyle name="Note 2 6 2 5 2 2" xfId="50058"/>
    <cellStyle name="Note 2 6 2 5 2 2 2" xfId="50059"/>
    <cellStyle name="Note 2 6 2 5 2 2 2 2" xfId="50060"/>
    <cellStyle name="Note 2 6 2 5 2 2 3" xfId="50061"/>
    <cellStyle name="Note 2 6 2 5 2 3" xfId="50062"/>
    <cellStyle name="Note 2 6 2 5 2 3 2" xfId="50063"/>
    <cellStyle name="Note 2 6 2 5 2 4" xfId="50064"/>
    <cellStyle name="Note 2 6 2 5 3" xfId="50065"/>
    <cellStyle name="Note 2 6 2 5 3 2" xfId="50066"/>
    <cellStyle name="Note 2 6 2 5 3 2 2" xfId="50067"/>
    <cellStyle name="Note 2 6 2 5 3 3" xfId="50068"/>
    <cellStyle name="Note 2 6 2 5 4" xfId="50069"/>
    <cellStyle name="Note 2 6 2 5 4 2" xfId="50070"/>
    <cellStyle name="Note 2 6 2 5 5" xfId="50071"/>
    <cellStyle name="Note 2 6 2 6" xfId="50072"/>
    <cellStyle name="Note 2 6 2 6 2" xfId="50073"/>
    <cellStyle name="Note 2 6 2 6 2 2" xfId="50074"/>
    <cellStyle name="Note 2 6 2 6 2 2 2" xfId="50075"/>
    <cellStyle name="Note 2 6 2 6 2 2 2 2" xfId="50076"/>
    <cellStyle name="Note 2 6 2 6 2 2 3" xfId="50077"/>
    <cellStyle name="Note 2 6 2 6 2 3" xfId="50078"/>
    <cellStyle name="Note 2 6 2 6 2 3 2" xfId="50079"/>
    <cellStyle name="Note 2 6 2 6 2 4" xfId="50080"/>
    <cellStyle name="Note 2 6 2 6 3" xfId="50081"/>
    <cellStyle name="Note 2 6 2 6 3 2" xfId="50082"/>
    <cellStyle name="Note 2 6 2 6 3 2 2" xfId="50083"/>
    <cellStyle name="Note 2 6 2 6 3 3" xfId="50084"/>
    <cellStyle name="Note 2 6 2 6 4" xfId="50085"/>
    <cellStyle name="Note 2 6 2 6 4 2" xfId="50086"/>
    <cellStyle name="Note 2 6 2 6 5" xfId="50087"/>
    <cellStyle name="Note 2 6 2 7" xfId="50088"/>
    <cellStyle name="Note 2 6 2 7 2" xfId="50089"/>
    <cellStyle name="Note 2 6 2 7 2 2" xfId="50090"/>
    <cellStyle name="Note 2 6 2 7 2 2 2" xfId="50091"/>
    <cellStyle name="Note 2 6 2 7 2 3" xfId="50092"/>
    <cellStyle name="Note 2 6 2 7 3" xfId="50093"/>
    <cellStyle name="Note 2 6 2 7 3 2" xfId="50094"/>
    <cellStyle name="Note 2 6 2 7 4" xfId="50095"/>
    <cellStyle name="Note 2 6 2 8" xfId="50096"/>
    <cellStyle name="Note 2 6 2 8 2" xfId="50097"/>
    <cellStyle name="Note 2 6 2 8 2 2" xfId="50098"/>
    <cellStyle name="Note 2 6 2 8 3" xfId="50099"/>
    <cellStyle name="Note 2 6 2 9" xfId="50100"/>
    <cellStyle name="Note 2 6 2 9 2" xfId="50101"/>
    <cellStyle name="Note 2 6 3" xfId="50102"/>
    <cellStyle name="Note 2 6 3 2" xfId="50103"/>
    <cellStyle name="Note 2 6 3 2 2" xfId="50104"/>
    <cellStyle name="Note 2 6 3 2 2 2" xfId="50105"/>
    <cellStyle name="Note 2 6 3 2 2 2 2" xfId="50106"/>
    <cellStyle name="Note 2 6 3 2 2 3" xfId="50107"/>
    <cellStyle name="Note 2 6 3 2 3" xfId="50108"/>
    <cellStyle name="Note 2 6 3 2 3 2" xfId="50109"/>
    <cellStyle name="Note 2 6 3 2 4" xfId="50110"/>
    <cellStyle name="Note 2 6 3 3" xfId="50111"/>
    <cellStyle name="Note 2 6 3 3 2" xfId="50112"/>
    <cellStyle name="Note 2 6 3 3 2 2" xfId="50113"/>
    <cellStyle name="Note 2 6 3 3 3" xfId="50114"/>
    <cellStyle name="Note 2 6 3 4" xfId="50115"/>
    <cellStyle name="Note 2 6 3 4 2" xfId="50116"/>
    <cellStyle name="Note 2 6 3 5" xfId="50117"/>
    <cellStyle name="Note 2 6 4" xfId="50118"/>
    <cellStyle name="Note 2 6 4 2" xfId="50119"/>
    <cellStyle name="Note 2 6 4 2 2" xfId="50120"/>
    <cellStyle name="Note 2 6 4 2 2 2" xfId="50121"/>
    <cellStyle name="Note 2 6 4 2 2 2 2" xfId="50122"/>
    <cellStyle name="Note 2 6 4 2 2 3" xfId="50123"/>
    <cellStyle name="Note 2 6 4 2 3" xfId="50124"/>
    <cellStyle name="Note 2 6 4 2 3 2" xfId="50125"/>
    <cellStyle name="Note 2 6 4 2 4" xfId="50126"/>
    <cellStyle name="Note 2 6 4 3" xfId="50127"/>
    <cellStyle name="Note 2 6 4 3 2" xfId="50128"/>
    <cellStyle name="Note 2 6 4 3 2 2" xfId="50129"/>
    <cellStyle name="Note 2 6 4 3 3" xfId="50130"/>
    <cellStyle name="Note 2 6 4 4" xfId="50131"/>
    <cellStyle name="Note 2 6 4 4 2" xfId="50132"/>
    <cellStyle name="Note 2 6 4 5" xfId="50133"/>
    <cellStyle name="Note 2 6 5" xfId="50134"/>
    <cellStyle name="Note 2 6 5 2" xfId="50135"/>
    <cellStyle name="Note 2 6 5 2 2" xfId="50136"/>
    <cellStyle name="Note 2 6 5 2 2 2" xfId="50137"/>
    <cellStyle name="Note 2 6 5 2 2 2 2" xfId="50138"/>
    <cellStyle name="Note 2 6 5 2 2 3" xfId="50139"/>
    <cellStyle name="Note 2 6 5 2 3" xfId="50140"/>
    <cellStyle name="Note 2 6 5 2 3 2" xfId="50141"/>
    <cellStyle name="Note 2 6 5 2 4" xfId="50142"/>
    <cellStyle name="Note 2 6 5 3" xfId="50143"/>
    <cellStyle name="Note 2 6 5 3 2" xfId="50144"/>
    <cellStyle name="Note 2 6 5 3 2 2" xfId="50145"/>
    <cellStyle name="Note 2 6 5 3 3" xfId="50146"/>
    <cellStyle name="Note 2 6 5 4" xfId="50147"/>
    <cellStyle name="Note 2 6 5 4 2" xfId="50148"/>
    <cellStyle name="Note 2 6 5 5" xfId="50149"/>
    <cellStyle name="Note 2 6 6" xfId="50150"/>
    <cellStyle name="Note 2 6 6 2" xfId="50151"/>
    <cellStyle name="Note 2 6 6 2 2" xfId="50152"/>
    <cellStyle name="Note 2 6 6 2 2 2" xfId="50153"/>
    <cellStyle name="Note 2 6 6 2 2 2 2" xfId="50154"/>
    <cellStyle name="Note 2 6 6 2 2 3" xfId="50155"/>
    <cellStyle name="Note 2 6 6 2 3" xfId="50156"/>
    <cellStyle name="Note 2 6 6 2 3 2" xfId="50157"/>
    <cellStyle name="Note 2 6 6 2 4" xfId="50158"/>
    <cellStyle name="Note 2 6 6 3" xfId="50159"/>
    <cellStyle name="Note 2 6 6 3 2" xfId="50160"/>
    <cellStyle name="Note 2 6 6 3 2 2" xfId="50161"/>
    <cellStyle name="Note 2 6 6 3 3" xfId="50162"/>
    <cellStyle name="Note 2 6 6 4" xfId="50163"/>
    <cellStyle name="Note 2 6 6 4 2" xfId="50164"/>
    <cellStyle name="Note 2 6 6 5" xfId="50165"/>
    <cellStyle name="Note 2 6 7" xfId="50166"/>
    <cellStyle name="Note 2 6 7 2" xfId="50167"/>
    <cellStyle name="Note 2 6 7 2 2" xfId="50168"/>
    <cellStyle name="Note 2 6 7 2 2 2" xfId="50169"/>
    <cellStyle name="Note 2 6 7 2 2 2 2" xfId="50170"/>
    <cellStyle name="Note 2 6 7 2 2 3" xfId="50171"/>
    <cellStyle name="Note 2 6 7 2 3" xfId="50172"/>
    <cellStyle name="Note 2 6 7 2 3 2" xfId="50173"/>
    <cellStyle name="Note 2 6 7 2 4" xfId="50174"/>
    <cellStyle name="Note 2 6 7 3" xfId="50175"/>
    <cellStyle name="Note 2 6 7 3 2" xfId="50176"/>
    <cellStyle name="Note 2 6 7 3 2 2" xfId="50177"/>
    <cellStyle name="Note 2 6 7 3 3" xfId="50178"/>
    <cellStyle name="Note 2 6 7 4" xfId="50179"/>
    <cellStyle name="Note 2 6 7 4 2" xfId="50180"/>
    <cellStyle name="Note 2 6 7 5" xfId="50181"/>
    <cellStyle name="Note 2 6 8" xfId="50182"/>
    <cellStyle name="Note 2 6 8 2" xfId="50183"/>
    <cellStyle name="Note 2 6 8 2 2" xfId="50184"/>
    <cellStyle name="Note 2 6 8 2 2 2" xfId="50185"/>
    <cellStyle name="Note 2 6 8 2 3" xfId="50186"/>
    <cellStyle name="Note 2 6 8 3" xfId="50187"/>
    <cellStyle name="Note 2 6 8 3 2" xfId="50188"/>
    <cellStyle name="Note 2 6 8 4" xfId="50189"/>
    <cellStyle name="Note 2 6 9" xfId="50190"/>
    <cellStyle name="Note 2 6 9 2" xfId="50191"/>
    <cellStyle name="Note 2 6 9 2 2" xfId="50192"/>
    <cellStyle name="Note 2 6 9 3" xfId="50193"/>
    <cellStyle name="Note 2 7" xfId="50194"/>
    <cellStyle name="Note 2 7 10" xfId="50195"/>
    <cellStyle name="Note 2 7 10 2" xfId="50196"/>
    <cellStyle name="Note 2 7 11" xfId="50197"/>
    <cellStyle name="Note 2 7 2" xfId="50198"/>
    <cellStyle name="Note 2 7 2 10" xfId="50199"/>
    <cellStyle name="Note 2 7 2 2" xfId="50200"/>
    <cellStyle name="Note 2 7 2 2 2" xfId="50201"/>
    <cellStyle name="Note 2 7 2 2 2 2" xfId="50202"/>
    <cellStyle name="Note 2 7 2 2 2 2 2" xfId="50203"/>
    <cellStyle name="Note 2 7 2 2 2 2 2 2" xfId="50204"/>
    <cellStyle name="Note 2 7 2 2 2 2 3" xfId="50205"/>
    <cellStyle name="Note 2 7 2 2 2 3" xfId="50206"/>
    <cellStyle name="Note 2 7 2 2 2 3 2" xfId="50207"/>
    <cellStyle name="Note 2 7 2 2 2 4" xfId="50208"/>
    <cellStyle name="Note 2 7 2 2 3" xfId="50209"/>
    <cellStyle name="Note 2 7 2 2 3 2" xfId="50210"/>
    <cellStyle name="Note 2 7 2 2 3 2 2" xfId="50211"/>
    <cellStyle name="Note 2 7 2 2 3 3" xfId="50212"/>
    <cellStyle name="Note 2 7 2 2 4" xfId="50213"/>
    <cellStyle name="Note 2 7 2 2 4 2" xfId="50214"/>
    <cellStyle name="Note 2 7 2 2 5" xfId="50215"/>
    <cellStyle name="Note 2 7 2 3" xfId="50216"/>
    <cellStyle name="Note 2 7 2 3 2" xfId="50217"/>
    <cellStyle name="Note 2 7 2 3 2 2" xfId="50218"/>
    <cellStyle name="Note 2 7 2 3 2 2 2" xfId="50219"/>
    <cellStyle name="Note 2 7 2 3 2 2 2 2" xfId="50220"/>
    <cellStyle name="Note 2 7 2 3 2 2 3" xfId="50221"/>
    <cellStyle name="Note 2 7 2 3 2 3" xfId="50222"/>
    <cellStyle name="Note 2 7 2 3 2 3 2" xfId="50223"/>
    <cellStyle name="Note 2 7 2 3 2 4" xfId="50224"/>
    <cellStyle name="Note 2 7 2 3 3" xfId="50225"/>
    <cellStyle name="Note 2 7 2 3 3 2" xfId="50226"/>
    <cellStyle name="Note 2 7 2 3 3 2 2" xfId="50227"/>
    <cellStyle name="Note 2 7 2 3 3 3" xfId="50228"/>
    <cellStyle name="Note 2 7 2 3 4" xfId="50229"/>
    <cellStyle name="Note 2 7 2 3 4 2" xfId="50230"/>
    <cellStyle name="Note 2 7 2 3 5" xfId="50231"/>
    <cellStyle name="Note 2 7 2 4" xfId="50232"/>
    <cellStyle name="Note 2 7 2 4 2" xfId="50233"/>
    <cellStyle name="Note 2 7 2 4 2 2" xfId="50234"/>
    <cellStyle name="Note 2 7 2 4 2 2 2" xfId="50235"/>
    <cellStyle name="Note 2 7 2 4 2 2 2 2" xfId="50236"/>
    <cellStyle name="Note 2 7 2 4 2 2 3" xfId="50237"/>
    <cellStyle name="Note 2 7 2 4 2 3" xfId="50238"/>
    <cellStyle name="Note 2 7 2 4 2 3 2" xfId="50239"/>
    <cellStyle name="Note 2 7 2 4 2 4" xfId="50240"/>
    <cellStyle name="Note 2 7 2 4 3" xfId="50241"/>
    <cellStyle name="Note 2 7 2 4 3 2" xfId="50242"/>
    <cellStyle name="Note 2 7 2 4 3 2 2" xfId="50243"/>
    <cellStyle name="Note 2 7 2 4 3 3" xfId="50244"/>
    <cellStyle name="Note 2 7 2 4 4" xfId="50245"/>
    <cellStyle name="Note 2 7 2 4 4 2" xfId="50246"/>
    <cellStyle name="Note 2 7 2 4 5" xfId="50247"/>
    <cellStyle name="Note 2 7 2 5" xfId="50248"/>
    <cellStyle name="Note 2 7 2 5 2" xfId="50249"/>
    <cellStyle name="Note 2 7 2 5 2 2" xfId="50250"/>
    <cellStyle name="Note 2 7 2 5 2 2 2" xfId="50251"/>
    <cellStyle name="Note 2 7 2 5 2 2 2 2" xfId="50252"/>
    <cellStyle name="Note 2 7 2 5 2 2 3" xfId="50253"/>
    <cellStyle name="Note 2 7 2 5 2 3" xfId="50254"/>
    <cellStyle name="Note 2 7 2 5 2 3 2" xfId="50255"/>
    <cellStyle name="Note 2 7 2 5 2 4" xfId="50256"/>
    <cellStyle name="Note 2 7 2 5 3" xfId="50257"/>
    <cellStyle name="Note 2 7 2 5 3 2" xfId="50258"/>
    <cellStyle name="Note 2 7 2 5 3 2 2" xfId="50259"/>
    <cellStyle name="Note 2 7 2 5 3 3" xfId="50260"/>
    <cellStyle name="Note 2 7 2 5 4" xfId="50261"/>
    <cellStyle name="Note 2 7 2 5 4 2" xfId="50262"/>
    <cellStyle name="Note 2 7 2 5 5" xfId="50263"/>
    <cellStyle name="Note 2 7 2 6" xfId="50264"/>
    <cellStyle name="Note 2 7 2 6 2" xfId="50265"/>
    <cellStyle name="Note 2 7 2 6 2 2" xfId="50266"/>
    <cellStyle name="Note 2 7 2 6 2 2 2" xfId="50267"/>
    <cellStyle name="Note 2 7 2 6 2 2 2 2" xfId="50268"/>
    <cellStyle name="Note 2 7 2 6 2 2 3" xfId="50269"/>
    <cellStyle name="Note 2 7 2 6 2 3" xfId="50270"/>
    <cellStyle name="Note 2 7 2 6 2 3 2" xfId="50271"/>
    <cellStyle name="Note 2 7 2 6 2 4" xfId="50272"/>
    <cellStyle name="Note 2 7 2 6 3" xfId="50273"/>
    <cellStyle name="Note 2 7 2 6 3 2" xfId="50274"/>
    <cellStyle name="Note 2 7 2 6 3 2 2" xfId="50275"/>
    <cellStyle name="Note 2 7 2 6 3 3" xfId="50276"/>
    <cellStyle name="Note 2 7 2 6 4" xfId="50277"/>
    <cellStyle name="Note 2 7 2 6 4 2" xfId="50278"/>
    <cellStyle name="Note 2 7 2 6 5" xfId="50279"/>
    <cellStyle name="Note 2 7 2 7" xfId="50280"/>
    <cellStyle name="Note 2 7 2 7 2" xfId="50281"/>
    <cellStyle name="Note 2 7 2 7 2 2" xfId="50282"/>
    <cellStyle name="Note 2 7 2 7 2 2 2" xfId="50283"/>
    <cellStyle name="Note 2 7 2 7 2 3" xfId="50284"/>
    <cellStyle name="Note 2 7 2 7 3" xfId="50285"/>
    <cellStyle name="Note 2 7 2 7 3 2" xfId="50286"/>
    <cellStyle name="Note 2 7 2 7 4" xfId="50287"/>
    <cellStyle name="Note 2 7 2 8" xfId="50288"/>
    <cellStyle name="Note 2 7 2 8 2" xfId="50289"/>
    <cellStyle name="Note 2 7 2 8 2 2" xfId="50290"/>
    <cellStyle name="Note 2 7 2 8 3" xfId="50291"/>
    <cellStyle name="Note 2 7 2 9" xfId="50292"/>
    <cellStyle name="Note 2 7 2 9 2" xfId="50293"/>
    <cellStyle name="Note 2 7 3" xfId="50294"/>
    <cellStyle name="Note 2 7 3 2" xfId="50295"/>
    <cellStyle name="Note 2 7 3 2 2" xfId="50296"/>
    <cellStyle name="Note 2 7 3 2 2 2" xfId="50297"/>
    <cellStyle name="Note 2 7 3 2 2 2 2" xfId="50298"/>
    <cellStyle name="Note 2 7 3 2 2 3" xfId="50299"/>
    <cellStyle name="Note 2 7 3 2 3" xfId="50300"/>
    <cellStyle name="Note 2 7 3 2 3 2" xfId="50301"/>
    <cellStyle name="Note 2 7 3 2 4" xfId="50302"/>
    <cellStyle name="Note 2 7 3 3" xfId="50303"/>
    <cellStyle name="Note 2 7 3 3 2" xfId="50304"/>
    <cellStyle name="Note 2 7 3 3 2 2" xfId="50305"/>
    <cellStyle name="Note 2 7 3 3 3" xfId="50306"/>
    <cellStyle name="Note 2 7 3 4" xfId="50307"/>
    <cellStyle name="Note 2 7 3 4 2" xfId="50308"/>
    <cellStyle name="Note 2 7 3 5" xfId="50309"/>
    <cellStyle name="Note 2 7 4" xfId="50310"/>
    <cellStyle name="Note 2 7 4 2" xfId="50311"/>
    <cellStyle name="Note 2 7 4 2 2" xfId="50312"/>
    <cellStyle name="Note 2 7 4 2 2 2" xfId="50313"/>
    <cellStyle name="Note 2 7 4 2 2 2 2" xfId="50314"/>
    <cellStyle name="Note 2 7 4 2 2 3" xfId="50315"/>
    <cellStyle name="Note 2 7 4 2 3" xfId="50316"/>
    <cellStyle name="Note 2 7 4 2 3 2" xfId="50317"/>
    <cellStyle name="Note 2 7 4 2 4" xfId="50318"/>
    <cellStyle name="Note 2 7 4 3" xfId="50319"/>
    <cellStyle name="Note 2 7 4 3 2" xfId="50320"/>
    <cellStyle name="Note 2 7 4 3 2 2" xfId="50321"/>
    <cellStyle name="Note 2 7 4 3 3" xfId="50322"/>
    <cellStyle name="Note 2 7 4 4" xfId="50323"/>
    <cellStyle name="Note 2 7 4 4 2" xfId="50324"/>
    <cellStyle name="Note 2 7 4 5" xfId="50325"/>
    <cellStyle name="Note 2 7 5" xfId="50326"/>
    <cellStyle name="Note 2 7 5 2" xfId="50327"/>
    <cellStyle name="Note 2 7 5 2 2" xfId="50328"/>
    <cellStyle name="Note 2 7 5 2 2 2" xfId="50329"/>
    <cellStyle name="Note 2 7 5 2 2 2 2" xfId="50330"/>
    <cellStyle name="Note 2 7 5 2 2 3" xfId="50331"/>
    <cellStyle name="Note 2 7 5 2 3" xfId="50332"/>
    <cellStyle name="Note 2 7 5 2 3 2" xfId="50333"/>
    <cellStyle name="Note 2 7 5 2 4" xfId="50334"/>
    <cellStyle name="Note 2 7 5 3" xfId="50335"/>
    <cellStyle name="Note 2 7 5 3 2" xfId="50336"/>
    <cellStyle name="Note 2 7 5 3 2 2" xfId="50337"/>
    <cellStyle name="Note 2 7 5 3 3" xfId="50338"/>
    <cellStyle name="Note 2 7 5 4" xfId="50339"/>
    <cellStyle name="Note 2 7 5 4 2" xfId="50340"/>
    <cellStyle name="Note 2 7 5 5" xfId="50341"/>
    <cellStyle name="Note 2 7 6" xfId="50342"/>
    <cellStyle name="Note 2 7 6 2" xfId="50343"/>
    <cellStyle name="Note 2 7 6 2 2" xfId="50344"/>
    <cellStyle name="Note 2 7 6 2 2 2" xfId="50345"/>
    <cellStyle name="Note 2 7 6 2 2 2 2" xfId="50346"/>
    <cellStyle name="Note 2 7 6 2 2 3" xfId="50347"/>
    <cellStyle name="Note 2 7 6 2 3" xfId="50348"/>
    <cellStyle name="Note 2 7 6 2 3 2" xfId="50349"/>
    <cellStyle name="Note 2 7 6 2 4" xfId="50350"/>
    <cellStyle name="Note 2 7 6 3" xfId="50351"/>
    <cellStyle name="Note 2 7 6 3 2" xfId="50352"/>
    <cellStyle name="Note 2 7 6 3 2 2" xfId="50353"/>
    <cellStyle name="Note 2 7 6 3 3" xfId="50354"/>
    <cellStyle name="Note 2 7 6 4" xfId="50355"/>
    <cellStyle name="Note 2 7 6 4 2" xfId="50356"/>
    <cellStyle name="Note 2 7 6 5" xfId="50357"/>
    <cellStyle name="Note 2 7 7" xfId="50358"/>
    <cellStyle name="Note 2 7 7 2" xfId="50359"/>
    <cellStyle name="Note 2 7 7 2 2" xfId="50360"/>
    <cellStyle name="Note 2 7 7 2 2 2" xfId="50361"/>
    <cellStyle name="Note 2 7 7 2 2 2 2" xfId="50362"/>
    <cellStyle name="Note 2 7 7 2 2 3" xfId="50363"/>
    <cellStyle name="Note 2 7 7 2 3" xfId="50364"/>
    <cellStyle name="Note 2 7 7 2 3 2" xfId="50365"/>
    <cellStyle name="Note 2 7 7 2 4" xfId="50366"/>
    <cellStyle name="Note 2 7 7 3" xfId="50367"/>
    <cellStyle name="Note 2 7 7 3 2" xfId="50368"/>
    <cellStyle name="Note 2 7 7 3 2 2" xfId="50369"/>
    <cellStyle name="Note 2 7 7 3 3" xfId="50370"/>
    <cellStyle name="Note 2 7 7 4" xfId="50371"/>
    <cellStyle name="Note 2 7 7 4 2" xfId="50372"/>
    <cellStyle name="Note 2 7 7 5" xfId="50373"/>
    <cellStyle name="Note 2 7 8" xfId="50374"/>
    <cellStyle name="Note 2 7 8 2" xfId="50375"/>
    <cellStyle name="Note 2 7 8 2 2" xfId="50376"/>
    <cellStyle name="Note 2 7 8 2 2 2" xfId="50377"/>
    <cellStyle name="Note 2 7 8 2 3" xfId="50378"/>
    <cellStyle name="Note 2 7 8 3" xfId="50379"/>
    <cellStyle name="Note 2 7 8 3 2" xfId="50380"/>
    <cellStyle name="Note 2 7 8 4" xfId="50381"/>
    <cellStyle name="Note 2 7 9" xfId="50382"/>
    <cellStyle name="Note 2 7 9 2" xfId="50383"/>
    <cellStyle name="Note 2 7 9 2 2" xfId="50384"/>
    <cellStyle name="Note 2 7 9 3" xfId="50385"/>
    <cellStyle name="Note 2 8" xfId="50386"/>
    <cellStyle name="Note 2 8 10" xfId="50387"/>
    <cellStyle name="Note 2 8 10 2" xfId="50388"/>
    <cellStyle name="Note 2 8 11" xfId="50389"/>
    <cellStyle name="Note 2 8 2" xfId="50390"/>
    <cellStyle name="Note 2 8 2 10" xfId="50391"/>
    <cellStyle name="Note 2 8 2 2" xfId="50392"/>
    <cellStyle name="Note 2 8 2 2 2" xfId="50393"/>
    <cellStyle name="Note 2 8 2 2 2 2" xfId="50394"/>
    <cellStyle name="Note 2 8 2 2 2 2 2" xfId="50395"/>
    <cellStyle name="Note 2 8 2 2 2 2 2 2" xfId="50396"/>
    <cellStyle name="Note 2 8 2 2 2 2 3" xfId="50397"/>
    <cellStyle name="Note 2 8 2 2 2 3" xfId="50398"/>
    <cellStyle name="Note 2 8 2 2 2 3 2" xfId="50399"/>
    <cellStyle name="Note 2 8 2 2 2 4" xfId="50400"/>
    <cellStyle name="Note 2 8 2 2 3" xfId="50401"/>
    <cellStyle name="Note 2 8 2 2 3 2" xfId="50402"/>
    <cellStyle name="Note 2 8 2 2 3 2 2" xfId="50403"/>
    <cellStyle name="Note 2 8 2 2 3 3" xfId="50404"/>
    <cellStyle name="Note 2 8 2 2 4" xfId="50405"/>
    <cellStyle name="Note 2 8 2 2 4 2" xfId="50406"/>
    <cellStyle name="Note 2 8 2 2 5" xfId="50407"/>
    <cellStyle name="Note 2 8 2 3" xfId="50408"/>
    <cellStyle name="Note 2 8 2 3 2" xfId="50409"/>
    <cellStyle name="Note 2 8 2 3 2 2" xfId="50410"/>
    <cellStyle name="Note 2 8 2 3 2 2 2" xfId="50411"/>
    <cellStyle name="Note 2 8 2 3 2 2 2 2" xfId="50412"/>
    <cellStyle name="Note 2 8 2 3 2 2 3" xfId="50413"/>
    <cellStyle name="Note 2 8 2 3 2 3" xfId="50414"/>
    <cellStyle name="Note 2 8 2 3 2 3 2" xfId="50415"/>
    <cellStyle name="Note 2 8 2 3 2 4" xfId="50416"/>
    <cellStyle name="Note 2 8 2 3 3" xfId="50417"/>
    <cellStyle name="Note 2 8 2 3 3 2" xfId="50418"/>
    <cellStyle name="Note 2 8 2 3 3 2 2" xfId="50419"/>
    <cellStyle name="Note 2 8 2 3 3 3" xfId="50420"/>
    <cellStyle name="Note 2 8 2 3 4" xfId="50421"/>
    <cellStyle name="Note 2 8 2 3 4 2" xfId="50422"/>
    <cellStyle name="Note 2 8 2 3 5" xfId="50423"/>
    <cellStyle name="Note 2 8 2 4" xfId="50424"/>
    <cellStyle name="Note 2 8 2 4 2" xfId="50425"/>
    <cellStyle name="Note 2 8 2 4 2 2" xfId="50426"/>
    <cellStyle name="Note 2 8 2 4 2 2 2" xfId="50427"/>
    <cellStyle name="Note 2 8 2 4 2 2 2 2" xfId="50428"/>
    <cellStyle name="Note 2 8 2 4 2 2 3" xfId="50429"/>
    <cellStyle name="Note 2 8 2 4 2 3" xfId="50430"/>
    <cellStyle name="Note 2 8 2 4 2 3 2" xfId="50431"/>
    <cellStyle name="Note 2 8 2 4 2 4" xfId="50432"/>
    <cellStyle name="Note 2 8 2 4 3" xfId="50433"/>
    <cellStyle name="Note 2 8 2 4 3 2" xfId="50434"/>
    <cellStyle name="Note 2 8 2 4 3 2 2" xfId="50435"/>
    <cellStyle name="Note 2 8 2 4 3 3" xfId="50436"/>
    <cellStyle name="Note 2 8 2 4 4" xfId="50437"/>
    <cellStyle name="Note 2 8 2 4 4 2" xfId="50438"/>
    <cellStyle name="Note 2 8 2 4 5" xfId="50439"/>
    <cellStyle name="Note 2 8 2 5" xfId="50440"/>
    <cellStyle name="Note 2 8 2 5 2" xfId="50441"/>
    <cellStyle name="Note 2 8 2 5 2 2" xfId="50442"/>
    <cellStyle name="Note 2 8 2 5 2 2 2" xfId="50443"/>
    <cellStyle name="Note 2 8 2 5 2 2 2 2" xfId="50444"/>
    <cellStyle name="Note 2 8 2 5 2 2 3" xfId="50445"/>
    <cellStyle name="Note 2 8 2 5 2 3" xfId="50446"/>
    <cellStyle name="Note 2 8 2 5 2 3 2" xfId="50447"/>
    <cellStyle name="Note 2 8 2 5 2 4" xfId="50448"/>
    <cellStyle name="Note 2 8 2 5 3" xfId="50449"/>
    <cellStyle name="Note 2 8 2 5 3 2" xfId="50450"/>
    <cellStyle name="Note 2 8 2 5 3 2 2" xfId="50451"/>
    <cellStyle name="Note 2 8 2 5 3 3" xfId="50452"/>
    <cellStyle name="Note 2 8 2 5 4" xfId="50453"/>
    <cellStyle name="Note 2 8 2 5 4 2" xfId="50454"/>
    <cellStyle name="Note 2 8 2 5 5" xfId="50455"/>
    <cellStyle name="Note 2 8 2 6" xfId="50456"/>
    <cellStyle name="Note 2 8 2 6 2" xfId="50457"/>
    <cellStyle name="Note 2 8 2 6 2 2" xfId="50458"/>
    <cellStyle name="Note 2 8 2 6 2 2 2" xfId="50459"/>
    <cellStyle name="Note 2 8 2 6 2 2 2 2" xfId="50460"/>
    <cellStyle name="Note 2 8 2 6 2 2 3" xfId="50461"/>
    <cellStyle name="Note 2 8 2 6 2 3" xfId="50462"/>
    <cellStyle name="Note 2 8 2 6 2 3 2" xfId="50463"/>
    <cellStyle name="Note 2 8 2 6 2 4" xfId="50464"/>
    <cellStyle name="Note 2 8 2 6 3" xfId="50465"/>
    <cellStyle name="Note 2 8 2 6 3 2" xfId="50466"/>
    <cellStyle name="Note 2 8 2 6 3 2 2" xfId="50467"/>
    <cellStyle name="Note 2 8 2 6 3 3" xfId="50468"/>
    <cellStyle name="Note 2 8 2 6 4" xfId="50469"/>
    <cellStyle name="Note 2 8 2 6 4 2" xfId="50470"/>
    <cellStyle name="Note 2 8 2 6 5" xfId="50471"/>
    <cellStyle name="Note 2 8 2 7" xfId="50472"/>
    <cellStyle name="Note 2 8 2 7 2" xfId="50473"/>
    <cellStyle name="Note 2 8 2 7 2 2" xfId="50474"/>
    <cellStyle name="Note 2 8 2 7 2 2 2" xfId="50475"/>
    <cellStyle name="Note 2 8 2 7 2 3" xfId="50476"/>
    <cellStyle name="Note 2 8 2 7 3" xfId="50477"/>
    <cellStyle name="Note 2 8 2 7 3 2" xfId="50478"/>
    <cellStyle name="Note 2 8 2 7 4" xfId="50479"/>
    <cellStyle name="Note 2 8 2 8" xfId="50480"/>
    <cellStyle name="Note 2 8 2 8 2" xfId="50481"/>
    <cellStyle name="Note 2 8 2 8 2 2" xfId="50482"/>
    <cellStyle name="Note 2 8 2 8 3" xfId="50483"/>
    <cellStyle name="Note 2 8 2 9" xfId="50484"/>
    <cellStyle name="Note 2 8 2 9 2" xfId="50485"/>
    <cellStyle name="Note 2 8 3" xfId="50486"/>
    <cellStyle name="Note 2 8 3 2" xfId="50487"/>
    <cellStyle name="Note 2 8 3 2 2" xfId="50488"/>
    <cellStyle name="Note 2 8 3 2 2 2" xfId="50489"/>
    <cellStyle name="Note 2 8 3 2 2 2 2" xfId="50490"/>
    <cellStyle name="Note 2 8 3 2 2 3" xfId="50491"/>
    <cellStyle name="Note 2 8 3 2 3" xfId="50492"/>
    <cellStyle name="Note 2 8 3 2 3 2" xfId="50493"/>
    <cellStyle name="Note 2 8 3 2 4" xfId="50494"/>
    <cellStyle name="Note 2 8 3 3" xfId="50495"/>
    <cellStyle name="Note 2 8 3 3 2" xfId="50496"/>
    <cellStyle name="Note 2 8 3 3 2 2" xfId="50497"/>
    <cellStyle name="Note 2 8 3 3 3" xfId="50498"/>
    <cellStyle name="Note 2 8 3 4" xfId="50499"/>
    <cellStyle name="Note 2 8 3 4 2" xfId="50500"/>
    <cellStyle name="Note 2 8 3 5" xfId="50501"/>
    <cellStyle name="Note 2 8 4" xfId="50502"/>
    <cellStyle name="Note 2 8 4 2" xfId="50503"/>
    <cellStyle name="Note 2 8 4 2 2" xfId="50504"/>
    <cellStyle name="Note 2 8 4 2 2 2" xfId="50505"/>
    <cellStyle name="Note 2 8 4 2 2 2 2" xfId="50506"/>
    <cellStyle name="Note 2 8 4 2 2 3" xfId="50507"/>
    <cellStyle name="Note 2 8 4 2 3" xfId="50508"/>
    <cellStyle name="Note 2 8 4 2 3 2" xfId="50509"/>
    <cellStyle name="Note 2 8 4 2 4" xfId="50510"/>
    <cellStyle name="Note 2 8 4 3" xfId="50511"/>
    <cellStyle name="Note 2 8 4 3 2" xfId="50512"/>
    <cellStyle name="Note 2 8 4 3 2 2" xfId="50513"/>
    <cellStyle name="Note 2 8 4 3 3" xfId="50514"/>
    <cellStyle name="Note 2 8 4 4" xfId="50515"/>
    <cellStyle name="Note 2 8 4 4 2" xfId="50516"/>
    <cellStyle name="Note 2 8 4 5" xfId="50517"/>
    <cellStyle name="Note 2 8 5" xfId="50518"/>
    <cellStyle name="Note 2 8 5 2" xfId="50519"/>
    <cellStyle name="Note 2 8 5 2 2" xfId="50520"/>
    <cellStyle name="Note 2 8 5 2 2 2" xfId="50521"/>
    <cellStyle name="Note 2 8 5 2 2 2 2" xfId="50522"/>
    <cellStyle name="Note 2 8 5 2 2 3" xfId="50523"/>
    <cellStyle name="Note 2 8 5 2 3" xfId="50524"/>
    <cellStyle name="Note 2 8 5 2 3 2" xfId="50525"/>
    <cellStyle name="Note 2 8 5 2 4" xfId="50526"/>
    <cellStyle name="Note 2 8 5 3" xfId="50527"/>
    <cellStyle name="Note 2 8 5 3 2" xfId="50528"/>
    <cellStyle name="Note 2 8 5 3 2 2" xfId="50529"/>
    <cellStyle name="Note 2 8 5 3 3" xfId="50530"/>
    <cellStyle name="Note 2 8 5 4" xfId="50531"/>
    <cellStyle name="Note 2 8 5 4 2" xfId="50532"/>
    <cellStyle name="Note 2 8 5 5" xfId="50533"/>
    <cellStyle name="Note 2 8 6" xfId="50534"/>
    <cellStyle name="Note 2 8 6 2" xfId="50535"/>
    <cellStyle name="Note 2 8 6 2 2" xfId="50536"/>
    <cellStyle name="Note 2 8 6 2 2 2" xfId="50537"/>
    <cellStyle name="Note 2 8 6 2 2 2 2" xfId="50538"/>
    <cellStyle name="Note 2 8 6 2 2 3" xfId="50539"/>
    <cellStyle name="Note 2 8 6 2 3" xfId="50540"/>
    <cellStyle name="Note 2 8 6 2 3 2" xfId="50541"/>
    <cellStyle name="Note 2 8 6 2 4" xfId="50542"/>
    <cellStyle name="Note 2 8 6 3" xfId="50543"/>
    <cellStyle name="Note 2 8 6 3 2" xfId="50544"/>
    <cellStyle name="Note 2 8 6 3 2 2" xfId="50545"/>
    <cellStyle name="Note 2 8 6 3 3" xfId="50546"/>
    <cellStyle name="Note 2 8 6 4" xfId="50547"/>
    <cellStyle name="Note 2 8 6 4 2" xfId="50548"/>
    <cellStyle name="Note 2 8 6 5" xfId="50549"/>
    <cellStyle name="Note 2 8 7" xfId="50550"/>
    <cellStyle name="Note 2 8 7 2" xfId="50551"/>
    <cellStyle name="Note 2 8 7 2 2" xfId="50552"/>
    <cellStyle name="Note 2 8 7 2 2 2" xfId="50553"/>
    <cellStyle name="Note 2 8 7 2 2 2 2" xfId="50554"/>
    <cellStyle name="Note 2 8 7 2 2 3" xfId="50555"/>
    <cellStyle name="Note 2 8 7 2 3" xfId="50556"/>
    <cellStyle name="Note 2 8 7 2 3 2" xfId="50557"/>
    <cellStyle name="Note 2 8 7 2 4" xfId="50558"/>
    <cellStyle name="Note 2 8 7 3" xfId="50559"/>
    <cellStyle name="Note 2 8 7 3 2" xfId="50560"/>
    <cellStyle name="Note 2 8 7 3 2 2" xfId="50561"/>
    <cellStyle name="Note 2 8 7 3 3" xfId="50562"/>
    <cellStyle name="Note 2 8 7 4" xfId="50563"/>
    <cellStyle name="Note 2 8 7 4 2" xfId="50564"/>
    <cellStyle name="Note 2 8 7 5" xfId="50565"/>
    <cellStyle name="Note 2 8 8" xfId="50566"/>
    <cellStyle name="Note 2 8 8 2" xfId="50567"/>
    <cellStyle name="Note 2 8 8 2 2" xfId="50568"/>
    <cellStyle name="Note 2 8 8 2 2 2" xfId="50569"/>
    <cellStyle name="Note 2 8 8 2 3" xfId="50570"/>
    <cellStyle name="Note 2 8 8 3" xfId="50571"/>
    <cellStyle name="Note 2 8 8 3 2" xfId="50572"/>
    <cellStyle name="Note 2 8 8 4" xfId="50573"/>
    <cellStyle name="Note 2 8 9" xfId="50574"/>
    <cellStyle name="Note 2 8 9 2" xfId="50575"/>
    <cellStyle name="Note 2 8 9 2 2" xfId="50576"/>
    <cellStyle name="Note 2 8 9 3" xfId="50577"/>
    <cellStyle name="Note 2 9" xfId="50578"/>
    <cellStyle name="Note 2 9 10" xfId="50579"/>
    <cellStyle name="Note 2 9 10 2" xfId="50580"/>
    <cellStyle name="Note 2 9 11" xfId="50581"/>
    <cellStyle name="Note 2 9 2" xfId="50582"/>
    <cellStyle name="Note 2 9 2 10" xfId="50583"/>
    <cellStyle name="Note 2 9 2 2" xfId="50584"/>
    <cellStyle name="Note 2 9 2 2 2" xfId="50585"/>
    <cellStyle name="Note 2 9 2 2 2 2" xfId="50586"/>
    <cellStyle name="Note 2 9 2 2 2 2 2" xfId="50587"/>
    <cellStyle name="Note 2 9 2 2 2 2 2 2" xfId="50588"/>
    <cellStyle name="Note 2 9 2 2 2 2 3" xfId="50589"/>
    <cellStyle name="Note 2 9 2 2 2 3" xfId="50590"/>
    <cellStyle name="Note 2 9 2 2 2 3 2" xfId="50591"/>
    <cellStyle name="Note 2 9 2 2 2 4" xfId="50592"/>
    <cellStyle name="Note 2 9 2 2 3" xfId="50593"/>
    <cellStyle name="Note 2 9 2 2 3 2" xfId="50594"/>
    <cellStyle name="Note 2 9 2 2 3 2 2" xfId="50595"/>
    <cellStyle name="Note 2 9 2 2 3 3" xfId="50596"/>
    <cellStyle name="Note 2 9 2 2 4" xfId="50597"/>
    <cellStyle name="Note 2 9 2 2 4 2" xfId="50598"/>
    <cellStyle name="Note 2 9 2 2 5" xfId="50599"/>
    <cellStyle name="Note 2 9 2 3" xfId="50600"/>
    <cellStyle name="Note 2 9 2 3 2" xfId="50601"/>
    <cellStyle name="Note 2 9 2 3 2 2" xfId="50602"/>
    <cellStyle name="Note 2 9 2 3 2 2 2" xfId="50603"/>
    <cellStyle name="Note 2 9 2 3 2 2 2 2" xfId="50604"/>
    <cellStyle name="Note 2 9 2 3 2 2 3" xfId="50605"/>
    <cellStyle name="Note 2 9 2 3 2 3" xfId="50606"/>
    <cellStyle name="Note 2 9 2 3 2 3 2" xfId="50607"/>
    <cellStyle name="Note 2 9 2 3 2 4" xfId="50608"/>
    <cellStyle name="Note 2 9 2 3 3" xfId="50609"/>
    <cellStyle name="Note 2 9 2 3 3 2" xfId="50610"/>
    <cellStyle name="Note 2 9 2 3 3 2 2" xfId="50611"/>
    <cellStyle name="Note 2 9 2 3 3 3" xfId="50612"/>
    <cellStyle name="Note 2 9 2 3 4" xfId="50613"/>
    <cellStyle name="Note 2 9 2 3 4 2" xfId="50614"/>
    <cellStyle name="Note 2 9 2 3 5" xfId="50615"/>
    <cellStyle name="Note 2 9 2 4" xfId="50616"/>
    <cellStyle name="Note 2 9 2 4 2" xfId="50617"/>
    <cellStyle name="Note 2 9 2 4 2 2" xfId="50618"/>
    <cellStyle name="Note 2 9 2 4 2 2 2" xfId="50619"/>
    <cellStyle name="Note 2 9 2 4 2 2 2 2" xfId="50620"/>
    <cellStyle name="Note 2 9 2 4 2 2 3" xfId="50621"/>
    <cellStyle name="Note 2 9 2 4 2 3" xfId="50622"/>
    <cellStyle name="Note 2 9 2 4 2 3 2" xfId="50623"/>
    <cellStyle name="Note 2 9 2 4 2 4" xfId="50624"/>
    <cellStyle name="Note 2 9 2 4 3" xfId="50625"/>
    <cellStyle name="Note 2 9 2 4 3 2" xfId="50626"/>
    <cellStyle name="Note 2 9 2 4 3 2 2" xfId="50627"/>
    <cellStyle name="Note 2 9 2 4 3 3" xfId="50628"/>
    <cellStyle name="Note 2 9 2 4 4" xfId="50629"/>
    <cellStyle name="Note 2 9 2 4 4 2" xfId="50630"/>
    <cellStyle name="Note 2 9 2 4 5" xfId="50631"/>
    <cellStyle name="Note 2 9 2 5" xfId="50632"/>
    <cellStyle name="Note 2 9 2 5 2" xfId="50633"/>
    <cellStyle name="Note 2 9 2 5 2 2" xfId="50634"/>
    <cellStyle name="Note 2 9 2 5 2 2 2" xfId="50635"/>
    <cellStyle name="Note 2 9 2 5 2 2 2 2" xfId="50636"/>
    <cellStyle name="Note 2 9 2 5 2 2 3" xfId="50637"/>
    <cellStyle name="Note 2 9 2 5 2 3" xfId="50638"/>
    <cellStyle name="Note 2 9 2 5 2 3 2" xfId="50639"/>
    <cellStyle name="Note 2 9 2 5 2 4" xfId="50640"/>
    <cellStyle name="Note 2 9 2 5 3" xfId="50641"/>
    <cellStyle name="Note 2 9 2 5 3 2" xfId="50642"/>
    <cellStyle name="Note 2 9 2 5 3 2 2" xfId="50643"/>
    <cellStyle name="Note 2 9 2 5 3 3" xfId="50644"/>
    <cellStyle name="Note 2 9 2 5 4" xfId="50645"/>
    <cellStyle name="Note 2 9 2 5 4 2" xfId="50646"/>
    <cellStyle name="Note 2 9 2 5 5" xfId="50647"/>
    <cellStyle name="Note 2 9 2 6" xfId="50648"/>
    <cellStyle name="Note 2 9 2 6 2" xfId="50649"/>
    <cellStyle name="Note 2 9 2 6 2 2" xfId="50650"/>
    <cellStyle name="Note 2 9 2 6 2 2 2" xfId="50651"/>
    <cellStyle name="Note 2 9 2 6 2 2 2 2" xfId="50652"/>
    <cellStyle name="Note 2 9 2 6 2 2 3" xfId="50653"/>
    <cellStyle name="Note 2 9 2 6 2 3" xfId="50654"/>
    <cellStyle name="Note 2 9 2 6 2 3 2" xfId="50655"/>
    <cellStyle name="Note 2 9 2 6 2 4" xfId="50656"/>
    <cellStyle name="Note 2 9 2 6 3" xfId="50657"/>
    <cellStyle name="Note 2 9 2 6 3 2" xfId="50658"/>
    <cellStyle name="Note 2 9 2 6 3 2 2" xfId="50659"/>
    <cellStyle name="Note 2 9 2 6 3 3" xfId="50660"/>
    <cellStyle name="Note 2 9 2 6 4" xfId="50661"/>
    <cellStyle name="Note 2 9 2 6 4 2" xfId="50662"/>
    <cellStyle name="Note 2 9 2 6 5" xfId="50663"/>
    <cellStyle name="Note 2 9 2 7" xfId="50664"/>
    <cellStyle name="Note 2 9 2 7 2" xfId="50665"/>
    <cellStyle name="Note 2 9 2 7 2 2" xfId="50666"/>
    <cellStyle name="Note 2 9 2 7 2 2 2" xfId="50667"/>
    <cellStyle name="Note 2 9 2 7 2 3" xfId="50668"/>
    <cellStyle name="Note 2 9 2 7 3" xfId="50669"/>
    <cellStyle name="Note 2 9 2 7 3 2" xfId="50670"/>
    <cellStyle name="Note 2 9 2 7 4" xfId="50671"/>
    <cellStyle name="Note 2 9 2 8" xfId="50672"/>
    <cellStyle name="Note 2 9 2 8 2" xfId="50673"/>
    <cellStyle name="Note 2 9 2 8 2 2" xfId="50674"/>
    <cellStyle name="Note 2 9 2 8 3" xfId="50675"/>
    <cellStyle name="Note 2 9 2 9" xfId="50676"/>
    <cellStyle name="Note 2 9 2 9 2" xfId="50677"/>
    <cellStyle name="Note 2 9 3" xfId="50678"/>
    <cellStyle name="Note 2 9 3 2" xfId="50679"/>
    <cellStyle name="Note 2 9 3 2 2" xfId="50680"/>
    <cellStyle name="Note 2 9 3 2 2 2" xfId="50681"/>
    <cellStyle name="Note 2 9 3 2 2 2 2" xfId="50682"/>
    <cellStyle name="Note 2 9 3 2 2 3" xfId="50683"/>
    <cellStyle name="Note 2 9 3 2 3" xfId="50684"/>
    <cellStyle name="Note 2 9 3 2 3 2" xfId="50685"/>
    <cellStyle name="Note 2 9 3 2 4" xfId="50686"/>
    <cellStyle name="Note 2 9 3 3" xfId="50687"/>
    <cellStyle name="Note 2 9 3 3 2" xfId="50688"/>
    <cellStyle name="Note 2 9 3 3 2 2" xfId="50689"/>
    <cellStyle name="Note 2 9 3 3 3" xfId="50690"/>
    <cellStyle name="Note 2 9 3 4" xfId="50691"/>
    <cellStyle name="Note 2 9 3 4 2" xfId="50692"/>
    <cellStyle name="Note 2 9 3 5" xfId="50693"/>
    <cellStyle name="Note 2 9 4" xfId="50694"/>
    <cellStyle name="Note 2 9 4 2" xfId="50695"/>
    <cellStyle name="Note 2 9 4 2 2" xfId="50696"/>
    <cellStyle name="Note 2 9 4 2 2 2" xfId="50697"/>
    <cellStyle name="Note 2 9 4 2 2 2 2" xfId="50698"/>
    <cellStyle name="Note 2 9 4 2 2 3" xfId="50699"/>
    <cellStyle name="Note 2 9 4 2 3" xfId="50700"/>
    <cellStyle name="Note 2 9 4 2 3 2" xfId="50701"/>
    <cellStyle name="Note 2 9 4 2 4" xfId="50702"/>
    <cellStyle name="Note 2 9 4 3" xfId="50703"/>
    <cellStyle name="Note 2 9 4 3 2" xfId="50704"/>
    <cellStyle name="Note 2 9 4 3 2 2" xfId="50705"/>
    <cellStyle name="Note 2 9 4 3 3" xfId="50706"/>
    <cellStyle name="Note 2 9 4 4" xfId="50707"/>
    <cellStyle name="Note 2 9 4 4 2" xfId="50708"/>
    <cellStyle name="Note 2 9 4 5" xfId="50709"/>
    <cellStyle name="Note 2 9 5" xfId="50710"/>
    <cellStyle name="Note 2 9 5 2" xfId="50711"/>
    <cellStyle name="Note 2 9 5 2 2" xfId="50712"/>
    <cellStyle name="Note 2 9 5 2 2 2" xfId="50713"/>
    <cellStyle name="Note 2 9 5 2 2 2 2" xfId="50714"/>
    <cellStyle name="Note 2 9 5 2 2 3" xfId="50715"/>
    <cellStyle name="Note 2 9 5 2 3" xfId="50716"/>
    <cellStyle name="Note 2 9 5 2 3 2" xfId="50717"/>
    <cellStyle name="Note 2 9 5 2 4" xfId="50718"/>
    <cellStyle name="Note 2 9 5 3" xfId="50719"/>
    <cellStyle name="Note 2 9 5 3 2" xfId="50720"/>
    <cellStyle name="Note 2 9 5 3 2 2" xfId="50721"/>
    <cellStyle name="Note 2 9 5 3 3" xfId="50722"/>
    <cellStyle name="Note 2 9 5 4" xfId="50723"/>
    <cellStyle name="Note 2 9 5 4 2" xfId="50724"/>
    <cellStyle name="Note 2 9 5 5" xfId="50725"/>
    <cellStyle name="Note 2 9 6" xfId="50726"/>
    <cellStyle name="Note 2 9 6 2" xfId="50727"/>
    <cellStyle name="Note 2 9 6 2 2" xfId="50728"/>
    <cellStyle name="Note 2 9 6 2 2 2" xfId="50729"/>
    <cellStyle name="Note 2 9 6 2 2 2 2" xfId="50730"/>
    <cellStyle name="Note 2 9 6 2 2 3" xfId="50731"/>
    <cellStyle name="Note 2 9 6 2 3" xfId="50732"/>
    <cellStyle name="Note 2 9 6 2 3 2" xfId="50733"/>
    <cellStyle name="Note 2 9 6 2 4" xfId="50734"/>
    <cellStyle name="Note 2 9 6 3" xfId="50735"/>
    <cellStyle name="Note 2 9 6 3 2" xfId="50736"/>
    <cellStyle name="Note 2 9 6 3 2 2" xfId="50737"/>
    <cellStyle name="Note 2 9 6 3 3" xfId="50738"/>
    <cellStyle name="Note 2 9 6 4" xfId="50739"/>
    <cellStyle name="Note 2 9 6 4 2" xfId="50740"/>
    <cellStyle name="Note 2 9 6 5" xfId="50741"/>
    <cellStyle name="Note 2 9 7" xfId="50742"/>
    <cellStyle name="Note 2 9 7 2" xfId="50743"/>
    <cellStyle name="Note 2 9 7 2 2" xfId="50744"/>
    <cellStyle name="Note 2 9 7 2 2 2" xfId="50745"/>
    <cellStyle name="Note 2 9 7 2 2 2 2" xfId="50746"/>
    <cellStyle name="Note 2 9 7 2 2 3" xfId="50747"/>
    <cellStyle name="Note 2 9 7 2 3" xfId="50748"/>
    <cellStyle name="Note 2 9 7 2 3 2" xfId="50749"/>
    <cellStyle name="Note 2 9 7 2 4" xfId="50750"/>
    <cellStyle name="Note 2 9 7 3" xfId="50751"/>
    <cellStyle name="Note 2 9 7 3 2" xfId="50752"/>
    <cellStyle name="Note 2 9 7 3 2 2" xfId="50753"/>
    <cellStyle name="Note 2 9 7 3 3" xfId="50754"/>
    <cellStyle name="Note 2 9 7 4" xfId="50755"/>
    <cellStyle name="Note 2 9 7 4 2" xfId="50756"/>
    <cellStyle name="Note 2 9 7 5" xfId="50757"/>
    <cellStyle name="Note 2 9 8" xfId="50758"/>
    <cellStyle name="Note 2 9 8 2" xfId="50759"/>
    <cellStyle name="Note 2 9 8 2 2" xfId="50760"/>
    <cellStyle name="Note 2 9 8 2 2 2" xfId="50761"/>
    <cellStyle name="Note 2 9 8 2 3" xfId="50762"/>
    <cellStyle name="Note 2 9 8 3" xfId="50763"/>
    <cellStyle name="Note 2 9 8 3 2" xfId="50764"/>
    <cellStyle name="Note 2 9 8 4" xfId="50765"/>
    <cellStyle name="Note 2 9 9" xfId="50766"/>
    <cellStyle name="Note 2 9 9 2" xfId="50767"/>
    <cellStyle name="Note 2 9 9 2 2" xfId="50768"/>
    <cellStyle name="Note 2 9 9 3" xfId="50769"/>
    <cellStyle name="Note 3" xfId="50770"/>
    <cellStyle name="Note 3 10" xfId="50771"/>
    <cellStyle name="Note 3 10 10" xfId="50772"/>
    <cellStyle name="Note 3 10 2" xfId="50773"/>
    <cellStyle name="Note 3 10 2 2" xfId="50774"/>
    <cellStyle name="Note 3 10 2 2 2" xfId="50775"/>
    <cellStyle name="Note 3 10 2 2 2 2" xfId="50776"/>
    <cellStyle name="Note 3 10 2 2 2 2 2" xfId="50777"/>
    <cellStyle name="Note 3 10 2 2 2 3" xfId="50778"/>
    <cellStyle name="Note 3 10 2 2 3" xfId="50779"/>
    <cellStyle name="Note 3 10 2 2 3 2" xfId="50780"/>
    <cellStyle name="Note 3 10 2 2 4" xfId="50781"/>
    <cellStyle name="Note 3 10 2 3" xfId="50782"/>
    <cellStyle name="Note 3 10 2 3 2" xfId="50783"/>
    <cellStyle name="Note 3 10 2 3 2 2" xfId="50784"/>
    <cellStyle name="Note 3 10 2 3 3" xfId="50785"/>
    <cellStyle name="Note 3 10 2 4" xfId="50786"/>
    <cellStyle name="Note 3 10 2 4 2" xfId="50787"/>
    <cellStyle name="Note 3 10 2 5" xfId="50788"/>
    <cellStyle name="Note 3 10 3" xfId="50789"/>
    <cellStyle name="Note 3 10 3 2" xfId="50790"/>
    <cellStyle name="Note 3 10 3 2 2" xfId="50791"/>
    <cellStyle name="Note 3 10 3 2 2 2" xfId="50792"/>
    <cellStyle name="Note 3 10 3 2 2 2 2" xfId="50793"/>
    <cellStyle name="Note 3 10 3 2 2 3" xfId="50794"/>
    <cellStyle name="Note 3 10 3 2 3" xfId="50795"/>
    <cellStyle name="Note 3 10 3 2 3 2" xfId="50796"/>
    <cellStyle name="Note 3 10 3 2 4" xfId="50797"/>
    <cellStyle name="Note 3 10 3 3" xfId="50798"/>
    <cellStyle name="Note 3 10 3 3 2" xfId="50799"/>
    <cellStyle name="Note 3 10 3 3 2 2" xfId="50800"/>
    <cellStyle name="Note 3 10 3 3 3" xfId="50801"/>
    <cellStyle name="Note 3 10 3 4" xfId="50802"/>
    <cellStyle name="Note 3 10 3 4 2" xfId="50803"/>
    <cellStyle name="Note 3 10 3 5" xfId="50804"/>
    <cellStyle name="Note 3 10 4" xfId="50805"/>
    <cellStyle name="Note 3 10 4 2" xfId="50806"/>
    <cellStyle name="Note 3 10 4 2 2" xfId="50807"/>
    <cellStyle name="Note 3 10 4 2 2 2" xfId="50808"/>
    <cellStyle name="Note 3 10 4 2 2 2 2" xfId="50809"/>
    <cellStyle name="Note 3 10 4 2 2 3" xfId="50810"/>
    <cellStyle name="Note 3 10 4 2 3" xfId="50811"/>
    <cellStyle name="Note 3 10 4 2 3 2" xfId="50812"/>
    <cellStyle name="Note 3 10 4 2 4" xfId="50813"/>
    <cellStyle name="Note 3 10 4 3" xfId="50814"/>
    <cellStyle name="Note 3 10 4 3 2" xfId="50815"/>
    <cellStyle name="Note 3 10 4 3 2 2" xfId="50816"/>
    <cellStyle name="Note 3 10 4 3 3" xfId="50817"/>
    <cellStyle name="Note 3 10 4 4" xfId="50818"/>
    <cellStyle name="Note 3 10 4 4 2" xfId="50819"/>
    <cellStyle name="Note 3 10 4 5" xfId="50820"/>
    <cellStyle name="Note 3 10 5" xfId="50821"/>
    <cellStyle name="Note 3 10 5 2" xfId="50822"/>
    <cellStyle name="Note 3 10 5 2 2" xfId="50823"/>
    <cellStyle name="Note 3 10 5 2 2 2" xfId="50824"/>
    <cellStyle name="Note 3 10 5 2 2 2 2" xfId="50825"/>
    <cellStyle name="Note 3 10 5 2 2 3" xfId="50826"/>
    <cellStyle name="Note 3 10 5 2 3" xfId="50827"/>
    <cellStyle name="Note 3 10 5 2 3 2" xfId="50828"/>
    <cellStyle name="Note 3 10 5 2 4" xfId="50829"/>
    <cellStyle name="Note 3 10 5 3" xfId="50830"/>
    <cellStyle name="Note 3 10 5 3 2" xfId="50831"/>
    <cellStyle name="Note 3 10 5 3 2 2" xfId="50832"/>
    <cellStyle name="Note 3 10 5 3 3" xfId="50833"/>
    <cellStyle name="Note 3 10 5 4" xfId="50834"/>
    <cellStyle name="Note 3 10 5 4 2" xfId="50835"/>
    <cellStyle name="Note 3 10 5 5" xfId="50836"/>
    <cellStyle name="Note 3 10 6" xfId="50837"/>
    <cellStyle name="Note 3 10 6 2" xfId="50838"/>
    <cellStyle name="Note 3 10 6 2 2" xfId="50839"/>
    <cellStyle name="Note 3 10 6 2 2 2" xfId="50840"/>
    <cellStyle name="Note 3 10 6 2 2 2 2" xfId="50841"/>
    <cellStyle name="Note 3 10 6 2 2 3" xfId="50842"/>
    <cellStyle name="Note 3 10 6 2 3" xfId="50843"/>
    <cellStyle name="Note 3 10 6 2 3 2" xfId="50844"/>
    <cellStyle name="Note 3 10 6 2 4" xfId="50845"/>
    <cellStyle name="Note 3 10 6 3" xfId="50846"/>
    <cellStyle name="Note 3 10 6 3 2" xfId="50847"/>
    <cellStyle name="Note 3 10 6 3 2 2" xfId="50848"/>
    <cellStyle name="Note 3 10 6 3 3" xfId="50849"/>
    <cellStyle name="Note 3 10 6 4" xfId="50850"/>
    <cellStyle name="Note 3 10 6 4 2" xfId="50851"/>
    <cellStyle name="Note 3 10 6 5" xfId="50852"/>
    <cellStyle name="Note 3 10 7" xfId="50853"/>
    <cellStyle name="Note 3 10 7 2" xfId="50854"/>
    <cellStyle name="Note 3 10 7 2 2" xfId="50855"/>
    <cellStyle name="Note 3 10 7 2 2 2" xfId="50856"/>
    <cellStyle name="Note 3 10 7 2 3" xfId="50857"/>
    <cellStyle name="Note 3 10 7 3" xfId="50858"/>
    <cellStyle name="Note 3 10 7 3 2" xfId="50859"/>
    <cellStyle name="Note 3 10 7 4" xfId="50860"/>
    <cellStyle name="Note 3 10 8" xfId="50861"/>
    <cellStyle name="Note 3 10 8 2" xfId="50862"/>
    <cellStyle name="Note 3 10 8 2 2" xfId="50863"/>
    <cellStyle name="Note 3 10 8 3" xfId="50864"/>
    <cellStyle name="Note 3 10 9" xfId="50865"/>
    <cellStyle name="Note 3 10 9 2" xfId="50866"/>
    <cellStyle name="Note 3 11" xfId="50867"/>
    <cellStyle name="Note 3 11 2" xfId="50868"/>
    <cellStyle name="Note 3 11 2 2" xfId="50869"/>
    <cellStyle name="Note 3 11 2 2 2" xfId="50870"/>
    <cellStyle name="Note 3 11 2 2 2 2" xfId="50871"/>
    <cellStyle name="Note 3 11 2 2 3" xfId="50872"/>
    <cellStyle name="Note 3 11 2 3" xfId="50873"/>
    <cellStyle name="Note 3 11 2 3 2" xfId="50874"/>
    <cellStyle name="Note 3 11 2 4" xfId="50875"/>
    <cellStyle name="Note 3 11 3" xfId="50876"/>
    <cellStyle name="Note 3 11 3 2" xfId="50877"/>
    <cellStyle name="Note 3 11 3 2 2" xfId="50878"/>
    <cellStyle name="Note 3 11 3 3" xfId="50879"/>
    <cellStyle name="Note 3 11 4" xfId="50880"/>
    <cellStyle name="Note 3 11 4 2" xfId="50881"/>
    <cellStyle name="Note 3 11 5" xfId="50882"/>
    <cellStyle name="Note 3 12" xfId="50883"/>
    <cellStyle name="Note 3 12 2" xfId="50884"/>
    <cellStyle name="Note 3 12 2 2" xfId="50885"/>
    <cellStyle name="Note 3 12 2 2 2" xfId="50886"/>
    <cellStyle name="Note 3 12 2 2 2 2" xfId="50887"/>
    <cellStyle name="Note 3 12 2 2 3" xfId="50888"/>
    <cellStyle name="Note 3 12 2 3" xfId="50889"/>
    <cellStyle name="Note 3 12 2 3 2" xfId="50890"/>
    <cellStyle name="Note 3 12 2 4" xfId="50891"/>
    <cellStyle name="Note 3 12 3" xfId="50892"/>
    <cellStyle name="Note 3 12 3 2" xfId="50893"/>
    <cellStyle name="Note 3 12 3 2 2" xfId="50894"/>
    <cellStyle name="Note 3 12 3 3" xfId="50895"/>
    <cellStyle name="Note 3 12 4" xfId="50896"/>
    <cellStyle name="Note 3 12 4 2" xfId="50897"/>
    <cellStyle name="Note 3 12 5" xfId="50898"/>
    <cellStyle name="Note 3 13" xfId="50899"/>
    <cellStyle name="Note 3 13 2" xfId="50900"/>
    <cellStyle name="Note 3 13 2 2" xfId="50901"/>
    <cellStyle name="Note 3 13 2 2 2" xfId="50902"/>
    <cellStyle name="Note 3 13 2 2 2 2" xfId="50903"/>
    <cellStyle name="Note 3 13 2 2 3" xfId="50904"/>
    <cellStyle name="Note 3 13 2 3" xfId="50905"/>
    <cellStyle name="Note 3 13 2 3 2" xfId="50906"/>
    <cellStyle name="Note 3 13 2 4" xfId="50907"/>
    <cellStyle name="Note 3 13 3" xfId="50908"/>
    <cellStyle name="Note 3 13 3 2" xfId="50909"/>
    <cellStyle name="Note 3 13 3 2 2" xfId="50910"/>
    <cellStyle name="Note 3 13 3 3" xfId="50911"/>
    <cellStyle name="Note 3 13 4" xfId="50912"/>
    <cellStyle name="Note 3 13 4 2" xfId="50913"/>
    <cellStyle name="Note 3 13 5" xfId="50914"/>
    <cellStyle name="Note 3 14" xfId="50915"/>
    <cellStyle name="Note 3 14 2" xfId="50916"/>
    <cellStyle name="Note 3 14 2 2" xfId="50917"/>
    <cellStyle name="Note 3 14 2 2 2" xfId="50918"/>
    <cellStyle name="Note 3 14 2 2 2 2" xfId="50919"/>
    <cellStyle name="Note 3 14 2 2 3" xfId="50920"/>
    <cellStyle name="Note 3 14 2 3" xfId="50921"/>
    <cellStyle name="Note 3 14 2 3 2" xfId="50922"/>
    <cellStyle name="Note 3 14 2 4" xfId="50923"/>
    <cellStyle name="Note 3 14 3" xfId="50924"/>
    <cellStyle name="Note 3 14 3 2" xfId="50925"/>
    <cellStyle name="Note 3 14 3 2 2" xfId="50926"/>
    <cellStyle name="Note 3 14 3 3" xfId="50927"/>
    <cellStyle name="Note 3 14 4" xfId="50928"/>
    <cellStyle name="Note 3 14 4 2" xfId="50929"/>
    <cellStyle name="Note 3 14 5" xfId="50930"/>
    <cellStyle name="Note 3 15" xfId="50931"/>
    <cellStyle name="Note 3 15 2" xfId="50932"/>
    <cellStyle name="Note 3 15 2 2" xfId="50933"/>
    <cellStyle name="Note 3 15 2 2 2" xfId="50934"/>
    <cellStyle name="Note 3 15 2 2 2 2" xfId="50935"/>
    <cellStyle name="Note 3 15 2 2 3" xfId="50936"/>
    <cellStyle name="Note 3 15 2 3" xfId="50937"/>
    <cellStyle name="Note 3 15 2 3 2" xfId="50938"/>
    <cellStyle name="Note 3 15 2 4" xfId="50939"/>
    <cellStyle name="Note 3 15 3" xfId="50940"/>
    <cellStyle name="Note 3 15 3 2" xfId="50941"/>
    <cellStyle name="Note 3 15 3 2 2" xfId="50942"/>
    <cellStyle name="Note 3 15 3 3" xfId="50943"/>
    <cellStyle name="Note 3 15 4" xfId="50944"/>
    <cellStyle name="Note 3 15 4 2" xfId="50945"/>
    <cellStyle name="Note 3 15 5" xfId="50946"/>
    <cellStyle name="Note 3 16" xfId="50947"/>
    <cellStyle name="Note 3 16 2" xfId="50948"/>
    <cellStyle name="Note 3 16 2 2" xfId="50949"/>
    <cellStyle name="Note 3 16 2 2 2" xfId="50950"/>
    <cellStyle name="Note 3 16 2 3" xfId="50951"/>
    <cellStyle name="Note 3 16 3" xfId="50952"/>
    <cellStyle name="Note 3 16 3 2" xfId="50953"/>
    <cellStyle name="Note 3 16 4" xfId="50954"/>
    <cellStyle name="Note 3 17" xfId="50955"/>
    <cellStyle name="Note 3 17 2" xfId="50956"/>
    <cellStyle name="Note 3 17 2 2" xfId="50957"/>
    <cellStyle name="Note 3 17 3" xfId="50958"/>
    <cellStyle name="Note 3 18" xfId="50959"/>
    <cellStyle name="Note 3 18 2" xfId="50960"/>
    <cellStyle name="Note 3 19" xfId="50961"/>
    <cellStyle name="Note 3 2" xfId="50962"/>
    <cellStyle name="Note 3 2 10" xfId="50963"/>
    <cellStyle name="Note 3 2 10 2" xfId="50964"/>
    <cellStyle name="Note 3 2 11" xfId="50965"/>
    <cellStyle name="Note 3 2 2" xfId="50966"/>
    <cellStyle name="Note 3 2 2 10" xfId="50967"/>
    <cellStyle name="Note 3 2 2 2" xfId="50968"/>
    <cellStyle name="Note 3 2 2 2 2" xfId="50969"/>
    <cellStyle name="Note 3 2 2 2 2 2" xfId="50970"/>
    <cellStyle name="Note 3 2 2 2 2 2 2" xfId="50971"/>
    <cellStyle name="Note 3 2 2 2 2 2 2 2" xfId="50972"/>
    <cellStyle name="Note 3 2 2 2 2 2 3" xfId="50973"/>
    <cellStyle name="Note 3 2 2 2 2 3" xfId="50974"/>
    <cellStyle name="Note 3 2 2 2 2 3 2" xfId="50975"/>
    <cellStyle name="Note 3 2 2 2 2 4" xfId="50976"/>
    <cellStyle name="Note 3 2 2 2 3" xfId="50977"/>
    <cellStyle name="Note 3 2 2 2 3 2" xfId="50978"/>
    <cellStyle name="Note 3 2 2 2 3 2 2" xfId="50979"/>
    <cellStyle name="Note 3 2 2 2 3 3" xfId="50980"/>
    <cellStyle name="Note 3 2 2 2 4" xfId="50981"/>
    <cellStyle name="Note 3 2 2 2 4 2" xfId="50982"/>
    <cellStyle name="Note 3 2 2 2 5" xfId="50983"/>
    <cellStyle name="Note 3 2 2 3" xfId="50984"/>
    <cellStyle name="Note 3 2 2 3 2" xfId="50985"/>
    <cellStyle name="Note 3 2 2 3 2 2" xfId="50986"/>
    <cellStyle name="Note 3 2 2 3 2 2 2" xfId="50987"/>
    <cellStyle name="Note 3 2 2 3 2 2 2 2" xfId="50988"/>
    <cellStyle name="Note 3 2 2 3 2 2 3" xfId="50989"/>
    <cellStyle name="Note 3 2 2 3 2 3" xfId="50990"/>
    <cellStyle name="Note 3 2 2 3 2 3 2" xfId="50991"/>
    <cellStyle name="Note 3 2 2 3 2 4" xfId="50992"/>
    <cellStyle name="Note 3 2 2 3 3" xfId="50993"/>
    <cellStyle name="Note 3 2 2 3 3 2" xfId="50994"/>
    <cellStyle name="Note 3 2 2 3 3 2 2" xfId="50995"/>
    <cellStyle name="Note 3 2 2 3 3 3" xfId="50996"/>
    <cellStyle name="Note 3 2 2 3 4" xfId="50997"/>
    <cellStyle name="Note 3 2 2 3 4 2" xfId="50998"/>
    <cellStyle name="Note 3 2 2 3 5" xfId="50999"/>
    <cellStyle name="Note 3 2 2 4" xfId="51000"/>
    <cellStyle name="Note 3 2 2 4 2" xfId="51001"/>
    <cellStyle name="Note 3 2 2 4 2 2" xfId="51002"/>
    <cellStyle name="Note 3 2 2 4 2 2 2" xfId="51003"/>
    <cellStyle name="Note 3 2 2 4 2 2 2 2" xfId="51004"/>
    <cellStyle name="Note 3 2 2 4 2 2 3" xfId="51005"/>
    <cellStyle name="Note 3 2 2 4 2 3" xfId="51006"/>
    <cellStyle name="Note 3 2 2 4 2 3 2" xfId="51007"/>
    <cellStyle name="Note 3 2 2 4 2 4" xfId="51008"/>
    <cellStyle name="Note 3 2 2 4 3" xfId="51009"/>
    <cellStyle name="Note 3 2 2 4 3 2" xfId="51010"/>
    <cellStyle name="Note 3 2 2 4 3 2 2" xfId="51011"/>
    <cellStyle name="Note 3 2 2 4 3 3" xfId="51012"/>
    <cellStyle name="Note 3 2 2 4 4" xfId="51013"/>
    <cellStyle name="Note 3 2 2 4 4 2" xfId="51014"/>
    <cellStyle name="Note 3 2 2 4 5" xfId="51015"/>
    <cellStyle name="Note 3 2 2 5" xfId="51016"/>
    <cellStyle name="Note 3 2 2 5 2" xfId="51017"/>
    <cellStyle name="Note 3 2 2 5 2 2" xfId="51018"/>
    <cellStyle name="Note 3 2 2 5 2 2 2" xfId="51019"/>
    <cellStyle name="Note 3 2 2 5 2 2 2 2" xfId="51020"/>
    <cellStyle name="Note 3 2 2 5 2 2 3" xfId="51021"/>
    <cellStyle name="Note 3 2 2 5 2 3" xfId="51022"/>
    <cellStyle name="Note 3 2 2 5 2 3 2" xfId="51023"/>
    <cellStyle name="Note 3 2 2 5 2 4" xfId="51024"/>
    <cellStyle name="Note 3 2 2 5 3" xfId="51025"/>
    <cellStyle name="Note 3 2 2 5 3 2" xfId="51026"/>
    <cellStyle name="Note 3 2 2 5 3 2 2" xfId="51027"/>
    <cellStyle name="Note 3 2 2 5 3 3" xfId="51028"/>
    <cellStyle name="Note 3 2 2 5 4" xfId="51029"/>
    <cellStyle name="Note 3 2 2 5 4 2" xfId="51030"/>
    <cellStyle name="Note 3 2 2 5 5" xfId="51031"/>
    <cellStyle name="Note 3 2 2 6" xfId="51032"/>
    <cellStyle name="Note 3 2 2 6 2" xfId="51033"/>
    <cellStyle name="Note 3 2 2 6 2 2" xfId="51034"/>
    <cellStyle name="Note 3 2 2 6 2 2 2" xfId="51035"/>
    <cellStyle name="Note 3 2 2 6 2 2 2 2" xfId="51036"/>
    <cellStyle name="Note 3 2 2 6 2 2 3" xfId="51037"/>
    <cellStyle name="Note 3 2 2 6 2 3" xfId="51038"/>
    <cellStyle name="Note 3 2 2 6 2 3 2" xfId="51039"/>
    <cellStyle name="Note 3 2 2 6 2 4" xfId="51040"/>
    <cellStyle name="Note 3 2 2 6 3" xfId="51041"/>
    <cellStyle name="Note 3 2 2 6 3 2" xfId="51042"/>
    <cellStyle name="Note 3 2 2 6 3 2 2" xfId="51043"/>
    <cellStyle name="Note 3 2 2 6 3 3" xfId="51044"/>
    <cellStyle name="Note 3 2 2 6 4" xfId="51045"/>
    <cellStyle name="Note 3 2 2 6 4 2" xfId="51046"/>
    <cellStyle name="Note 3 2 2 6 5" xfId="51047"/>
    <cellStyle name="Note 3 2 2 7" xfId="51048"/>
    <cellStyle name="Note 3 2 2 7 2" xfId="51049"/>
    <cellStyle name="Note 3 2 2 7 2 2" xfId="51050"/>
    <cellStyle name="Note 3 2 2 7 2 2 2" xfId="51051"/>
    <cellStyle name="Note 3 2 2 7 2 3" xfId="51052"/>
    <cellStyle name="Note 3 2 2 7 3" xfId="51053"/>
    <cellStyle name="Note 3 2 2 7 3 2" xfId="51054"/>
    <cellStyle name="Note 3 2 2 7 4" xfId="51055"/>
    <cellStyle name="Note 3 2 2 8" xfId="51056"/>
    <cellStyle name="Note 3 2 2 8 2" xfId="51057"/>
    <cellStyle name="Note 3 2 2 8 2 2" xfId="51058"/>
    <cellStyle name="Note 3 2 2 8 3" xfId="51059"/>
    <cellStyle name="Note 3 2 2 9" xfId="51060"/>
    <cellStyle name="Note 3 2 2 9 2" xfId="51061"/>
    <cellStyle name="Note 3 2 3" xfId="51062"/>
    <cellStyle name="Note 3 2 3 2" xfId="51063"/>
    <cellStyle name="Note 3 2 3 2 2" xfId="51064"/>
    <cellStyle name="Note 3 2 3 2 2 2" xfId="51065"/>
    <cellStyle name="Note 3 2 3 2 2 2 2" xfId="51066"/>
    <cellStyle name="Note 3 2 3 2 2 3" xfId="51067"/>
    <cellStyle name="Note 3 2 3 2 3" xfId="51068"/>
    <cellStyle name="Note 3 2 3 2 3 2" xfId="51069"/>
    <cellStyle name="Note 3 2 3 2 4" xfId="51070"/>
    <cellStyle name="Note 3 2 3 3" xfId="51071"/>
    <cellStyle name="Note 3 2 3 3 2" xfId="51072"/>
    <cellStyle name="Note 3 2 3 3 2 2" xfId="51073"/>
    <cellStyle name="Note 3 2 3 3 3" xfId="51074"/>
    <cellStyle name="Note 3 2 3 4" xfId="51075"/>
    <cellStyle name="Note 3 2 3 4 2" xfId="51076"/>
    <cellStyle name="Note 3 2 3 5" xfId="51077"/>
    <cellStyle name="Note 3 2 4" xfId="51078"/>
    <cellStyle name="Note 3 2 4 2" xfId="51079"/>
    <cellStyle name="Note 3 2 4 2 2" xfId="51080"/>
    <cellStyle name="Note 3 2 4 2 2 2" xfId="51081"/>
    <cellStyle name="Note 3 2 4 2 2 2 2" xfId="51082"/>
    <cellStyle name="Note 3 2 4 2 2 3" xfId="51083"/>
    <cellStyle name="Note 3 2 4 2 3" xfId="51084"/>
    <cellStyle name="Note 3 2 4 2 3 2" xfId="51085"/>
    <cellStyle name="Note 3 2 4 2 4" xfId="51086"/>
    <cellStyle name="Note 3 2 4 3" xfId="51087"/>
    <cellStyle name="Note 3 2 4 3 2" xfId="51088"/>
    <cellStyle name="Note 3 2 4 3 2 2" xfId="51089"/>
    <cellStyle name="Note 3 2 4 3 3" xfId="51090"/>
    <cellStyle name="Note 3 2 4 4" xfId="51091"/>
    <cellStyle name="Note 3 2 4 4 2" xfId="51092"/>
    <cellStyle name="Note 3 2 4 5" xfId="51093"/>
    <cellStyle name="Note 3 2 5" xfId="51094"/>
    <cellStyle name="Note 3 2 5 2" xfId="51095"/>
    <cellStyle name="Note 3 2 5 2 2" xfId="51096"/>
    <cellStyle name="Note 3 2 5 2 2 2" xfId="51097"/>
    <cellStyle name="Note 3 2 5 2 2 2 2" xfId="51098"/>
    <cellStyle name="Note 3 2 5 2 2 3" xfId="51099"/>
    <cellStyle name="Note 3 2 5 2 3" xfId="51100"/>
    <cellStyle name="Note 3 2 5 2 3 2" xfId="51101"/>
    <cellStyle name="Note 3 2 5 2 4" xfId="51102"/>
    <cellStyle name="Note 3 2 5 3" xfId="51103"/>
    <cellStyle name="Note 3 2 5 3 2" xfId="51104"/>
    <cellStyle name="Note 3 2 5 3 2 2" xfId="51105"/>
    <cellStyle name="Note 3 2 5 3 3" xfId="51106"/>
    <cellStyle name="Note 3 2 5 4" xfId="51107"/>
    <cellStyle name="Note 3 2 5 4 2" xfId="51108"/>
    <cellStyle name="Note 3 2 5 5" xfId="51109"/>
    <cellStyle name="Note 3 2 6" xfId="51110"/>
    <cellStyle name="Note 3 2 6 2" xfId="51111"/>
    <cellStyle name="Note 3 2 6 2 2" xfId="51112"/>
    <cellStyle name="Note 3 2 6 2 2 2" xfId="51113"/>
    <cellStyle name="Note 3 2 6 2 2 2 2" xfId="51114"/>
    <cellStyle name="Note 3 2 6 2 2 3" xfId="51115"/>
    <cellStyle name="Note 3 2 6 2 3" xfId="51116"/>
    <cellStyle name="Note 3 2 6 2 3 2" xfId="51117"/>
    <cellStyle name="Note 3 2 6 2 4" xfId="51118"/>
    <cellStyle name="Note 3 2 6 3" xfId="51119"/>
    <cellStyle name="Note 3 2 6 3 2" xfId="51120"/>
    <cellStyle name="Note 3 2 6 3 2 2" xfId="51121"/>
    <cellStyle name="Note 3 2 6 3 3" xfId="51122"/>
    <cellStyle name="Note 3 2 6 4" xfId="51123"/>
    <cellStyle name="Note 3 2 6 4 2" xfId="51124"/>
    <cellStyle name="Note 3 2 6 5" xfId="51125"/>
    <cellStyle name="Note 3 2 7" xfId="51126"/>
    <cellStyle name="Note 3 2 7 2" xfId="51127"/>
    <cellStyle name="Note 3 2 7 2 2" xfId="51128"/>
    <cellStyle name="Note 3 2 7 2 2 2" xfId="51129"/>
    <cellStyle name="Note 3 2 7 2 2 2 2" xfId="51130"/>
    <cellStyle name="Note 3 2 7 2 2 3" xfId="51131"/>
    <cellStyle name="Note 3 2 7 2 3" xfId="51132"/>
    <cellStyle name="Note 3 2 7 2 3 2" xfId="51133"/>
    <cellStyle name="Note 3 2 7 2 4" xfId="51134"/>
    <cellStyle name="Note 3 2 7 3" xfId="51135"/>
    <cellStyle name="Note 3 2 7 3 2" xfId="51136"/>
    <cellStyle name="Note 3 2 7 3 2 2" xfId="51137"/>
    <cellStyle name="Note 3 2 7 3 3" xfId="51138"/>
    <cellStyle name="Note 3 2 7 4" xfId="51139"/>
    <cellStyle name="Note 3 2 7 4 2" xfId="51140"/>
    <cellStyle name="Note 3 2 7 5" xfId="51141"/>
    <cellStyle name="Note 3 2 8" xfId="51142"/>
    <cellStyle name="Note 3 2 8 2" xfId="51143"/>
    <cellStyle name="Note 3 2 8 2 2" xfId="51144"/>
    <cellStyle name="Note 3 2 8 2 2 2" xfId="51145"/>
    <cellStyle name="Note 3 2 8 2 3" xfId="51146"/>
    <cellStyle name="Note 3 2 8 3" xfId="51147"/>
    <cellStyle name="Note 3 2 8 3 2" xfId="51148"/>
    <cellStyle name="Note 3 2 8 4" xfId="51149"/>
    <cellStyle name="Note 3 2 9" xfId="51150"/>
    <cellStyle name="Note 3 2 9 2" xfId="51151"/>
    <cellStyle name="Note 3 2 9 2 2" xfId="51152"/>
    <cellStyle name="Note 3 2 9 3" xfId="51153"/>
    <cellStyle name="Note 3 3" xfId="51154"/>
    <cellStyle name="Note 3 3 10" xfId="51155"/>
    <cellStyle name="Note 3 3 10 2" xfId="51156"/>
    <cellStyle name="Note 3 3 11" xfId="51157"/>
    <cellStyle name="Note 3 3 2" xfId="51158"/>
    <cellStyle name="Note 3 3 2 10" xfId="51159"/>
    <cellStyle name="Note 3 3 2 2" xfId="51160"/>
    <cellStyle name="Note 3 3 2 2 2" xfId="51161"/>
    <cellStyle name="Note 3 3 2 2 2 2" xfId="51162"/>
    <cellStyle name="Note 3 3 2 2 2 2 2" xfId="51163"/>
    <cellStyle name="Note 3 3 2 2 2 2 2 2" xfId="51164"/>
    <cellStyle name="Note 3 3 2 2 2 2 3" xfId="51165"/>
    <cellStyle name="Note 3 3 2 2 2 3" xfId="51166"/>
    <cellStyle name="Note 3 3 2 2 2 3 2" xfId="51167"/>
    <cellStyle name="Note 3 3 2 2 2 4" xfId="51168"/>
    <cellStyle name="Note 3 3 2 2 3" xfId="51169"/>
    <cellStyle name="Note 3 3 2 2 3 2" xfId="51170"/>
    <cellStyle name="Note 3 3 2 2 3 2 2" xfId="51171"/>
    <cellStyle name="Note 3 3 2 2 3 3" xfId="51172"/>
    <cellStyle name="Note 3 3 2 2 4" xfId="51173"/>
    <cellStyle name="Note 3 3 2 2 4 2" xfId="51174"/>
    <cellStyle name="Note 3 3 2 2 5" xfId="51175"/>
    <cellStyle name="Note 3 3 2 3" xfId="51176"/>
    <cellStyle name="Note 3 3 2 3 2" xfId="51177"/>
    <cellStyle name="Note 3 3 2 3 2 2" xfId="51178"/>
    <cellStyle name="Note 3 3 2 3 2 2 2" xfId="51179"/>
    <cellStyle name="Note 3 3 2 3 2 2 2 2" xfId="51180"/>
    <cellStyle name="Note 3 3 2 3 2 2 3" xfId="51181"/>
    <cellStyle name="Note 3 3 2 3 2 3" xfId="51182"/>
    <cellStyle name="Note 3 3 2 3 2 3 2" xfId="51183"/>
    <cellStyle name="Note 3 3 2 3 2 4" xfId="51184"/>
    <cellStyle name="Note 3 3 2 3 3" xfId="51185"/>
    <cellStyle name="Note 3 3 2 3 3 2" xfId="51186"/>
    <cellStyle name="Note 3 3 2 3 3 2 2" xfId="51187"/>
    <cellStyle name="Note 3 3 2 3 3 3" xfId="51188"/>
    <cellStyle name="Note 3 3 2 3 4" xfId="51189"/>
    <cellStyle name="Note 3 3 2 3 4 2" xfId="51190"/>
    <cellStyle name="Note 3 3 2 3 5" xfId="51191"/>
    <cellStyle name="Note 3 3 2 4" xfId="51192"/>
    <cellStyle name="Note 3 3 2 4 2" xfId="51193"/>
    <cellStyle name="Note 3 3 2 4 2 2" xfId="51194"/>
    <cellStyle name="Note 3 3 2 4 2 2 2" xfId="51195"/>
    <cellStyle name="Note 3 3 2 4 2 2 2 2" xfId="51196"/>
    <cellStyle name="Note 3 3 2 4 2 2 3" xfId="51197"/>
    <cellStyle name="Note 3 3 2 4 2 3" xfId="51198"/>
    <cellStyle name="Note 3 3 2 4 2 3 2" xfId="51199"/>
    <cellStyle name="Note 3 3 2 4 2 4" xfId="51200"/>
    <cellStyle name="Note 3 3 2 4 3" xfId="51201"/>
    <cellStyle name="Note 3 3 2 4 3 2" xfId="51202"/>
    <cellStyle name="Note 3 3 2 4 3 2 2" xfId="51203"/>
    <cellStyle name="Note 3 3 2 4 3 3" xfId="51204"/>
    <cellStyle name="Note 3 3 2 4 4" xfId="51205"/>
    <cellStyle name="Note 3 3 2 4 4 2" xfId="51206"/>
    <cellStyle name="Note 3 3 2 4 5" xfId="51207"/>
    <cellStyle name="Note 3 3 2 5" xfId="51208"/>
    <cellStyle name="Note 3 3 2 5 2" xfId="51209"/>
    <cellStyle name="Note 3 3 2 5 2 2" xfId="51210"/>
    <cellStyle name="Note 3 3 2 5 2 2 2" xfId="51211"/>
    <cellStyle name="Note 3 3 2 5 2 2 2 2" xfId="51212"/>
    <cellStyle name="Note 3 3 2 5 2 2 3" xfId="51213"/>
    <cellStyle name="Note 3 3 2 5 2 3" xfId="51214"/>
    <cellStyle name="Note 3 3 2 5 2 3 2" xfId="51215"/>
    <cellStyle name="Note 3 3 2 5 2 4" xfId="51216"/>
    <cellStyle name="Note 3 3 2 5 3" xfId="51217"/>
    <cellStyle name="Note 3 3 2 5 3 2" xfId="51218"/>
    <cellStyle name="Note 3 3 2 5 3 2 2" xfId="51219"/>
    <cellStyle name="Note 3 3 2 5 3 3" xfId="51220"/>
    <cellStyle name="Note 3 3 2 5 4" xfId="51221"/>
    <cellStyle name="Note 3 3 2 5 4 2" xfId="51222"/>
    <cellStyle name="Note 3 3 2 5 5" xfId="51223"/>
    <cellStyle name="Note 3 3 2 6" xfId="51224"/>
    <cellStyle name="Note 3 3 2 6 2" xfId="51225"/>
    <cellStyle name="Note 3 3 2 6 2 2" xfId="51226"/>
    <cellStyle name="Note 3 3 2 6 2 2 2" xfId="51227"/>
    <cellStyle name="Note 3 3 2 6 2 2 2 2" xfId="51228"/>
    <cellStyle name="Note 3 3 2 6 2 2 3" xfId="51229"/>
    <cellStyle name="Note 3 3 2 6 2 3" xfId="51230"/>
    <cellStyle name="Note 3 3 2 6 2 3 2" xfId="51231"/>
    <cellStyle name="Note 3 3 2 6 2 4" xfId="51232"/>
    <cellStyle name="Note 3 3 2 6 3" xfId="51233"/>
    <cellStyle name="Note 3 3 2 6 3 2" xfId="51234"/>
    <cellStyle name="Note 3 3 2 6 3 2 2" xfId="51235"/>
    <cellStyle name="Note 3 3 2 6 3 3" xfId="51236"/>
    <cellStyle name="Note 3 3 2 6 4" xfId="51237"/>
    <cellStyle name="Note 3 3 2 6 4 2" xfId="51238"/>
    <cellStyle name="Note 3 3 2 6 5" xfId="51239"/>
    <cellStyle name="Note 3 3 2 7" xfId="51240"/>
    <cellStyle name="Note 3 3 2 7 2" xfId="51241"/>
    <cellStyle name="Note 3 3 2 7 2 2" xfId="51242"/>
    <cellStyle name="Note 3 3 2 7 2 2 2" xfId="51243"/>
    <cellStyle name="Note 3 3 2 7 2 3" xfId="51244"/>
    <cellStyle name="Note 3 3 2 7 3" xfId="51245"/>
    <cellStyle name="Note 3 3 2 7 3 2" xfId="51246"/>
    <cellStyle name="Note 3 3 2 7 4" xfId="51247"/>
    <cellStyle name="Note 3 3 2 8" xfId="51248"/>
    <cellStyle name="Note 3 3 2 8 2" xfId="51249"/>
    <cellStyle name="Note 3 3 2 8 2 2" xfId="51250"/>
    <cellStyle name="Note 3 3 2 8 3" xfId="51251"/>
    <cellStyle name="Note 3 3 2 9" xfId="51252"/>
    <cellStyle name="Note 3 3 2 9 2" xfId="51253"/>
    <cellStyle name="Note 3 3 3" xfId="51254"/>
    <cellStyle name="Note 3 3 3 2" xfId="51255"/>
    <cellStyle name="Note 3 3 3 2 2" xfId="51256"/>
    <cellStyle name="Note 3 3 3 2 2 2" xfId="51257"/>
    <cellStyle name="Note 3 3 3 2 2 2 2" xfId="51258"/>
    <cellStyle name="Note 3 3 3 2 2 3" xfId="51259"/>
    <cellStyle name="Note 3 3 3 2 3" xfId="51260"/>
    <cellStyle name="Note 3 3 3 2 3 2" xfId="51261"/>
    <cellStyle name="Note 3 3 3 2 4" xfId="51262"/>
    <cellStyle name="Note 3 3 3 3" xfId="51263"/>
    <cellStyle name="Note 3 3 3 3 2" xfId="51264"/>
    <cellStyle name="Note 3 3 3 3 2 2" xfId="51265"/>
    <cellStyle name="Note 3 3 3 3 3" xfId="51266"/>
    <cellStyle name="Note 3 3 3 4" xfId="51267"/>
    <cellStyle name="Note 3 3 3 4 2" xfId="51268"/>
    <cellStyle name="Note 3 3 3 5" xfId="51269"/>
    <cellStyle name="Note 3 3 4" xfId="51270"/>
    <cellStyle name="Note 3 3 4 2" xfId="51271"/>
    <cellStyle name="Note 3 3 4 2 2" xfId="51272"/>
    <cellStyle name="Note 3 3 4 2 2 2" xfId="51273"/>
    <cellStyle name="Note 3 3 4 2 2 2 2" xfId="51274"/>
    <cellStyle name="Note 3 3 4 2 2 3" xfId="51275"/>
    <cellStyle name="Note 3 3 4 2 3" xfId="51276"/>
    <cellStyle name="Note 3 3 4 2 3 2" xfId="51277"/>
    <cellStyle name="Note 3 3 4 2 4" xfId="51278"/>
    <cellStyle name="Note 3 3 4 3" xfId="51279"/>
    <cellStyle name="Note 3 3 4 3 2" xfId="51280"/>
    <cellStyle name="Note 3 3 4 3 2 2" xfId="51281"/>
    <cellStyle name="Note 3 3 4 3 3" xfId="51282"/>
    <cellStyle name="Note 3 3 4 4" xfId="51283"/>
    <cellStyle name="Note 3 3 4 4 2" xfId="51284"/>
    <cellStyle name="Note 3 3 4 5" xfId="51285"/>
    <cellStyle name="Note 3 3 5" xfId="51286"/>
    <cellStyle name="Note 3 3 5 2" xfId="51287"/>
    <cellStyle name="Note 3 3 5 2 2" xfId="51288"/>
    <cellStyle name="Note 3 3 5 2 2 2" xfId="51289"/>
    <cellStyle name="Note 3 3 5 2 2 2 2" xfId="51290"/>
    <cellStyle name="Note 3 3 5 2 2 3" xfId="51291"/>
    <cellStyle name="Note 3 3 5 2 3" xfId="51292"/>
    <cellStyle name="Note 3 3 5 2 3 2" xfId="51293"/>
    <cellStyle name="Note 3 3 5 2 4" xfId="51294"/>
    <cellStyle name="Note 3 3 5 3" xfId="51295"/>
    <cellStyle name="Note 3 3 5 3 2" xfId="51296"/>
    <cellStyle name="Note 3 3 5 3 2 2" xfId="51297"/>
    <cellStyle name="Note 3 3 5 3 3" xfId="51298"/>
    <cellStyle name="Note 3 3 5 4" xfId="51299"/>
    <cellStyle name="Note 3 3 5 4 2" xfId="51300"/>
    <cellStyle name="Note 3 3 5 5" xfId="51301"/>
    <cellStyle name="Note 3 3 6" xfId="51302"/>
    <cellStyle name="Note 3 3 6 2" xfId="51303"/>
    <cellStyle name="Note 3 3 6 2 2" xfId="51304"/>
    <cellStyle name="Note 3 3 6 2 2 2" xfId="51305"/>
    <cellStyle name="Note 3 3 6 2 2 2 2" xfId="51306"/>
    <cellStyle name="Note 3 3 6 2 2 3" xfId="51307"/>
    <cellStyle name="Note 3 3 6 2 3" xfId="51308"/>
    <cellStyle name="Note 3 3 6 2 3 2" xfId="51309"/>
    <cellStyle name="Note 3 3 6 2 4" xfId="51310"/>
    <cellStyle name="Note 3 3 6 3" xfId="51311"/>
    <cellStyle name="Note 3 3 6 3 2" xfId="51312"/>
    <cellStyle name="Note 3 3 6 3 2 2" xfId="51313"/>
    <cellStyle name="Note 3 3 6 3 3" xfId="51314"/>
    <cellStyle name="Note 3 3 6 4" xfId="51315"/>
    <cellStyle name="Note 3 3 6 4 2" xfId="51316"/>
    <cellStyle name="Note 3 3 6 5" xfId="51317"/>
    <cellStyle name="Note 3 3 7" xfId="51318"/>
    <cellStyle name="Note 3 3 7 2" xfId="51319"/>
    <cellStyle name="Note 3 3 7 2 2" xfId="51320"/>
    <cellStyle name="Note 3 3 7 2 2 2" xfId="51321"/>
    <cellStyle name="Note 3 3 7 2 2 2 2" xfId="51322"/>
    <cellStyle name="Note 3 3 7 2 2 3" xfId="51323"/>
    <cellStyle name="Note 3 3 7 2 3" xfId="51324"/>
    <cellStyle name="Note 3 3 7 2 3 2" xfId="51325"/>
    <cellStyle name="Note 3 3 7 2 4" xfId="51326"/>
    <cellStyle name="Note 3 3 7 3" xfId="51327"/>
    <cellStyle name="Note 3 3 7 3 2" xfId="51328"/>
    <cellStyle name="Note 3 3 7 3 2 2" xfId="51329"/>
    <cellStyle name="Note 3 3 7 3 3" xfId="51330"/>
    <cellStyle name="Note 3 3 7 4" xfId="51331"/>
    <cellStyle name="Note 3 3 7 4 2" xfId="51332"/>
    <cellStyle name="Note 3 3 7 5" xfId="51333"/>
    <cellStyle name="Note 3 3 8" xfId="51334"/>
    <cellStyle name="Note 3 3 8 2" xfId="51335"/>
    <cellStyle name="Note 3 3 8 2 2" xfId="51336"/>
    <cellStyle name="Note 3 3 8 2 2 2" xfId="51337"/>
    <cellStyle name="Note 3 3 8 2 3" xfId="51338"/>
    <cellStyle name="Note 3 3 8 3" xfId="51339"/>
    <cellStyle name="Note 3 3 8 3 2" xfId="51340"/>
    <cellStyle name="Note 3 3 8 4" xfId="51341"/>
    <cellStyle name="Note 3 3 9" xfId="51342"/>
    <cellStyle name="Note 3 3 9 2" xfId="51343"/>
    <cellStyle name="Note 3 3 9 2 2" xfId="51344"/>
    <cellStyle name="Note 3 3 9 3" xfId="51345"/>
    <cellStyle name="Note 3 4" xfId="51346"/>
    <cellStyle name="Note 3 4 10" xfId="51347"/>
    <cellStyle name="Note 3 4 10 2" xfId="51348"/>
    <cellStyle name="Note 3 4 11" xfId="51349"/>
    <cellStyle name="Note 3 4 2" xfId="51350"/>
    <cellStyle name="Note 3 4 2 10" xfId="51351"/>
    <cellStyle name="Note 3 4 2 2" xfId="51352"/>
    <cellStyle name="Note 3 4 2 2 2" xfId="51353"/>
    <cellStyle name="Note 3 4 2 2 2 2" xfId="51354"/>
    <cellStyle name="Note 3 4 2 2 2 2 2" xfId="51355"/>
    <cellStyle name="Note 3 4 2 2 2 2 2 2" xfId="51356"/>
    <cellStyle name="Note 3 4 2 2 2 2 3" xfId="51357"/>
    <cellStyle name="Note 3 4 2 2 2 3" xfId="51358"/>
    <cellStyle name="Note 3 4 2 2 2 3 2" xfId="51359"/>
    <cellStyle name="Note 3 4 2 2 2 4" xfId="51360"/>
    <cellStyle name="Note 3 4 2 2 3" xfId="51361"/>
    <cellStyle name="Note 3 4 2 2 3 2" xfId="51362"/>
    <cellStyle name="Note 3 4 2 2 3 2 2" xfId="51363"/>
    <cellStyle name="Note 3 4 2 2 3 3" xfId="51364"/>
    <cellStyle name="Note 3 4 2 2 4" xfId="51365"/>
    <cellStyle name="Note 3 4 2 2 4 2" xfId="51366"/>
    <cellStyle name="Note 3 4 2 2 5" xfId="51367"/>
    <cellStyle name="Note 3 4 2 3" xfId="51368"/>
    <cellStyle name="Note 3 4 2 3 2" xfId="51369"/>
    <cellStyle name="Note 3 4 2 3 2 2" xfId="51370"/>
    <cellStyle name="Note 3 4 2 3 2 2 2" xfId="51371"/>
    <cellStyle name="Note 3 4 2 3 2 2 2 2" xfId="51372"/>
    <cellStyle name="Note 3 4 2 3 2 2 3" xfId="51373"/>
    <cellStyle name="Note 3 4 2 3 2 3" xfId="51374"/>
    <cellStyle name="Note 3 4 2 3 2 3 2" xfId="51375"/>
    <cellStyle name="Note 3 4 2 3 2 4" xfId="51376"/>
    <cellStyle name="Note 3 4 2 3 3" xfId="51377"/>
    <cellStyle name="Note 3 4 2 3 3 2" xfId="51378"/>
    <cellStyle name="Note 3 4 2 3 3 2 2" xfId="51379"/>
    <cellStyle name="Note 3 4 2 3 3 3" xfId="51380"/>
    <cellStyle name="Note 3 4 2 3 4" xfId="51381"/>
    <cellStyle name="Note 3 4 2 3 4 2" xfId="51382"/>
    <cellStyle name="Note 3 4 2 3 5" xfId="51383"/>
    <cellStyle name="Note 3 4 2 4" xfId="51384"/>
    <cellStyle name="Note 3 4 2 4 2" xfId="51385"/>
    <cellStyle name="Note 3 4 2 4 2 2" xfId="51386"/>
    <cellStyle name="Note 3 4 2 4 2 2 2" xfId="51387"/>
    <cellStyle name="Note 3 4 2 4 2 2 2 2" xfId="51388"/>
    <cellStyle name="Note 3 4 2 4 2 2 3" xfId="51389"/>
    <cellStyle name="Note 3 4 2 4 2 3" xfId="51390"/>
    <cellStyle name="Note 3 4 2 4 2 3 2" xfId="51391"/>
    <cellStyle name="Note 3 4 2 4 2 4" xfId="51392"/>
    <cellStyle name="Note 3 4 2 4 3" xfId="51393"/>
    <cellStyle name="Note 3 4 2 4 3 2" xfId="51394"/>
    <cellStyle name="Note 3 4 2 4 3 2 2" xfId="51395"/>
    <cellStyle name="Note 3 4 2 4 3 3" xfId="51396"/>
    <cellStyle name="Note 3 4 2 4 4" xfId="51397"/>
    <cellStyle name="Note 3 4 2 4 4 2" xfId="51398"/>
    <cellStyle name="Note 3 4 2 4 5" xfId="51399"/>
    <cellStyle name="Note 3 4 2 5" xfId="51400"/>
    <cellStyle name="Note 3 4 2 5 2" xfId="51401"/>
    <cellStyle name="Note 3 4 2 5 2 2" xfId="51402"/>
    <cellStyle name="Note 3 4 2 5 2 2 2" xfId="51403"/>
    <cellStyle name="Note 3 4 2 5 2 2 2 2" xfId="51404"/>
    <cellStyle name="Note 3 4 2 5 2 2 3" xfId="51405"/>
    <cellStyle name="Note 3 4 2 5 2 3" xfId="51406"/>
    <cellStyle name="Note 3 4 2 5 2 3 2" xfId="51407"/>
    <cellStyle name="Note 3 4 2 5 2 4" xfId="51408"/>
    <cellStyle name="Note 3 4 2 5 3" xfId="51409"/>
    <cellStyle name="Note 3 4 2 5 3 2" xfId="51410"/>
    <cellStyle name="Note 3 4 2 5 3 2 2" xfId="51411"/>
    <cellStyle name="Note 3 4 2 5 3 3" xfId="51412"/>
    <cellStyle name="Note 3 4 2 5 4" xfId="51413"/>
    <cellStyle name="Note 3 4 2 5 4 2" xfId="51414"/>
    <cellStyle name="Note 3 4 2 5 5" xfId="51415"/>
    <cellStyle name="Note 3 4 2 6" xfId="51416"/>
    <cellStyle name="Note 3 4 2 6 2" xfId="51417"/>
    <cellStyle name="Note 3 4 2 6 2 2" xfId="51418"/>
    <cellStyle name="Note 3 4 2 6 2 2 2" xfId="51419"/>
    <cellStyle name="Note 3 4 2 6 2 2 2 2" xfId="51420"/>
    <cellStyle name="Note 3 4 2 6 2 2 3" xfId="51421"/>
    <cellStyle name="Note 3 4 2 6 2 3" xfId="51422"/>
    <cellStyle name="Note 3 4 2 6 2 3 2" xfId="51423"/>
    <cellStyle name="Note 3 4 2 6 2 4" xfId="51424"/>
    <cellStyle name="Note 3 4 2 6 3" xfId="51425"/>
    <cellStyle name="Note 3 4 2 6 3 2" xfId="51426"/>
    <cellStyle name="Note 3 4 2 6 3 2 2" xfId="51427"/>
    <cellStyle name="Note 3 4 2 6 3 3" xfId="51428"/>
    <cellStyle name="Note 3 4 2 6 4" xfId="51429"/>
    <cellStyle name="Note 3 4 2 6 4 2" xfId="51430"/>
    <cellStyle name="Note 3 4 2 6 5" xfId="51431"/>
    <cellStyle name="Note 3 4 2 7" xfId="51432"/>
    <cellStyle name="Note 3 4 2 7 2" xfId="51433"/>
    <cellStyle name="Note 3 4 2 7 2 2" xfId="51434"/>
    <cellStyle name="Note 3 4 2 7 2 2 2" xfId="51435"/>
    <cellStyle name="Note 3 4 2 7 2 3" xfId="51436"/>
    <cellStyle name="Note 3 4 2 7 3" xfId="51437"/>
    <cellStyle name="Note 3 4 2 7 3 2" xfId="51438"/>
    <cellStyle name="Note 3 4 2 7 4" xfId="51439"/>
    <cellStyle name="Note 3 4 2 8" xfId="51440"/>
    <cellStyle name="Note 3 4 2 8 2" xfId="51441"/>
    <cellStyle name="Note 3 4 2 8 2 2" xfId="51442"/>
    <cellStyle name="Note 3 4 2 8 3" xfId="51443"/>
    <cellStyle name="Note 3 4 2 9" xfId="51444"/>
    <cellStyle name="Note 3 4 2 9 2" xfId="51445"/>
    <cellStyle name="Note 3 4 3" xfId="51446"/>
    <cellStyle name="Note 3 4 3 2" xfId="51447"/>
    <cellStyle name="Note 3 4 3 2 2" xfId="51448"/>
    <cellStyle name="Note 3 4 3 2 2 2" xfId="51449"/>
    <cellStyle name="Note 3 4 3 2 2 2 2" xfId="51450"/>
    <cellStyle name="Note 3 4 3 2 2 3" xfId="51451"/>
    <cellStyle name="Note 3 4 3 2 3" xfId="51452"/>
    <cellStyle name="Note 3 4 3 2 3 2" xfId="51453"/>
    <cellStyle name="Note 3 4 3 2 4" xfId="51454"/>
    <cellStyle name="Note 3 4 3 3" xfId="51455"/>
    <cellStyle name="Note 3 4 3 3 2" xfId="51456"/>
    <cellStyle name="Note 3 4 3 3 2 2" xfId="51457"/>
    <cellStyle name="Note 3 4 3 3 3" xfId="51458"/>
    <cellStyle name="Note 3 4 3 4" xfId="51459"/>
    <cellStyle name="Note 3 4 3 4 2" xfId="51460"/>
    <cellStyle name="Note 3 4 3 5" xfId="51461"/>
    <cellStyle name="Note 3 4 4" xfId="51462"/>
    <cellStyle name="Note 3 4 4 2" xfId="51463"/>
    <cellStyle name="Note 3 4 4 2 2" xfId="51464"/>
    <cellStyle name="Note 3 4 4 2 2 2" xfId="51465"/>
    <cellStyle name="Note 3 4 4 2 2 2 2" xfId="51466"/>
    <cellStyle name="Note 3 4 4 2 2 3" xfId="51467"/>
    <cellStyle name="Note 3 4 4 2 3" xfId="51468"/>
    <cellStyle name="Note 3 4 4 2 3 2" xfId="51469"/>
    <cellStyle name="Note 3 4 4 2 4" xfId="51470"/>
    <cellStyle name="Note 3 4 4 3" xfId="51471"/>
    <cellStyle name="Note 3 4 4 3 2" xfId="51472"/>
    <cellStyle name="Note 3 4 4 3 2 2" xfId="51473"/>
    <cellStyle name="Note 3 4 4 3 3" xfId="51474"/>
    <cellStyle name="Note 3 4 4 4" xfId="51475"/>
    <cellStyle name="Note 3 4 4 4 2" xfId="51476"/>
    <cellStyle name="Note 3 4 4 5" xfId="51477"/>
    <cellStyle name="Note 3 4 5" xfId="51478"/>
    <cellStyle name="Note 3 4 5 2" xfId="51479"/>
    <cellStyle name="Note 3 4 5 2 2" xfId="51480"/>
    <cellStyle name="Note 3 4 5 2 2 2" xfId="51481"/>
    <cellStyle name="Note 3 4 5 2 2 2 2" xfId="51482"/>
    <cellStyle name="Note 3 4 5 2 2 3" xfId="51483"/>
    <cellStyle name="Note 3 4 5 2 3" xfId="51484"/>
    <cellStyle name="Note 3 4 5 2 3 2" xfId="51485"/>
    <cellStyle name="Note 3 4 5 2 4" xfId="51486"/>
    <cellStyle name="Note 3 4 5 3" xfId="51487"/>
    <cellStyle name="Note 3 4 5 3 2" xfId="51488"/>
    <cellStyle name="Note 3 4 5 3 2 2" xfId="51489"/>
    <cellStyle name="Note 3 4 5 3 3" xfId="51490"/>
    <cellStyle name="Note 3 4 5 4" xfId="51491"/>
    <cellStyle name="Note 3 4 5 4 2" xfId="51492"/>
    <cellStyle name="Note 3 4 5 5" xfId="51493"/>
    <cellStyle name="Note 3 4 6" xfId="51494"/>
    <cellStyle name="Note 3 4 6 2" xfId="51495"/>
    <cellStyle name="Note 3 4 6 2 2" xfId="51496"/>
    <cellStyle name="Note 3 4 6 2 2 2" xfId="51497"/>
    <cellStyle name="Note 3 4 6 2 2 2 2" xfId="51498"/>
    <cellStyle name="Note 3 4 6 2 2 3" xfId="51499"/>
    <cellStyle name="Note 3 4 6 2 3" xfId="51500"/>
    <cellStyle name="Note 3 4 6 2 3 2" xfId="51501"/>
    <cellStyle name="Note 3 4 6 2 4" xfId="51502"/>
    <cellStyle name="Note 3 4 6 3" xfId="51503"/>
    <cellStyle name="Note 3 4 6 3 2" xfId="51504"/>
    <cellStyle name="Note 3 4 6 3 2 2" xfId="51505"/>
    <cellStyle name="Note 3 4 6 3 3" xfId="51506"/>
    <cellStyle name="Note 3 4 6 4" xfId="51507"/>
    <cellStyle name="Note 3 4 6 4 2" xfId="51508"/>
    <cellStyle name="Note 3 4 6 5" xfId="51509"/>
    <cellStyle name="Note 3 4 7" xfId="51510"/>
    <cellStyle name="Note 3 4 7 2" xfId="51511"/>
    <cellStyle name="Note 3 4 7 2 2" xfId="51512"/>
    <cellStyle name="Note 3 4 7 2 2 2" xfId="51513"/>
    <cellStyle name="Note 3 4 7 2 2 2 2" xfId="51514"/>
    <cellStyle name="Note 3 4 7 2 2 3" xfId="51515"/>
    <cellStyle name="Note 3 4 7 2 3" xfId="51516"/>
    <cellStyle name="Note 3 4 7 2 3 2" xfId="51517"/>
    <cellStyle name="Note 3 4 7 2 4" xfId="51518"/>
    <cellStyle name="Note 3 4 7 3" xfId="51519"/>
    <cellStyle name="Note 3 4 7 3 2" xfId="51520"/>
    <cellStyle name="Note 3 4 7 3 2 2" xfId="51521"/>
    <cellStyle name="Note 3 4 7 3 3" xfId="51522"/>
    <cellStyle name="Note 3 4 7 4" xfId="51523"/>
    <cellStyle name="Note 3 4 7 4 2" xfId="51524"/>
    <cellStyle name="Note 3 4 7 5" xfId="51525"/>
    <cellStyle name="Note 3 4 8" xfId="51526"/>
    <cellStyle name="Note 3 4 8 2" xfId="51527"/>
    <cellStyle name="Note 3 4 8 2 2" xfId="51528"/>
    <cellStyle name="Note 3 4 8 2 2 2" xfId="51529"/>
    <cellStyle name="Note 3 4 8 2 3" xfId="51530"/>
    <cellStyle name="Note 3 4 8 3" xfId="51531"/>
    <cellStyle name="Note 3 4 8 3 2" xfId="51532"/>
    <cellStyle name="Note 3 4 8 4" xfId="51533"/>
    <cellStyle name="Note 3 4 9" xfId="51534"/>
    <cellStyle name="Note 3 4 9 2" xfId="51535"/>
    <cellStyle name="Note 3 4 9 2 2" xfId="51536"/>
    <cellStyle name="Note 3 4 9 3" xfId="51537"/>
    <cellStyle name="Note 3 5" xfId="51538"/>
    <cellStyle name="Note 3 5 10" xfId="51539"/>
    <cellStyle name="Note 3 5 10 2" xfId="51540"/>
    <cellStyle name="Note 3 5 11" xfId="51541"/>
    <cellStyle name="Note 3 5 2" xfId="51542"/>
    <cellStyle name="Note 3 5 2 10" xfId="51543"/>
    <cellStyle name="Note 3 5 2 2" xfId="51544"/>
    <cellStyle name="Note 3 5 2 2 2" xfId="51545"/>
    <cellStyle name="Note 3 5 2 2 2 2" xfId="51546"/>
    <cellStyle name="Note 3 5 2 2 2 2 2" xfId="51547"/>
    <cellStyle name="Note 3 5 2 2 2 2 2 2" xfId="51548"/>
    <cellStyle name="Note 3 5 2 2 2 2 3" xfId="51549"/>
    <cellStyle name="Note 3 5 2 2 2 3" xfId="51550"/>
    <cellStyle name="Note 3 5 2 2 2 3 2" xfId="51551"/>
    <cellStyle name="Note 3 5 2 2 2 4" xfId="51552"/>
    <cellStyle name="Note 3 5 2 2 3" xfId="51553"/>
    <cellStyle name="Note 3 5 2 2 3 2" xfId="51554"/>
    <cellStyle name="Note 3 5 2 2 3 2 2" xfId="51555"/>
    <cellStyle name="Note 3 5 2 2 3 3" xfId="51556"/>
    <cellStyle name="Note 3 5 2 2 4" xfId="51557"/>
    <cellStyle name="Note 3 5 2 2 4 2" xfId="51558"/>
    <cellStyle name="Note 3 5 2 2 5" xfId="51559"/>
    <cellStyle name="Note 3 5 2 3" xfId="51560"/>
    <cellStyle name="Note 3 5 2 3 2" xfId="51561"/>
    <cellStyle name="Note 3 5 2 3 2 2" xfId="51562"/>
    <cellStyle name="Note 3 5 2 3 2 2 2" xfId="51563"/>
    <cellStyle name="Note 3 5 2 3 2 2 2 2" xfId="51564"/>
    <cellStyle name="Note 3 5 2 3 2 2 3" xfId="51565"/>
    <cellStyle name="Note 3 5 2 3 2 3" xfId="51566"/>
    <cellStyle name="Note 3 5 2 3 2 3 2" xfId="51567"/>
    <cellStyle name="Note 3 5 2 3 2 4" xfId="51568"/>
    <cellStyle name="Note 3 5 2 3 3" xfId="51569"/>
    <cellStyle name="Note 3 5 2 3 3 2" xfId="51570"/>
    <cellStyle name="Note 3 5 2 3 3 2 2" xfId="51571"/>
    <cellStyle name="Note 3 5 2 3 3 3" xfId="51572"/>
    <cellStyle name="Note 3 5 2 3 4" xfId="51573"/>
    <cellStyle name="Note 3 5 2 3 4 2" xfId="51574"/>
    <cellStyle name="Note 3 5 2 3 5" xfId="51575"/>
    <cellStyle name="Note 3 5 2 4" xfId="51576"/>
    <cellStyle name="Note 3 5 2 4 2" xfId="51577"/>
    <cellStyle name="Note 3 5 2 4 2 2" xfId="51578"/>
    <cellStyle name="Note 3 5 2 4 2 2 2" xfId="51579"/>
    <cellStyle name="Note 3 5 2 4 2 2 2 2" xfId="51580"/>
    <cellStyle name="Note 3 5 2 4 2 2 3" xfId="51581"/>
    <cellStyle name="Note 3 5 2 4 2 3" xfId="51582"/>
    <cellStyle name="Note 3 5 2 4 2 3 2" xfId="51583"/>
    <cellStyle name="Note 3 5 2 4 2 4" xfId="51584"/>
    <cellStyle name="Note 3 5 2 4 3" xfId="51585"/>
    <cellStyle name="Note 3 5 2 4 3 2" xfId="51586"/>
    <cellStyle name="Note 3 5 2 4 3 2 2" xfId="51587"/>
    <cellStyle name="Note 3 5 2 4 3 3" xfId="51588"/>
    <cellStyle name="Note 3 5 2 4 4" xfId="51589"/>
    <cellStyle name="Note 3 5 2 4 4 2" xfId="51590"/>
    <cellStyle name="Note 3 5 2 4 5" xfId="51591"/>
    <cellStyle name="Note 3 5 2 5" xfId="51592"/>
    <cellStyle name="Note 3 5 2 5 2" xfId="51593"/>
    <cellStyle name="Note 3 5 2 5 2 2" xfId="51594"/>
    <cellStyle name="Note 3 5 2 5 2 2 2" xfId="51595"/>
    <cellStyle name="Note 3 5 2 5 2 2 2 2" xfId="51596"/>
    <cellStyle name="Note 3 5 2 5 2 2 3" xfId="51597"/>
    <cellStyle name="Note 3 5 2 5 2 3" xfId="51598"/>
    <cellStyle name="Note 3 5 2 5 2 3 2" xfId="51599"/>
    <cellStyle name="Note 3 5 2 5 2 4" xfId="51600"/>
    <cellStyle name="Note 3 5 2 5 3" xfId="51601"/>
    <cellStyle name="Note 3 5 2 5 3 2" xfId="51602"/>
    <cellStyle name="Note 3 5 2 5 3 2 2" xfId="51603"/>
    <cellStyle name="Note 3 5 2 5 3 3" xfId="51604"/>
    <cellStyle name="Note 3 5 2 5 4" xfId="51605"/>
    <cellStyle name="Note 3 5 2 5 4 2" xfId="51606"/>
    <cellStyle name="Note 3 5 2 5 5" xfId="51607"/>
    <cellStyle name="Note 3 5 2 6" xfId="51608"/>
    <cellStyle name="Note 3 5 2 6 2" xfId="51609"/>
    <cellStyle name="Note 3 5 2 6 2 2" xfId="51610"/>
    <cellStyle name="Note 3 5 2 6 2 2 2" xfId="51611"/>
    <cellStyle name="Note 3 5 2 6 2 2 2 2" xfId="51612"/>
    <cellStyle name="Note 3 5 2 6 2 2 3" xfId="51613"/>
    <cellStyle name="Note 3 5 2 6 2 3" xfId="51614"/>
    <cellStyle name="Note 3 5 2 6 2 3 2" xfId="51615"/>
    <cellStyle name="Note 3 5 2 6 2 4" xfId="51616"/>
    <cellStyle name="Note 3 5 2 6 3" xfId="51617"/>
    <cellStyle name="Note 3 5 2 6 3 2" xfId="51618"/>
    <cellStyle name="Note 3 5 2 6 3 2 2" xfId="51619"/>
    <cellStyle name="Note 3 5 2 6 3 3" xfId="51620"/>
    <cellStyle name="Note 3 5 2 6 4" xfId="51621"/>
    <cellStyle name="Note 3 5 2 6 4 2" xfId="51622"/>
    <cellStyle name="Note 3 5 2 6 5" xfId="51623"/>
    <cellStyle name="Note 3 5 2 7" xfId="51624"/>
    <cellStyle name="Note 3 5 2 7 2" xfId="51625"/>
    <cellStyle name="Note 3 5 2 7 2 2" xfId="51626"/>
    <cellStyle name="Note 3 5 2 7 2 2 2" xfId="51627"/>
    <cellStyle name="Note 3 5 2 7 2 3" xfId="51628"/>
    <cellStyle name="Note 3 5 2 7 3" xfId="51629"/>
    <cellStyle name="Note 3 5 2 7 3 2" xfId="51630"/>
    <cellStyle name="Note 3 5 2 7 4" xfId="51631"/>
    <cellStyle name="Note 3 5 2 8" xfId="51632"/>
    <cellStyle name="Note 3 5 2 8 2" xfId="51633"/>
    <cellStyle name="Note 3 5 2 8 2 2" xfId="51634"/>
    <cellStyle name="Note 3 5 2 8 3" xfId="51635"/>
    <cellStyle name="Note 3 5 2 9" xfId="51636"/>
    <cellStyle name="Note 3 5 2 9 2" xfId="51637"/>
    <cellStyle name="Note 3 5 3" xfId="51638"/>
    <cellStyle name="Note 3 5 3 2" xfId="51639"/>
    <cellStyle name="Note 3 5 3 2 2" xfId="51640"/>
    <cellStyle name="Note 3 5 3 2 2 2" xfId="51641"/>
    <cellStyle name="Note 3 5 3 2 2 2 2" xfId="51642"/>
    <cellStyle name="Note 3 5 3 2 2 3" xfId="51643"/>
    <cellStyle name="Note 3 5 3 2 3" xfId="51644"/>
    <cellStyle name="Note 3 5 3 2 3 2" xfId="51645"/>
    <cellStyle name="Note 3 5 3 2 4" xfId="51646"/>
    <cellStyle name="Note 3 5 3 3" xfId="51647"/>
    <cellStyle name="Note 3 5 3 3 2" xfId="51648"/>
    <cellStyle name="Note 3 5 3 3 2 2" xfId="51649"/>
    <cellStyle name="Note 3 5 3 3 3" xfId="51650"/>
    <cellStyle name="Note 3 5 3 4" xfId="51651"/>
    <cellStyle name="Note 3 5 3 4 2" xfId="51652"/>
    <cellStyle name="Note 3 5 3 5" xfId="51653"/>
    <cellStyle name="Note 3 5 4" xfId="51654"/>
    <cellStyle name="Note 3 5 4 2" xfId="51655"/>
    <cellStyle name="Note 3 5 4 2 2" xfId="51656"/>
    <cellStyle name="Note 3 5 4 2 2 2" xfId="51657"/>
    <cellStyle name="Note 3 5 4 2 2 2 2" xfId="51658"/>
    <cellStyle name="Note 3 5 4 2 2 3" xfId="51659"/>
    <cellStyle name="Note 3 5 4 2 3" xfId="51660"/>
    <cellStyle name="Note 3 5 4 2 3 2" xfId="51661"/>
    <cellStyle name="Note 3 5 4 2 4" xfId="51662"/>
    <cellStyle name="Note 3 5 4 3" xfId="51663"/>
    <cellStyle name="Note 3 5 4 3 2" xfId="51664"/>
    <cellStyle name="Note 3 5 4 3 2 2" xfId="51665"/>
    <cellStyle name="Note 3 5 4 3 3" xfId="51666"/>
    <cellStyle name="Note 3 5 4 4" xfId="51667"/>
    <cellStyle name="Note 3 5 4 4 2" xfId="51668"/>
    <cellStyle name="Note 3 5 4 5" xfId="51669"/>
    <cellStyle name="Note 3 5 5" xfId="51670"/>
    <cellStyle name="Note 3 5 5 2" xfId="51671"/>
    <cellStyle name="Note 3 5 5 2 2" xfId="51672"/>
    <cellStyle name="Note 3 5 5 2 2 2" xfId="51673"/>
    <cellStyle name="Note 3 5 5 2 2 2 2" xfId="51674"/>
    <cellStyle name="Note 3 5 5 2 2 3" xfId="51675"/>
    <cellStyle name="Note 3 5 5 2 3" xfId="51676"/>
    <cellStyle name="Note 3 5 5 2 3 2" xfId="51677"/>
    <cellStyle name="Note 3 5 5 2 4" xfId="51678"/>
    <cellStyle name="Note 3 5 5 3" xfId="51679"/>
    <cellStyle name="Note 3 5 5 3 2" xfId="51680"/>
    <cellStyle name="Note 3 5 5 3 2 2" xfId="51681"/>
    <cellStyle name="Note 3 5 5 3 3" xfId="51682"/>
    <cellStyle name="Note 3 5 5 4" xfId="51683"/>
    <cellStyle name="Note 3 5 5 4 2" xfId="51684"/>
    <cellStyle name="Note 3 5 5 5" xfId="51685"/>
    <cellStyle name="Note 3 5 6" xfId="51686"/>
    <cellStyle name="Note 3 5 6 2" xfId="51687"/>
    <cellStyle name="Note 3 5 6 2 2" xfId="51688"/>
    <cellStyle name="Note 3 5 6 2 2 2" xfId="51689"/>
    <cellStyle name="Note 3 5 6 2 2 2 2" xfId="51690"/>
    <cellStyle name="Note 3 5 6 2 2 3" xfId="51691"/>
    <cellStyle name="Note 3 5 6 2 3" xfId="51692"/>
    <cellStyle name="Note 3 5 6 2 3 2" xfId="51693"/>
    <cellStyle name="Note 3 5 6 2 4" xfId="51694"/>
    <cellStyle name="Note 3 5 6 3" xfId="51695"/>
    <cellStyle name="Note 3 5 6 3 2" xfId="51696"/>
    <cellStyle name="Note 3 5 6 3 2 2" xfId="51697"/>
    <cellStyle name="Note 3 5 6 3 3" xfId="51698"/>
    <cellStyle name="Note 3 5 6 4" xfId="51699"/>
    <cellStyle name="Note 3 5 6 4 2" xfId="51700"/>
    <cellStyle name="Note 3 5 6 5" xfId="51701"/>
    <cellStyle name="Note 3 5 7" xfId="51702"/>
    <cellStyle name="Note 3 5 7 2" xfId="51703"/>
    <cellStyle name="Note 3 5 7 2 2" xfId="51704"/>
    <cellStyle name="Note 3 5 7 2 2 2" xfId="51705"/>
    <cellStyle name="Note 3 5 7 2 2 2 2" xfId="51706"/>
    <cellStyle name="Note 3 5 7 2 2 3" xfId="51707"/>
    <cellStyle name="Note 3 5 7 2 3" xfId="51708"/>
    <cellStyle name="Note 3 5 7 2 3 2" xfId="51709"/>
    <cellStyle name="Note 3 5 7 2 4" xfId="51710"/>
    <cellStyle name="Note 3 5 7 3" xfId="51711"/>
    <cellStyle name="Note 3 5 7 3 2" xfId="51712"/>
    <cellStyle name="Note 3 5 7 3 2 2" xfId="51713"/>
    <cellStyle name="Note 3 5 7 3 3" xfId="51714"/>
    <cellStyle name="Note 3 5 7 4" xfId="51715"/>
    <cellStyle name="Note 3 5 7 4 2" xfId="51716"/>
    <cellStyle name="Note 3 5 7 5" xfId="51717"/>
    <cellStyle name="Note 3 5 8" xfId="51718"/>
    <cellStyle name="Note 3 5 8 2" xfId="51719"/>
    <cellStyle name="Note 3 5 8 2 2" xfId="51720"/>
    <cellStyle name="Note 3 5 8 2 2 2" xfId="51721"/>
    <cellStyle name="Note 3 5 8 2 3" xfId="51722"/>
    <cellStyle name="Note 3 5 8 3" xfId="51723"/>
    <cellStyle name="Note 3 5 8 3 2" xfId="51724"/>
    <cellStyle name="Note 3 5 8 4" xfId="51725"/>
    <cellStyle name="Note 3 5 9" xfId="51726"/>
    <cellStyle name="Note 3 5 9 2" xfId="51727"/>
    <cellStyle name="Note 3 5 9 2 2" xfId="51728"/>
    <cellStyle name="Note 3 5 9 3" xfId="51729"/>
    <cellStyle name="Note 3 6" xfId="51730"/>
    <cellStyle name="Note 3 6 10" xfId="51731"/>
    <cellStyle name="Note 3 6 10 2" xfId="51732"/>
    <cellStyle name="Note 3 6 11" xfId="51733"/>
    <cellStyle name="Note 3 6 2" xfId="51734"/>
    <cellStyle name="Note 3 6 2 10" xfId="51735"/>
    <cellStyle name="Note 3 6 2 2" xfId="51736"/>
    <cellStyle name="Note 3 6 2 2 2" xfId="51737"/>
    <cellStyle name="Note 3 6 2 2 2 2" xfId="51738"/>
    <cellStyle name="Note 3 6 2 2 2 2 2" xfId="51739"/>
    <cellStyle name="Note 3 6 2 2 2 2 2 2" xfId="51740"/>
    <cellStyle name="Note 3 6 2 2 2 2 3" xfId="51741"/>
    <cellStyle name="Note 3 6 2 2 2 3" xfId="51742"/>
    <cellStyle name="Note 3 6 2 2 2 3 2" xfId="51743"/>
    <cellStyle name="Note 3 6 2 2 2 4" xfId="51744"/>
    <cellStyle name="Note 3 6 2 2 3" xfId="51745"/>
    <cellStyle name="Note 3 6 2 2 3 2" xfId="51746"/>
    <cellStyle name="Note 3 6 2 2 3 2 2" xfId="51747"/>
    <cellStyle name="Note 3 6 2 2 3 3" xfId="51748"/>
    <cellStyle name="Note 3 6 2 2 4" xfId="51749"/>
    <cellStyle name="Note 3 6 2 2 4 2" xfId="51750"/>
    <cellStyle name="Note 3 6 2 2 5" xfId="51751"/>
    <cellStyle name="Note 3 6 2 3" xfId="51752"/>
    <cellStyle name="Note 3 6 2 3 2" xfId="51753"/>
    <cellStyle name="Note 3 6 2 3 2 2" xfId="51754"/>
    <cellStyle name="Note 3 6 2 3 2 2 2" xfId="51755"/>
    <cellStyle name="Note 3 6 2 3 2 2 2 2" xfId="51756"/>
    <cellStyle name="Note 3 6 2 3 2 2 3" xfId="51757"/>
    <cellStyle name="Note 3 6 2 3 2 3" xfId="51758"/>
    <cellStyle name="Note 3 6 2 3 2 3 2" xfId="51759"/>
    <cellStyle name="Note 3 6 2 3 2 4" xfId="51760"/>
    <cellStyle name="Note 3 6 2 3 3" xfId="51761"/>
    <cellStyle name="Note 3 6 2 3 3 2" xfId="51762"/>
    <cellStyle name="Note 3 6 2 3 3 2 2" xfId="51763"/>
    <cellStyle name="Note 3 6 2 3 3 3" xfId="51764"/>
    <cellStyle name="Note 3 6 2 3 4" xfId="51765"/>
    <cellStyle name="Note 3 6 2 3 4 2" xfId="51766"/>
    <cellStyle name="Note 3 6 2 3 5" xfId="51767"/>
    <cellStyle name="Note 3 6 2 4" xfId="51768"/>
    <cellStyle name="Note 3 6 2 4 2" xfId="51769"/>
    <cellStyle name="Note 3 6 2 4 2 2" xfId="51770"/>
    <cellStyle name="Note 3 6 2 4 2 2 2" xfId="51771"/>
    <cellStyle name="Note 3 6 2 4 2 2 2 2" xfId="51772"/>
    <cellStyle name="Note 3 6 2 4 2 2 3" xfId="51773"/>
    <cellStyle name="Note 3 6 2 4 2 3" xfId="51774"/>
    <cellStyle name="Note 3 6 2 4 2 3 2" xfId="51775"/>
    <cellStyle name="Note 3 6 2 4 2 4" xfId="51776"/>
    <cellStyle name="Note 3 6 2 4 3" xfId="51777"/>
    <cellStyle name="Note 3 6 2 4 3 2" xfId="51778"/>
    <cellStyle name="Note 3 6 2 4 3 2 2" xfId="51779"/>
    <cellStyle name="Note 3 6 2 4 3 3" xfId="51780"/>
    <cellStyle name="Note 3 6 2 4 4" xfId="51781"/>
    <cellStyle name="Note 3 6 2 4 4 2" xfId="51782"/>
    <cellStyle name="Note 3 6 2 4 5" xfId="51783"/>
    <cellStyle name="Note 3 6 2 5" xfId="51784"/>
    <cellStyle name="Note 3 6 2 5 2" xfId="51785"/>
    <cellStyle name="Note 3 6 2 5 2 2" xfId="51786"/>
    <cellStyle name="Note 3 6 2 5 2 2 2" xfId="51787"/>
    <cellStyle name="Note 3 6 2 5 2 2 2 2" xfId="51788"/>
    <cellStyle name="Note 3 6 2 5 2 2 3" xfId="51789"/>
    <cellStyle name="Note 3 6 2 5 2 3" xfId="51790"/>
    <cellStyle name="Note 3 6 2 5 2 3 2" xfId="51791"/>
    <cellStyle name="Note 3 6 2 5 2 4" xfId="51792"/>
    <cellStyle name="Note 3 6 2 5 3" xfId="51793"/>
    <cellStyle name="Note 3 6 2 5 3 2" xfId="51794"/>
    <cellStyle name="Note 3 6 2 5 3 2 2" xfId="51795"/>
    <cellStyle name="Note 3 6 2 5 3 3" xfId="51796"/>
    <cellStyle name="Note 3 6 2 5 4" xfId="51797"/>
    <cellStyle name="Note 3 6 2 5 4 2" xfId="51798"/>
    <cellStyle name="Note 3 6 2 5 5" xfId="51799"/>
    <cellStyle name="Note 3 6 2 6" xfId="51800"/>
    <cellStyle name="Note 3 6 2 6 2" xfId="51801"/>
    <cellStyle name="Note 3 6 2 6 2 2" xfId="51802"/>
    <cellStyle name="Note 3 6 2 6 2 2 2" xfId="51803"/>
    <cellStyle name="Note 3 6 2 6 2 2 2 2" xfId="51804"/>
    <cellStyle name="Note 3 6 2 6 2 2 3" xfId="51805"/>
    <cellStyle name="Note 3 6 2 6 2 3" xfId="51806"/>
    <cellStyle name="Note 3 6 2 6 2 3 2" xfId="51807"/>
    <cellStyle name="Note 3 6 2 6 2 4" xfId="51808"/>
    <cellStyle name="Note 3 6 2 6 3" xfId="51809"/>
    <cellStyle name="Note 3 6 2 6 3 2" xfId="51810"/>
    <cellStyle name="Note 3 6 2 6 3 2 2" xfId="51811"/>
    <cellStyle name="Note 3 6 2 6 3 3" xfId="51812"/>
    <cellStyle name="Note 3 6 2 6 4" xfId="51813"/>
    <cellStyle name="Note 3 6 2 6 4 2" xfId="51814"/>
    <cellStyle name="Note 3 6 2 6 5" xfId="51815"/>
    <cellStyle name="Note 3 6 2 7" xfId="51816"/>
    <cellStyle name="Note 3 6 2 7 2" xfId="51817"/>
    <cellStyle name="Note 3 6 2 7 2 2" xfId="51818"/>
    <cellStyle name="Note 3 6 2 7 2 2 2" xfId="51819"/>
    <cellStyle name="Note 3 6 2 7 2 3" xfId="51820"/>
    <cellStyle name="Note 3 6 2 7 3" xfId="51821"/>
    <cellStyle name="Note 3 6 2 7 3 2" xfId="51822"/>
    <cellStyle name="Note 3 6 2 7 4" xfId="51823"/>
    <cellStyle name="Note 3 6 2 8" xfId="51824"/>
    <cellStyle name="Note 3 6 2 8 2" xfId="51825"/>
    <cellStyle name="Note 3 6 2 8 2 2" xfId="51826"/>
    <cellStyle name="Note 3 6 2 8 3" xfId="51827"/>
    <cellStyle name="Note 3 6 2 9" xfId="51828"/>
    <cellStyle name="Note 3 6 2 9 2" xfId="51829"/>
    <cellStyle name="Note 3 6 3" xfId="51830"/>
    <cellStyle name="Note 3 6 3 2" xfId="51831"/>
    <cellStyle name="Note 3 6 3 2 2" xfId="51832"/>
    <cellStyle name="Note 3 6 3 2 2 2" xfId="51833"/>
    <cellStyle name="Note 3 6 3 2 2 2 2" xfId="51834"/>
    <cellStyle name="Note 3 6 3 2 2 3" xfId="51835"/>
    <cellStyle name="Note 3 6 3 2 3" xfId="51836"/>
    <cellStyle name="Note 3 6 3 2 3 2" xfId="51837"/>
    <cellStyle name="Note 3 6 3 2 4" xfId="51838"/>
    <cellStyle name="Note 3 6 3 3" xfId="51839"/>
    <cellStyle name="Note 3 6 3 3 2" xfId="51840"/>
    <cellStyle name="Note 3 6 3 3 2 2" xfId="51841"/>
    <cellStyle name="Note 3 6 3 3 3" xfId="51842"/>
    <cellStyle name="Note 3 6 3 4" xfId="51843"/>
    <cellStyle name="Note 3 6 3 4 2" xfId="51844"/>
    <cellStyle name="Note 3 6 3 5" xfId="51845"/>
    <cellStyle name="Note 3 6 4" xfId="51846"/>
    <cellStyle name="Note 3 6 4 2" xfId="51847"/>
    <cellStyle name="Note 3 6 4 2 2" xfId="51848"/>
    <cellStyle name="Note 3 6 4 2 2 2" xfId="51849"/>
    <cellStyle name="Note 3 6 4 2 2 2 2" xfId="51850"/>
    <cellStyle name="Note 3 6 4 2 2 3" xfId="51851"/>
    <cellStyle name="Note 3 6 4 2 3" xfId="51852"/>
    <cellStyle name="Note 3 6 4 2 3 2" xfId="51853"/>
    <cellStyle name="Note 3 6 4 2 4" xfId="51854"/>
    <cellStyle name="Note 3 6 4 3" xfId="51855"/>
    <cellStyle name="Note 3 6 4 3 2" xfId="51856"/>
    <cellStyle name="Note 3 6 4 3 2 2" xfId="51857"/>
    <cellStyle name="Note 3 6 4 3 3" xfId="51858"/>
    <cellStyle name="Note 3 6 4 4" xfId="51859"/>
    <cellStyle name="Note 3 6 4 4 2" xfId="51860"/>
    <cellStyle name="Note 3 6 4 5" xfId="51861"/>
    <cellStyle name="Note 3 6 5" xfId="51862"/>
    <cellStyle name="Note 3 6 5 2" xfId="51863"/>
    <cellStyle name="Note 3 6 5 2 2" xfId="51864"/>
    <cellStyle name="Note 3 6 5 2 2 2" xfId="51865"/>
    <cellStyle name="Note 3 6 5 2 2 2 2" xfId="51866"/>
    <cellStyle name="Note 3 6 5 2 2 3" xfId="51867"/>
    <cellStyle name="Note 3 6 5 2 3" xfId="51868"/>
    <cellStyle name="Note 3 6 5 2 3 2" xfId="51869"/>
    <cellStyle name="Note 3 6 5 2 4" xfId="51870"/>
    <cellStyle name="Note 3 6 5 3" xfId="51871"/>
    <cellStyle name="Note 3 6 5 3 2" xfId="51872"/>
    <cellStyle name="Note 3 6 5 3 2 2" xfId="51873"/>
    <cellStyle name="Note 3 6 5 3 3" xfId="51874"/>
    <cellStyle name="Note 3 6 5 4" xfId="51875"/>
    <cellStyle name="Note 3 6 5 4 2" xfId="51876"/>
    <cellStyle name="Note 3 6 5 5" xfId="51877"/>
    <cellStyle name="Note 3 6 6" xfId="51878"/>
    <cellStyle name="Note 3 6 6 2" xfId="51879"/>
    <cellStyle name="Note 3 6 6 2 2" xfId="51880"/>
    <cellStyle name="Note 3 6 6 2 2 2" xfId="51881"/>
    <cellStyle name="Note 3 6 6 2 2 2 2" xfId="51882"/>
    <cellStyle name="Note 3 6 6 2 2 3" xfId="51883"/>
    <cellStyle name="Note 3 6 6 2 3" xfId="51884"/>
    <cellStyle name="Note 3 6 6 2 3 2" xfId="51885"/>
    <cellStyle name="Note 3 6 6 2 4" xfId="51886"/>
    <cellStyle name="Note 3 6 6 3" xfId="51887"/>
    <cellStyle name="Note 3 6 6 3 2" xfId="51888"/>
    <cellStyle name="Note 3 6 6 3 2 2" xfId="51889"/>
    <cellStyle name="Note 3 6 6 3 3" xfId="51890"/>
    <cellStyle name="Note 3 6 6 4" xfId="51891"/>
    <cellStyle name="Note 3 6 6 4 2" xfId="51892"/>
    <cellStyle name="Note 3 6 6 5" xfId="51893"/>
    <cellStyle name="Note 3 6 7" xfId="51894"/>
    <cellStyle name="Note 3 6 7 2" xfId="51895"/>
    <cellStyle name="Note 3 6 7 2 2" xfId="51896"/>
    <cellStyle name="Note 3 6 7 2 2 2" xfId="51897"/>
    <cellStyle name="Note 3 6 7 2 2 2 2" xfId="51898"/>
    <cellStyle name="Note 3 6 7 2 2 3" xfId="51899"/>
    <cellStyle name="Note 3 6 7 2 3" xfId="51900"/>
    <cellStyle name="Note 3 6 7 2 3 2" xfId="51901"/>
    <cellStyle name="Note 3 6 7 2 4" xfId="51902"/>
    <cellStyle name="Note 3 6 7 3" xfId="51903"/>
    <cellStyle name="Note 3 6 7 3 2" xfId="51904"/>
    <cellStyle name="Note 3 6 7 3 2 2" xfId="51905"/>
    <cellStyle name="Note 3 6 7 3 3" xfId="51906"/>
    <cellStyle name="Note 3 6 7 4" xfId="51907"/>
    <cellStyle name="Note 3 6 7 4 2" xfId="51908"/>
    <cellStyle name="Note 3 6 7 5" xfId="51909"/>
    <cellStyle name="Note 3 6 8" xfId="51910"/>
    <cellStyle name="Note 3 6 8 2" xfId="51911"/>
    <cellStyle name="Note 3 6 8 2 2" xfId="51912"/>
    <cellStyle name="Note 3 6 8 2 2 2" xfId="51913"/>
    <cellStyle name="Note 3 6 8 2 3" xfId="51914"/>
    <cellStyle name="Note 3 6 8 3" xfId="51915"/>
    <cellStyle name="Note 3 6 8 3 2" xfId="51916"/>
    <cellStyle name="Note 3 6 8 4" xfId="51917"/>
    <cellStyle name="Note 3 6 9" xfId="51918"/>
    <cellStyle name="Note 3 6 9 2" xfId="51919"/>
    <cellStyle name="Note 3 6 9 2 2" xfId="51920"/>
    <cellStyle name="Note 3 6 9 3" xfId="51921"/>
    <cellStyle name="Note 3 7" xfId="51922"/>
    <cellStyle name="Note 3 7 10" xfId="51923"/>
    <cellStyle name="Note 3 7 10 2" xfId="51924"/>
    <cellStyle name="Note 3 7 11" xfId="51925"/>
    <cellStyle name="Note 3 7 2" xfId="51926"/>
    <cellStyle name="Note 3 7 2 10" xfId="51927"/>
    <cellStyle name="Note 3 7 2 2" xfId="51928"/>
    <cellStyle name="Note 3 7 2 2 2" xfId="51929"/>
    <cellStyle name="Note 3 7 2 2 2 2" xfId="51930"/>
    <cellStyle name="Note 3 7 2 2 2 2 2" xfId="51931"/>
    <cellStyle name="Note 3 7 2 2 2 2 2 2" xfId="51932"/>
    <cellStyle name="Note 3 7 2 2 2 2 3" xfId="51933"/>
    <cellStyle name="Note 3 7 2 2 2 3" xfId="51934"/>
    <cellStyle name="Note 3 7 2 2 2 3 2" xfId="51935"/>
    <cellStyle name="Note 3 7 2 2 2 4" xfId="51936"/>
    <cellStyle name="Note 3 7 2 2 3" xfId="51937"/>
    <cellStyle name="Note 3 7 2 2 3 2" xfId="51938"/>
    <cellStyle name="Note 3 7 2 2 3 2 2" xfId="51939"/>
    <cellStyle name="Note 3 7 2 2 3 3" xfId="51940"/>
    <cellStyle name="Note 3 7 2 2 4" xfId="51941"/>
    <cellStyle name="Note 3 7 2 2 4 2" xfId="51942"/>
    <cellStyle name="Note 3 7 2 2 5" xfId="51943"/>
    <cellStyle name="Note 3 7 2 3" xfId="51944"/>
    <cellStyle name="Note 3 7 2 3 2" xfId="51945"/>
    <cellStyle name="Note 3 7 2 3 2 2" xfId="51946"/>
    <cellStyle name="Note 3 7 2 3 2 2 2" xfId="51947"/>
    <cellStyle name="Note 3 7 2 3 2 2 2 2" xfId="51948"/>
    <cellStyle name="Note 3 7 2 3 2 2 3" xfId="51949"/>
    <cellStyle name="Note 3 7 2 3 2 3" xfId="51950"/>
    <cellStyle name="Note 3 7 2 3 2 3 2" xfId="51951"/>
    <cellStyle name="Note 3 7 2 3 2 4" xfId="51952"/>
    <cellStyle name="Note 3 7 2 3 3" xfId="51953"/>
    <cellStyle name="Note 3 7 2 3 3 2" xfId="51954"/>
    <cellStyle name="Note 3 7 2 3 3 2 2" xfId="51955"/>
    <cellStyle name="Note 3 7 2 3 3 3" xfId="51956"/>
    <cellStyle name="Note 3 7 2 3 4" xfId="51957"/>
    <cellStyle name="Note 3 7 2 3 4 2" xfId="51958"/>
    <cellStyle name="Note 3 7 2 3 5" xfId="51959"/>
    <cellStyle name="Note 3 7 2 4" xfId="51960"/>
    <cellStyle name="Note 3 7 2 4 2" xfId="51961"/>
    <cellStyle name="Note 3 7 2 4 2 2" xfId="51962"/>
    <cellStyle name="Note 3 7 2 4 2 2 2" xfId="51963"/>
    <cellStyle name="Note 3 7 2 4 2 2 2 2" xfId="51964"/>
    <cellStyle name="Note 3 7 2 4 2 2 3" xfId="51965"/>
    <cellStyle name="Note 3 7 2 4 2 3" xfId="51966"/>
    <cellStyle name="Note 3 7 2 4 2 3 2" xfId="51967"/>
    <cellStyle name="Note 3 7 2 4 2 4" xfId="51968"/>
    <cellStyle name="Note 3 7 2 4 3" xfId="51969"/>
    <cellStyle name="Note 3 7 2 4 3 2" xfId="51970"/>
    <cellStyle name="Note 3 7 2 4 3 2 2" xfId="51971"/>
    <cellStyle name="Note 3 7 2 4 3 3" xfId="51972"/>
    <cellStyle name="Note 3 7 2 4 4" xfId="51973"/>
    <cellStyle name="Note 3 7 2 4 4 2" xfId="51974"/>
    <cellStyle name="Note 3 7 2 4 5" xfId="51975"/>
    <cellStyle name="Note 3 7 2 5" xfId="51976"/>
    <cellStyle name="Note 3 7 2 5 2" xfId="51977"/>
    <cellStyle name="Note 3 7 2 5 2 2" xfId="51978"/>
    <cellStyle name="Note 3 7 2 5 2 2 2" xfId="51979"/>
    <cellStyle name="Note 3 7 2 5 2 2 2 2" xfId="51980"/>
    <cellStyle name="Note 3 7 2 5 2 2 3" xfId="51981"/>
    <cellStyle name="Note 3 7 2 5 2 3" xfId="51982"/>
    <cellStyle name="Note 3 7 2 5 2 3 2" xfId="51983"/>
    <cellStyle name="Note 3 7 2 5 2 4" xfId="51984"/>
    <cellStyle name="Note 3 7 2 5 3" xfId="51985"/>
    <cellStyle name="Note 3 7 2 5 3 2" xfId="51986"/>
    <cellStyle name="Note 3 7 2 5 3 2 2" xfId="51987"/>
    <cellStyle name="Note 3 7 2 5 3 3" xfId="51988"/>
    <cellStyle name="Note 3 7 2 5 4" xfId="51989"/>
    <cellStyle name="Note 3 7 2 5 4 2" xfId="51990"/>
    <cellStyle name="Note 3 7 2 5 5" xfId="51991"/>
    <cellStyle name="Note 3 7 2 6" xfId="51992"/>
    <cellStyle name="Note 3 7 2 6 2" xfId="51993"/>
    <cellStyle name="Note 3 7 2 6 2 2" xfId="51994"/>
    <cellStyle name="Note 3 7 2 6 2 2 2" xfId="51995"/>
    <cellStyle name="Note 3 7 2 6 2 2 2 2" xfId="51996"/>
    <cellStyle name="Note 3 7 2 6 2 2 3" xfId="51997"/>
    <cellStyle name="Note 3 7 2 6 2 3" xfId="51998"/>
    <cellStyle name="Note 3 7 2 6 2 3 2" xfId="51999"/>
    <cellStyle name="Note 3 7 2 6 2 4" xfId="52000"/>
    <cellStyle name="Note 3 7 2 6 3" xfId="52001"/>
    <cellStyle name="Note 3 7 2 6 3 2" xfId="52002"/>
    <cellStyle name="Note 3 7 2 6 3 2 2" xfId="52003"/>
    <cellStyle name="Note 3 7 2 6 3 3" xfId="52004"/>
    <cellStyle name="Note 3 7 2 6 4" xfId="52005"/>
    <cellStyle name="Note 3 7 2 6 4 2" xfId="52006"/>
    <cellStyle name="Note 3 7 2 6 5" xfId="52007"/>
    <cellStyle name="Note 3 7 2 7" xfId="52008"/>
    <cellStyle name="Note 3 7 2 7 2" xfId="52009"/>
    <cellStyle name="Note 3 7 2 7 2 2" xfId="52010"/>
    <cellStyle name="Note 3 7 2 7 2 2 2" xfId="52011"/>
    <cellStyle name="Note 3 7 2 7 2 3" xfId="52012"/>
    <cellStyle name="Note 3 7 2 7 3" xfId="52013"/>
    <cellStyle name="Note 3 7 2 7 3 2" xfId="52014"/>
    <cellStyle name="Note 3 7 2 7 4" xfId="52015"/>
    <cellStyle name="Note 3 7 2 8" xfId="52016"/>
    <cellStyle name="Note 3 7 2 8 2" xfId="52017"/>
    <cellStyle name="Note 3 7 2 8 2 2" xfId="52018"/>
    <cellStyle name="Note 3 7 2 8 3" xfId="52019"/>
    <cellStyle name="Note 3 7 2 9" xfId="52020"/>
    <cellStyle name="Note 3 7 2 9 2" xfId="52021"/>
    <cellStyle name="Note 3 7 3" xfId="52022"/>
    <cellStyle name="Note 3 7 3 2" xfId="52023"/>
    <cellStyle name="Note 3 7 3 2 2" xfId="52024"/>
    <cellStyle name="Note 3 7 3 2 2 2" xfId="52025"/>
    <cellStyle name="Note 3 7 3 2 2 2 2" xfId="52026"/>
    <cellStyle name="Note 3 7 3 2 2 3" xfId="52027"/>
    <cellStyle name="Note 3 7 3 2 3" xfId="52028"/>
    <cellStyle name="Note 3 7 3 2 3 2" xfId="52029"/>
    <cellStyle name="Note 3 7 3 2 4" xfId="52030"/>
    <cellStyle name="Note 3 7 3 3" xfId="52031"/>
    <cellStyle name="Note 3 7 3 3 2" xfId="52032"/>
    <cellStyle name="Note 3 7 3 3 2 2" xfId="52033"/>
    <cellStyle name="Note 3 7 3 3 3" xfId="52034"/>
    <cellStyle name="Note 3 7 3 4" xfId="52035"/>
    <cellStyle name="Note 3 7 3 4 2" xfId="52036"/>
    <cellStyle name="Note 3 7 3 5" xfId="52037"/>
    <cellStyle name="Note 3 7 4" xfId="52038"/>
    <cellStyle name="Note 3 7 4 2" xfId="52039"/>
    <cellStyle name="Note 3 7 4 2 2" xfId="52040"/>
    <cellStyle name="Note 3 7 4 2 2 2" xfId="52041"/>
    <cellStyle name="Note 3 7 4 2 2 2 2" xfId="52042"/>
    <cellStyle name="Note 3 7 4 2 2 3" xfId="52043"/>
    <cellStyle name="Note 3 7 4 2 3" xfId="52044"/>
    <cellStyle name="Note 3 7 4 2 3 2" xfId="52045"/>
    <cellStyle name="Note 3 7 4 2 4" xfId="52046"/>
    <cellStyle name="Note 3 7 4 3" xfId="52047"/>
    <cellStyle name="Note 3 7 4 3 2" xfId="52048"/>
    <cellStyle name="Note 3 7 4 3 2 2" xfId="52049"/>
    <cellStyle name="Note 3 7 4 3 3" xfId="52050"/>
    <cellStyle name="Note 3 7 4 4" xfId="52051"/>
    <cellStyle name="Note 3 7 4 4 2" xfId="52052"/>
    <cellStyle name="Note 3 7 4 5" xfId="52053"/>
    <cellStyle name="Note 3 7 5" xfId="52054"/>
    <cellStyle name="Note 3 7 5 2" xfId="52055"/>
    <cellStyle name="Note 3 7 5 2 2" xfId="52056"/>
    <cellStyle name="Note 3 7 5 2 2 2" xfId="52057"/>
    <cellStyle name="Note 3 7 5 2 2 2 2" xfId="52058"/>
    <cellStyle name="Note 3 7 5 2 2 3" xfId="52059"/>
    <cellStyle name="Note 3 7 5 2 3" xfId="52060"/>
    <cellStyle name="Note 3 7 5 2 3 2" xfId="52061"/>
    <cellStyle name="Note 3 7 5 2 4" xfId="52062"/>
    <cellStyle name="Note 3 7 5 3" xfId="52063"/>
    <cellStyle name="Note 3 7 5 3 2" xfId="52064"/>
    <cellStyle name="Note 3 7 5 3 2 2" xfId="52065"/>
    <cellStyle name="Note 3 7 5 3 3" xfId="52066"/>
    <cellStyle name="Note 3 7 5 4" xfId="52067"/>
    <cellStyle name="Note 3 7 5 4 2" xfId="52068"/>
    <cellStyle name="Note 3 7 5 5" xfId="52069"/>
    <cellStyle name="Note 3 7 6" xfId="52070"/>
    <cellStyle name="Note 3 7 6 2" xfId="52071"/>
    <cellStyle name="Note 3 7 6 2 2" xfId="52072"/>
    <cellStyle name="Note 3 7 6 2 2 2" xfId="52073"/>
    <cellStyle name="Note 3 7 6 2 2 2 2" xfId="52074"/>
    <cellStyle name="Note 3 7 6 2 2 3" xfId="52075"/>
    <cellStyle name="Note 3 7 6 2 3" xfId="52076"/>
    <cellStyle name="Note 3 7 6 2 3 2" xfId="52077"/>
    <cellStyle name="Note 3 7 6 2 4" xfId="52078"/>
    <cellStyle name="Note 3 7 6 3" xfId="52079"/>
    <cellStyle name="Note 3 7 6 3 2" xfId="52080"/>
    <cellStyle name="Note 3 7 6 3 2 2" xfId="52081"/>
    <cellStyle name="Note 3 7 6 3 3" xfId="52082"/>
    <cellStyle name="Note 3 7 6 4" xfId="52083"/>
    <cellStyle name="Note 3 7 6 4 2" xfId="52084"/>
    <cellStyle name="Note 3 7 6 5" xfId="52085"/>
    <cellStyle name="Note 3 7 7" xfId="52086"/>
    <cellStyle name="Note 3 7 7 2" xfId="52087"/>
    <cellStyle name="Note 3 7 7 2 2" xfId="52088"/>
    <cellStyle name="Note 3 7 7 2 2 2" xfId="52089"/>
    <cellStyle name="Note 3 7 7 2 2 2 2" xfId="52090"/>
    <cellStyle name="Note 3 7 7 2 2 3" xfId="52091"/>
    <cellStyle name="Note 3 7 7 2 3" xfId="52092"/>
    <cellStyle name="Note 3 7 7 2 3 2" xfId="52093"/>
    <cellStyle name="Note 3 7 7 2 4" xfId="52094"/>
    <cellStyle name="Note 3 7 7 3" xfId="52095"/>
    <cellStyle name="Note 3 7 7 3 2" xfId="52096"/>
    <cellStyle name="Note 3 7 7 3 2 2" xfId="52097"/>
    <cellStyle name="Note 3 7 7 3 3" xfId="52098"/>
    <cellStyle name="Note 3 7 7 4" xfId="52099"/>
    <cellStyle name="Note 3 7 7 4 2" xfId="52100"/>
    <cellStyle name="Note 3 7 7 5" xfId="52101"/>
    <cellStyle name="Note 3 7 8" xfId="52102"/>
    <cellStyle name="Note 3 7 8 2" xfId="52103"/>
    <cellStyle name="Note 3 7 8 2 2" xfId="52104"/>
    <cellStyle name="Note 3 7 8 2 2 2" xfId="52105"/>
    <cellStyle name="Note 3 7 8 2 3" xfId="52106"/>
    <cellStyle name="Note 3 7 8 3" xfId="52107"/>
    <cellStyle name="Note 3 7 8 3 2" xfId="52108"/>
    <cellStyle name="Note 3 7 8 4" xfId="52109"/>
    <cellStyle name="Note 3 7 9" xfId="52110"/>
    <cellStyle name="Note 3 7 9 2" xfId="52111"/>
    <cellStyle name="Note 3 7 9 2 2" xfId="52112"/>
    <cellStyle name="Note 3 7 9 3" xfId="52113"/>
    <cellStyle name="Note 3 8" xfId="52114"/>
    <cellStyle name="Note 3 8 10" xfId="52115"/>
    <cellStyle name="Note 3 8 10 2" xfId="52116"/>
    <cellStyle name="Note 3 8 11" xfId="52117"/>
    <cellStyle name="Note 3 8 2" xfId="52118"/>
    <cellStyle name="Note 3 8 2 10" xfId="52119"/>
    <cellStyle name="Note 3 8 2 2" xfId="52120"/>
    <cellStyle name="Note 3 8 2 2 2" xfId="52121"/>
    <cellStyle name="Note 3 8 2 2 2 2" xfId="52122"/>
    <cellStyle name="Note 3 8 2 2 2 2 2" xfId="52123"/>
    <cellStyle name="Note 3 8 2 2 2 2 2 2" xfId="52124"/>
    <cellStyle name="Note 3 8 2 2 2 2 3" xfId="52125"/>
    <cellStyle name="Note 3 8 2 2 2 3" xfId="52126"/>
    <cellStyle name="Note 3 8 2 2 2 3 2" xfId="52127"/>
    <cellStyle name="Note 3 8 2 2 2 4" xfId="52128"/>
    <cellStyle name="Note 3 8 2 2 3" xfId="52129"/>
    <cellStyle name="Note 3 8 2 2 3 2" xfId="52130"/>
    <cellStyle name="Note 3 8 2 2 3 2 2" xfId="52131"/>
    <cellStyle name="Note 3 8 2 2 3 3" xfId="52132"/>
    <cellStyle name="Note 3 8 2 2 4" xfId="52133"/>
    <cellStyle name="Note 3 8 2 2 4 2" xfId="52134"/>
    <cellStyle name="Note 3 8 2 2 5" xfId="52135"/>
    <cellStyle name="Note 3 8 2 3" xfId="52136"/>
    <cellStyle name="Note 3 8 2 3 2" xfId="52137"/>
    <cellStyle name="Note 3 8 2 3 2 2" xfId="52138"/>
    <cellStyle name="Note 3 8 2 3 2 2 2" xfId="52139"/>
    <cellStyle name="Note 3 8 2 3 2 2 2 2" xfId="52140"/>
    <cellStyle name="Note 3 8 2 3 2 2 3" xfId="52141"/>
    <cellStyle name="Note 3 8 2 3 2 3" xfId="52142"/>
    <cellStyle name="Note 3 8 2 3 2 3 2" xfId="52143"/>
    <cellStyle name="Note 3 8 2 3 2 4" xfId="52144"/>
    <cellStyle name="Note 3 8 2 3 3" xfId="52145"/>
    <cellStyle name="Note 3 8 2 3 3 2" xfId="52146"/>
    <cellStyle name="Note 3 8 2 3 3 2 2" xfId="52147"/>
    <cellStyle name="Note 3 8 2 3 3 3" xfId="52148"/>
    <cellStyle name="Note 3 8 2 3 4" xfId="52149"/>
    <cellStyle name="Note 3 8 2 3 4 2" xfId="52150"/>
    <cellStyle name="Note 3 8 2 3 5" xfId="52151"/>
    <cellStyle name="Note 3 8 2 4" xfId="52152"/>
    <cellStyle name="Note 3 8 2 4 2" xfId="52153"/>
    <cellStyle name="Note 3 8 2 4 2 2" xfId="52154"/>
    <cellStyle name="Note 3 8 2 4 2 2 2" xfId="52155"/>
    <cellStyle name="Note 3 8 2 4 2 2 2 2" xfId="52156"/>
    <cellStyle name="Note 3 8 2 4 2 2 3" xfId="52157"/>
    <cellStyle name="Note 3 8 2 4 2 3" xfId="52158"/>
    <cellStyle name="Note 3 8 2 4 2 3 2" xfId="52159"/>
    <cellStyle name="Note 3 8 2 4 2 4" xfId="52160"/>
    <cellStyle name="Note 3 8 2 4 3" xfId="52161"/>
    <cellStyle name="Note 3 8 2 4 3 2" xfId="52162"/>
    <cellStyle name="Note 3 8 2 4 3 2 2" xfId="52163"/>
    <cellStyle name="Note 3 8 2 4 3 3" xfId="52164"/>
    <cellStyle name="Note 3 8 2 4 4" xfId="52165"/>
    <cellStyle name="Note 3 8 2 4 4 2" xfId="52166"/>
    <cellStyle name="Note 3 8 2 4 5" xfId="52167"/>
    <cellStyle name="Note 3 8 2 5" xfId="52168"/>
    <cellStyle name="Note 3 8 2 5 2" xfId="52169"/>
    <cellStyle name="Note 3 8 2 5 2 2" xfId="52170"/>
    <cellStyle name="Note 3 8 2 5 2 2 2" xfId="52171"/>
    <cellStyle name="Note 3 8 2 5 2 2 2 2" xfId="52172"/>
    <cellStyle name="Note 3 8 2 5 2 2 3" xfId="52173"/>
    <cellStyle name="Note 3 8 2 5 2 3" xfId="52174"/>
    <cellStyle name="Note 3 8 2 5 2 3 2" xfId="52175"/>
    <cellStyle name="Note 3 8 2 5 2 4" xfId="52176"/>
    <cellStyle name="Note 3 8 2 5 3" xfId="52177"/>
    <cellStyle name="Note 3 8 2 5 3 2" xfId="52178"/>
    <cellStyle name="Note 3 8 2 5 3 2 2" xfId="52179"/>
    <cellStyle name="Note 3 8 2 5 3 3" xfId="52180"/>
    <cellStyle name="Note 3 8 2 5 4" xfId="52181"/>
    <cellStyle name="Note 3 8 2 5 4 2" xfId="52182"/>
    <cellStyle name="Note 3 8 2 5 5" xfId="52183"/>
    <cellStyle name="Note 3 8 2 6" xfId="52184"/>
    <cellStyle name="Note 3 8 2 6 2" xfId="52185"/>
    <cellStyle name="Note 3 8 2 6 2 2" xfId="52186"/>
    <cellStyle name="Note 3 8 2 6 2 2 2" xfId="52187"/>
    <cellStyle name="Note 3 8 2 6 2 2 2 2" xfId="52188"/>
    <cellStyle name="Note 3 8 2 6 2 2 3" xfId="52189"/>
    <cellStyle name="Note 3 8 2 6 2 3" xfId="52190"/>
    <cellStyle name="Note 3 8 2 6 2 3 2" xfId="52191"/>
    <cellStyle name="Note 3 8 2 6 2 4" xfId="52192"/>
    <cellStyle name="Note 3 8 2 6 3" xfId="52193"/>
    <cellStyle name="Note 3 8 2 6 3 2" xfId="52194"/>
    <cellStyle name="Note 3 8 2 6 3 2 2" xfId="52195"/>
    <cellStyle name="Note 3 8 2 6 3 3" xfId="52196"/>
    <cellStyle name="Note 3 8 2 6 4" xfId="52197"/>
    <cellStyle name="Note 3 8 2 6 4 2" xfId="52198"/>
    <cellStyle name="Note 3 8 2 6 5" xfId="52199"/>
    <cellStyle name="Note 3 8 2 7" xfId="52200"/>
    <cellStyle name="Note 3 8 2 7 2" xfId="52201"/>
    <cellStyle name="Note 3 8 2 7 2 2" xfId="52202"/>
    <cellStyle name="Note 3 8 2 7 2 2 2" xfId="52203"/>
    <cellStyle name="Note 3 8 2 7 2 3" xfId="52204"/>
    <cellStyle name="Note 3 8 2 7 3" xfId="52205"/>
    <cellStyle name="Note 3 8 2 7 3 2" xfId="52206"/>
    <cellStyle name="Note 3 8 2 7 4" xfId="52207"/>
    <cellStyle name="Note 3 8 2 8" xfId="52208"/>
    <cellStyle name="Note 3 8 2 8 2" xfId="52209"/>
    <cellStyle name="Note 3 8 2 8 2 2" xfId="52210"/>
    <cellStyle name="Note 3 8 2 8 3" xfId="52211"/>
    <cellStyle name="Note 3 8 2 9" xfId="52212"/>
    <cellStyle name="Note 3 8 2 9 2" xfId="52213"/>
    <cellStyle name="Note 3 8 3" xfId="52214"/>
    <cellStyle name="Note 3 8 3 2" xfId="52215"/>
    <cellStyle name="Note 3 8 3 2 2" xfId="52216"/>
    <cellStyle name="Note 3 8 3 2 2 2" xfId="52217"/>
    <cellStyle name="Note 3 8 3 2 2 2 2" xfId="52218"/>
    <cellStyle name="Note 3 8 3 2 2 3" xfId="52219"/>
    <cellStyle name="Note 3 8 3 2 3" xfId="52220"/>
    <cellStyle name="Note 3 8 3 2 3 2" xfId="52221"/>
    <cellStyle name="Note 3 8 3 2 4" xfId="52222"/>
    <cellStyle name="Note 3 8 3 3" xfId="52223"/>
    <cellStyle name="Note 3 8 3 3 2" xfId="52224"/>
    <cellStyle name="Note 3 8 3 3 2 2" xfId="52225"/>
    <cellStyle name="Note 3 8 3 3 3" xfId="52226"/>
    <cellStyle name="Note 3 8 3 4" xfId="52227"/>
    <cellStyle name="Note 3 8 3 4 2" xfId="52228"/>
    <cellStyle name="Note 3 8 3 5" xfId="52229"/>
    <cellStyle name="Note 3 8 4" xfId="52230"/>
    <cellStyle name="Note 3 8 4 2" xfId="52231"/>
    <cellStyle name="Note 3 8 4 2 2" xfId="52232"/>
    <cellStyle name="Note 3 8 4 2 2 2" xfId="52233"/>
    <cellStyle name="Note 3 8 4 2 2 2 2" xfId="52234"/>
    <cellStyle name="Note 3 8 4 2 2 3" xfId="52235"/>
    <cellStyle name="Note 3 8 4 2 3" xfId="52236"/>
    <cellStyle name="Note 3 8 4 2 3 2" xfId="52237"/>
    <cellStyle name="Note 3 8 4 2 4" xfId="52238"/>
    <cellStyle name="Note 3 8 4 3" xfId="52239"/>
    <cellStyle name="Note 3 8 4 3 2" xfId="52240"/>
    <cellStyle name="Note 3 8 4 3 2 2" xfId="52241"/>
    <cellStyle name="Note 3 8 4 3 3" xfId="52242"/>
    <cellStyle name="Note 3 8 4 4" xfId="52243"/>
    <cellStyle name="Note 3 8 4 4 2" xfId="52244"/>
    <cellStyle name="Note 3 8 4 5" xfId="52245"/>
    <cellStyle name="Note 3 8 5" xfId="52246"/>
    <cellStyle name="Note 3 8 5 2" xfId="52247"/>
    <cellStyle name="Note 3 8 5 2 2" xfId="52248"/>
    <cellStyle name="Note 3 8 5 2 2 2" xfId="52249"/>
    <cellStyle name="Note 3 8 5 2 2 2 2" xfId="52250"/>
    <cellStyle name="Note 3 8 5 2 2 3" xfId="52251"/>
    <cellStyle name="Note 3 8 5 2 3" xfId="52252"/>
    <cellStyle name="Note 3 8 5 2 3 2" xfId="52253"/>
    <cellStyle name="Note 3 8 5 2 4" xfId="52254"/>
    <cellStyle name="Note 3 8 5 3" xfId="52255"/>
    <cellStyle name="Note 3 8 5 3 2" xfId="52256"/>
    <cellStyle name="Note 3 8 5 3 2 2" xfId="52257"/>
    <cellStyle name="Note 3 8 5 3 3" xfId="52258"/>
    <cellStyle name="Note 3 8 5 4" xfId="52259"/>
    <cellStyle name="Note 3 8 5 4 2" xfId="52260"/>
    <cellStyle name="Note 3 8 5 5" xfId="52261"/>
    <cellStyle name="Note 3 8 6" xfId="52262"/>
    <cellStyle name="Note 3 8 6 2" xfId="52263"/>
    <cellStyle name="Note 3 8 6 2 2" xfId="52264"/>
    <cellStyle name="Note 3 8 6 2 2 2" xfId="52265"/>
    <cellStyle name="Note 3 8 6 2 2 2 2" xfId="52266"/>
    <cellStyle name="Note 3 8 6 2 2 3" xfId="52267"/>
    <cellStyle name="Note 3 8 6 2 3" xfId="52268"/>
    <cellStyle name="Note 3 8 6 2 3 2" xfId="52269"/>
    <cellStyle name="Note 3 8 6 2 4" xfId="52270"/>
    <cellStyle name="Note 3 8 6 3" xfId="52271"/>
    <cellStyle name="Note 3 8 6 3 2" xfId="52272"/>
    <cellStyle name="Note 3 8 6 3 2 2" xfId="52273"/>
    <cellStyle name="Note 3 8 6 3 3" xfId="52274"/>
    <cellStyle name="Note 3 8 6 4" xfId="52275"/>
    <cellStyle name="Note 3 8 6 4 2" xfId="52276"/>
    <cellStyle name="Note 3 8 6 5" xfId="52277"/>
    <cellStyle name="Note 3 8 7" xfId="52278"/>
    <cellStyle name="Note 3 8 7 2" xfId="52279"/>
    <cellStyle name="Note 3 8 7 2 2" xfId="52280"/>
    <cellStyle name="Note 3 8 7 2 2 2" xfId="52281"/>
    <cellStyle name="Note 3 8 7 2 2 2 2" xfId="52282"/>
    <cellStyle name="Note 3 8 7 2 2 3" xfId="52283"/>
    <cellStyle name="Note 3 8 7 2 3" xfId="52284"/>
    <cellStyle name="Note 3 8 7 2 3 2" xfId="52285"/>
    <cellStyle name="Note 3 8 7 2 4" xfId="52286"/>
    <cellStyle name="Note 3 8 7 3" xfId="52287"/>
    <cellStyle name="Note 3 8 7 3 2" xfId="52288"/>
    <cellStyle name="Note 3 8 7 3 2 2" xfId="52289"/>
    <cellStyle name="Note 3 8 7 3 3" xfId="52290"/>
    <cellStyle name="Note 3 8 7 4" xfId="52291"/>
    <cellStyle name="Note 3 8 7 4 2" xfId="52292"/>
    <cellStyle name="Note 3 8 7 5" xfId="52293"/>
    <cellStyle name="Note 3 8 8" xfId="52294"/>
    <cellStyle name="Note 3 8 8 2" xfId="52295"/>
    <cellStyle name="Note 3 8 8 2 2" xfId="52296"/>
    <cellStyle name="Note 3 8 8 2 2 2" xfId="52297"/>
    <cellStyle name="Note 3 8 8 2 3" xfId="52298"/>
    <cellStyle name="Note 3 8 8 3" xfId="52299"/>
    <cellStyle name="Note 3 8 8 3 2" xfId="52300"/>
    <cellStyle name="Note 3 8 8 4" xfId="52301"/>
    <cellStyle name="Note 3 8 9" xfId="52302"/>
    <cellStyle name="Note 3 8 9 2" xfId="52303"/>
    <cellStyle name="Note 3 8 9 2 2" xfId="52304"/>
    <cellStyle name="Note 3 8 9 3" xfId="52305"/>
    <cellStyle name="Note 3 9" xfId="52306"/>
    <cellStyle name="Note 3 9 10" xfId="52307"/>
    <cellStyle name="Note 3 9 10 2" xfId="52308"/>
    <cellStyle name="Note 3 9 11" xfId="52309"/>
    <cellStyle name="Note 3 9 2" xfId="52310"/>
    <cellStyle name="Note 3 9 2 10" xfId="52311"/>
    <cellStyle name="Note 3 9 2 2" xfId="52312"/>
    <cellStyle name="Note 3 9 2 2 2" xfId="52313"/>
    <cellStyle name="Note 3 9 2 2 2 2" xfId="52314"/>
    <cellStyle name="Note 3 9 2 2 2 2 2" xfId="52315"/>
    <cellStyle name="Note 3 9 2 2 2 2 2 2" xfId="52316"/>
    <cellStyle name="Note 3 9 2 2 2 2 3" xfId="52317"/>
    <cellStyle name="Note 3 9 2 2 2 3" xfId="52318"/>
    <cellStyle name="Note 3 9 2 2 2 3 2" xfId="52319"/>
    <cellStyle name="Note 3 9 2 2 2 4" xfId="52320"/>
    <cellStyle name="Note 3 9 2 2 3" xfId="52321"/>
    <cellStyle name="Note 3 9 2 2 3 2" xfId="52322"/>
    <cellStyle name="Note 3 9 2 2 3 2 2" xfId="52323"/>
    <cellStyle name="Note 3 9 2 2 3 3" xfId="52324"/>
    <cellStyle name="Note 3 9 2 2 4" xfId="52325"/>
    <cellStyle name="Note 3 9 2 2 4 2" xfId="52326"/>
    <cellStyle name="Note 3 9 2 2 5" xfId="52327"/>
    <cellStyle name="Note 3 9 2 3" xfId="52328"/>
    <cellStyle name="Note 3 9 2 3 2" xfId="52329"/>
    <cellStyle name="Note 3 9 2 3 2 2" xfId="52330"/>
    <cellStyle name="Note 3 9 2 3 2 2 2" xfId="52331"/>
    <cellStyle name="Note 3 9 2 3 2 2 2 2" xfId="52332"/>
    <cellStyle name="Note 3 9 2 3 2 2 3" xfId="52333"/>
    <cellStyle name="Note 3 9 2 3 2 3" xfId="52334"/>
    <cellStyle name="Note 3 9 2 3 2 3 2" xfId="52335"/>
    <cellStyle name="Note 3 9 2 3 2 4" xfId="52336"/>
    <cellStyle name="Note 3 9 2 3 3" xfId="52337"/>
    <cellStyle name="Note 3 9 2 3 3 2" xfId="52338"/>
    <cellStyle name="Note 3 9 2 3 3 2 2" xfId="52339"/>
    <cellStyle name="Note 3 9 2 3 3 3" xfId="52340"/>
    <cellStyle name="Note 3 9 2 3 4" xfId="52341"/>
    <cellStyle name="Note 3 9 2 3 4 2" xfId="52342"/>
    <cellStyle name="Note 3 9 2 3 5" xfId="52343"/>
    <cellStyle name="Note 3 9 2 4" xfId="52344"/>
    <cellStyle name="Note 3 9 2 4 2" xfId="52345"/>
    <cellStyle name="Note 3 9 2 4 2 2" xfId="52346"/>
    <cellStyle name="Note 3 9 2 4 2 2 2" xfId="52347"/>
    <cellStyle name="Note 3 9 2 4 2 2 2 2" xfId="52348"/>
    <cellStyle name="Note 3 9 2 4 2 2 3" xfId="52349"/>
    <cellStyle name="Note 3 9 2 4 2 3" xfId="52350"/>
    <cellStyle name="Note 3 9 2 4 2 3 2" xfId="52351"/>
    <cellStyle name="Note 3 9 2 4 2 4" xfId="52352"/>
    <cellStyle name="Note 3 9 2 4 3" xfId="52353"/>
    <cellStyle name="Note 3 9 2 4 3 2" xfId="52354"/>
    <cellStyle name="Note 3 9 2 4 3 2 2" xfId="52355"/>
    <cellStyle name="Note 3 9 2 4 3 3" xfId="52356"/>
    <cellStyle name="Note 3 9 2 4 4" xfId="52357"/>
    <cellStyle name="Note 3 9 2 4 4 2" xfId="52358"/>
    <cellStyle name="Note 3 9 2 4 5" xfId="52359"/>
    <cellStyle name="Note 3 9 2 5" xfId="52360"/>
    <cellStyle name="Note 3 9 2 5 2" xfId="52361"/>
    <cellStyle name="Note 3 9 2 5 2 2" xfId="52362"/>
    <cellStyle name="Note 3 9 2 5 2 2 2" xfId="52363"/>
    <cellStyle name="Note 3 9 2 5 2 2 2 2" xfId="52364"/>
    <cellStyle name="Note 3 9 2 5 2 2 3" xfId="52365"/>
    <cellStyle name="Note 3 9 2 5 2 3" xfId="52366"/>
    <cellStyle name="Note 3 9 2 5 2 3 2" xfId="52367"/>
    <cellStyle name="Note 3 9 2 5 2 4" xfId="52368"/>
    <cellStyle name="Note 3 9 2 5 3" xfId="52369"/>
    <cellStyle name="Note 3 9 2 5 3 2" xfId="52370"/>
    <cellStyle name="Note 3 9 2 5 3 2 2" xfId="52371"/>
    <cellStyle name="Note 3 9 2 5 3 3" xfId="52372"/>
    <cellStyle name="Note 3 9 2 5 4" xfId="52373"/>
    <cellStyle name="Note 3 9 2 5 4 2" xfId="52374"/>
    <cellStyle name="Note 3 9 2 5 5" xfId="52375"/>
    <cellStyle name="Note 3 9 2 6" xfId="52376"/>
    <cellStyle name="Note 3 9 2 6 2" xfId="52377"/>
    <cellStyle name="Note 3 9 2 6 2 2" xfId="52378"/>
    <cellStyle name="Note 3 9 2 6 2 2 2" xfId="52379"/>
    <cellStyle name="Note 3 9 2 6 2 2 2 2" xfId="52380"/>
    <cellStyle name="Note 3 9 2 6 2 2 3" xfId="52381"/>
    <cellStyle name="Note 3 9 2 6 2 3" xfId="52382"/>
    <cellStyle name="Note 3 9 2 6 2 3 2" xfId="52383"/>
    <cellStyle name="Note 3 9 2 6 2 4" xfId="52384"/>
    <cellStyle name="Note 3 9 2 6 3" xfId="52385"/>
    <cellStyle name="Note 3 9 2 6 3 2" xfId="52386"/>
    <cellStyle name="Note 3 9 2 6 3 2 2" xfId="52387"/>
    <cellStyle name="Note 3 9 2 6 3 3" xfId="52388"/>
    <cellStyle name="Note 3 9 2 6 4" xfId="52389"/>
    <cellStyle name="Note 3 9 2 6 4 2" xfId="52390"/>
    <cellStyle name="Note 3 9 2 6 5" xfId="52391"/>
    <cellStyle name="Note 3 9 2 7" xfId="52392"/>
    <cellStyle name="Note 3 9 2 7 2" xfId="52393"/>
    <cellStyle name="Note 3 9 2 7 2 2" xfId="52394"/>
    <cellStyle name="Note 3 9 2 7 2 2 2" xfId="52395"/>
    <cellStyle name="Note 3 9 2 7 2 3" xfId="52396"/>
    <cellStyle name="Note 3 9 2 7 3" xfId="52397"/>
    <cellStyle name="Note 3 9 2 7 3 2" xfId="52398"/>
    <cellStyle name="Note 3 9 2 7 4" xfId="52399"/>
    <cellStyle name="Note 3 9 2 8" xfId="52400"/>
    <cellStyle name="Note 3 9 2 8 2" xfId="52401"/>
    <cellStyle name="Note 3 9 2 8 2 2" xfId="52402"/>
    <cellStyle name="Note 3 9 2 8 3" xfId="52403"/>
    <cellStyle name="Note 3 9 2 9" xfId="52404"/>
    <cellStyle name="Note 3 9 2 9 2" xfId="52405"/>
    <cellStyle name="Note 3 9 3" xfId="52406"/>
    <cellStyle name="Note 3 9 3 2" xfId="52407"/>
    <cellStyle name="Note 3 9 3 2 2" xfId="52408"/>
    <cellStyle name="Note 3 9 3 2 2 2" xfId="52409"/>
    <cellStyle name="Note 3 9 3 2 2 2 2" xfId="52410"/>
    <cellStyle name="Note 3 9 3 2 2 3" xfId="52411"/>
    <cellStyle name="Note 3 9 3 2 3" xfId="52412"/>
    <cellStyle name="Note 3 9 3 2 3 2" xfId="52413"/>
    <cellStyle name="Note 3 9 3 2 4" xfId="52414"/>
    <cellStyle name="Note 3 9 3 3" xfId="52415"/>
    <cellStyle name="Note 3 9 3 3 2" xfId="52416"/>
    <cellStyle name="Note 3 9 3 3 2 2" xfId="52417"/>
    <cellStyle name="Note 3 9 3 3 3" xfId="52418"/>
    <cellStyle name="Note 3 9 3 4" xfId="52419"/>
    <cellStyle name="Note 3 9 3 4 2" xfId="52420"/>
    <cellStyle name="Note 3 9 3 5" xfId="52421"/>
    <cellStyle name="Note 3 9 4" xfId="52422"/>
    <cellStyle name="Note 3 9 4 2" xfId="52423"/>
    <cellStyle name="Note 3 9 4 2 2" xfId="52424"/>
    <cellStyle name="Note 3 9 4 2 2 2" xfId="52425"/>
    <cellStyle name="Note 3 9 4 2 2 2 2" xfId="52426"/>
    <cellStyle name="Note 3 9 4 2 2 3" xfId="52427"/>
    <cellStyle name="Note 3 9 4 2 3" xfId="52428"/>
    <cellStyle name="Note 3 9 4 2 3 2" xfId="52429"/>
    <cellStyle name="Note 3 9 4 2 4" xfId="52430"/>
    <cellStyle name="Note 3 9 4 3" xfId="52431"/>
    <cellStyle name="Note 3 9 4 3 2" xfId="52432"/>
    <cellStyle name="Note 3 9 4 3 2 2" xfId="52433"/>
    <cellStyle name="Note 3 9 4 3 3" xfId="52434"/>
    <cellStyle name="Note 3 9 4 4" xfId="52435"/>
    <cellStyle name="Note 3 9 4 4 2" xfId="52436"/>
    <cellStyle name="Note 3 9 4 5" xfId="52437"/>
    <cellStyle name="Note 3 9 5" xfId="52438"/>
    <cellStyle name="Note 3 9 5 2" xfId="52439"/>
    <cellStyle name="Note 3 9 5 2 2" xfId="52440"/>
    <cellStyle name="Note 3 9 5 2 2 2" xfId="52441"/>
    <cellStyle name="Note 3 9 5 2 2 2 2" xfId="52442"/>
    <cellStyle name="Note 3 9 5 2 2 3" xfId="52443"/>
    <cellStyle name="Note 3 9 5 2 3" xfId="52444"/>
    <cellStyle name="Note 3 9 5 2 3 2" xfId="52445"/>
    <cellStyle name="Note 3 9 5 2 4" xfId="52446"/>
    <cellStyle name="Note 3 9 5 3" xfId="52447"/>
    <cellStyle name="Note 3 9 5 3 2" xfId="52448"/>
    <cellStyle name="Note 3 9 5 3 2 2" xfId="52449"/>
    <cellStyle name="Note 3 9 5 3 3" xfId="52450"/>
    <cellStyle name="Note 3 9 5 4" xfId="52451"/>
    <cellStyle name="Note 3 9 5 4 2" xfId="52452"/>
    <cellStyle name="Note 3 9 5 5" xfId="52453"/>
    <cellStyle name="Note 3 9 6" xfId="52454"/>
    <cellStyle name="Note 3 9 6 2" xfId="52455"/>
    <cellStyle name="Note 3 9 6 2 2" xfId="52456"/>
    <cellStyle name="Note 3 9 6 2 2 2" xfId="52457"/>
    <cellStyle name="Note 3 9 6 2 2 2 2" xfId="52458"/>
    <cellStyle name="Note 3 9 6 2 2 3" xfId="52459"/>
    <cellStyle name="Note 3 9 6 2 3" xfId="52460"/>
    <cellStyle name="Note 3 9 6 2 3 2" xfId="52461"/>
    <cellStyle name="Note 3 9 6 2 4" xfId="52462"/>
    <cellStyle name="Note 3 9 6 3" xfId="52463"/>
    <cellStyle name="Note 3 9 6 3 2" xfId="52464"/>
    <cellStyle name="Note 3 9 6 3 2 2" xfId="52465"/>
    <cellStyle name="Note 3 9 6 3 3" xfId="52466"/>
    <cellStyle name="Note 3 9 6 4" xfId="52467"/>
    <cellStyle name="Note 3 9 6 4 2" xfId="52468"/>
    <cellStyle name="Note 3 9 6 5" xfId="52469"/>
    <cellStyle name="Note 3 9 7" xfId="52470"/>
    <cellStyle name="Note 3 9 7 2" xfId="52471"/>
    <cellStyle name="Note 3 9 7 2 2" xfId="52472"/>
    <cellStyle name="Note 3 9 7 2 2 2" xfId="52473"/>
    <cellStyle name="Note 3 9 7 2 2 2 2" xfId="52474"/>
    <cellStyle name="Note 3 9 7 2 2 3" xfId="52475"/>
    <cellStyle name="Note 3 9 7 2 3" xfId="52476"/>
    <cellStyle name="Note 3 9 7 2 3 2" xfId="52477"/>
    <cellStyle name="Note 3 9 7 2 4" xfId="52478"/>
    <cellStyle name="Note 3 9 7 3" xfId="52479"/>
    <cellStyle name="Note 3 9 7 3 2" xfId="52480"/>
    <cellStyle name="Note 3 9 7 3 2 2" xfId="52481"/>
    <cellStyle name="Note 3 9 7 3 3" xfId="52482"/>
    <cellStyle name="Note 3 9 7 4" xfId="52483"/>
    <cellStyle name="Note 3 9 7 4 2" xfId="52484"/>
    <cellStyle name="Note 3 9 7 5" xfId="52485"/>
    <cellStyle name="Note 3 9 8" xfId="52486"/>
    <cellStyle name="Note 3 9 8 2" xfId="52487"/>
    <cellStyle name="Note 3 9 8 2 2" xfId="52488"/>
    <cellStyle name="Note 3 9 8 2 2 2" xfId="52489"/>
    <cellStyle name="Note 3 9 8 2 3" xfId="52490"/>
    <cellStyle name="Note 3 9 8 3" xfId="52491"/>
    <cellStyle name="Note 3 9 8 3 2" xfId="52492"/>
    <cellStyle name="Note 3 9 8 4" xfId="52493"/>
    <cellStyle name="Note 3 9 9" xfId="52494"/>
    <cellStyle name="Note 3 9 9 2" xfId="52495"/>
    <cellStyle name="Note 3 9 9 2 2" xfId="52496"/>
    <cellStyle name="Note 3 9 9 3" xfId="52497"/>
    <cellStyle name="Note 4" xfId="52498"/>
    <cellStyle name="Note 4 10" xfId="52499"/>
    <cellStyle name="Note 4 10 2" xfId="52500"/>
    <cellStyle name="Note 4 11" xfId="52501"/>
    <cellStyle name="Note 4 2" xfId="52502"/>
    <cellStyle name="Note 4 2 10" xfId="52503"/>
    <cellStyle name="Note 4 2 2" xfId="52504"/>
    <cellStyle name="Note 4 2 2 2" xfId="52505"/>
    <cellStyle name="Note 4 2 2 2 2" xfId="52506"/>
    <cellStyle name="Note 4 2 2 2 2 2" xfId="52507"/>
    <cellStyle name="Note 4 2 2 2 2 2 2" xfId="52508"/>
    <cellStyle name="Note 4 2 2 2 2 3" xfId="52509"/>
    <cellStyle name="Note 4 2 2 2 3" xfId="52510"/>
    <cellStyle name="Note 4 2 2 2 3 2" xfId="52511"/>
    <cellStyle name="Note 4 2 2 2 4" xfId="52512"/>
    <cellStyle name="Note 4 2 2 3" xfId="52513"/>
    <cellStyle name="Note 4 2 2 3 2" xfId="52514"/>
    <cellStyle name="Note 4 2 2 3 2 2" xfId="52515"/>
    <cellStyle name="Note 4 2 2 3 3" xfId="52516"/>
    <cellStyle name="Note 4 2 2 4" xfId="52517"/>
    <cellStyle name="Note 4 2 2 4 2" xfId="52518"/>
    <cellStyle name="Note 4 2 2 5" xfId="52519"/>
    <cellStyle name="Note 4 2 3" xfId="52520"/>
    <cellStyle name="Note 4 2 3 2" xfId="52521"/>
    <cellStyle name="Note 4 2 3 2 2" xfId="52522"/>
    <cellStyle name="Note 4 2 3 2 2 2" xfId="52523"/>
    <cellStyle name="Note 4 2 3 2 2 2 2" xfId="52524"/>
    <cellStyle name="Note 4 2 3 2 2 3" xfId="52525"/>
    <cellStyle name="Note 4 2 3 2 3" xfId="52526"/>
    <cellStyle name="Note 4 2 3 2 3 2" xfId="52527"/>
    <cellStyle name="Note 4 2 3 2 4" xfId="52528"/>
    <cellStyle name="Note 4 2 3 3" xfId="52529"/>
    <cellStyle name="Note 4 2 3 3 2" xfId="52530"/>
    <cellStyle name="Note 4 2 3 3 2 2" xfId="52531"/>
    <cellStyle name="Note 4 2 3 3 3" xfId="52532"/>
    <cellStyle name="Note 4 2 3 4" xfId="52533"/>
    <cellStyle name="Note 4 2 3 4 2" xfId="52534"/>
    <cellStyle name="Note 4 2 3 5" xfId="52535"/>
    <cellStyle name="Note 4 2 4" xfId="52536"/>
    <cellStyle name="Note 4 2 4 2" xfId="52537"/>
    <cellStyle name="Note 4 2 4 2 2" xfId="52538"/>
    <cellStyle name="Note 4 2 4 2 2 2" xfId="52539"/>
    <cellStyle name="Note 4 2 4 2 2 2 2" xfId="52540"/>
    <cellStyle name="Note 4 2 4 2 2 3" xfId="52541"/>
    <cellStyle name="Note 4 2 4 2 3" xfId="52542"/>
    <cellStyle name="Note 4 2 4 2 3 2" xfId="52543"/>
    <cellStyle name="Note 4 2 4 2 4" xfId="52544"/>
    <cellStyle name="Note 4 2 4 3" xfId="52545"/>
    <cellStyle name="Note 4 2 4 3 2" xfId="52546"/>
    <cellStyle name="Note 4 2 4 3 2 2" xfId="52547"/>
    <cellStyle name="Note 4 2 4 3 3" xfId="52548"/>
    <cellStyle name="Note 4 2 4 4" xfId="52549"/>
    <cellStyle name="Note 4 2 4 4 2" xfId="52550"/>
    <cellStyle name="Note 4 2 4 5" xfId="52551"/>
    <cellStyle name="Note 4 2 5" xfId="52552"/>
    <cellStyle name="Note 4 2 5 2" xfId="52553"/>
    <cellStyle name="Note 4 2 5 2 2" xfId="52554"/>
    <cellStyle name="Note 4 2 5 2 2 2" xfId="52555"/>
    <cellStyle name="Note 4 2 5 2 2 2 2" xfId="52556"/>
    <cellStyle name="Note 4 2 5 2 2 3" xfId="52557"/>
    <cellStyle name="Note 4 2 5 2 3" xfId="52558"/>
    <cellStyle name="Note 4 2 5 2 3 2" xfId="52559"/>
    <cellStyle name="Note 4 2 5 2 4" xfId="52560"/>
    <cellStyle name="Note 4 2 5 3" xfId="52561"/>
    <cellStyle name="Note 4 2 5 3 2" xfId="52562"/>
    <cellStyle name="Note 4 2 5 3 2 2" xfId="52563"/>
    <cellStyle name="Note 4 2 5 3 3" xfId="52564"/>
    <cellStyle name="Note 4 2 5 4" xfId="52565"/>
    <cellStyle name="Note 4 2 5 4 2" xfId="52566"/>
    <cellStyle name="Note 4 2 5 5" xfId="52567"/>
    <cellStyle name="Note 4 2 6" xfId="52568"/>
    <cellStyle name="Note 4 2 6 2" xfId="52569"/>
    <cellStyle name="Note 4 2 6 2 2" xfId="52570"/>
    <cellStyle name="Note 4 2 6 2 2 2" xfId="52571"/>
    <cellStyle name="Note 4 2 6 2 2 2 2" xfId="52572"/>
    <cellStyle name="Note 4 2 6 2 2 3" xfId="52573"/>
    <cellStyle name="Note 4 2 6 2 3" xfId="52574"/>
    <cellStyle name="Note 4 2 6 2 3 2" xfId="52575"/>
    <cellStyle name="Note 4 2 6 2 4" xfId="52576"/>
    <cellStyle name="Note 4 2 6 3" xfId="52577"/>
    <cellStyle name="Note 4 2 6 3 2" xfId="52578"/>
    <cellStyle name="Note 4 2 6 3 2 2" xfId="52579"/>
    <cellStyle name="Note 4 2 6 3 3" xfId="52580"/>
    <cellStyle name="Note 4 2 6 4" xfId="52581"/>
    <cellStyle name="Note 4 2 6 4 2" xfId="52582"/>
    <cellStyle name="Note 4 2 6 5" xfId="52583"/>
    <cellStyle name="Note 4 2 7" xfId="52584"/>
    <cellStyle name="Note 4 2 7 2" xfId="52585"/>
    <cellStyle name="Note 4 2 7 2 2" xfId="52586"/>
    <cellStyle name="Note 4 2 7 2 2 2" xfId="52587"/>
    <cellStyle name="Note 4 2 7 2 3" xfId="52588"/>
    <cellStyle name="Note 4 2 7 3" xfId="52589"/>
    <cellStyle name="Note 4 2 7 3 2" xfId="52590"/>
    <cellStyle name="Note 4 2 7 4" xfId="52591"/>
    <cellStyle name="Note 4 2 8" xfId="52592"/>
    <cellStyle name="Note 4 2 8 2" xfId="52593"/>
    <cellStyle name="Note 4 2 8 2 2" xfId="52594"/>
    <cellStyle name="Note 4 2 8 3" xfId="52595"/>
    <cellStyle name="Note 4 2 9" xfId="52596"/>
    <cellStyle name="Note 4 2 9 2" xfId="52597"/>
    <cellStyle name="Note 4 3" xfId="52598"/>
    <cellStyle name="Note 4 3 2" xfId="52599"/>
    <cellStyle name="Note 4 3 2 2" xfId="52600"/>
    <cellStyle name="Note 4 3 2 2 2" xfId="52601"/>
    <cellStyle name="Note 4 3 2 2 2 2" xfId="52602"/>
    <cellStyle name="Note 4 3 2 2 3" xfId="52603"/>
    <cellStyle name="Note 4 3 2 3" xfId="52604"/>
    <cellStyle name="Note 4 3 2 3 2" xfId="52605"/>
    <cellStyle name="Note 4 3 2 4" xfId="52606"/>
    <cellStyle name="Note 4 3 3" xfId="52607"/>
    <cellStyle name="Note 4 3 3 2" xfId="52608"/>
    <cellStyle name="Note 4 3 3 2 2" xfId="52609"/>
    <cellStyle name="Note 4 3 3 3" xfId="52610"/>
    <cellStyle name="Note 4 3 4" xfId="52611"/>
    <cellStyle name="Note 4 3 4 2" xfId="52612"/>
    <cellStyle name="Note 4 3 5" xfId="52613"/>
    <cellStyle name="Note 4 4" xfId="52614"/>
    <cellStyle name="Note 4 4 2" xfId="52615"/>
    <cellStyle name="Note 4 4 2 2" xfId="52616"/>
    <cellStyle name="Note 4 4 2 2 2" xfId="52617"/>
    <cellStyle name="Note 4 4 2 2 2 2" xfId="52618"/>
    <cellStyle name="Note 4 4 2 2 3" xfId="52619"/>
    <cellStyle name="Note 4 4 2 3" xfId="52620"/>
    <cellStyle name="Note 4 4 2 3 2" xfId="52621"/>
    <cellStyle name="Note 4 4 2 4" xfId="52622"/>
    <cellStyle name="Note 4 4 3" xfId="52623"/>
    <cellStyle name="Note 4 4 3 2" xfId="52624"/>
    <cellStyle name="Note 4 4 3 2 2" xfId="52625"/>
    <cellStyle name="Note 4 4 3 3" xfId="52626"/>
    <cellStyle name="Note 4 4 4" xfId="52627"/>
    <cellStyle name="Note 4 4 4 2" xfId="52628"/>
    <cellStyle name="Note 4 4 5" xfId="52629"/>
    <cellStyle name="Note 4 5" xfId="52630"/>
    <cellStyle name="Note 4 5 2" xfId="52631"/>
    <cellStyle name="Note 4 5 2 2" xfId="52632"/>
    <cellStyle name="Note 4 5 2 2 2" xfId="52633"/>
    <cellStyle name="Note 4 5 2 2 2 2" xfId="52634"/>
    <cellStyle name="Note 4 5 2 2 3" xfId="52635"/>
    <cellStyle name="Note 4 5 2 3" xfId="52636"/>
    <cellStyle name="Note 4 5 2 3 2" xfId="52637"/>
    <cellStyle name="Note 4 5 2 4" xfId="52638"/>
    <cellStyle name="Note 4 5 3" xfId="52639"/>
    <cellStyle name="Note 4 5 3 2" xfId="52640"/>
    <cellStyle name="Note 4 5 3 2 2" xfId="52641"/>
    <cellStyle name="Note 4 5 3 3" xfId="52642"/>
    <cellStyle name="Note 4 5 4" xfId="52643"/>
    <cellStyle name="Note 4 5 4 2" xfId="52644"/>
    <cellStyle name="Note 4 5 5" xfId="52645"/>
    <cellStyle name="Note 4 6" xfId="52646"/>
    <cellStyle name="Note 4 6 2" xfId="52647"/>
    <cellStyle name="Note 4 6 2 2" xfId="52648"/>
    <cellStyle name="Note 4 6 2 2 2" xfId="52649"/>
    <cellStyle name="Note 4 6 2 2 2 2" xfId="52650"/>
    <cellStyle name="Note 4 6 2 2 3" xfId="52651"/>
    <cellStyle name="Note 4 6 2 3" xfId="52652"/>
    <cellStyle name="Note 4 6 2 3 2" xfId="52653"/>
    <cellStyle name="Note 4 6 2 4" xfId="52654"/>
    <cellStyle name="Note 4 6 3" xfId="52655"/>
    <cellStyle name="Note 4 6 3 2" xfId="52656"/>
    <cellStyle name="Note 4 6 3 2 2" xfId="52657"/>
    <cellStyle name="Note 4 6 3 3" xfId="52658"/>
    <cellStyle name="Note 4 6 4" xfId="52659"/>
    <cellStyle name="Note 4 6 4 2" xfId="52660"/>
    <cellStyle name="Note 4 6 5" xfId="52661"/>
    <cellStyle name="Note 4 7" xfId="52662"/>
    <cellStyle name="Note 4 7 2" xfId="52663"/>
    <cellStyle name="Note 4 7 2 2" xfId="52664"/>
    <cellStyle name="Note 4 7 2 2 2" xfId="52665"/>
    <cellStyle name="Note 4 7 2 2 2 2" xfId="52666"/>
    <cellStyle name="Note 4 7 2 2 3" xfId="52667"/>
    <cellStyle name="Note 4 7 2 3" xfId="52668"/>
    <cellStyle name="Note 4 7 2 3 2" xfId="52669"/>
    <cellStyle name="Note 4 7 2 4" xfId="52670"/>
    <cellStyle name="Note 4 7 3" xfId="52671"/>
    <cellStyle name="Note 4 7 3 2" xfId="52672"/>
    <cellStyle name="Note 4 7 3 2 2" xfId="52673"/>
    <cellStyle name="Note 4 7 3 3" xfId="52674"/>
    <cellStyle name="Note 4 7 4" xfId="52675"/>
    <cellStyle name="Note 4 7 4 2" xfId="52676"/>
    <cellStyle name="Note 4 7 5" xfId="52677"/>
    <cellStyle name="Note 4 8" xfId="52678"/>
    <cellStyle name="Note 4 8 2" xfId="52679"/>
    <cellStyle name="Note 4 8 2 2" xfId="52680"/>
    <cellStyle name="Note 4 8 2 2 2" xfId="52681"/>
    <cellStyle name="Note 4 8 2 3" xfId="52682"/>
    <cellStyle name="Note 4 8 3" xfId="52683"/>
    <cellStyle name="Note 4 8 3 2" xfId="52684"/>
    <cellStyle name="Note 4 8 4" xfId="52685"/>
    <cellStyle name="Note 4 9" xfId="52686"/>
    <cellStyle name="Note 4 9 2" xfId="52687"/>
    <cellStyle name="Note 4 9 2 2" xfId="52688"/>
    <cellStyle name="Note 4 9 3" xfId="52689"/>
    <cellStyle name="Note 5" xfId="52690"/>
    <cellStyle name="Note 5 10" xfId="52691"/>
    <cellStyle name="Note 5 2" xfId="52692"/>
    <cellStyle name="Note 5 2 2" xfId="52693"/>
    <cellStyle name="Note 5 2 2 2" xfId="52694"/>
    <cellStyle name="Note 5 2 2 2 2" xfId="52695"/>
    <cellStyle name="Note 5 2 2 2 2 2" xfId="52696"/>
    <cellStyle name="Note 5 2 2 2 3" xfId="52697"/>
    <cellStyle name="Note 5 2 2 3" xfId="52698"/>
    <cellStyle name="Note 5 2 2 3 2" xfId="52699"/>
    <cellStyle name="Note 5 2 2 4" xfId="52700"/>
    <cellStyle name="Note 5 2 3" xfId="52701"/>
    <cellStyle name="Note 5 2 3 2" xfId="52702"/>
    <cellStyle name="Note 5 2 3 2 2" xfId="52703"/>
    <cellStyle name="Note 5 2 3 3" xfId="52704"/>
    <cellStyle name="Note 5 2 4" xfId="52705"/>
    <cellStyle name="Note 5 2 4 2" xfId="52706"/>
    <cellStyle name="Note 5 2 5" xfId="52707"/>
    <cellStyle name="Note 5 3" xfId="52708"/>
    <cellStyle name="Note 5 3 2" xfId="52709"/>
    <cellStyle name="Note 5 3 2 2" xfId="52710"/>
    <cellStyle name="Note 5 3 2 2 2" xfId="52711"/>
    <cellStyle name="Note 5 3 2 2 2 2" xfId="52712"/>
    <cellStyle name="Note 5 3 2 2 3" xfId="52713"/>
    <cellStyle name="Note 5 3 2 3" xfId="52714"/>
    <cellStyle name="Note 5 3 2 3 2" xfId="52715"/>
    <cellStyle name="Note 5 3 2 4" xfId="52716"/>
    <cellStyle name="Note 5 3 3" xfId="52717"/>
    <cellStyle name="Note 5 3 3 2" xfId="52718"/>
    <cellStyle name="Note 5 3 3 2 2" xfId="52719"/>
    <cellStyle name="Note 5 3 3 3" xfId="52720"/>
    <cellStyle name="Note 5 3 4" xfId="52721"/>
    <cellStyle name="Note 5 3 4 2" xfId="52722"/>
    <cellStyle name="Note 5 3 5" xfId="52723"/>
    <cellStyle name="Note 5 4" xfId="52724"/>
    <cellStyle name="Note 5 4 2" xfId="52725"/>
    <cellStyle name="Note 5 4 2 2" xfId="52726"/>
    <cellStyle name="Note 5 4 2 2 2" xfId="52727"/>
    <cellStyle name="Note 5 4 2 2 2 2" xfId="52728"/>
    <cellStyle name="Note 5 4 2 2 3" xfId="52729"/>
    <cellStyle name="Note 5 4 2 3" xfId="52730"/>
    <cellStyle name="Note 5 4 2 3 2" xfId="52731"/>
    <cellStyle name="Note 5 4 2 4" xfId="52732"/>
    <cellStyle name="Note 5 4 3" xfId="52733"/>
    <cellStyle name="Note 5 4 3 2" xfId="52734"/>
    <cellStyle name="Note 5 4 3 2 2" xfId="52735"/>
    <cellStyle name="Note 5 4 3 3" xfId="52736"/>
    <cellStyle name="Note 5 4 4" xfId="52737"/>
    <cellStyle name="Note 5 4 4 2" xfId="52738"/>
    <cellStyle name="Note 5 4 5" xfId="52739"/>
    <cellStyle name="Note 5 5" xfId="52740"/>
    <cellStyle name="Note 5 5 2" xfId="52741"/>
    <cellStyle name="Note 5 5 2 2" xfId="52742"/>
    <cellStyle name="Note 5 5 2 2 2" xfId="52743"/>
    <cellStyle name="Note 5 5 2 2 2 2" xfId="52744"/>
    <cellStyle name="Note 5 5 2 2 3" xfId="52745"/>
    <cellStyle name="Note 5 5 2 3" xfId="52746"/>
    <cellStyle name="Note 5 5 2 3 2" xfId="52747"/>
    <cellStyle name="Note 5 5 2 4" xfId="52748"/>
    <cellStyle name="Note 5 5 3" xfId="52749"/>
    <cellStyle name="Note 5 5 3 2" xfId="52750"/>
    <cellStyle name="Note 5 5 3 2 2" xfId="52751"/>
    <cellStyle name="Note 5 5 3 3" xfId="52752"/>
    <cellStyle name="Note 5 5 4" xfId="52753"/>
    <cellStyle name="Note 5 5 4 2" xfId="52754"/>
    <cellStyle name="Note 5 5 5" xfId="52755"/>
    <cellStyle name="Note 5 6" xfId="52756"/>
    <cellStyle name="Note 5 6 2" xfId="52757"/>
    <cellStyle name="Note 5 6 2 2" xfId="52758"/>
    <cellStyle name="Note 5 6 2 2 2" xfId="52759"/>
    <cellStyle name="Note 5 6 2 2 2 2" xfId="52760"/>
    <cellStyle name="Note 5 6 2 2 3" xfId="52761"/>
    <cellStyle name="Note 5 6 2 3" xfId="52762"/>
    <cellStyle name="Note 5 6 2 3 2" xfId="52763"/>
    <cellStyle name="Note 5 6 2 4" xfId="52764"/>
    <cellStyle name="Note 5 6 3" xfId="52765"/>
    <cellStyle name="Note 5 6 3 2" xfId="52766"/>
    <cellStyle name="Note 5 6 3 2 2" xfId="52767"/>
    <cellStyle name="Note 5 6 3 3" xfId="52768"/>
    <cellStyle name="Note 5 6 4" xfId="52769"/>
    <cellStyle name="Note 5 6 4 2" xfId="52770"/>
    <cellStyle name="Note 5 6 5" xfId="52771"/>
    <cellStyle name="Note 5 7" xfId="52772"/>
    <cellStyle name="Note 5 7 2" xfId="52773"/>
    <cellStyle name="Note 5 7 2 2" xfId="52774"/>
    <cellStyle name="Note 5 7 2 2 2" xfId="52775"/>
    <cellStyle name="Note 5 7 2 3" xfId="52776"/>
    <cellStyle name="Note 5 7 3" xfId="52777"/>
    <cellStyle name="Note 5 7 3 2" xfId="52778"/>
    <cellStyle name="Note 5 7 4" xfId="52779"/>
    <cellStyle name="Note 5 8" xfId="52780"/>
    <cellStyle name="Note 5 8 2" xfId="52781"/>
    <cellStyle name="Note 5 8 2 2" xfId="52782"/>
    <cellStyle name="Note 5 8 3" xfId="52783"/>
    <cellStyle name="Note 5 9" xfId="52784"/>
    <cellStyle name="Note 5 9 2" xfId="52785"/>
    <cellStyle name="Note 6" xfId="52786"/>
    <cellStyle name="Note 6 2" xfId="52787"/>
    <cellStyle name="Note 6 2 2" xfId="52788"/>
    <cellStyle name="Note 6 2 2 2" xfId="52789"/>
    <cellStyle name="Note 6 2 2 2 2" xfId="52790"/>
    <cellStyle name="Note 6 2 2 3" xfId="52791"/>
    <cellStyle name="Note 6 2 3" xfId="52792"/>
    <cellStyle name="Note 6 2 3 2" xfId="52793"/>
    <cellStyle name="Note 6 2 4" xfId="52794"/>
    <cellStyle name="Note 6 3" xfId="52795"/>
    <cellStyle name="Note 6 3 2" xfId="52796"/>
    <cellStyle name="Note 6 3 2 2" xfId="52797"/>
    <cellStyle name="Note 6 3 3" xfId="52798"/>
    <cellStyle name="Note 6 4" xfId="52799"/>
    <cellStyle name="Note 6 4 2" xfId="52800"/>
    <cellStyle name="Note 6 5" xfId="52801"/>
    <cellStyle name="Note 7" xfId="52802"/>
    <cellStyle name="Note 7 2" xfId="52803"/>
    <cellStyle name="Note 7 2 2" xfId="52804"/>
    <cellStyle name="Note 7 2 2 2" xfId="52805"/>
    <cellStyle name="Note 7 2 2 2 2" xfId="52806"/>
    <cellStyle name="Note 7 2 2 3" xfId="52807"/>
    <cellStyle name="Note 7 2 3" xfId="52808"/>
    <cellStyle name="Note 7 2 3 2" xfId="52809"/>
    <cellStyle name="Note 7 2 4" xfId="52810"/>
    <cellStyle name="Note 7 3" xfId="52811"/>
    <cellStyle name="Note 7 3 2" xfId="52812"/>
    <cellStyle name="Note 7 3 2 2" xfId="52813"/>
    <cellStyle name="Note 7 3 3" xfId="52814"/>
    <cellStyle name="Note 7 4" xfId="52815"/>
    <cellStyle name="Note 7 4 2" xfId="52816"/>
    <cellStyle name="Note 7 5" xfId="52817"/>
    <cellStyle name="Percent" xfId="1" builtinId="5"/>
    <cellStyle name="Percent 2" xfId="52818"/>
    <cellStyle name="Percent 2 2" xfId="52819"/>
    <cellStyle name="Percent 2 2 2" xfId="52820"/>
    <cellStyle name="Percent 2 3" xfId="52821"/>
    <cellStyle name="Percent 2 3 2" xfId="52822"/>
    <cellStyle name="Percent 2 4" xfId="52823"/>
    <cellStyle name="Percent 2 4 2" xfId="52824"/>
    <cellStyle name="Percent 3" xfId="52825"/>
    <cellStyle name="Percent 4" xfId="52826"/>
    <cellStyle name="Percent 4 2" xfId="52827"/>
    <cellStyle name="Percent 5" xfId="52828"/>
    <cellStyle name="Percent 6" xfId="52829"/>
  </cellStyles>
  <dxfs count="66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auto="1"/>
        <name val="Calibri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5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chartsheet" Target="chartsheets/sheet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chartsheet" Target="chartsheets/sheet4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chartsheet" Target="chartsheets/sheet1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worksheet" Target="worksheets/sheet9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worksheet" Target="worksheets/sheet6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1E6E3F2B-2CB8-46D7-8086-ED5A450571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69788B-E9C1-41A9-A489-6AAC0F9BDA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4C4C99-613F-4865-AB5F-887647742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7915F9-BCA8-408E-843C-822A616FF8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FA3341-6A07-4BC7-85EF-C18EBC2AF8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3FE6B3-6541-4095-9DB9-194247F2B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2C7349-8636-4501-BC64-A681B917C6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0C3251-C00B-4A39-BB1A-702D9D412B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6D3438-BA8A-47B8-9686-9385F8216E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E87318-C926-4FD9-A1B7-D9275FB324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E01DFB-A505-41B2-A4DD-4D3B800429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2672D7-3026-4FA1-8CA4-8325C02AA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2D618F-E2AE-4217-A35D-2B93D10C34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04DDE4-83A3-4B67-A6BE-3DC65B3E7D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7F6F4F-E92F-43DE-BAA3-C7628F5E4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536CEB-2F7D-489E-83A6-330667DB08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94708D-47D1-46EC-9E21-A3ADC1C4D8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84D3C0-7513-4DAD-BA7B-5C2561EF9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E3549F-DBFA-430B-B1FD-D3443A071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DAE4C1-8BC7-4A98-920A-DD32465B7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BE5C7D-2949-47E6-A31B-D42C150A3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49D37B-23D5-4F7A-B622-D9660E4D2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7960</c:v>
                </c:pt>
                <c:pt idx="1">
                  <c:v>17709</c:v>
                </c:pt>
                <c:pt idx="2">
                  <c:v>11771</c:v>
                </c:pt>
                <c:pt idx="3">
                  <c:v>8206</c:v>
                </c:pt>
                <c:pt idx="4">
                  <c:v>12087</c:v>
                </c:pt>
                <c:pt idx="5">
                  <c:v>20128</c:v>
                </c:pt>
                <c:pt idx="6">
                  <c:v>0</c:v>
                </c:pt>
                <c:pt idx="7">
                  <c:v>38562</c:v>
                </c:pt>
                <c:pt idx="8">
                  <c:v>17871</c:v>
                </c:pt>
                <c:pt idx="9">
                  <c:v>20341</c:v>
                </c:pt>
                <c:pt idx="10">
                  <c:v>12605</c:v>
                </c:pt>
                <c:pt idx="11">
                  <c:v>15164</c:v>
                </c:pt>
                <c:pt idx="12">
                  <c:v>31716</c:v>
                </c:pt>
                <c:pt idx="13">
                  <c:v>33600</c:v>
                </c:pt>
                <c:pt idx="14">
                  <c:v>15914</c:v>
                </c:pt>
                <c:pt idx="15">
                  <c:v>5305</c:v>
                </c:pt>
                <c:pt idx="16">
                  <c:v>15594</c:v>
                </c:pt>
                <c:pt idx="17">
                  <c:v>8658</c:v>
                </c:pt>
                <c:pt idx="18">
                  <c:v>0</c:v>
                </c:pt>
                <c:pt idx="19">
                  <c:v>0</c:v>
                </c:pt>
                <c:pt idx="20">
                  <c:v>4331</c:v>
                </c:pt>
                <c:pt idx="21">
                  <c:v>3496</c:v>
                </c:pt>
                <c:pt idx="22">
                  <c:v>3305</c:v>
                </c:pt>
                <c:pt idx="23">
                  <c:v>0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13838</c:v>
                </c:pt>
                <c:pt idx="1">
                  <c:v>12907</c:v>
                </c:pt>
                <c:pt idx="2">
                  <c:v>12460</c:v>
                </c:pt>
                <c:pt idx="3">
                  <c:v>12291</c:v>
                </c:pt>
                <c:pt idx="4">
                  <c:v>17628</c:v>
                </c:pt>
                <c:pt idx="5">
                  <c:v>25176</c:v>
                </c:pt>
                <c:pt idx="6">
                  <c:v>19512</c:v>
                </c:pt>
                <c:pt idx="7">
                  <c:v>30576</c:v>
                </c:pt>
                <c:pt idx="8">
                  <c:v>17672</c:v>
                </c:pt>
                <c:pt idx="9">
                  <c:v>23790</c:v>
                </c:pt>
                <c:pt idx="10">
                  <c:v>11615</c:v>
                </c:pt>
                <c:pt idx="11">
                  <c:v>19458</c:v>
                </c:pt>
                <c:pt idx="12">
                  <c:v>31191</c:v>
                </c:pt>
                <c:pt idx="13">
                  <c:v>35616</c:v>
                </c:pt>
                <c:pt idx="14">
                  <c:v>18931</c:v>
                </c:pt>
                <c:pt idx="15">
                  <c:v>9302</c:v>
                </c:pt>
                <c:pt idx="16">
                  <c:v>16363</c:v>
                </c:pt>
                <c:pt idx="17">
                  <c:v>12344</c:v>
                </c:pt>
                <c:pt idx="20">
                  <c:v>5784</c:v>
                </c:pt>
                <c:pt idx="21">
                  <c:v>6157</c:v>
                </c:pt>
                <c:pt idx="22">
                  <c:v>4018</c:v>
                </c:pt>
                <c:pt idx="23">
                  <c:v>1000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 PM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4168901964177558E-2"/>
                  <c:y val="-1.447055880496027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worksheet!$K$2:$K$201</c:f>
              <c:numCache>
                <c:formatCode>General</c:formatCode>
                <c:ptCount val="200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  <c:pt idx="73">
                  <c:v>13149</c:v>
                </c:pt>
                <c:pt idx="74">
                  <c:v>14761</c:v>
                </c:pt>
                <c:pt idx="75">
                  <c:v>16609</c:v>
                </c:pt>
                <c:pt idx="76">
                  <c:v>14365</c:v>
                </c:pt>
                <c:pt idx="77">
                  <c:v>20064</c:v>
                </c:pt>
                <c:pt idx="78">
                  <c:v>14325</c:v>
                </c:pt>
                <c:pt idx="79">
                  <c:v>15383</c:v>
                </c:pt>
                <c:pt idx="80">
                  <c:v>17762</c:v>
                </c:pt>
                <c:pt idx="81">
                  <c:v>16983</c:v>
                </c:pt>
                <c:pt idx="82">
                  <c:v>15967</c:v>
                </c:pt>
                <c:pt idx="83">
                  <c:v>21966</c:v>
                </c:pt>
                <c:pt idx="84">
                  <c:v>17283</c:v>
                </c:pt>
                <c:pt idx="85">
                  <c:v>19197</c:v>
                </c:pt>
                <c:pt idx="86">
                  <c:v>16666</c:v>
                </c:pt>
                <c:pt idx="87">
                  <c:v>19169</c:v>
                </c:pt>
                <c:pt idx="88">
                  <c:v>17861</c:v>
                </c:pt>
                <c:pt idx="89">
                  <c:v>18518</c:v>
                </c:pt>
                <c:pt idx="90">
                  <c:v>36316</c:v>
                </c:pt>
                <c:pt idx="91">
                  <c:v>33516</c:v>
                </c:pt>
                <c:pt idx="92">
                  <c:v>31178</c:v>
                </c:pt>
                <c:pt idx="93">
                  <c:v>32417</c:v>
                </c:pt>
                <c:pt idx="94">
                  <c:v>32620</c:v>
                </c:pt>
                <c:pt idx="95">
                  <c:v>35728</c:v>
                </c:pt>
                <c:pt idx="96">
                  <c:v>29575</c:v>
                </c:pt>
                <c:pt idx="97">
                  <c:v>29029</c:v>
                </c:pt>
                <c:pt idx="98">
                  <c:v>31038</c:v>
                </c:pt>
                <c:pt idx="99">
                  <c:v>27727</c:v>
                </c:pt>
                <c:pt idx="100">
                  <c:v>28826</c:v>
                </c:pt>
                <c:pt idx="101">
                  <c:v>25725</c:v>
                </c:pt>
                <c:pt idx="102">
                  <c:v>26747</c:v>
                </c:pt>
                <c:pt idx="103">
                  <c:v>27888</c:v>
                </c:pt>
                <c:pt idx="104">
                  <c:v>24668</c:v>
                </c:pt>
                <c:pt idx="105">
                  <c:v>25193</c:v>
                </c:pt>
                <c:pt idx="106">
                  <c:v>27258</c:v>
                </c:pt>
                <c:pt idx="107">
                  <c:v>26992</c:v>
                </c:pt>
                <c:pt idx="108">
                  <c:v>26360</c:v>
                </c:pt>
                <c:pt idx="109">
                  <c:v>29001</c:v>
                </c:pt>
                <c:pt idx="110">
                  <c:v>28833</c:v>
                </c:pt>
                <c:pt idx="111">
                  <c:v>28357</c:v>
                </c:pt>
                <c:pt idx="112">
                  <c:v>31976</c:v>
                </c:pt>
                <c:pt idx="113">
                  <c:v>26607</c:v>
                </c:pt>
                <c:pt idx="114">
                  <c:v>20202</c:v>
                </c:pt>
                <c:pt idx="115">
                  <c:v>26024</c:v>
                </c:pt>
                <c:pt idx="116">
                  <c:v>26201</c:v>
                </c:pt>
                <c:pt idx="117">
                  <c:v>21239</c:v>
                </c:pt>
                <c:pt idx="118">
                  <c:v>25315</c:v>
                </c:pt>
                <c:pt idx="119">
                  <c:v>18814</c:v>
                </c:pt>
                <c:pt idx="120">
                  <c:v>20135</c:v>
                </c:pt>
                <c:pt idx="121">
                  <c:v>14592</c:v>
                </c:pt>
                <c:pt idx="122">
                  <c:v>20665</c:v>
                </c:pt>
                <c:pt idx="123">
                  <c:v>19555</c:v>
                </c:pt>
                <c:pt idx="124">
                  <c:v>18193</c:v>
                </c:pt>
                <c:pt idx="125">
                  <c:v>19986</c:v>
                </c:pt>
                <c:pt idx="126">
                  <c:v>19908</c:v>
                </c:pt>
                <c:pt idx="127">
                  <c:v>5905</c:v>
                </c:pt>
                <c:pt idx="128">
                  <c:v>12365</c:v>
                </c:pt>
                <c:pt idx="129">
                  <c:v>15795</c:v>
                </c:pt>
                <c:pt idx="130">
                  <c:v>18139</c:v>
                </c:pt>
                <c:pt idx="131">
                  <c:v>13368</c:v>
                </c:pt>
                <c:pt idx="132">
                  <c:v>21290</c:v>
                </c:pt>
                <c:pt idx="133">
                  <c:v>24359</c:v>
                </c:pt>
                <c:pt idx="134">
                  <c:v>21655</c:v>
                </c:pt>
                <c:pt idx="135">
                  <c:v>17466</c:v>
                </c:pt>
                <c:pt idx="136">
                  <c:v>23486</c:v>
                </c:pt>
                <c:pt idx="137">
                  <c:v>18293</c:v>
                </c:pt>
                <c:pt idx="138">
                  <c:v>22257</c:v>
                </c:pt>
                <c:pt idx="139">
                  <c:v>22742</c:v>
                </c:pt>
                <c:pt idx="140">
                  <c:v>13741</c:v>
                </c:pt>
                <c:pt idx="141">
                  <c:v>15483</c:v>
                </c:pt>
                <c:pt idx="142">
                  <c:v>17656</c:v>
                </c:pt>
                <c:pt idx="143">
                  <c:v>15022</c:v>
                </c:pt>
                <c:pt idx="144">
                  <c:v>12056</c:v>
                </c:pt>
                <c:pt idx="145">
                  <c:v>16786</c:v>
                </c:pt>
                <c:pt idx="146">
                  <c:v>17540</c:v>
                </c:pt>
                <c:pt idx="147">
                  <c:v>12465</c:v>
                </c:pt>
                <c:pt idx="148">
                  <c:v>14120</c:v>
                </c:pt>
                <c:pt idx="149">
                  <c:v>16603</c:v>
                </c:pt>
                <c:pt idx="150">
                  <c:v>13405</c:v>
                </c:pt>
                <c:pt idx="151">
                  <c:v>11943</c:v>
                </c:pt>
                <c:pt idx="152">
                  <c:v>11626</c:v>
                </c:pt>
                <c:pt idx="153">
                  <c:v>21359</c:v>
                </c:pt>
                <c:pt idx="154">
                  <c:v>11709</c:v>
                </c:pt>
                <c:pt idx="155">
                  <c:v>12748</c:v>
                </c:pt>
                <c:pt idx="156">
                  <c:v>21608</c:v>
                </c:pt>
                <c:pt idx="157">
                  <c:v>22349</c:v>
                </c:pt>
                <c:pt idx="158">
                  <c:v>20109</c:v>
                </c:pt>
                <c:pt idx="159">
                  <c:v>16142</c:v>
                </c:pt>
                <c:pt idx="160">
                  <c:v>18967</c:v>
                </c:pt>
                <c:pt idx="161">
                  <c:v>20700</c:v>
                </c:pt>
                <c:pt idx="162">
                  <c:v>19486</c:v>
                </c:pt>
                <c:pt idx="163">
                  <c:v>1769</c:v>
                </c:pt>
                <c:pt idx="164">
                  <c:v>1877</c:v>
                </c:pt>
                <c:pt idx="165">
                  <c:v>2321</c:v>
                </c:pt>
                <c:pt idx="166">
                  <c:v>3009</c:v>
                </c:pt>
                <c:pt idx="167">
                  <c:v>3276</c:v>
                </c:pt>
                <c:pt idx="168">
                  <c:v>3565</c:v>
                </c:pt>
                <c:pt idx="169">
                  <c:v>12679</c:v>
                </c:pt>
                <c:pt idx="170">
                  <c:v>10088</c:v>
                </c:pt>
                <c:pt idx="171">
                  <c:v>10030</c:v>
                </c:pt>
                <c:pt idx="172">
                  <c:v>13336</c:v>
                </c:pt>
                <c:pt idx="173">
                  <c:v>20112</c:v>
                </c:pt>
                <c:pt idx="174">
                  <c:v>8079</c:v>
                </c:pt>
                <c:pt idx="175">
                  <c:v>8903</c:v>
                </c:pt>
                <c:pt idx="176">
                  <c:v>11341</c:v>
                </c:pt>
                <c:pt idx="177">
                  <c:v>6788</c:v>
                </c:pt>
                <c:pt idx="178">
                  <c:v>8862</c:v>
                </c:pt>
                <c:pt idx="179">
                  <c:v>3190</c:v>
                </c:pt>
                <c:pt idx="180">
                  <c:v>13046</c:v>
                </c:pt>
                <c:pt idx="181">
                  <c:v>11690</c:v>
                </c:pt>
                <c:pt idx="182">
                  <c:v>10194</c:v>
                </c:pt>
                <c:pt idx="183">
                  <c:v>7304</c:v>
                </c:pt>
                <c:pt idx="184">
                  <c:v>8440</c:v>
                </c:pt>
                <c:pt idx="185">
                  <c:v>8034</c:v>
                </c:pt>
                <c:pt idx="186">
                  <c:v>11668</c:v>
                </c:pt>
                <c:pt idx="187">
                  <c:v>11009</c:v>
                </c:pt>
                <c:pt idx="188">
                  <c:v>12430</c:v>
                </c:pt>
                <c:pt idx="189">
                  <c:v>10550</c:v>
                </c:pt>
                <c:pt idx="190">
                  <c:v>7648</c:v>
                </c:pt>
                <c:pt idx="191">
                  <c:v>11992</c:v>
                </c:pt>
                <c:pt idx="192">
                  <c:v>11426</c:v>
                </c:pt>
                <c:pt idx="193">
                  <c:v>12796</c:v>
                </c:pt>
                <c:pt idx="194">
                  <c:v>12880</c:v>
                </c:pt>
                <c:pt idx="195">
                  <c:v>11289</c:v>
                </c:pt>
                <c:pt idx="196">
                  <c:v>8054</c:v>
                </c:pt>
                <c:pt idx="197">
                  <c:v>3416</c:v>
                </c:pt>
                <c:pt idx="198">
                  <c:v>2536</c:v>
                </c:pt>
                <c:pt idx="199">
                  <c:v>3028</c:v>
                </c:pt>
              </c:numCache>
            </c:numRef>
          </c:xVal>
          <c:yVal>
            <c:numRef>
              <c:f>worksheet!$L$2:$L$201</c:f>
              <c:numCache>
                <c:formatCode>0</c:formatCode>
                <c:ptCount val="200"/>
                <c:pt idx="0">
                  <c:v>1613</c:v>
                </c:pt>
                <c:pt idx="1">
                  <c:v>4201</c:v>
                </c:pt>
                <c:pt idx="2">
                  <c:v>5408</c:v>
                </c:pt>
                <c:pt idx="3">
                  <c:v>5611</c:v>
                </c:pt>
                <c:pt idx="4">
                  <c:v>10941</c:v>
                </c:pt>
                <c:pt idx="5">
                  <c:v>9076</c:v>
                </c:pt>
                <c:pt idx="6">
                  <c:v>14996</c:v>
                </c:pt>
                <c:pt idx="7">
                  <c:v>14709</c:v>
                </c:pt>
                <c:pt idx="8">
                  <c:v>14911</c:v>
                </c:pt>
                <c:pt idx="9">
                  <c:v>17528</c:v>
                </c:pt>
                <c:pt idx="10">
                  <c:v>16258</c:v>
                </c:pt>
                <c:pt idx="11">
                  <c:v>18149</c:v>
                </c:pt>
                <c:pt idx="12">
                  <c:v>18692</c:v>
                </c:pt>
                <c:pt idx="13">
                  <c:v>19975</c:v>
                </c:pt>
                <c:pt idx="14">
                  <c:v>20626</c:v>
                </c:pt>
                <c:pt idx="15">
                  <c:v>19611</c:v>
                </c:pt>
                <c:pt idx="16">
                  <c:v>25567</c:v>
                </c:pt>
                <c:pt idx="17">
                  <c:v>24072</c:v>
                </c:pt>
                <c:pt idx="18">
                  <c:v>16932</c:v>
                </c:pt>
                <c:pt idx="19">
                  <c:v>19600</c:v>
                </c:pt>
                <c:pt idx="20">
                  <c:v>18545</c:v>
                </c:pt>
                <c:pt idx="21">
                  <c:v>22115</c:v>
                </c:pt>
                <c:pt idx="22">
                  <c:v>22891</c:v>
                </c:pt>
                <c:pt idx="23">
                  <c:v>22453</c:v>
                </c:pt>
                <c:pt idx="24">
                  <c:v>18675</c:v>
                </c:pt>
                <c:pt idx="25">
                  <c:v>18675</c:v>
                </c:pt>
                <c:pt idx="26">
                  <c:v>19996</c:v>
                </c:pt>
                <c:pt idx="27">
                  <c:v>18096</c:v>
                </c:pt>
                <c:pt idx="28">
                  <c:v>23295</c:v>
                </c:pt>
                <c:pt idx="29">
                  <c:v>24693</c:v>
                </c:pt>
                <c:pt idx="30">
                  <c:v>20016</c:v>
                </c:pt>
                <c:pt idx="31">
                  <c:v>18697</c:v>
                </c:pt>
                <c:pt idx="32">
                  <c:v>20356</c:v>
                </c:pt>
                <c:pt idx="33">
                  <c:v>21209</c:v>
                </c:pt>
                <c:pt idx="34">
                  <c:v>21209</c:v>
                </c:pt>
                <c:pt idx="35">
                  <c:v>28193</c:v>
                </c:pt>
                <c:pt idx="36">
                  <c:v>21577</c:v>
                </c:pt>
                <c:pt idx="37">
                  <c:v>18056</c:v>
                </c:pt>
                <c:pt idx="38">
                  <c:v>19651</c:v>
                </c:pt>
                <c:pt idx="39">
                  <c:v>20675</c:v>
                </c:pt>
                <c:pt idx="40">
                  <c:v>18432</c:v>
                </c:pt>
                <c:pt idx="41">
                  <c:v>16604</c:v>
                </c:pt>
                <c:pt idx="42">
                  <c:v>28171</c:v>
                </c:pt>
                <c:pt idx="43">
                  <c:v>24562</c:v>
                </c:pt>
                <c:pt idx="44">
                  <c:v>15961</c:v>
                </c:pt>
                <c:pt idx="45">
                  <c:v>33670</c:v>
                </c:pt>
                <c:pt idx="46">
                  <c:v>31597</c:v>
                </c:pt>
                <c:pt idx="47">
                  <c:v>30134</c:v>
                </c:pt>
                <c:pt idx="48">
                  <c:v>31028</c:v>
                </c:pt>
                <c:pt idx="49">
                  <c:v>32064</c:v>
                </c:pt>
                <c:pt idx="50">
                  <c:v>33266</c:v>
                </c:pt>
                <c:pt idx="51">
                  <c:v>30620</c:v>
                </c:pt>
                <c:pt idx="52">
                  <c:v>29806</c:v>
                </c:pt>
                <c:pt idx="53">
                  <c:v>31178</c:v>
                </c:pt>
                <c:pt idx="54">
                  <c:v>29248</c:v>
                </c:pt>
                <c:pt idx="55">
                  <c:v>30987</c:v>
                </c:pt>
                <c:pt idx="56">
                  <c:v>29073</c:v>
                </c:pt>
                <c:pt idx="57">
                  <c:v>30001</c:v>
                </c:pt>
                <c:pt idx="58">
                  <c:v>27940</c:v>
                </c:pt>
                <c:pt idx="59">
                  <c:v>29487</c:v>
                </c:pt>
                <c:pt idx="60">
                  <c:v>26895</c:v>
                </c:pt>
                <c:pt idx="61">
                  <c:v>28062</c:v>
                </c:pt>
                <c:pt idx="62">
                  <c:v>25538</c:v>
                </c:pt>
                <c:pt idx="63">
                  <c:v>26538</c:v>
                </c:pt>
                <c:pt idx="64">
                  <c:v>27822</c:v>
                </c:pt>
                <c:pt idx="65">
                  <c:v>28981</c:v>
                </c:pt>
                <c:pt idx="66">
                  <c:v>26662</c:v>
                </c:pt>
                <c:pt idx="67">
                  <c:v>24581</c:v>
                </c:pt>
                <c:pt idx="68">
                  <c:v>20097</c:v>
                </c:pt>
                <c:pt idx="69">
                  <c:v>20436</c:v>
                </c:pt>
                <c:pt idx="70">
                  <c:v>17297</c:v>
                </c:pt>
                <c:pt idx="71">
                  <c:v>14668</c:v>
                </c:pt>
                <c:pt idx="72">
                  <c:v>14825</c:v>
                </c:pt>
                <c:pt idx="73">
                  <c:v>17197</c:v>
                </c:pt>
                <c:pt idx="74">
                  <c:v>18014</c:v>
                </c:pt>
                <c:pt idx="75">
                  <c:v>19070</c:v>
                </c:pt>
                <c:pt idx="76">
                  <c:v>18238</c:v>
                </c:pt>
                <c:pt idx="77">
                  <c:v>23643</c:v>
                </c:pt>
                <c:pt idx="78">
                  <c:v>19193</c:v>
                </c:pt>
                <c:pt idx="79">
                  <c:v>20849</c:v>
                </c:pt>
                <c:pt idx="80">
                  <c:v>20789</c:v>
                </c:pt>
                <c:pt idx="81">
                  <c:v>16280</c:v>
                </c:pt>
                <c:pt idx="82">
                  <c:v>16280</c:v>
                </c:pt>
                <c:pt idx="83">
                  <c:v>28192</c:v>
                </c:pt>
                <c:pt idx="84">
                  <c:v>22660</c:v>
                </c:pt>
                <c:pt idx="85">
                  <c:v>24406</c:v>
                </c:pt>
                <c:pt idx="86">
                  <c:v>20584</c:v>
                </c:pt>
                <c:pt idx="87">
                  <c:v>23161</c:v>
                </c:pt>
                <c:pt idx="88">
                  <c:v>21419</c:v>
                </c:pt>
                <c:pt idx="89">
                  <c:v>30520</c:v>
                </c:pt>
                <c:pt idx="90">
                  <c:v>44796</c:v>
                </c:pt>
                <c:pt idx="91">
                  <c:v>44064</c:v>
                </c:pt>
                <c:pt idx="92">
                  <c:v>44634</c:v>
                </c:pt>
                <c:pt idx="93">
                  <c:v>39690</c:v>
                </c:pt>
                <c:pt idx="94">
                  <c:v>39756</c:v>
                </c:pt>
                <c:pt idx="95">
                  <c:v>41262</c:v>
                </c:pt>
                <c:pt idx="96">
                  <c:v>37626</c:v>
                </c:pt>
                <c:pt idx="97">
                  <c:v>42146</c:v>
                </c:pt>
                <c:pt idx="98">
                  <c:v>38670</c:v>
                </c:pt>
                <c:pt idx="99">
                  <c:v>32312</c:v>
                </c:pt>
                <c:pt idx="100">
                  <c:v>33170</c:v>
                </c:pt>
                <c:pt idx="101">
                  <c:v>30445</c:v>
                </c:pt>
                <c:pt idx="102">
                  <c:v>33065</c:v>
                </c:pt>
                <c:pt idx="103">
                  <c:v>34900</c:v>
                </c:pt>
                <c:pt idx="104">
                  <c:v>31357</c:v>
                </c:pt>
                <c:pt idx="105">
                  <c:v>31297</c:v>
                </c:pt>
                <c:pt idx="106">
                  <c:v>32834</c:v>
                </c:pt>
                <c:pt idx="107">
                  <c:v>30083</c:v>
                </c:pt>
                <c:pt idx="108">
                  <c:v>32351</c:v>
                </c:pt>
                <c:pt idx="109">
                  <c:v>33907</c:v>
                </c:pt>
                <c:pt idx="110">
                  <c:v>35038</c:v>
                </c:pt>
                <c:pt idx="111">
                  <c:v>33814</c:v>
                </c:pt>
                <c:pt idx="112">
                  <c:v>36424</c:v>
                </c:pt>
                <c:pt idx="113">
                  <c:v>32233</c:v>
                </c:pt>
                <c:pt idx="114">
                  <c:v>27283</c:v>
                </c:pt>
                <c:pt idx="115">
                  <c:v>27283</c:v>
                </c:pt>
                <c:pt idx="116">
                  <c:v>30509</c:v>
                </c:pt>
                <c:pt idx="117">
                  <c:v>29865</c:v>
                </c:pt>
                <c:pt idx="118">
                  <c:v>28062</c:v>
                </c:pt>
                <c:pt idx="119">
                  <c:v>18391</c:v>
                </c:pt>
                <c:pt idx="120">
                  <c:v>20624</c:v>
                </c:pt>
                <c:pt idx="121">
                  <c:v>19443</c:v>
                </c:pt>
                <c:pt idx="122">
                  <c:v>20758</c:v>
                </c:pt>
                <c:pt idx="123">
                  <c:v>17045</c:v>
                </c:pt>
                <c:pt idx="124">
                  <c:v>18376</c:v>
                </c:pt>
                <c:pt idx="125">
                  <c:v>17526</c:v>
                </c:pt>
                <c:pt idx="126">
                  <c:v>17538</c:v>
                </c:pt>
                <c:pt idx="127">
                  <c:v>7736</c:v>
                </c:pt>
                <c:pt idx="128">
                  <c:v>13696</c:v>
                </c:pt>
                <c:pt idx="129">
                  <c:v>15857</c:v>
                </c:pt>
                <c:pt idx="130">
                  <c:v>17614</c:v>
                </c:pt>
                <c:pt idx="131">
                  <c:v>17032</c:v>
                </c:pt>
                <c:pt idx="132">
                  <c:v>21241</c:v>
                </c:pt>
                <c:pt idx="133">
                  <c:v>22891</c:v>
                </c:pt>
                <c:pt idx="134">
                  <c:v>23314</c:v>
                </c:pt>
                <c:pt idx="135">
                  <c:v>20660</c:v>
                </c:pt>
                <c:pt idx="136">
                  <c:v>23023</c:v>
                </c:pt>
                <c:pt idx="137">
                  <c:v>22825</c:v>
                </c:pt>
                <c:pt idx="138">
                  <c:v>23517</c:v>
                </c:pt>
                <c:pt idx="139">
                  <c:v>24522</c:v>
                </c:pt>
                <c:pt idx="140">
                  <c:v>14162</c:v>
                </c:pt>
                <c:pt idx="141">
                  <c:v>16947</c:v>
                </c:pt>
                <c:pt idx="142">
                  <c:v>18847</c:v>
                </c:pt>
                <c:pt idx="143">
                  <c:v>16088</c:v>
                </c:pt>
                <c:pt idx="144">
                  <c:v>14110</c:v>
                </c:pt>
                <c:pt idx="145">
                  <c:v>22387</c:v>
                </c:pt>
                <c:pt idx="146">
                  <c:v>21831</c:v>
                </c:pt>
                <c:pt idx="147">
                  <c:v>15889</c:v>
                </c:pt>
                <c:pt idx="148">
                  <c:v>20518</c:v>
                </c:pt>
                <c:pt idx="149">
                  <c:v>23881</c:v>
                </c:pt>
                <c:pt idx="150">
                  <c:v>21510</c:v>
                </c:pt>
                <c:pt idx="151">
                  <c:v>18155</c:v>
                </c:pt>
                <c:pt idx="152">
                  <c:v>19195</c:v>
                </c:pt>
                <c:pt idx="153">
                  <c:v>23360</c:v>
                </c:pt>
                <c:pt idx="154">
                  <c:v>13904</c:v>
                </c:pt>
                <c:pt idx="155">
                  <c:v>15619</c:v>
                </c:pt>
                <c:pt idx="156">
                  <c:v>24279</c:v>
                </c:pt>
                <c:pt idx="157">
                  <c:v>29005</c:v>
                </c:pt>
                <c:pt idx="158">
                  <c:v>27714</c:v>
                </c:pt>
                <c:pt idx="159">
                  <c:v>19238</c:v>
                </c:pt>
                <c:pt idx="160">
                  <c:v>23357</c:v>
                </c:pt>
                <c:pt idx="161">
                  <c:v>23837</c:v>
                </c:pt>
                <c:pt idx="162">
                  <c:v>24071</c:v>
                </c:pt>
                <c:pt idx="163">
                  <c:v>1295</c:v>
                </c:pt>
                <c:pt idx="164">
                  <c:v>990</c:v>
                </c:pt>
                <c:pt idx="165">
                  <c:v>1200</c:v>
                </c:pt>
                <c:pt idx="166">
                  <c:v>1650</c:v>
                </c:pt>
                <c:pt idx="167">
                  <c:v>1672</c:v>
                </c:pt>
                <c:pt idx="168">
                  <c:v>1942</c:v>
                </c:pt>
                <c:pt idx="169">
                  <c:v>13512</c:v>
                </c:pt>
                <c:pt idx="170">
                  <c:v>11412</c:v>
                </c:pt>
                <c:pt idx="171">
                  <c:v>10485</c:v>
                </c:pt>
                <c:pt idx="172">
                  <c:v>12669</c:v>
                </c:pt>
                <c:pt idx="173">
                  <c:v>23420</c:v>
                </c:pt>
                <c:pt idx="174">
                  <c:v>8359</c:v>
                </c:pt>
                <c:pt idx="175">
                  <c:v>9570</c:v>
                </c:pt>
                <c:pt idx="176">
                  <c:v>10619</c:v>
                </c:pt>
                <c:pt idx="177">
                  <c:v>6658</c:v>
                </c:pt>
                <c:pt idx="178">
                  <c:v>9278</c:v>
                </c:pt>
                <c:pt idx="179">
                  <c:v>5068</c:v>
                </c:pt>
                <c:pt idx="180">
                  <c:v>12794</c:v>
                </c:pt>
                <c:pt idx="181">
                  <c:v>15155</c:v>
                </c:pt>
                <c:pt idx="182">
                  <c:v>10997</c:v>
                </c:pt>
                <c:pt idx="183">
                  <c:v>11908</c:v>
                </c:pt>
                <c:pt idx="184">
                  <c:v>9795</c:v>
                </c:pt>
                <c:pt idx="185">
                  <c:v>9795</c:v>
                </c:pt>
                <c:pt idx="186">
                  <c:v>10258</c:v>
                </c:pt>
                <c:pt idx="187">
                  <c:v>10524</c:v>
                </c:pt>
                <c:pt idx="188">
                  <c:v>10524</c:v>
                </c:pt>
                <c:pt idx="189">
                  <c:v>10080</c:v>
                </c:pt>
                <c:pt idx="190">
                  <c:v>9716</c:v>
                </c:pt>
                <c:pt idx="191">
                  <c:v>9198</c:v>
                </c:pt>
                <c:pt idx="192">
                  <c:v>11956</c:v>
                </c:pt>
                <c:pt idx="193">
                  <c:v>10825</c:v>
                </c:pt>
                <c:pt idx="194">
                  <c:v>10825</c:v>
                </c:pt>
                <c:pt idx="195">
                  <c:v>9284</c:v>
                </c:pt>
                <c:pt idx="196">
                  <c:v>6418</c:v>
                </c:pt>
                <c:pt idx="197">
                  <c:v>6872</c:v>
                </c:pt>
                <c:pt idx="198">
                  <c:v>6872</c:v>
                </c:pt>
                <c:pt idx="199">
                  <c:v>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5064232355570939"/>
                  <c:y val="0.10249228680000476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worksheet!$K$202:$K$400</c:f>
              <c:numCache>
                <c:formatCode>General</c:formatCode>
                <c:ptCount val="199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  <c:pt idx="67">
                  <c:v>11896</c:v>
                </c:pt>
                <c:pt idx="68">
                  <c:v>11871</c:v>
                </c:pt>
                <c:pt idx="69">
                  <c:v>10880</c:v>
                </c:pt>
                <c:pt idx="70">
                  <c:v>10056</c:v>
                </c:pt>
                <c:pt idx="71">
                  <c:v>10396</c:v>
                </c:pt>
                <c:pt idx="72">
                  <c:v>11448</c:v>
                </c:pt>
                <c:pt idx="73">
                  <c:v>12520</c:v>
                </c:pt>
                <c:pt idx="74">
                  <c:v>9864</c:v>
                </c:pt>
                <c:pt idx="75">
                  <c:v>12404</c:v>
                </c:pt>
                <c:pt idx="76">
                  <c:v>18732</c:v>
                </c:pt>
                <c:pt idx="77">
                  <c:v>18909</c:v>
                </c:pt>
                <c:pt idx="78">
                  <c:v>16653</c:v>
                </c:pt>
                <c:pt idx="79">
                  <c:v>19215</c:v>
                </c:pt>
                <c:pt idx="80">
                  <c:v>19684</c:v>
                </c:pt>
                <c:pt idx="81">
                  <c:v>22029</c:v>
                </c:pt>
                <c:pt idx="82">
                  <c:v>19411</c:v>
                </c:pt>
                <c:pt idx="83">
                  <c:v>22876</c:v>
                </c:pt>
                <c:pt idx="84">
                  <c:v>20797</c:v>
                </c:pt>
                <c:pt idx="85">
                  <c:v>21278</c:v>
                </c:pt>
                <c:pt idx="86">
                  <c:v>18620</c:v>
                </c:pt>
                <c:pt idx="87">
                  <c:v>22442</c:v>
                </c:pt>
                <c:pt idx="88">
                  <c:v>20923</c:v>
                </c:pt>
                <c:pt idx="89">
                  <c:v>24143</c:v>
                </c:pt>
                <c:pt idx="90">
                  <c:v>21294</c:v>
                </c:pt>
                <c:pt idx="91">
                  <c:v>26695</c:v>
                </c:pt>
                <c:pt idx="92">
                  <c:v>23905</c:v>
                </c:pt>
                <c:pt idx="93">
                  <c:v>35147</c:v>
                </c:pt>
                <c:pt idx="94">
                  <c:v>23156</c:v>
                </c:pt>
                <c:pt idx="95">
                  <c:v>23205</c:v>
                </c:pt>
                <c:pt idx="96">
                  <c:v>22862</c:v>
                </c:pt>
                <c:pt idx="97">
                  <c:v>26859</c:v>
                </c:pt>
                <c:pt idx="98">
                  <c:v>31444</c:v>
                </c:pt>
                <c:pt idx="99">
                  <c:v>23954</c:v>
                </c:pt>
                <c:pt idx="100">
                  <c:v>29897</c:v>
                </c:pt>
                <c:pt idx="101">
                  <c:v>28049</c:v>
                </c:pt>
                <c:pt idx="102">
                  <c:v>29715</c:v>
                </c:pt>
                <c:pt idx="103">
                  <c:v>29666</c:v>
                </c:pt>
                <c:pt idx="104">
                  <c:v>29449</c:v>
                </c:pt>
                <c:pt idx="105">
                  <c:v>30667</c:v>
                </c:pt>
                <c:pt idx="106">
                  <c:v>36393</c:v>
                </c:pt>
                <c:pt idx="107">
                  <c:v>12928</c:v>
                </c:pt>
                <c:pt idx="108">
                  <c:v>17034</c:v>
                </c:pt>
                <c:pt idx="109">
                  <c:v>20813</c:v>
                </c:pt>
                <c:pt idx="110">
                  <c:v>19933</c:v>
                </c:pt>
                <c:pt idx="111">
                  <c:v>26056</c:v>
                </c:pt>
                <c:pt idx="112">
                  <c:v>25927</c:v>
                </c:pt>
                <c:pt idx="113">
                  <c:v>27488</c:v>
                </c:pt>
                <c:pt idx="114">
                  <c:v>30787</c:v>
                </c:pt>
                <c:pt idx="115">
                  <c:v>25927</c:v>
                </c:pt>
                <c:pt idx="116">
                  <c:v>21325</c:v>
                </c:pt>
                <c:pt idx="117">
                  <c:v>19487</c:v>
                </c:pt>
                <c:pt idx="118">
                  <c:v>20263</c:v>
                </c:pt>
                <c:pt idx="119">
                  <c:v>13021</c:v>
                </c:pt>
                <c:pt idx="120">
                  <c:v>17423</c:v>
                </c:pt>
                <c:pt idx="121">
                  <c:v>17864</c:v>
                </c:pt>
                <c:pt idx="122">
                  <c:v>16187</c:v>
                </c:pt>
                <c:pt idx="123">
                  <c:v>14033</c:v>
                </c:pt>
                <c:pt idx="124">
                  <c:v>15531</c:v>
                </c:pt>
                <c:pt idx="125">
                  <c:v>15989</c:v>
                </c:pt>
                <c:pt idx="126">
                  <c:v>14698</c:v>
                </c:pt>
                <c:pt idx="127">
                  <c:v>19459</c:v>
                </c:pt>
                <c:pt idx="128">
                  <c:v>20342</c:v>
                </c:pt>
                <c:pt idx="129">
                  <c:v>23081</c:v>
                </c:pt>
                <c:pt idx="130">
                  <c:v>20221</c:v>
                </c:pt>
                <c:pt idx="131">
                  <c:v>23171</c:v>
                </c:pt>
                <c:pt idx="132">
                  <c:v>17503</c:v>
                </c:pt>
                <c:pt idx="133">
                  <c:v>18153</c:v>
                </c:pt>
                <c:pt idx="134">
                  <c:v>29657</c:v>
                </c:pt>
                <c:pt idx="135">
                  <c:v>30448</c:v>
                </c:pt>
                <c:pt idx="136">
                  <c:v>21519</c:v>
                </c:pt>
                <c:pt idx="137">
                  <c:v>25337</c:v>
                </c:pt>
                <c:pt idx="138">
                  <c:v>28272</c:v>
                </c:pt>
                <c:pt idx="139">
                  <c:v>25480</c:v>
                </c:pt>
                <c:pt idx="140">
                  <c:v>32502</c:v>
                </c:pt>
                <c:pt idx="141">
                  <c:v>32011</c:v>
                </c:pt>
                <c:pt idx="142">
                  <c:v>21083</c:v>
                </c:pt>
                <c:pt idx="143">
                  <c:v>26681</c:v>
                </c:pt>
                <c:pt idx="144">
                  <c:v>31203</c:v>
                </c:pt>
                <c:pt idx="145">
                  <c:v>25737</c:v>
                </c:pt>
                <c:pt idx="146">
                  <c:v>30384</c:v>
                </c:pt>
                <c:pt idx="147">
                  <c:v>21753</c:v>
                </c:pt>
                <c:pt idx="148">
                  <c:v>35806</c:v>
                </c:pt>
                <c:pt idx="149">
                  <c:v>29743</c:v>
                </c:pt>
                <c:pt idx="150">
                  <c:v>26386</c:v>
                </c:pt>
                <c:pt idx="151">
                  <c:v>25637</c:v>
                </c:pt>
                <c:pt idx="152">
                  <c:v>21886</c:v>
                </c:pt>
                <c:pt idx="153">
                  <c:v>17688</c:v>
                </c:pt>
                <c:pt idx="154">
                  <c:v>13506</c:v>
                </c:pt>
                <c:pt idx="155">
                  <c:v>8717</c:v>
                </c:pt>
                <c:pt idx="156">
                  <c:v>9871</c:v>
                </c:pt>
                <c:pt idx="157">
                  <c:v>6537</c:v>
                </c:pt>
                <c:pt idx="158">
                  <c:v>20502</c:v>
                </c:pt>
                <c:pt idx="159">
                  <c:v>20096</c:v>
                </c:pt>
                <c:pt idx="160">
                  <c:v>24233</c:v>
                </c:pt>
                <c:pt idx="161">
                  <c:v>22699</c:v>
                </c:pt>
                <c:pt idx="162">
                  <c:v>20426</c:v>
                </c:pt>
                <c:pt idx="163">
                  <c:v>16624</c:v>
                </c:pt>
                <c:pt idx="164">
                  <c:v>22351</c:v>
                </c:pt>
                <c:pt idx="165">
                  <c:v>22081</c:v>
                </c:pt>
                <c:pt idx="166">
                  <c:v>10546</c:v>
                </c:pt>
                <c:pt idx="167">
                  <c:v>11803</c:v>
                </c:pt>
                <c:pt idx="168">
                  <c:v>5340</c:v>
                </c:pt>
                <c:pt idx="169">
                  <c:v>10546</c:v>
                </c:pt>
                <c:pt idx="170">
                  <c:v>7573</c:v>
                </c:pt>
                <c:pt idx="171">
                  <c:v>9357</c:v>
                </c:pt>
                <c:pt idx="172">
                  <c:v>13100</c:v>
                </c:pt>
                <c:pt idx="173">
                  <c:v>10673</c:v>
                </c:pt>
                <c:pt idx="174">
                  <c:v>6385</c:v>
                </c:pt>
                <c:pt idx="175">
                  <c:v>9706</c:v>
                </c:pt>
                <c:pt idx="176">
                  <c:v>18706</c:v>
                </c:pt>
                <c:pt idx="177">
                  <c:v>21376</c:v>
                </c:pt>
                <c:pt idx="178">
                  <c:v>15658</c:v>
                </c:pt>
                <c:pt idx="179">
                  <c:v>5914</c:v>
                </c:pt>
                <c:pt idx="180">
                  <c:v>5332</c:v>
                </c:pt>
                <c:pt idx="181">
                  <c:v>4233</c:v>
                </c:pt>
                <c:pt idx="182">
                  <c:v>2769</c:v>
                </c:pt>
                <c:pt idx="183">
                  <c:v>1552</c:v>
                </c:pt>
                <c:pt idx="184">
                  <c:v>757</c:v>
                </c:pt>
                <c:pt idx="185">
                  <c:v>8372</c:v>
                </c:pt>
                <c:pt idx="186">
                  <c:v>13580</c:v>
                </c:pt>
                <c:pt idx="187">
                  <c:v>11465</c:v>
                </c:pt>
                <c:pt idx="188">
                  <c:v>3117</c:v>
                </c:pt>
                <c:pt idx="189">
                  <c:v>4028</c:v>
                </c:pt>
                <c:pt idx="190">
                  <c:v>3426</c:v>
                </c:pt>
                <c:pt idx="191">
                  <c:v>4267</c:v>
                </c:pt>
                <c:pt idx="192">
                  <c:v>3786</c:v>
                </c:pt>
                <c:pt idx="193">
                  <c:v>4503</c:v>
                </c:pt>
                <c:pt idx="194">
                  <c:v>8794</c:v>
                </c:pt>
                <c:pt idx="195">
                  <c:v>6103</c:v>
                </c:pt>
                <c:pt idx="196">
                  <c:v>6298</c:v>
                </c:pt>
                <c:pt idx="197">
                  <c:v>12654</c:v>
                </c:pt>
                <c:pt idx="198">
                  <c:v>1662</c:v>
                </c:pt>
              </c:numCache>
            </c:numRef>
          </c:xVal>
          <c:yVal>
            <c:numRef>
              <c:f>worksheet!$L$202:$L$400</c:f>
              <c:numCache>
                <c:formatCode>0</c:formatCode>
                <c:ptCount val="199"/>
                <c:pt idx="0">
                  <c:v>12883</c:v>
                </c:pt>
                <c:pt idx="1">
                  <c:v>12636</c:v>
                </c:pt>
                <c:pt idx="2">
                  <c:v>14962</c:v>
                </c:pt>
                <c:pt idx="3">
                  <c:v>17526</c:v>
                </c:pt>
                <c:pt idx="4">
                  <c:v>17017</c:v>
                </c:pt>
                <c:pt idx="5">
                  <c:v>18128</c:v>
                </c:pt>
                <c:pt idx="6">
                  <c:v>19047</c:v>
                </c:pt>
                <c:pt idx="7">
                  <c:v>19762</c:v>
                </c:pt>
                <c:pt idx="8">
                  <c:v>17682</c:v>
                </c:pt>
                <c:pt idx="9">
                  <c:v>17028</c:v>
                </c:pt>
                <c:pt idx="10">
                  <c:v>17354</c:v>
                </c:pt>
                <c:pt idx="11">
                  <c:v>17354</c:v>
                </c:pt>
                <c:pt idx="12">
                  <c:v>16231</c:v>
                </c:pt>
                <c:pt idx="13">
                  <c:v>16283</c:v>
                </c:pt>
                <c:pt idx="14">
                  <c:v>19283</c:v>
                </c:pt>
                <c:pt idx="15">
                  <c:v>18053</c:v>
                </c:pt>
                <c:pt idx="16">
                  <c:v>20305</c:v>
                </c:pt>
                <c:pt idx="17">
                  <c:v>18540</c:v>
                </c:pt>
                <c:pt idx="18">
                  <c:v>20110</c:v>
                </c:pt>
                <c:pt idx="19">
                  <c:v>19112</c:v>
                </c:pt>
                <c:pt idx="20">
                  <c:v>20725</c:v>
                </c:pt>
                <c:pt idx="21">
                  <c:v>19090</c:v>
                </c:pt>
                <c:pt idx="22">
                  <c:v>20423</c:v>
                </c:pt>
                <c:pt idx="23">
                  <c:v>19406</c:v>
                </c:pt>
                <c:pt idx="24">
                  <c:v>19956</c:v>
                </c:pt>
                <c:pt idx="25">
                  <c:v>21076</c:v>
                </c:pt>
                <c:pt idx="26">
                  <c:v>19055</c:v>
                </c:pt>
                <c:pt idx="27">
                  <c:v>20836</c:v>
                </c:pt>
                <c:pt idx="28">
                  <c:v>23062</c:v>
                </c:pt>
                <c:pt idx="29">
                  <c:v>20306</c:v>
                </c:pt>
                <c:pt idx="30">
                  <c:v>20180</c:v>
                </c:pt>
                <c:pt idx="31">
                  <c:v>21928</c:v>
                </c:pt>
                <c:pt idx="32">
                  <c:v>13870</c:v>
                </c:pt>
                <c:pt idx="33">
                  <c:v>19697</c:v>
                </c:pt>
                <c:pt idx="34">
                  <c:v>18910</c:v>
                </c:pt>
                <c:pt idx="35">
                  <c:v>22711</c:v>
                </c:pt>
                <c:pt idx="36">
                  <c:v>24986</c:v>
                </c:pt>
                <c:pt idx="37">
                  <c:v>27492</c:v>
                </c:pt>
                <c:pt idx="38">
                  <c:v>21651</c:v>
                </c:pt>
                <c:pt idx="39">
                  <c:v>25193</c:v>
                </c:pt>
                <c:pt idx="40">
                  <c:v>27562</c:v>
                </c:pt>
                <c:pt idx="41">
                  <c:v>22654</c:v>
                </c:pt>
                <c:pt idx="42">
                  <c:v>22946</c:v>
                </c:pt>
                <c:pt idx="43">
                  <c:v>19430</c:v>
                </c:pt>
                <c:pt idx="44">
                  <c:v>21001</c:v>
                </c:pt>
                <c:pt idx="45">
                  <c:v>27968</c:v>
                </c:pt>
                <c:pt idx="46">
                  <c:v>25700</c:v>
                </c:pt>
                <c:pt idx="47">
                  <c:v>32269</c:v>
                </c:pt>
                <c:pt idx="48">
                  <c:v>30446</c:v>
                </c:pt>
                <c:pt idx="49">
                  <c:v>29122</c:v>
                </c:pt>
                <c:pt idx="50">
                  <c:v>30725</c:v>
                </c:pt>
                <c:pt idx="51">
                  <c:v>31339</c:v>
                </c:pt>
                <c:pt idx="52">
                  <c:v>28341</c:v>
                </c:pt>
                <c:pt idx="53">
                  <c:v>29373</c:v>
                </c:pt>
                <c:pt idx="54">
                  <c:v>23871</c:v>
                </c:pt>
                <c:pt idx="55">
                  <c:v>31415</c:v>
                </c:pt>
                <c:pt idx="56">
                  <c:v>32660</c:v>
                </c:pt>
                <c:pt idx="57">
                  <c:v>29607</c:v>
                </c:pt>
                <c:pt idx="58">
                  <c:v>28558</c:v>
                </c:pt>
                <c:pt idx="59">
                  <c:v>21680</c:v>
                </c:pt>
                <c:pt idx="60">
                  <c:v>25748</c:v>
                </c:pt>
                <c:pt idx="61">
                  <c:v>23828</c:v>
                </c:pt>
                <c:pt idx="62">
                  <c:v>22992</c:v>
                </c:pt>
                <c:pt idx="63">
                  <c:v>22710</c:v>
                </c:pt>
                <c:pt idx="64">
                  <c:v>19608</c:v>
                </c:pt>
                <c:pt idx="65">
                  <c:v>15291</c:v>
                </c:pt>
                <c:pt idx="66">
                  <c:v>7316</c:v>
                </c:pt>
                <c:pt idx="67">
                  <c:v>14033</c:v>
                </c:pt>
                <c:pt idx="68">
                  <c:v>13971</c:v>
                </c:pt>
                <c:pt idx="69">
                  <c:v>11709</c:v>
                </c:pt>
                <c:pt idx="70">
                  <c:v>13219</c:v>
                </c:pt>
                <c:pt idx="71">
                  <c:v>13442</c:v>
                </c:pt>
                <c:pt idx="72">
                  <c:v>12751</c:v>
                </c:pt>
                <c:pt idx="73">
                  <c:v>10460</c:v>
                </c:pt>
                <c:pt idx="74">
                  <c:v>10468</c:v>
                </c:pt>
                <c:pt idx="75">
                  <c:v>12705</c:v>
                </c:pt>
                <c:pt idx="76">
                  <c:v>21740</c:v>
                </c:pt>
                <c:pt idx="77">
                  <c:v>22543</c:v>
                </c:pt>
                <c:pt idx="78">
                  <c:v>21479</c:v>
                </c:pt>
                <c:pt idx="79">
                  <c:v>21518</c:v>
                </c:pt>
                <c:pt idx="80">
                  <c:v>21925</c:v>
                </c:pt>
                <c:pt idx="81">
                  <c:v>25171</c:v>
                </c:pt>
                <c:pt idx="82">
                  <c:v>23465</c:v>
                </c:pt>
                <c:pt idx="83">
                  <c:v>26100</c:v>
                </c:pt>
                <c:pt idx="84">
                  <c:v>21348</c:v>
                </c:pt>
                <c:pt idx="85">
                  <c:v>21689</c:v>
                </c:pt>
                <c:pt idx="86">
                  <c:v>19931</c:v>
                </c:pt>
                <c:pt idx="87">
                  <c:v>22170</c:v>
                </c:pt>
                <c:pt idx="88">
                  <c:v>20307</c:v>
                </c:pt>
                <c:pt idx="89">
                  <c:v>21593</c:v>
                </c:pt>
                <c:pt idx="90">
                  <c:v>20564</c:v>
                </c:pt>
                <c:pt idx="91">
                  <c:v>22837</c:v>
                </c:pt>
                <c:pt idx="92">
                  <c:v>21143</c:v>
                </c:pt>
                <c:pt idx="93">
                  <c:v>23653</c:v>
                </c:pt>
                <c:pt idx="94">
                  <c:v>20296</c:v>
                </c:pt>
                <c:pt idx="95">
                  <c:v>21394</c:v>
                </c:pt>
                <c:pt idx="96">
                  <c:v>20797</c:v>
                </c:pt>
                <c:pt idx="97">
                  <c:v>24077</c:v>
                </c:pt>
                <c:pt idx="98">
                  <c:v>26498</c:v>
                </c:pt>
                <c:pt idx="99">
                  <c:v>23847</c:v>
                </c:pt>
                <c:pt idx="100">
                  <c:v>29575</c:v>
                </c:pt>
                <c:pt idx="101">
                  <c:v>28197</c:v>
                </c:pt>
                <c:pt idx="102">
                  <c:v>28918</c:v>
                </c:pt>
                <c:pt idx="103">
                  <c:v>31062</c:v>
                </c:pt>
                <c:pt idx="104">
                  <c:v>32232</c:v>
                </c:pt>
                <c:pt idx="105">
                  <c:v>33570</c:v>
                </c:pt>
                <c:pt idx="106">
                  <c:v>33941</c:v>
                </c:pt>
                <c:pt idx="107">
                  <c:v>24382</c:v>
                </c:pt>
                <c:pt idx="108">
                  <c:v>24680</c:v>
                </c:pt>
                <c:pt idx="109">
                  <c:v>28131</c:v>
                </c:pt>
                <c:pt idx="110">
                  <c:v>26716</c:v>
                </c:pt>
                <c:pt idx="111">
                  <c:v>32079</c:v>
                </c:pt>
                <c:pt idx="112">
                  <c:v>30074</c:v>
                </c:pt>
                <c:pt idx="113">
                  <c:v>30720</c:v>
                </c:pt>
                <c:pt idx="114">
                  <c:v>33362</c:v>
                </c:pt>
                <c:pt idx="115">
                  <c:v>30283</c:v>
                </c:pt>
                <c:pt idx="116">
                  <c:v>25865</c:v>
                </c:pt>
                <c:pt idx="117">
                  <c:v>20781</c:v>
                </c:pt>
                <c:pt idx="118">
                  <c:v>23270</c:v>
                </c:pt>
                <c:pt idx="119">
                  <c:v>10451</c:v>
                </c:pt>
                <c:pt idx="120">
                  <c:v>16225</c:v>
                </c:pt>
                <c:pt idx="121">
                  <c:v>16576</c:v>
                </c:pt>
                <c:pt idx="122">
                  <c:v>16488</c:v>
                </c:pt>
                <c:pt idx="123">
                  <c:v>15413</c:v>
                </c:pt>
                <c:pt idx="124">
                  <c:v>16500</c:v>
                </c:pt>
                <c:pt idx="125">
                  <c:v>18903</c:v>
                </c:pt>
                <c:pt idx="126">
                  <c:v>20828</c:v>
                </c:pt>
                <c:pt idx="127">
                  <c:v>26520</c:v>
                </c:pt>
                <c:pt idx="128">
                  <c:v>31284</c:v>
                </c:pt>
                <c:pt idx="129">
                  <c:v>30884</c:v>
                </c:pt>
                <c:pt idx="130">
                  <c:v>29307</c:v>
                </c:pt>
                <c:pt idx="131">
                  <c:v>31447</c:v>
                </c:pt>
                <c:pt idx="132">
                  <c:v>24689</c:v>
                </c:pt>
                <c:pt idx="133">
                  <c:v>24689</c:v>
                </c:pt>
                <c:pt idx="134">
                  <c:v>37778</c:v>
                </c:pt>
                <c:pt idx="135">
                  <c:v>37623</c:v>
                </c:pt>
                <c:pt idx="136">
                  <c:v>26238</c:v>
                </c:pt>
                <c:pt idx="137">
                  <c:v>30999</c:v>
                </c:pt>
                <c:pt idx="138">
                  <c:v>34264</c:v>
                </c:pt>
                <c:pt idx="139">
                  <c:v>30146</c:v>
                </c:pt>
                <c:pt idx="140">
                  <c:v>40048</c:v>
                </c:pt>
                <c:pt idx="141">
                  <c:v>35761</c:v>
                </c:pt>
                <c:pt idx="142">
                  <c:v>30105</c:v>
                </c:pt>
                <c:pt idx="143">
                  <c:v>31145</c:v>
                </c:pt>
                <c:pt idx="144">
                  <c:v>32872</c:v>
                </c:pt>
                <c:pt idx="145">
                  <c:v>28869</c:v>
                </c:pt>
                <c:pt idx="146">
                  <c:v>31161</c:v>
                </c:pt>
                <c:pt idx="147">
                  <c:v>25240</c:v>
                </c:pt>
                <c:pt idx="148">
                  <c:v>32237</c:v>
                </c:pt>
                <c:pt idx="149">
                  <c:v>29444</c:v>
                </c:pt>
                <c:pt idx="150">
                  <c:v>24298</c:v>
                </c:pt>
                <c:pt idx="151">
                  <c:v>25933</c:v>
                </c:pt>
                <c:pt idx="152">
                  <c:v>17522</c:v>
                </c:pt>
                <c:pt idx="153">
                  <c:v>17494</c:v>
                </c:pt>
                <c:pt idx="154">
                  <c:v>15154</c:v>
                </c:pt>
                <c:pt idx="155">
                  <c:v>7397</c:v>
                </c:pt>
                <c:pt idx="156">
                  <c:v>8532</c:v>
                </c:pt>
                <c:pt idx="157">
                  <c:v>6676</c:v>
                </c:pt>
                <c:pt idx="158">
                  <c:v>13152</c:v>
                </c:pt>
                <c:pt idx="159">
                  <c:v>13152</c:v>
                </c:pt>
                <c:pt idx="160">
                  <c:v>15329</c:v>
                </c:pt>
                <c:pt idx="161">
                  <c:v>19254</c:v>
                </c:pt>
                <c:pt idx="162">
                  <c:v>20488</c:v>
                </c:pt>
                <c:pt idx="163">
                  <c:v>24337</c:v>
                </c:pt>
                <c:pt idx="164">
                  <c:v>25473</c:v>
                </c:pt>
                <c:pt idx="165">
                  <c:v>22881</c:v>
                </c:pt>
                <c:pt idx="166">
                  <c:v>12797</c:v>
                </c:pt>
                <c:pt idx="167">
                  <c:v>13057</c:v>
                </c:pt>
                <c:pt idx="168">
                  <c:v>4880</c:v>
                </c:pt>
                <c:pt idx="169">
                  <c:v>7928</c:v>
                </c:pt>
                <c:pt idx="170">
                  <c:v>5336</c:v>
                </c:pt>
                <c:pt idx="171">
                  <c:v>7726</c:v>
                </c:pt>
                <c:pt idx="172">
                  <c:v>10970</c:v>
                </c:pt>
                <c:pt idx="173">
                  <c:v>10119</c:v>
                </c:pt>
                <c:pt idx="174">
                  <c:v>8158</c:v>
                </c:pt>
                <c:pt idx="175">
                  <c:v>19946</c:v>
                </c:pt>
                <c:pt idx="176">
                  <c:v>22236</c:v>
                </c:pt>
                <c:pt idx="177">
                  <c:v>23301</c:v>
                </c:pt>
                <c:pt idx="178">
                  <c:v>12444</c:v>
                </c:pt>
                <c:pt idx="179">
                  <c:v>4761</c:v>
                </c:pt>
                <c:pt idx="180">
                  <c:v>4391</c:v>
                </c:pt>
                <c:pt idx="181">
                  <c:v>3133</c:v>
                </c:pt>
                <c:pt idx="182">
                  <c:v>2142</c:v>
                </c:pt>
                <c:pt idx="183">
                  <c:v>1212</c:v>
                </c:pt>
                <c:pt idx="184">
                  <c:v>896</c:v>
                </c:pt>
                <c:pt idx="185">
                  <c:v>8258</c:v>
                </c:pt>
                <c:pt idx="186">
                  <c:v>17355</c:v>
                </c:pt>
                <c:pt idx="187">
                  <c:v>10598</c:v>
                </c:pt>
                <c:pt idx="188">
                  <c:v>2504</c:v>
                </c:pt>
                <c:pt idx="189">
                  <c:v>2358</c:v>
                </c:pt>
                <c:pt idx="190">
                  <c:v>2019</c:v>
                </c:pt>
                <c:pt idx="191">
                  <c:v>3721</c:v>
                </c:pt>
                <c:pt idx="192">
                  <c:v>2687</c:v>
                </c:pt>
                <c:pt idx="193">
                  <c:v>2869</c:v>
                </c:pt>
                <c:pt idx="194">
                  <c:v>4674</c:v>
                </c:pt>
                <c:pt idx="195">
                  <c:v>4012</c:v>
                </c:pt>
                <c:pt idx="196">
                  <c:v>5212</c:v>
                </c:pt>
                <c:pt idx="197">
                  <c:v>3593</c:v>
                </c:pt>
                <c:pt idx="198">
                  <c:v>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worksheet!$K$401:$K$525</c:f>
              <c:numCache>
                <c:formatCode>General</c:formatCode>
                <c:ptCount val="125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  <c:pt idx="42">
                  <c:v>5770</c:v>
                </c:pt>
                <c:pt idx="43">
                  <c:v>8307</c:v>
                </c:pt>
                <c:pt idx="44">
                  <c:v>17543</c:v>
                </c:pt>
                <c:pt idx="45">
                  <c:v>14740</c:v>
                </c:pt>
                <c:pt idx="46">
                  <c:v>17481</c:v>
                </c:pt>
                <c:pt idx="47">
                  <c:v>16023</c:v>
                </c:pt>
                <c:pt idx="48">
                  <c:v>15535</c:v>
                </c:pt>
                <c:pt idx="49">
                  <c:v>15927</c:v>
                </c:pt>
                <c:pt idx="50">
                  <c:v>13288</c:v>
                </c:pt>
                <c:pt idx="51">
                  <c:v>18053</c:v>
                </c:pt>
                <c:pt idx="52">
                  <c:v>13126</c:v>
                </c:pt>
                <c:pt idx="53">
                  <c:v>17701</c:v>
                </c:pt>
                <c:pt idx="54">
                  <c:v>14609</c:v>
                </c:pt>
                <c:pt idx="55">
                  <c:v>17400</c:v>
                </c:pt>
                <c:pt idx="56">
                  <c:v>15494</c:v>
                </c:pt>
                <c:pt idx="57">
                  <c:v>12296</c:v>
                </c:pt>
                <c:pt idx="58">
                  <c:v>14271</c:v>
                </c:pt>
                <c:pt idx="59">
                  <c:v>11619</c:v>
                </c:pt>
                <c:pt idx="60">
                  <c:v>13550</c:v>
                </c:pt>
                <c:pt idx="61">
                  <c:v>15506</c:v>
                </c:pt>
                <c:pt idx="62">
                  <c:v>11378</c:v>
                </c:pt>
                <c:pt idx="63">
                  <c:v>13713</c:v>
                </c:pt>
                <c:pt idx="64">
                  <c:v>11505</c:v>
                </c:pt>
                <c:pt idx="65">
                  <c:v>11342</c:v>
                </c:pt>
                <c:pt idx="66">
                  <c:v>8170</c:v>
                </c:pt>
                <c:pt idx="67">
                  <c:v>8710</c:v>
                </c:pt>
                <c:pt idx="68">
                  <c:v>7448</c:v>
                </c:pt>
                <c:pt idx="69">
                  <c:v>7477</c:v>
                </c:pt>
                <c:pt idx="70">
                  <c:v>6319</c:v>
                </c:pt>
                <c:pt idx="71">
                  <c:v>7702</c:v>
                </c:pt>
                <c:pt idx="72">
                  <c:v>7547</c:v>
                </c:pt>
                <c:pt idx="73">
                  <c:v>7928</c:v>
                </c:pt>
                <c:pt idx="74">
                  <c:v>8432</c:v>
                </c:pt>
                <c:pt idx="75">
                  <c:v>6012</c:v>
                </c:pt>
                <c:pt idx="76">
                  <c:v>11348</c:v>
                </c:pt>
                <c:pt idx="77">
                  <c:v>11783</c:v>
                </c:pt>
                <c:pt idx="78">
                  <c:v>11107</c:v>
                </c:pt>
                <c:pt idx="79">
                  <c:v>8758</c:v>
                </c:pt>
                <c:pt idx="80">
                  <c:v>10159</c:v>
                </c:pt>
                <c:pt idx="81">
                  <c:v>7752</c:v>
                </c:pt>
                <c:pt idx="82">
                  <c:v>13806</c:v>
                </c:pt>
                <c:pt idx="83">
                  <c:v>14051</c:v>
                </c:pt>
                <c:pt idx="84">
                  <c:v>15144</c:v>
                </c:pt>
                <c:pt idx="85">
                  <c:v>13551</c:v>
                </c:pt>
                <c:pt idx="86">
                  <c:v>15465</c:v>
                </c:pt>
                <c:pt idx="87">
                  <c:v>10619</c:v>
                </c:pt>
                <c:pt idx="88">
                  <c:v>8119</c:v>
                </c:pt>
                <c:pt idx="89">
                  <c:v>8306</c:v>
                </c:pt>
                <c:pt idx="90">
                  <c:v>7385</c:v>
                </c:pt>
                <c:pt idx="91">
                  <c:v>4817</c:v>
                </c:pt>
                <c:pt idx="92">
                  <c:v>5728</c:v>
                </c:pt>
                <c:pt idx="93">
                  <c:v>5188</c:v>
                </c:pt>
                <c:pt idx="94">
                  <c:v>4893</c:v>
                </c:pt>
                <c:pt idx="95">
                  <c:v>5886</c:v>
                </c:pt>
                <c:pt idx="96">
                  <c:v>5055</c:v>
                </c:pt>
                <c:pt idx="97">
                  <c:v>6492</c:v>
                </c:pt>
                <c:pt idx="98">
                  <c:v>5706</c:v>
                </c:pt>
                <c:pt idx="99">
                  <c:v>7326</c:v>
                </c:pt>
                <c:pt idx="100">
                  <c:v>3469</c:v>
                </c:pt>
                <c:pt idx="101">
                  <c:v>6111</c:v>
                </c:pt>
                <c:pt idx="102">
                  <c:v>7984</c:v>
                </c:pt>
                <c:pt idx="103">
                  <c:v>11558</c:v>
                </c:pt>
                <c:pt idx="104">
                  <c:v>7458</c:v>
                </c:pt>
                <c:pt idx="105">
                  <c:v>10635</c:v>
                </c:pt>
                <c:pt idx="106">
                  <c:v>14243</c:v>
                </c:pt>
                <c:pt idx="107">
                  <c:v>12793</c:v>
                </c:pt>
                <c:pt idx="108">
                  <c:v>15038</c:v>
                </c:pt>
                <c:pt idx="109">
                  <c:v>12949</c:v>
                </c:pt>
                <c:pt idx="110">
                  <c:v>12943</c:v>
                </c:pt>
                <c:pt idx="111">
                  <c:v>14247</c:v>
                </c:pt>
                <c:pt idx="112">
                  <c:v>15515</c:v>
                </c:pt>
                <c:pt idx="113">
                  <c:v>15580</c:v>
                </c:pt>
                <c:pt idx="114">
                  <c:v>16129</c:v>
                </c:pt>
                <c:pt idx="115">
                  <c:v>14905</c:v>
                </c:pt>
                <c:pt idx="116">
                  <c:v>18373</c:v>
                </c:pt>
                <c:pt idx="117">
                  <c:v>9018</c:v>
                </c:pt>
                <c:pt idx="118">
                  <c:v>12464</c:v>
                </c:pt>
                <c:pt idx="119">
                  <c:v>14272</c:v>
                </c:pt>
                <c:pt idx="120">
                  <c:v>11686</c:v>
                </c:pt>
                <c:pt idx="121">
                  <c:v>13214</c:v>
                </c:pt>
                <c:pt idx="122">
                  <c:v>11871</c:v>
                </c:pt>
                <c:pt idx="123">
                  <c:v>11090</c:v>
                </c:pt>
                <c:pt idx="124">
                  <c:v>4620</c:v>
                </c:pt>
              </c:numCache>
            </c:numRef>
          </c:xVal>
          <c:yVal>
            <c:numRef>
              <c:f>worksheet!$L$401:$L$525</c:f>
              <c:numCache>
                <c:formatCode>0</c:formatCode>
                <c:ptCount val="125"/>
                <c:pt idx="0">
                  <c:v>688</c:v>
                </c:pt>
                <c:pt idx="1">
                  <c:v>933</c:v>
                </c:pt>
                <c:pt idx="2">
                  <c:v>1320</c:v>
                </c:pt>
                <c:pt idx="3">
                  <c:v>5323</c:v>
                </c:pt>
                <c:pt idx="4">
                  <c:v>4396</c:v>
                </c:pt>
                <c:pt idx="5">
                  <c:v>5684</c:v>
                </c:pt>
                <c:pt idx="6">
                  <c:v>7496</c:v>
                </c:pt>
                <c:pt idx="7">
                  <c:v>7211</c:v>
                </c:pt>
                <c:pt idx="8">
                  <c:v>9112</c:v>
                </c:pt>
                <c:pt idx="9">
                  <c:v>9112</c:v>
                </c:pt>
                <c:pt idx="10">
                  <c:v>8177</c:v>
                </c:pt>
                <c:pt idx="11">
                  <c:v>10480</c:v>
                </c:pt>
                <c:pt idx="12">
                  <c:v>9956</c:v>
                </c:pt>
                <c:pt idx="13">
                  <c:v>11979</c:v>
                </c:pt>
                <c:pt idx="14">
                  <c:v>8404</c:v>
                </c:pt>
                <c:pt idx="15">
                  <c:v>17464</c:v>
                </c:pt>
                <c:pt idx="16">
                  <c:v>19152</c:v>
                </c:pt>
                <c:pt idx="17">
                  <c:v>20852</c:v>
                </c:pt>
                <c:pt idx="18">
                  <c:v>23582</c:v>
                </c:pt>
                <c:pt idx="19">
                  <c:v>15777</c:v>
                </c:pt>
                <c:pt idx="20">
                  <c:v>17506</c:v>
                </c:pt>
                <c:pt idx="21">
                  <c:v>15464</c:v>
                </c:pt>
                <c:pt idx="22">
                  <c:v>17153</c:v>
                </c:pt>
                <c:pt idx="23">
                  <c:v>18623</c:v>
                </c:pt>
                <c:pt idx="24">
                  <c:v>17132</c:v>
                </c:pt>
                <c:pt idx="25">
                  <c:v>21106</c:v>
                </c:pt>
                <c:pt idx="26">
                  <c:v>18780</c:v>
                </c:pt>
                <c:pt idx="27">
                  <c:v>22639</c:v>
                </c:pt>
                <c:pt idx="28">
                  <c:v>21500</c:v>
                </c:pt>
                <c:pt idx="29">
                  <c:v>23395</c:v>
                </c:pt>
                <c:pt idx="30">
                  <c:v>14137</c:v>
                </c:pt>
                <c:pt idx="31">
                  <c:v>26621</c:v>
                </c:pt>
                <c:pt idx="32">
                  <c:v>15808</c:v>
                </c:pt>
                <c:pt idx="33">
                  <c:v>13322</c:v>
                </c:pt>
                <c:pt idx="34">
                  <c:v>23911</c:v>
                </c:pt>
                <c:pt idx="35">
                  <c:v>24316</c:v>
                </c:pt>
                <c:pt idx="36">
                  <c:v>21737</c:v>
                </c:pt>
                <c:pt idx="37">
                  <c:v>25100</c:v>
                </c:pt>
                <c:pt idx="38">
                  <c:v>23059</c:v>
                </c:pt>
                <c:pt idx="39">
                  <c:v>23511</c:v>
                </c:pt>
                <c:pt idx="40">
                  <c:v>21886</c:v>
                </c:pt>
                <c:pt idx="41">
                  <c:v>12594</c:v>
                </c:pt>
                <c:pt idx="42">
                  <c:v>8019</c:v>
                </c:pt>
                <c:pt idx="43">
                  <c:v>9563</c:v>
                </c:pt>
                <c:pt idx="44">
                  <c:v>19582</c:v>
                </c:pt>
                <c:pt idx="45">
                  <c:v>22332</c:v>
                </c:pt>
                <c:pt idx="46">
                  <c:v>20987</c:v>
                </c:pt>
                <c:pt idx="47">
                  <c:v>19845</c:v>
                </c:pt>
                <c:pt idx="48">
                  <c:v>19274</c:v>
                </c:pt>
                <c:pt idx="49">
                  <c:v>20114</c:v>
                </c:pt>
                <c:pt idx="50">
                  <c:v>16053</c:v>
                </c:pt>
                <c:pt idx="51">
                  <c:v>16053</c:v>
                </c:pt>
                <c:pt idx="52">
                  <c:v>18377</c:v>
                </c:pt>
                <c:pt idx="53">
                  <c:v>20291</c:v>
                </c:pt>
                <c:pt idx="54">
                  <c:v>17239</c:v>
                </c:pt>
                <c:pt idx="55">
                  <c:v>17439</c:v>
                </c:pt>
                <c:pt idx="56">
                  <c:v>15109</c:v>
                </c:pt>
                <c:pt idx="57">
                  <c:v>13370</c:v>
                </c:pt>
                <c:pt idx="58">
                  <c:v>14548</c:v>
                </c:pt>
                <c:pt idx="59">
                  <c:v>11273</c:v>
                </c:pt>
                <c:pt idx="60">
                  <c:v>12740</c:v>
                </c:pt>
                <c:pt idx="61">
                  <c:v>14175</c:v>
                </c:pt>
                <c:pt idx="62">
                  <c:v>11398</c:v>
                </c:pt>
                <c:pt idx="63">
                  <c:v>12449</c:v>
                </c:pt>
                <c:pt idx="64">
                  <c:v>11072</c:v>
                </c:pt>
                <c:pt idx="65">
                  <c:v>11972</c:v>
                </c:pt>
                <c:pt idx="66">
                  <c:v>8977</c:v>
                </c:pt>
                <c:pt idx="67">
                  <c:v>9371</c:v>
                </c:pt>
                <c:pt idx="68">
                  <c:v>11226</c:v>
                </c:pt>
                <c:pt idx="69">
                  <c:v>11226</c:v>
                </c:pt>
                <c:pt idx="70">
                  <c:v>10821</c:v>
                </c:pt>
                <c:pt idx="71">
                  <c:v>13450</c:v>
                </c:pt>
                <c:pt idx="72">
                  <c:v>13450</c:v>
                </c:pt>
                <c:pt idx="73">
                  <c:v>14515</c:v>
                </c:pt>
                <c:pt idx="74">
                  <c:v>14515</c:v>
                </c:pt>
                <c:pt idx="75">
                  <c:v>7752</c:v>
                </c:pt>
                <c:pt idx="76">
                  <c:v>13596</c:v>
                </c:pt>
                <c:pt idx="77">
                  <c:v>13596</c:v>
                </c:pt>
                <c:pt idx="78">
                  <c:v>12033</c:v>
                </c:pt>
                <c:pt idx="79">
                  <c:v>8118</c:v>
                </c:pt>
                <c:pt idx="80">
                  <c:v>10214</c:v>
                </c:pt>
                <c:pt idx="81">
                  <c:v>8464</c:v>
                </c:pt>
                <c:pt idx="82">
                  <c:v>12431</c:v>
                </c:pt>
                <c:pt idx="83">
                  <c:v>10539</c:v>
                </c:pt>
                <c:pt idx="84">
                  <c:v>11979</c:v>
                </c:pt>
                <c:pt idx="85">
                  <c:v>10398</c:v>
                </c:pt>
                <c:pt idx="86">
                  <c:v>11597</c:v>
                </c:pt>
                <c:pt idx="87">
                  <c:v>9112</c:v>
                </c:pt>
                <c:pt idx="88">
                  <c:v>9220</c:v>
                </c:pt>
                <c:pt idx="89">
                  <c:v>8404</c:v>
                </c:pt>
                <c:pt idx="90">
                  <c:v>8803</c:v>
                </c:pt>
                <c:pt idx="91">
                  <c:v>6463</c:v>
                </c:pt>
                <c:pt idx="92">
                  <c:v>7464</c:v>
                </c:pt>
                <c:pt idx="93">
                  <c:v>7464</c:v>
                </c:pt>
                <c:pt idx="94">
                  <c:v>6501</c:v>
                </c:pt>
                <c:pt idx="95">
                  <c:v>8015</c:v>
                </c:pt>
                <c:pt idx="96">
                  <c:v>6398</c:v>
                </c:pt>
                <c:pt idx="97">
                  <c:v>7831</c:v>
                </c:pt>
                <c:pt idx="98">
                  <c:v>7045</c:v>
                </c:pt>
                <c:pt idx="99">
                  <c:v>8665</c:v>
                </c:pt>
                <c:pt idx="100">
                  <c:v>2100</c:v>
                </c:pt>
                <c:pt idx="101">
                  <c:v>3494</c:v>
                </c:pt>
                <c:pt idx="102">
                  <c:v>7535</c:v>
                </c:pt>
                <c:pt idx="103">
                  <c:v>10211</c:v>
                </c:pt>
                <c:pt idx="104">
                  <c:v>5773</c:v>
                </c:pt>
                <c:pt idx="105">
                  <c:v>13190</c:v>
                </c:pt>
                <c:pt idx="106">
                  <c:v>14925</c:v>
                </c:pt>
                <c:pt idx="107">
                  <c:v>12968</c:v>
                </c:pt>
                <c:pt idx="108">
                  <c:v>14162</c:v>
                </c:pt>
                <c:pt idx="109">
                  <c:v>13509</c:v>
                </c:pt>
                <c:pt idx="110">
                  <c:v>12870</c:v>
                </c:pt>
                <c:pt idx="111">
                  <c:v>13766</c:v>
                </c:pt>
                <c:pt idx="112">
                  <c:v>14890</c:v>
                </c:pt>
                <c:pt idx="113">
                  <c:v>15886</c:v>
                </c:pt>
                <c:pt idx="114">
                  <c:v>16457</c:v>
                </c:pt>
                <c:pt idx="115">
                  <c:v>15250</c:v>
                </c:pt>
                <c:pt idx="116">
                  <c:v>17878</c:v>
                </c:pt>
                <c:pt idx="117">
                  <c:v>11090</c:v>
                </c:pt>
                <c:pt idx="118">
                  <c:v>13187</c:v>
                </c:pt>
                <c:pt idx="119">
                  <c:v>14663</c:v>
                </c:pt>
                <c:pt idx="120">
                  <c:v>12148</c:v>
                </c:pt>
                <c:pt idx="121">
                  <c:v>13522</c:v>
                </c:pt>
                <c:pt idx="122">
                  <c:v>11957</c:v>
                </c:pt>
                <c:pt idx="123">
                  <c:v>10890</c:v>
                </c:pt>
                <c:pt idx="124">
                  <c:v>4764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4610204493669066"/>
                  <c:y val="4.1094658931627566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worksheet!$K$526:$K$629</c:f>
              <c:numCache>
                <c:formatCode>General</c:formatCode>
                <c:ptCount val="104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  <c:pt idx="37">
                  <c:v>17971</c:v>
                </c:pt>
                <c:pt idx="38">
                  <c:v>14738</c:v>
                </c:pt>
                <c:pt idx="39">
                  <c:v>16132</c:v>
                </c:pt>
                <c:pt idx="40">
                  <c:v>13545</c:v>
                </c:pt>
                <c:pt idx="41">
                  <c:v>18241</c:v>
                </c:pt>
                <c:pt idx="42">
                  <c:v>13531</c:v>
                </c:pt>
                <c:pt idx="43">
                  <c:v>13301</c:v>
                </c:pt>
                <c:pt idx="44">
                  <c:v>13078</c:v>
                </c:pt>
                <c:pt idx="45">
                  <c:v>16661</c:v>
                </c:pt>
                <c:pt idx="46">
                  <c:v>11279</c:v>
                </c:pt>
                <c:pt idx="47">
                  <c:v>11620</c:v>
                </c:pt>
                <c:pt idx="48">
                  <c:v>13461</c:v>
                </c:pt>
                <c:pt idx="49">
                  <c:v>13576</c:v>
                </c:pt>
                <c:pt idx="50">
                  <c:v>11855</c:v>
                </c:pt>
                <c:pt idx="51">
                  <c:v>14152</c:v>
                </c:pt>
                <c:pt idx="52">
                  <c:v>11294</c:v>
                </c:pt>
                <c:pt idx="53">
                  <c:v>12866</c:v>
                </c:pt>
                <c:pt idx="54">
                  <c:v>15255</c:v>
                </c:pt>
                <c:pt idx="55">
                  <c:v>15630</c:v>
                </c:pt>
                <c:pt idx="56">
                  <c:v>17649</c:v>
                </c:pt>
                <c:pt idx="57">
                  <c:v>21311</c:v>
                </c:pt>
                <c:pt idx="58">
                  <c:v>9428</c:v>
                </c:pt>
                <c:pt idx="59">
                  <c:v>11876</c:v>
                </c:pt>
                <c:pt idx="60">
                  <c:v>15528</c:v>
                </c:pt>
                <c:pt idx="61">
                  <c:v>16404</c:v>
                </c:pt>
                <c:pt idx="62">
                  <c:v>6375</c:v>
                </c:pt>
                <c:pt idx="63">
                  <c:v>16332</c:v>
                </c:pt>
                <c:pt idx="64">
                  <c:v>17040</c:v>
                </c:pt>
                <c:pt idx="65">
                  <c:v>17410</c:v>
                </c:pt>
                <c:pt idx="66">
                  <c:v>13602</c:v>
                </c:pt>
                <c:pt idx="67">
                  <c:v>14494</c:v>
                </c:pt>
                <c:pt idx="68">
                  <c:v>14529</c:v>
                </c:pt>
                <c:pt idx="69">
                  <c:v>12887</c:v>
                </c:pt>
                <c:pt idx="70">
                  <c:v>12478</c:v>
                </c:pt>
                <c:pt idx="71">
                  <c:v>15496</c:v>
                </c:pt>
                <c:pt idx="72">
                  <c:v>18999</c:v>
                </c:pt>
                <c:pt idx="73">
                  <c:v>15676</c:v>
                </c:pt>
                <c:pt idx="74">
                  <c:v>17321</c:v>
                </c:pt>
                <c:pt idx="75">
                  <c:v>15541</c:v>
                </c:pt>
                <c:pt idx="76">
                  <c:v>13722</c:v>
                </c:pt>
                <c:pt idx="77">
                  <c:v>11621</c:v>
                </c:pt>
                <c:pt idx="78">
                  <c:v>13771</c:v>
                </c:pt>
                <c:pt idx="79">
                  <c:v>10501</c:v>
                </c:pt>
                <c:pt idx="80">
                  <c:v>13298</c:v>
                </c:pt>
                <c:pt idx="81">
                  <c:v>12653</c:v>
                </c:pt>
                <c:pt idx="82">
                  <c:v>12737</c:v>
                </c:pt>
                <c:pt idx="83">
                  <c:v>12403</c:v>
                </c:pt>
                <c:pt idx="84">
                  <c:v>10101</c:v>
                </c:pt>
                <c:pt idx="85">
                  <c:v>8022</c:v>
                </c:pt>
                <c:pt idx="86">
                  <c:v>7641</c:v>
                </c:pt>
                <c:pt idx="87">
                  <c:v>6599</c:v>
                </c:pt>
                <c:pt idx="88">
                  <c:v>4947</c:v>
                </c:pt>
                <c:pt idx="89">
                  <c:v>4282</c:v>
                </c:pt>
                <c:pt idx="90">
                  <c:v>21113</c:v>
                </c:pt>
                <c:pt idx="91">
                  <c:v>22417</c:v>
                </c:pt>
                <c:pt idx="92">
                  <c:v>24639</c:v>
                </c:pt>
                <c:pt idx="93">
                  <c:v>24679</c:v>
                </c:pt>
                <c:pt idx="94">
                  <c:v>18850</c:v>
                </c:pt>
                <c:pt idx="95">
                  <c:v>29117</c:v>
                </c:pt>
                <c:pt idx="96">
                  <c:v>26037</c:v>
                </c:pt>
                <c:pt idx="97">
                  <c:v>27704</c:v>
                </c:pt>
                <c:pt idx="98">
                  <c:v>26603</c:v>
                </c:pt>
                <c:pt idx="99">
                  <c:v>22695</c:v>
                </c:pt>
                <c:pt idx="100">
                  <c:v>18419</c:v>
                </c:pt>
                <c:pt idx="101">
                  <c:v>21485</c:v>
                </c:pt>
                <c:pt idx="102">
                  <c:v>21715</c:v>
                </c:pt>
                <c:pt idx="103">
                  <c:v>8655</c:v>
                </c:pt>
              </c:numCache>
            </c:numRef>
          </c:xVal>
          <c:yVal>
            <c:numRef>
              <c:f>worksheet!$L$526:$L$629</c:f>
              <c:numCache>
                <c:formatCode>0</c:formatCode>
                <c:ptCount val="104"/>
                <c:pt idx="0">
                  <c:v>6271</c:v>
                </c:pt>
                <c:pt idx="1">
                  <c:v>11277</c:v>
                </c:pt>
                <c:pt idx="2">
                  <c:v>25749</c:v>
                </c:pt>
                <c:pt idx="3">
                  <c:v>28003</c:v>
                </c:pt>
                <c:pt idx="4">
                  <c:v>28003</c:v>
                </c:pt>
                <c:pt idx="5">
                  <c:v>25712</c:v>
                </c:pt>
                <c:pt idx="6">
                  <c:v>33232</c:v>
                </c:pt>
                <c:pt idx="7">
                  <c:v>20526</c:v>
                </c:pt>
                <c:pt idx="8">
                  <c:v>23466</c:v>
                </c:pt>
                <c:pt idx="9">
                  <c:v>35005</c:v>
                </c:pt>
                <c:pt idx="10">
                  <c:v>24524</c:v>
                </c:pt>
                <c:pt idx="11">
                  <c:v>38721</c:v>
                </c:pt>
                <c:pt idx="12">
                  <c:v>36163</c:v>
                </c:pt>
                <c:pt idx="13">
                  <c:v>37791</c:v>
                </c:pt>
                <c:pt idx="14">
                  <c:v>29199</c:v>
                </c:pt>
                <c:pt idx="15">
                  <c:v>32309</c:v>
                </c:pt>
                <c:pt idx="16">
                  <c:v>29357</c:v>
                </c:pt>
                <c:pt idx="17">
                  <c:v>31955</c:v>
                </c:pt>
                <c:pt idx="18">
                  <c:v>25768</c:v>
                </c:pt>
                <c:pt idx="19">
                  <c:v>24128</c:v>
                </c:pt>
                <c:pt idx="20">
                  <c:v>25959</c:v>
                </c:pt>
                <c:pt idx="21">
                  <c:v>24318</c:v>
                </c:pt>
                <c:pt idx="22">
                  <c:v>32055</c:v>
                </c:pt>
                <c:pt idx="23">
                  <c:v>23965</c:v>
                </c:pt>
                <c:pt idx="24">
                  <c:v>22367</c:v>
                </c:pt>
                <c:pt idx="25">
                  <c:v>17782</c:v>
                </c:pt>
                <c:pt idx="26">
                  <c:v>14839</c:v>
                </c:pt>
                <c:pt idx="27">
                  <c:v>15580</c:v>
                </c:pt>
                <c:pt idx="28">
                  <c:v>12877</c:v>
                </c:pt>
                <c:pt idx="29">
                  <c:v>13632</c:v>
                </c:pt>
                <c:pt idx="30">
                  <c:v>11544</c:v>
                </c:pt>
                <c:pt idx="31">
                  <c:v>9155</c:v>
                </c:pt>
                <c:pt idx="32">
                  <c:v>8969</c:v>
                </c:pt>
                <c:pt idx="33">
                  <c:v>9018</c:v>
                </c:pt>
                <c:pt idx="34">
                  <c:v>3264</c:v>
                </c:pt>
                <c:pt idx="35">
                  <c:v>2341</c:v>
                </c:pt>
                <c:pt idx="36">
                  <c:v>1890</c:v>
                </c:pt>
                <c:pt idx="37">
                  <c:v>16200</c:v>
                </c:pt>
                <c:pt idx="38">
                  <c:v>14657</c:v>
                </c:pt>
                <c:pt idx="39">
                  <c:v>15918</c:v>
                </c:pt>
                <c:pt idx="40">
                  <c:v>14241</c:v>
                </c:pt>
                <c:pt idx="41">
                  <c:v>16516</c:v>
                </c:pt>
                <c:pt idx="42">
                  <c:v>14692</c:v>
                </c:pt>
                <c:pt idx="43">
                  <c:v>13137</c:v>
                </c:pt>
                <c:pt idx="44">
                  <c:v>13092</c:v>
                </c:pt>
                <c:pt idx="45">
                  <c:v>15638</c:v>
                </c:pt>
                <c:pt idx="46">
                  <c:v>12291</c:v>
                </c:pt>
                <c:pt idx="47">
                  <c:v>13014</c:v>
                </c:pt>
                <c:pt idx="48">
                  <c:v>13694</c:v>
                </c:pt>
                <c:pt idx="49">
                  <c:v>16720</c:v>
                </c:pt>
                <c:pt idx="50">
                  <c:v>15062</c:v>
                </c:pt>
                <c:pt idx="51">
                  <c:v>17799</c:v>
                </c:pt>
                <c:pt idx="52">
                  <c:v>15773</c:v>
                </c:pt>
                <c:pt idx="53">
                  <c:v>17210</c:v>
                </c:pt>
                <c:pt idx="54">
                  <c:v>18365</c:v>
                </c:pt>
                <c:pt idx="55">
                  <c:v>20067</c:v>
                </c:pt>
                <c:pt idx="56">
                  <c:v>19834</c:v>
                </c:pt>
                <c:pt idx="57">
                  <c:v>21981</c:v>
                </c:pt>
                <c:pt idx="58">
                  <c:v>9761</c:v>
                </c:pt>
                <c:pt idx="59">
                  <c:v>14441</c:v>
                </c:pt>
                <c:pt idx="60">
                  <c:v>18189</c:v>
                </c:pt>
                <c:pt idx="61">
                  <c:v>18189</c:v>
                </c:pt>
                <c:pt idx="62">
                  <c:v>13053</c:v>
                </c:pt>
                <c:pt idx="63">
                  <c:v>21140</c:v>
                </c:pt>
                <c:pt idx="64">
                  <c:v>20362</c:v>
                </c:pt>
                <c:pt idx="65">
                  <c:v>20362</c:v>
                </c:pt>
                <c:pt idx="66">
                  <c:v>16729</c:v>
                </c:pt>
                <c:pt idx="67">
                  <c:v>17238</c:v>
                </c:pt>
                <c:pt idx="68">
                  <c:v>17238</c:v>
                </c:pt>
                <c:pt idx="69">
                  <c:v>15001</c:v>
                </c:pt>
                <c:pt idx="70">
                  <c:v>14643</c:v>
                </c:pt>
                <c:pt idx="71">
                  <c:v>16217</c:v>
                </c:pt>
                <c:pt idx="72">
                  <c:v>18195</c:v>
                </c:pt>
                <c:pt idx="73">
                  <c:v>15688</c:v>
                </c:pt>
                <c:pt idx="74">
                  <c:v>17246</c:v>
                </c:pt>
                <c:pt idx="75">
                  <c:v>15788</c:v>
                </c:pt>
                <c:pt idx="76">
                  <c:v>14543</c:v>
                </c:pt>
                <c:pt idx="77">
                  <c:v>14268</c:v>
                </c:pt>
                <c:pt idx="78">
                  <c:v>14933</c:v>
                </c:pt>
                <c:pt idx="79">
                  <c:v>12753</c:v>
                </c:pt>
                <c:pt idx="80">
                  <c:v>14350</c:v>
                </c:pt>
                <c:pt idx="81">
                  <c:v>12455</c:v>
                </c:pt>
                <c:pt idx="82">
                  <c:v>12676</c:v>
                </c:pt>
                <c:pt idx="83">
                  <c:v>11055</c:v>
                </c:pt>
                <c:pt idx="84">
                  <c:v>9739</c:v>
                </c:pt>
                <c:pt idx="85">
                  <c:v>6923</c:v>
                </c:pt>
                <c:pt idx="86">
                  <c:v>10006</c:v>
                </c:pt>
                <c:pt idx="87">
                  <c:v>8331</c:v>
                </c:pt>
                <c:pt idx="88">
                  <c:v>7042</c:v>
                </c:pt>
                <c:pt idx="89">
                  <c:v>9265</c:v>
                </c:pt>
                <c:pt idx="90">
                  <c:v>25172</c:v>
                </c:pt>
                <c:pt idx="91">
                  <c:v>26343</c:v>
                </c:pt>
                <c:pt idx="92">
                  <c:v>28166</c:v>
                </c:pt>
                <c:pt idx="93">
                  <c:v>28166</c:v>
                </c:pt>
                <c:pt idx="94">
                  <c:v>21850</c:v>
                </c:pt>
                <c:pt idx="95">
                  <c:v>32728</c:v>
                </c:pt>
                <c:pt idx="96">
                  <c:v>28573</c:v>
                </c:pt>
                <c:pt idx="97">
                  <c:v>29449</c:v>
                </c:pt>
                <c:pt idx="98">
                  <c:v>27641</c:v>
                </c:pt>
                <c:pt idx="99">
                  <c:v>24958</c:v>
                </c:pt>
                <c:pt idx="100">
                  <c:v>19474</c:v>
                </c:pt>
                <c:pt idx="101">
                  <c:v>21998</c:v>
                </c:pt>
                <c:pt idx="102">
                  <c:v>21517</c:v>
                </c:pt>
                <c:pt idx="103">
                  <c:v>7686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5000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2127716408107964E-2"/>
                  <c:y val="-3.62228585063230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1613</c:v>
                </c:pt>
                <c:pt idx="1">
                  <c:v>4201</c:v>
                </c:pt>
                <c:pt idx="2">
                  <c:v>5408</c:v>
                </c:pt>
                <c:pt idx="3">
                  <c:v>5611</c:v>
                </c:pt>
                <c:pt idx="4">
                  <c:v>10941</c:v>
                </c:pt>
                <c:pt idx="5">
                  <c:v>9076</c:v>
                </c:pt>
                <c:pt idx="6">
                  <c:v>14996</c:v>
                </c:pt>
                <c:pt idx="7">
                  <c:v>14709</c:v>
                </c:pt>
                <c:pt idx="8">
                  <c:v>14911</c:v>
                </c:pt>
                <c:pt idx="9">
                  <c:v>17528</c:v>
                </c:pt>
                <c:pt idx="10">
                  <c:v>16258</c:v>
                </c:pt>
                <c:pt idx="11">
                  <c:v>18149</c:v>
                </c:pt>
                <c:pt idx="12">
                  <c:v>18692</c:v>
                </c:pt>
                <c:pt idx="13">
                  <c:v>19975</c:v>
                </c:pt>
                <c:pt idx="14">
                  <c:v>20626</c:v>
                </c:pt>
                <c:pt idx="15">
                  <c:v>19611</c:v>
                </c:pt>
                <c:pt idx="16">
                  <c:v>25567</c:v>
                </c:pt>
                <c:pt idx="17">
                  <c:v>24072</c:v>
                </c:pt>
                <c:pt idx="18">
                  <c:v>16932</c:v>
                </c:pt>
                <c:pt idx="19">
                  <c:v>19600</c:v>
                </c:pt>
                <c:pt idx="20">
                  <c:v>18545</c:v>
                </c:pt>
                <c:pt idx="21">
                  <c:v>22115</c:v>
                </c:pt>
                <c:pt idx="22">
                  <c:v>22891</c:v>
                </c:pt>
                <c:pt idx="23">
                  <c:v>22453</c:v>
                </c:pt>
                <c:pt idx="24">
                  <c:v>18675</c:v>
                </c:pt>
                <c:pt idx="25">
                  <c:v>18675</c:v>
                </c:pt>
                <c:pt idx="26">
                  <c:v>19996</c:v>
                </c:pt>
                <c:pt idx="27">
                  <c:v>18096</c:v>
                </c:pt>
                <c:pt idx="28">
                  <c:v>23295</c:v>
                </c:pt>
                <c:pt idx="29">
                  <c:v>24693</c:v>
                </c:pt>
                <c:pt idx="30">
                  <c:v>20016</c:v>
                </c:pt>
                <c:pt idx="31">
                  <c:v>18697</c:v>
                </c:pt>
                <c:pt idx="32">
                  <c:v>20356</c:v>
                </c:pt>
                <c:pt idx="33">
                  <c:v>21209</c:v>
                </c:pt>
                <c:pt idx="34">
                  <c:v>21209</c:v>
                </c:pt>
                <c:pt idx="35">
                  <c:v>28193</c:v>
                </c:pt>
                <c:pt idx="36">
                  <c:v>21577</c:v>
                </c:pt>
                <c:pt idx="37">
                  <c:v>18056</c:v>
                </c:pt>
                <c:pt idx="38">
                  <c:v>19651</c:v>
                </c:pt>
                <c:pt idx="39">
                  <c:v>20675</c:v>
                </c:pt>
                <c:pt idx="40">
                  <c:v>18432</c:v>
                </c:pt>
                <c:pt idx="41">
                  <c:v>16604</c:v>
                </c:pt>
                <c:pt idx="42">
                  <c:v>28171</c:v>
                </c:pt>
                <c:pt idx="43">
                  <c:v>24562</c:v>
                </c:pt>
                <c:pt idx="44">
                  <c:v>15961</c:v>
                </c:pt>
                <c:pt idx="45">
                  <c:v>33670</c:v>
                </c:pt>
                <c:pt idx="46">
                  <c:v>31597</c:v>
                </c:pt>
                <c:pt idx="47">
                  <c:v>30134</c:v>
                </c:pt>
                <c:pt idx="48">
                  <c:v>31028</c:v>
                </c:pt>
                <c:pt idx="49">
                  <c:v>32064</c:v>
                </c:pt>
                <c:pt idx="50">
                  <c:v>33266</c:v>
                </c:pt>
                <c:pt idx="51">
                  <c:v>30620</c:v>
                </c:pt>
                <c:pt idx="52">
                  <c:v>29806</c:v>
                </c:pt>
                <c:pt idx="53">
                  <c:v>31178</c:v>
                </c:pt>
                <c:pt idx="54">
                  <c:v>29248</c:v>
                </c:pt>
                <c:pt idx="55">
                  <c:v>30987</c:v>
                </c:pt>
                <c:pt idx="56">
                  <c:v>29073</c:v>
                </c:pt>
                <c:pt idx="57">
                  <c:v>30001</c:v>
                </c:pt>
                <c:pt idx="58">
                  <c:v>27940</c:v>
                </c:pt>
                <c:pt idx="59">
                  <c:v>29487</c:v>
                </c:pt>
                <c:pt idx="60">
                  <c:v>26895</c:v>
                </c:pt>
                <c:pt idx="61">
                  <c:v>28062</c:v>
                </c:pt>
                <c:pt idx="62">
                  <c:v>25538</c:v>
                </c:pt>
                <c:pt idx="63">
                  <c:v>26538</c:v>
                </c:pt>
                <c:pt idx="64">
                  <c:v>27822</c:v>
                </c:pt>
                <c:pt idx="65">
                  <c:v>28981</c:v>
                </c:pt>
                <c:pt idx="66">
                  <c:v>26662</c:v>
                </c:pt>
                <c:pt idx="67">
                  <c:v>24581</c:v>
                </c:pt>
                <c:pt idx="68">
                  <c:v>20097</c:v>
                </c:pt>
                <c:pt idx="69">
                  <c:v>20436</c:v>
                </c:pt>
                <c:pt idx="70">
                  <c:v>17297</c:v>
                </c:pt>
                <c:pt idx="71">
                  <c:v>14668</c:v>
                </c:pt>
                <c:pt idx="72">
                  <c:v>14825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I_15_NB!$H$2:$H$55</c:f>
              <c:numCache>
                <c:formatCode>0</c:formatCode>
                <c:ptCount val="54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29001</c:v>
                </c:pt>
                <c:pt idx="37">
                  <c:v>28833</c:v>
                </c:pt>
                <c:pt idx="38">
                  <c:v>28357</c:v>
                </c:pt>
                <c:pt idx="39">
                  <c:v>31976</c:v>
                </c:pt>
                <c:pt idx="40">
                  <c:v>26607</c:v>
                </c:pt>
                <c:pt idx="41">
                  <c:v>20202</c:v>
                </c:pt>
                <c:pt idx="42">
                  <c:v>26024</c:v>
                </c:pt>
                <c:pt idx="43">
                  <c:v>26201</c:v>
                </c:pt>
                <c:pt idx="44">
                  <c:v>21239</c:v>
                </c:pt>
                <c:pt idx="45">
                  <c:v>25315</c:v>
                </c:pt>
                <c:pt idx="46">
                  <c:v>18814</c:v>
                </c:pt>
                <c:pt idx="47">
                  <c:v>20135</c:v>
                </c:pt>
                <c:pt idx="48">
                  <c:v>14592</c:v>
                </c:pt>
                <c:pt idx="49">
                  <c:v>20665</c:v>
                </c:pt>
                <c:pt idx="50">
                  <c:v>19555</c:v>
                </c:pt>
                <c:pt idx="51">
                  <c:v>18193</c:v>
                </c:pt>
                <c:pt idx="52">
                  <c:v>19986</c:v>
                </c:pt>
                <c:pt idx="53">
                  <c:v>19908</c:v>
                </c:pt>
              </c:numCache>
            </c:numRef>
          </c:xVal>
          <c:yVal>
            <c:numRef>
              <c:f>I_15_NB!$I$2:$I$55</c:f>
              <c:numCache>
                <c:formatCode>0</c:formatCode>
                <c:ptCount val="54"/>
                <c:pt idx="0">
                  <c:v>17197</c:v>
                </c:pt>
                <c:pt idx="1">
                  <c:v>18014</c:v>
                </c:pt>
                <c:pt idx="2">
                  <c:v>19070</c:v>
                </c:pt>
                <c:pt idx="3">
                  <c:v>18238</c:v>
                </c:pt>
                <c:pt idx="4">
                  <c:v>23643</c:v>
                </c:pt>
                <c:pt idx="5">
                  <c:v>19193</c:v>
                </c:pt>
                <c:pt idx="6">
                  <c:v>20849</c:v>
                </c:pt>
                <c:pt idx="7">
                  <c:v>20789</c:v>
                </c:pt>
                <c:pt idx="8">
                  <c:v>16280</c:v>
                </c:pt>
                <c:pt idx="9">
                  <c:v>16280</c:v>
                </c:pt>
                <c:pt idx="10">
                  <c:v>28192</c:v>
                </c:pt>
                <c:pt idx="11">
                  <c:v>22660</c:v>
                </c:pt>
                <c:pt idx="12">
                  <c:v>24406</c:v>
                </c:pt>
                <c:pt idx="13">
                  <c:v>20584</c:v>
                </c:pt>
                <c:pt idx="14">
                  <c:v>23161</c:v>
                </c:pt>
                <c:pt idx="15">
                  <c:v>21419</c:v>
                </c:pt>
                <c:pt idx="16">
                  <c:v>30520</c:v>
                </c:pt>
                <c:pt idx="17">
                  <c:v>44796</c:v>
                </c:pt>
                <c:pt idx="18">
                  <c:v>44064</c:v>
                </c:pt>
                <c:pt idx="19">
                  <c:v>44634</c:v>
                </c:pt>
                <c:pt idx="20">
                  <c:v>39690</c:v>
                </c:pt>
                <c:pt idx="21">
                  <c:v>39756</c:v>
                </c:pt>
                <c:pt idx="22">
                  <c:v>41262</c:v>
                </c:pt>
                <c:pt idx="23">
                  <c:v>37626</c:v>
                </c:pt>
                <c:pt idx="24">
                  <c:v>42146</c:v>
                </c:pt>
                <c:pt idx="25">
                  <c:v>38670</c:v>
                </c:pt>
                <c:pt idx="26">
                  <c:v>32312</c:v>
                </c:pt>
                <c:pt idx="27">
                  <c:v>33170</c:v>
                </c:pt>
                <c:pt idx="28">
                  <c:v>30445</c:v>
                </c:pt>
                <c:pt idx="29">
                  <c:v>33065</c:v>
                </c:pt>
                <c:pt idx="30">
                  <c:v>34900</c:v>
                </c:pt>
                <c:pt idx="31">
                  <c:v>31357</c:v>
                </c:pt>
                <c:pt idx="32">
                  <c:v>31297</c:v>
                </c:pt>
                <c:pt idx="33">
                  <c:v>32834</c:v>
                </c:pt>
                <c:pt idx="34">
                  <c:v>30083</c:v>
                </c:pt>
                <c:pt idx="35">
                  <c:v>32351</c:v>
                </c:pt>
                <c:pt idx="36">
                  <c:v>33907</c:v>
                </c:pt>
                <c:pt idx="37">
                  <c:v>35038</c:v>
                </c:pt>
                <c:pt idx="38">
                  <c:v>33814</c:v>
                </c:pt>
                <c:pt idx="39">
                  <c:v>36424</c:v>
                </c:pt>
                <c:pt idx="40">
                  <c:v>32233</c:v>
                </c:pt>
                <c:pt idx="41">
                  <c:v>27283</c:v>
                </c:pt>
                <c:pt idx="42">
                  <c:v>27283</c:v>
                </c:pt>
                <c:pt idx="43">
                  <c:v>30509</c:v>
                </c:pt>
                <c:pt idx="44">
                  <c:v>29865</c:v>
                </c:pt>
                <c:pt idx="45">
                  <c:v>28062</c:v>
                </c:pt>
                <c:pt idx="46">
                  <c:v>18391</c:v>
                </c:pt>
                <c:pt idx="47">
                  <c:v>20624</c:v>
                </c:pt>
                <c:pt idx="48">
                  <c:v>19443</c:v>
                </c:pt>
                <c:pt idx="49">
                  <c:v>20758</c:v>
                </c:pt>
                <c:pt idx="50">
                  <c:v>17045</c:v>
                </c:pt>
                <c:pt idx="51">
                  <c:v>18376</c:v>
                </c:pt>
                <c:pt idx="52">
                  <c:v>17526</c:v>
                </c:pt>
                <c:pt idx="53">
                  <c:v>17538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9640366407975162E-2"/>
                  <c:y val="2.712606378748111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7736</c:v>
                </c:pt>
                <c:pt idx="1">
                  <c:v>13696</c:v>
                </c:pt>
                <c:pt idx="2">
                  <c:v>15857</c:v>
                </c:pt>
                <c:pt idx="3">
                  <c:v>17614</c:v>
                </c:pt>
                <c:pt idx="4">
                  <c:v>17032</c:v>
                </c:pt>
                <c:pt idx="5">
                  <c:v>21241</c:v>
                </c:pt>
                <c:pt idx="6">
                  <c:v>22891</c:v>
                </c:pt>
                <c:pt idx="7">
                  <c:v>23314</c:v>
                </c:pt>
                <c:pt idx="8">
                  <c:v>20660</c:v>
                </c:pt>
                <c:pt idx="9">
                  <c:v>23023</c:v>
                </c:pt>
                <c:pt idx="10">
                  <c:v>22825</c:v>
                </c:pt>
                <c:pt idx="11">
                  <c:v>23517</c:v>
                </c:pt>
                <c:pt idx="12">
                  <c:v>24522</c:v>
                </c:pt>
                <c:pt idx="13">
                  <c:v>14162</c:v>
                </c:pt>
                <c:pt idx="14">
                  <c:v>16947</c:v>
                </c:pt>
                <c:pt idx="15">
                  <c:v>18847</c:v>
                </c:pt>
                <c:pt idx="16">
                  <c:v>16088</c:v>
                </c:pt>
                <c:pt idx="17">
                  <c:v>14110</c:v>
                </c:pt>
                <c:pt idx="18">
                  <c:v>22387</c:v>
                </c:pt>
                <c:pt idx="19">
                  <c:v>21831</c:v>
                </c:pt>
                <c:pt idx="20">
                  <c:v>15889</c:v>
                </c:pt>
                <c:pt idx="21">
                  <c:v>20518</c:v>
                </c:pt>
                <c:pt idx="22">
                  <c:v>23881</c:v>
                </c:pt>
                <c:pt idx="23">
                  <c:v>21510</c:v>
                </c:pt>
                <c:pt idx="24">
                  <c:v>18155</c:v>
                </c:pt>
                <c:pt idx="25">
                  <c:v>19195</c:v>
                </c:pt>
                <c:pt idx="26">
                  <c:v>23360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08732902795455"/>
                  <c:y val="4.1919350990217132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13904</c:v>
                </c:pt>
                <c:pt idx="1">
                  <c:v>15619</c:v>
                </c:pt>
                <c:pt idx="2">
                  <c:v>24279</c:v>
                </c:pt>
                <c:pt idx="3">
                  <c:v>29005</c:v>
                </c:pt>
                <c:pt idx="4">
                  <c:v>27714</c:v>
                </c:pt>
                <c:pt idx="5">
                  <c:v>19238</c:v>
                </c:pt>
                <c:pt idx="6">
                  <c:v>23357</c:v>
                </c:pt>
                <c:pt idx="7">
                  <c:v>23837</c:v>
                </c:pt>
                <c:pt idx="8">
                  <c:v>24071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857133040869997E-2"/>
                  <c:y val="4.499753439910920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1295</c:v>
                </c:pt>
                <c:pt idx="1">
                  <c:v>990</c:v>
                </c:pt>
                <c:pt idx="2">
                  <c:v>1200</c:v>
                </c:pt>
                <c:pt idx="3">
                  <c:v>1650</c:v>
                </c:pt>
                <c:pt idx="4">
                  <c:v>1672</c:v>
                </c:pt>
                <c:pt idx="5">
                  <c:v>1942</c:v>
                </c:pt>
                <c:pt idx="6">
                  <c:v>13512</c:v>
                </c:pt>
                <c:pt idx="7">
                  <c:v>11412</c:v>
                </c:pt>
                <c:pt idx="8">
                  <c:v>10485</c:v>
                </c:pt>
                <c:pt idx="9">
                  <c:v>12669</c:v>
                </c:pt>
                <c:pt idx="10">
                  <c:v>23420</c:v>
                </c:pt>
                <c:pt idx="11">
                  <c:v>8359</c:v>
                </c:pt>
                <c:pt idx="12">
                  <c:v>9570</c:v>
                </c:pt>
                <c:pt idx="13">
                  <c:v>10619</c:v>
                </c:pt>
                <c:pt idx="14">
                  <c:v>6658</c:v>
                </c:pt>
                <c:pt idx="15">
                  <c:v>9278</c:v>
                </c:pt>
                <c:pt idx="16">
                  <c:v>5068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7321700395572699E-2"/>
                  <c:y val="-1.847578143641143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12794</c:v>
                </c:pt>
                <c:pt idx="1">
                  <c:v>15155</c:v>
                </c:pt>
                <c:pt idx="2">
                  <c:v>10997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9290088301416395E-2"/>
                  <c:y val="2.3944325141175535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9795</c:v>
                </c:pt>
                <c:pt idx="1">
                  <c:v>9795</c:v>
                </c:pt>
                <c:pt idx="2">
                  <c:v>10258</c:v>
                </c:pt>
                <c:pt idx="3">
                  <c:v>10524</c:v>
                </c:pt>
                <c:pt idx="4">
                  <c:v>10524</c:v>
                </c:pt>
                <c:pt idx="5">
                  <c:v>10080</c:v>
                </c:pt>
                <c:pt idx="6">
                  <c:v>9716</c:v>
                </c:pt>
                <c:pt idx="7">
                  <c:v>9198</c:v>
                </c:pt>
                <c:pt idx="8">
                  <c:v>11956</c:v>
                </c:pt>
                <c:pt idx="9">
                  <c:v>10825</c:v>
                </c:pt>
                <c:pt idx="10">
                  <c:v>10825</c:v>
                </c:pt>
                <c:pt idx="11">
                  <c:v>9284</c:v>
                </c:pt>
                <c:pt idx="12">
                  <c:v>6418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101595306019997E-2"/>
                  <c:y val="-9.024401495267636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6872</c:v>
                </c:pt>
                <c:pt idx="1">
                  <c:v>6872</c:v>
                </c:pt>
                <c:pt idx="2">
                  <c:v>6872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NB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uri="{02D57815-91ED-43cb-92C2-25804820EDAC}">
                        <c15:formulaRef>
                          <c15:sqref>SR_75_NB!$H$2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7304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SR_75_NB!$I$2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11908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9193-4BEC-B327-E1EF93B20BB3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</c:valAx>
      <c:valAx>
        <c:axId val="120307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5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1726088800775971E-3"/>
                  <c:y val="-3.65172989739918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12883</c:v>
                </c:pt>
                <c:pt idx="1">
                  <c:v>12636</c:v>
                </c:pt>
                <c:pt idx="2">
                  <c:v>14962</c:v>
                </c:pt>
                <c:pt idx="3">
                  <c:v>17526</c:v>
                </c:pt>
                <c:pt idx="4">
                  <c:v>17017</c:v>
                </c:pt>
                <c:pt idx="5">
                  <c:v>18128</c:v>
                </c:pt>
                <c:pt idx="6">
                  <c:v>19047</c:v>
                </c:pt>
                <c:pt idx="7">
                  <c:v>19762</c:v>
                </c:pt>
                <c:pt idx="8">
                  <c:v>17682</c:v>
                </c:pt>
                <c:pt idx="9">
                  <c:v>17028</c:v>
                </c:pt>
                <c:pt idx="10">
                  <c:v>17354</c:v>
                </c:pt>
                <c:pt idx="11">
                  <c:v>17354</c:v>
                </c:pt>
                <c:pt idx="12">
                  <c:v>16231</c:v>
                </c:pt>
                <c:pt idx="13">
                  <c:v>16283</c:v>
                </c:pt>
                <c:pt idx="14">
                  <c:v>19283</c:v>
                </c:pt>
                <c:pt idx="15">
                  <c:v>18053</c:v>
                </c:pt>
                <c:pt idx="16">
                  <c:v>20305</c:v>
                </c:pt>
                <c:pt idx="17">
                  <c:v>18540</c:v>
                </c:pt>
                <c:pt idx="18">
                  <c:v>20110</c:v>
                </c:pt>
                <c:pt idx="19">
                  <c:v>19112</c:v>
                </c:pt>
                <c:pt idx="20">
                  <c:v>20725</c:v>
                </c:pt>
                <c:pt idx="21">
                  <c:v>19090</c:v>
                </c:pt>
                <c:pt idx="22">
                  <c:v>20423</c:v>
                </c:pt>
                <c:pt idx="23">
                  <c:v>19406</c:v>
                </c:pt>
                <c:pt idx="24">
                  <c:v>19956</c:v>
                </c:pt>
                <c:pt idx="25">
                  <c:v>21076</c:v>
                </c:pt>
                <c:pt idx="26">
                  <c:v>19055</c:v>
                </c:pt>
                <c:pt idx="27">
                  <c:v>20836</c:v>
                </c:pt>
                <c:pt idx="28">
                  <c:v>23062</c:v>
                </c:pt>
                <c:pt idx="29">
                  <c:v>20306</c:v>
                </c:pt>
                <c:pt idx="30">
                  <c:v>20180</c:v>
                </c:pt>
                <c:pt idx="31">
                  <c:v>21928</c:v>
                </c:pt>
                <c:pt idx="32">
                  <c:v>13870</c:v>
                </c:pt>
                <c:pt idx="33">
                  <c:v>19697</c:v>
                </c:pt>
                <c:pt idx="34">
                  <c:v>18910</c:v>
                </c:pt>
                <c:pt idx="35">
                  <c:v>22711</c:v>
                </c:pt>
                <c:pt idx="36">
                  <c:v>24986</c:v>
                </c:pt>
                <c:pt idx="37">
                  <c:v>27492</c:v>
                </c:pt>
                <c:pt idx="38">
                  <c:v>21651</c:v>
                </c:pt>
                <c:pt idx="39">
                  <c:v>25193</c:v>
                </c:pt>
                <c:pt idx="40">
                  <c:v>27562</c:v>
                </c:pt>
                <c:pt idx="41">
                  <c:v>22654</c:v>
                </c:pt>
                <c:pt idx="42">
                  <c:v>22946</c:v>
                </c:pt>
                <c:pt idx="43">
                  <c:v>19430</c:v>
                </c:pt>
                <c:pt idx="44">
                  <c:v>21001</c:v>
                </c:pt>
                <c:pt idx="45">
                  <c:v>27968</c:v>
                </c:pt>
                <c:pt idx="46">
                  <c:v>25700</c:v>
                </c:pt>
                <c:pt idx="47">
                  <c:v>32269</c:v>
                </c:pt>
                <c:pt idx="48">
                  <c:v>30446</c:v>
                </c:pt>
                <c:pt idx="49">
                  <c:v>29122</c:v>
                </c:pt>
                <c:pt idx="50">
                  <c:v>30725</c:v>
                </c:pt>
                <c:pt idx="51">
                  <c:v>31339</c:v>
                </c:pt>
                <c:pt idx="52">
                  <c:v>28341</c:v>
                </c:pt>
                <c:pt idx="53">
                  <c:v>29373</c:v>
                </c:pt>
                <c:pt idx="54">
                  <c:v>23871</c:v>
                </c:pt>
                <c:pt idx="55">
                  <c:v>31415</c:v>
                </c:pt>
                <c:pt idx="56">
                  <c:v>32660</c:v>
                </c:pt>
                <c:pt idx="57">
                  <c:v>29607</c:v>
                </c:pt>
                <c:pt idx="58">
                  <c:v>28558</c:v>
                </c:pt>
                <c:pt idx="59">
                  <c:v>21680</c:v>
                </c:pt>
                <c:pt idx="60">
                  <c:v>25748</c:v>
                </c:pt>
                <c:pt idx="61">
                  <c:v>23828</c:v>
                </c:pt>
                <c:pt idx="62">
                  <c:v>22992</c:v>
                </c:pt>
                <c:pt idx="63">
                  <c:v>22710</c:v>
                </c:pt>
                <c:pt idx="64">
                  <c:v>19608</c:v>
                </c:pt>
                <c:pt idx="65">
                  <c:v>15291</c:v>
                </c:pt>
                <c:pt idx="66">
                  <c:v>7316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7.9588146146056207E-2"/>
                  <c:y val="4.5648612105305018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I_15_SB!$H$2:$H$58</c:f>
              <c:numCache>
                <c:formatCode>0</c:formatCode>
                <c:ptCount val="57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8">
                  <c:v>21278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xVal>
          <c:yVal>
            <c:numRef>
              <c:f>I_15_SB!$I$2:$I$58</c:f>
              <c:numCache>
                <c:formatCode>0</c:formatCode>
                <c:ptCount val="57"/>
                <c:pt idx="0">
                  <c:v>14033</c:v>
                </c:pt>
                <c:pt idx="1">
                  <c:v>13971</c:v>
                </c:pt>
                <c:pt idx="2">
                  <c:v>11709</c:v>
                </c:pt>
                <c:pt idx="3">
                  <c:v>13219</c:v>
                </c:pt>
                <c:pt idx="4">
                  <c:v>13442</c:v>
                </c:pt>
                <c:pt idx="5">
                  <c:v>12751</c:v>
                </c:pt>
                <c:pt idx="6">
                  <c:v>10460</c:v>
                </c:pt>
                <c:pt idx="7">
                  <c:v>10468</c:v>
                </c:pt>
                <c:pt idx="8">
                  <c:v>12705</c:v>
                </c:pt>
                <c:pt idx="9">
                  <c:v>21740</c:v>
                </c:pt>
                <c:pt idx="10">
                  <c:v>22543</c:v>
                </c:pt>
                <c:pt idx="11">
                  <c:v>21479</c:v>
                </c:pt>
                <c:pt idx="12">
                  <c:v>21518</c:v>
                </c:pt>
                <c:pt idx="13">
                  <c:v>21925</c:v>
                </c:pt>
                <c:pt idx="14">
                  <c:v>25171</c:v>
                </c:pt>
                <c:pt idx="15">
                  <c:v>23465</c:v>
                </c:pt>
                <c:pt idx="16">
                  <c:v>26100</c:v>
                </c:pt>
                <c:pt idx="17">
                  <c:v>21348</c:v>
                </c:pt>
                <c:pt idx="18">
                  <c:v>21689</c:v>
                </c:pt>
                <c:pt idx="19">
                  <c:v>19931</c:v>
                </c:pt>
                <c:pt idx="20">
                  <c:v>22170</c:v>
                </c:pt>
                <c:pt idx="21">
                  <c:v>20307</c:v>
                </c:pt>
                <c:pt idx="22">
                  <c:v>21593</c:v>
                </c:pt>
                <c:pt idx="23">
                  <c:v>20564</c:v>
                </c:pt>
                <c:pt idx="24">
                  <c:v>22837</c:v>
                </c:pt>
                <c:pt idx="25">
                  <c:v>21143</c:v>
                </c:pt>
                <c:pt idx="26">
                  <c:v>23653</c:v>
                </c:pt>
                <c:pt idx="27">
                  <c:v>20296</c:v>
                </c:pt>
                <c:pt idx="28">
                  <c:v>21394</c:v>
                </c:pt>
                <c:pt idx="29">
                  <c:v>20797</c:v>
                </c:pt>
                <c:pt idx="30">
                  <c:v>24077</c:v>
                </c:pt>
                <c:pt idx="31">
                  <c:v>26498</c:v>
                </c:pt>
                <c:pt idx="32">
                  <c:v>23847</c:v>
                </c:pt>
                <c:pt idx="33">
                  <c:v>29575</c:v>
                </c:pt>
                <c:pt idx="34">
                  <c:v>28197</c:v>
                </c:pt>
                <c:pt idx="35">
                  <c:v>28918</c:v>
                </c:pt>
                <c:pt idx="36">
                  <c:v>31062</c:v>
                </c:pt>
                <c:pt idx="37">
                  <c:v>32232</c:v>
                </c:pt>
                <c:pt idx="38">
                  <c:v>33570</c:v>
                </c:pt>
                <c:pt idx="39">
                  <c:v>33941</c:v>
                </c:pt>
                <c:pt idx="40">
                  <c:v>24382</c:v>
                </c:pt>
                <c:pt idx="41">
                  <c:v>24680</c:v>
                </c:pt>
                <c:pt idx="42">
                  <c:v>28131</c:v>
                </c:pt>
                <c:pt idx="43">
                  <c:v>26716</c:v>
                </c:pt>
                <c:pt idx="44">
                  <c:v>32079</c:v>
                </c:pt>
                <c:pt idx="45">
                  <c:v>30074</c:v>
                </c:pt>
                <c:pt idx="46">
                  <c:v>30720</c:v>
                </c:pt>
                <c:pt idx="47">
                  <c:v>33362</c:v>
                </c:pt>
                <c:pt idx="48">
                  <c:v>30283</c:v>
                </c:pt>
                <c:pt idx="49">
                  <c:v>25865</c:v>
                </c:pt>
                <c:pt idx="50">
                  <c:v>20781</c:v>
                </c:pt>
                <c:pt idx="51">
                  <c:v>23270</c:v>
                </c:pt>
                <c:pt idx="52">
                  <c:v>10451</c:v>
                </c:pt>
                <c:pt idx="53">
                  <c:v>16225</c:v>
                </c:pt>
                <c:pt idx="54">
                  <c:v>16576</c:v>
                </c:pt>
                <c:pt idx="55">
                  <c:v>16488</c:v>
                </c:pt>
                <c:pt idx="56">
                  <c:v>15413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876881765072107E-2"/>
                  <c:y val="-8.2626262626262718E-3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16500</c:v>
                </c:pt>
                <c:pt idx="1">
                  <c:v>18903</c:v>
                </c:pt>
                <c:pt idx="2">
                  <c:v>20828</c:v>
                </c:pt>
                <c:pt idx="3">
                  <c:v>26520</c:v>
                </c:pt>
                <c:pt idx="4">
                  <c:v>31284</c:v>
                </c:pt>
                <c:pt idx="5">
                  <c:v>30884</c:v>
                </c:pt>
                <c:pt idx="6">
                  <c:v>29307</c:v>
                </c:pt>
                <c:pt idx="7">
                  <c:v>31447</c:v>
                </c:pt>
                <c:pt idx="8">
                  <c:v>24689</c:v>
                </c:pt>
                <c:pt idx="9">
                  <c:v>24689</c:v>
                </c:pt>
                <c:pt idx="10">
                  <c:v>37778</c:v>
                </c:pt>
                <c:pt idx="11">
                  <c:v>37623</c:v>
                </c:pt>
                <c:pt idx="12">
                  <c:v>26238</c:v>
                </c:pt>
                <c:pt idx="13">
                  <c:v>30999</c:v>
                </c:pt>
                <c:pt idx="14">
                  <c:v>34264</c:v>
                </c:pt>
                <c:pt idx="15">
                  <c:v>30146</c:v>
                </c:pt>
                <c:pt idx="16">
                  <c:v>40048</c:v>
                </c:pt>
                <c:pt idx="17">
                  <c:v>35761</c:v>
                </c:pt>
                <c:pt idx="18">
                  <c:v>30105</c:v>
                </c:pt>
                <c:pt idx="19">
                  <c:v>31145</c:v>
                </c:pt>
                <c:pt idx="20">
                  <c:v>32872</c:v>
                </c:pt>
                <c:pt idx="21">
                  <c:v>28869</c:v>
                </c:pt>
                <c:pt idx="22">
                  <c:v>31161</c:v>
                </c:pt>
                <c:pt idx="23">
                  <c:v>25240</c:v>
                </c:pt>
                <c:pt idx="24">
                  <c:v>32237</c:v>
                </c:pt>
                <c:pt idx="25">
                  <c:v>29444</c:v>
                </c:pt>
                <c:pt idx="26">
                  <c:v>24298</c:v>
                </c:pt>
                <c:pt idx="27">
                  <c:v>25933</c:v>
                </c:pt>
                <c:pt idx="28">
                  <c:v>17522</c:v>
                </c:pt>
                <c:pt idx="29">
                  <c:v>17494</c:v>
                </c:pt>
                <c:pt idx="30">
                  <c:v>15154</c:v>
                </c:pt>
                <c:pt idx="31">
                  <c:v>7397</c:v>
                </c:pt>
                <c:pt idx="32">
                  <c:v>8532</c:v>
                </c:pt>
                <c:pt idx="33">
                  <c:v>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13152</c:v>
                </c:pt>
                <c:pt idx="1">
                  <c:v>13152</c:v>
                </c:pt>
                <c:pt idx="2">
                  <c:v>15329</c:v>
                </c:pt>
                <c:pt idx="3">
                  <c:v>19254</c:v>
                </c:pt>
                <c:pt idx="4">
                  <c:v>20488</c:v>
                </c:pt>
                <c:pt idx="5">
                  <c:v>24337</c:v>
                </c:pt>
                <c:pt idx="6">
                  <c:v>25473</c:v>
                </c:pt>
                <c:pt idx="7">
                  <c:v>22881</c:v>
                </c:pt>
                <c:pt idx="8">
                  <c:v>12797</c:v>
                </c:pt>
                <c:pt idx="9">
                  <c:v>13057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4880</c:v>
                </c:pt>
                <c:pt idx="1">
                  <c:v>7928</c:v>
                </c:pt>
                <c:pt idx="2">
                  <c:v>5336</c:v>
                </c:pt>
                <c:pt idx="3">
                  <c:v>7726</c:v>
                </c:pt>
                <c:pt idx="4">
                  <c:v>10970</c:v>
                </c:pt>
                <c:pt idx="5">
                  <c:v>10119</c:v>
                </c:pt>
                <c:pt idx="6">
                  <c:v>8158</c:v>
                </c:pt>
                <c:pt idx="7">
                  <c:v>19946</c:v>
                </c:pt>
                <c:pt idx="8">
                  <c:v>22236</c:v>
                </c:pt>
                <c:pt idx="9">
                  <c:v>23301</c:v>
                </c:pt>
                <c:pt idx="10">
                  <c:v>12444</c:v>
                </c:pt>
                <c:pt idx="11">
                  <c:v>4761</c:v>
                </c:pt>
                <c:pt idx="12">
                  <c:v>4391</c:v>
                </c:pt>
                <c:pt idx="13">
                  <c:v>3133</c:v>
                </c:pt>
                <c:pt idx="14">
                  <c:v>2142</c:v>
                </c:pt>
                <c:pt idx="15">
                  <c:v>1212</c:v>
                </c:pt>
                <c:pt idx="16">
                  <c:v>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7483369790200843E-2"/>
                  <c:y val="-1.462928497574166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8258</c:v>
                </c:pt>
                <c:pt idx="1">
                  <c:v>17355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2504</c:v>
                </c:pt>
                <c:pt idx="1">
                  <c:v>2358</c:v>
                </c:pt>
                <c:pt idx="2">
                  <c:v>2019</c:v>
                </c:pt>
                <c:pt idx="3">
                  <c:v>3721</c:v>
                </c:pt>
                <c:pt idx="4">
                  <c:v>2687</c:v>
                </c:pt>
                <c:pt idx="5">
                  <c:v>2869</c:v>
                </c:pt>
                <c:pt idx="6">
                  <c:v>4674</c:v>
                </c:pt>
                <c:pt idx="7">
                  <c:v>4012</c:v>
                </c:pt>
                <c:pt idx="8">
                  <c:v>5212</c:v>
                </c:pt>
                <c:pt idx="9">
                  <c:v>3593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3163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v>SR-75 SB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plus"/>
                  <c:size val="5"/>
                  <c:spPr>
                    <a:noFill/>
                    <a:ln w="9525">
                      <a:solidFill>
                        <a:schemeClr val="accent6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SR_75_SB!$H$2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11465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SR_75_SB!$I$2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10598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D16C-4BBD-BE06-8C3AD25B85EF}"/>
                  </c:ext>
                </c:extLst>
              </c15:ser>
            </c15:filteredScatterSeries>
          </c:ext>
        </c:extLst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688</c:v>
                </c:pt>
                <c:pt idx="1">
                  <c:v>933</c:v>
                </c:pt>
                <c:pt idx="2">
                  <c:v>1320</c:v>
                </c:pt>
                <c:pt idx="3">
                  <c:v>5323</c:v>
                </c:pt>
                <c:pt idx="4">
                  <c:v>4396</c:v>
                </c:pt>
                <c:pt idx="5">
                  <c:v>5684</c:v>
                </c:pt>
                <c:pt idx="6">
                  <c:v>7496</c:v>
                </c:pt>
                <c:pt idx="7">
                  <c:v>7211</c:v>
                </c:pt>
                <c:pt idx="8">
                  <c:v>9112</c:v>
                </c:pt>
                <c:pt idx="9">
                  <c:v>9112</c:v>
                </c:pt>
                <c:pt idx="10">
                  <c:v>8177</c:v>
                </c:pt>
                <c:pt idx="11">
                  <c:v>10480</c:v>
                </c:pt>
                <c:pt idx="12">
                  <c:v>9956</c:v>
                </c:pt>
                <c:pt idx="13">
                  <c:v>11979</c:v>
                </c:pt>
                <c:pt idx="14">
                  <c:v>8404</c:v>
                </c:pt>
                <c:pt idx="15">
                  <c:v>17464</c:v>
                </c:pt>
                <c:pt idx="16">
                  <c:v>19152</c:v>
                </c:pt>
                <c:pt idx="17">
                  <c:v>20852</c:v>
                </c:pt>
                <c:pt idx="18">
                  <c:v>23582</c:v>
                </c:pt>
                <c:pt idx="19">
                  <c:v>15777</c:v>
                </c:pt>
                <c:pt idx="20">
                  <c:v>17506</c:v>
                </c:pt>
                <c:pt idx="21">
                  <c:v>15464</c:v>
                </c:pt>
                <c:pt idx="22">
                  <c:v>17153</c:v>
                </c:pt>
                <c:pt idx="23">
                  <c:v>18623</c:v>
                </c:pt>
                <c:pt idx="24">
                  <c:v>17132</c:v>
                </c:pt>
                <c:pt idx="25">
                  <c:v>21106</c:v>
                </c:pt>
                <c:pt idx="26">
                  <c:v>18780</c:v>
                </c:pt>
                <c:pt idx="27">
                  <c:v>22639</c:v>
                </c:pt>
                <c:pt idx="28">
                  <c:v>21500</c:v>
                </c:pt>
                <c:pt idx="29">
                  <c:v>23395</c:v>
                </c:pt>
                <c:pt idx="30">
                  <c:v>14137</c:v>
                </c:pt>
                <c:pt idx="31">
                  <c:v>26621</c:v>
                </c:pt>
                <c:pt idx="32">
                  <c:v>15808</c:v>
                </c:pt>
                <c:pt idx="33">
                  <c:v>13322</c:v>
                </c:pt>
                <c:pt idx="34">
                  <c:v>23911</c:v>
                </c:pt>
                <c:pt idx="35">
                  <c:v>24316</c:v>
                </c:pt>
                <c:pt idx="36">
                  <c:v>21737</c:v>
                </c:pt>
                <c:pt idx="37">
                  <c:v>25100</c:v>
                </c:pt>
                <c:pt idx="38">
                  <c:v>23059</c:v>
                </c:pt>
                <c:pt idx="39">
                  <c:v>23511</c:v>
                </c:pt>
                <c:pt idx="40">
                  <c:v>21886</c:v>
                </c:pt>
                <c:pt idx="41">
                  <c:v>12594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242011430530058"/>
                  <c:y val="-7.1976457488268511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8019</c:v>
                </c:pt>
                <c:pt idx="1">
                  <c:v>9563</c:v>
                </c:pt>
                <c:pt idx="2">
                  <c:v>19582</c:v>
                </c:pt>
                <c:pt idx="3">
                  <c:v>22332</c:v>
                </c:pt>
                <c:pt idx="4">
                  <c:v>20987</c:v>
                </c:pt>
                <c:pt idx="5">
                  <c:v>19845</c:v>
                </c:pt>
                <c:pt idx="6">
                  <c:v>19274</c:v>
                </c:pt>
                <c:pt idx="7">
                  <c:v>20114</c:v>
                </c:pt>
                <c:pt idx="8">
                  <c:v>16053</c:v>
                </c:pt>
                <c:pt idx="9">
                  <c:v>16053</c:v>
                </c:pt>
                <c:pt idx="10">
                  <c:v>18377</c:v>
                </c:pt>
                <c:pt idx="11">
                  <c:v>20291</c:v>
                </c:pt>
                <c:pt idx="12">
                  <c:v>17239</c:v>
                </c:pt>
                <c:pt idx="13">
                  <c:v>17439</c:v>
                </c:pt>
                <c:pt idx="14">
                  <c:v>15109</c:v>
                </c:pt>
                <c:pt idx="15">
                  <c:v>13370</c:v>
                </c:pt>
                <c:pt idx="16">
                  <c:v>14548</c:v>
                </c:pt>
                <c:pt idx="17">
                  <c:v>11273</c:v>
                </c:pt>
                <c:pt idx="18">
                  <c:v>12740</c:v>
                </c:pt>
                <c:pt idx="19">
                  <c:v>14175</c:v>
                </c:pt>
                <c:pt idx="20">
                  <c:v>11398</c:v>
                </c:pt>
                <c:pt idx="21">
                  <c:v>12449</c:v>
                </c:pt>
                <c:pt idx="22">
                  <c:v>11072</c:v>
                </c:pt>
                <c:pt idx="23">
                  <c:v>11972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8977</c:v>
                </c:pt>
                <c:pt idx="1">
                  <c:v>9371</c:v>
                </c:pt>
                <c:pt idx="2">
                  <c:v>11226</c:v>
                </c:pt>
                <c:pt idx="3">
                  <c:v>11226</c:v>
                </c:pt>
                <c:pt idx="4">
                  <c:v>10821</c:v>
                </c:pt>
                <c:pt idx="5">
                  <c:v>13450</c:v>
                </c:pt>
                <c:pt idx="6">
                  <c:v>13450</c:v>
                </c:pt>
                <c:pt idx="7">
                  <c:v>14515</c:v>
                </c:pt>
                <c:pt idx="8">
                  <c:v>14515</c:v>
                </c:pt>
                <c:pt idx="9">
                  <c:v>7752</c:v>
                </c:pt>
                <c:pt idx="10">
                  <c:v>13596</c:v>
                </c:pt>
                <c:pt idx="11">
                  <c:v>13596</c:v>
                </c:pt>
                <c:pt idx="12">
                  <c:v>12033</c:v>
                </c:pt>
                <c:pt idx="13">
                  <c:v>8118</c:v>
                </c:pt>
                <c:pt idx="14">
                  <c:v>10214</c:v>
                </c:pt>
                <c:pt idx="15">
                  <c:v>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1622917463276457"/>
                  <c:y val="-9.9653225165035452E-3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12431</c:v>
                </c:pt>
                <c:pt idx="1">
                  <c:v>10539</c:v>
                </c:pt>
                <c:pt idx="2">
                  <c:v>11979</c:v>
                </c:pt>
                <c:pt idx="3">
                  <c:v>10398</c:v>
                </c:pt>
                <c:pt idx="4">
                  <c:v>11597</c:v>
                </c:pt>
                <c:pt idx="5">
                  <c:v>9112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9220</c:v>
                </c:pt>
                <c:pt idx="1">
                  <c:v>8404</c:v>
                </c:pt>
                <c:pt idx="2">
                  <c:v>8803</c:v>
                </c:pt>
                <c:pt idx="3">
                  <c:v>6463</c:v>
                </c:pt>
                <c:pt idx="4">
                  <c:v>7464</c:v>
                </c:pt>
                <c:pt idx="5">
                  <c:v>7464</c:v>
                </c:pt>
                <c:pt idx="6">
                  <c:v>6501</c:v>
                </c:pt>
                <c:pt idx="7">
                  <c:v>8015</c:v>
                </c:pt>
                <c:pt idx="8">
                  <c:v>6398</c:v>
                </c:pt>
                <c:pt idx="9">
                  <c:v>7831</c:v>
                </c:pt>
                <c:pt idx="10">
                  <c:v>7045</c:v>
                </c:pt>
                <c:pt idx="11">
                  <c:v>8665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2100</c:v>
                </c:pt>
                <c:pt idx="1">
                  <c:v>3494</c:v>
                </c:pt>
                <c:pt idx="2">
                  <c:v>7535</c:v>
                </c:pt>
                <c:pt idx="3">
                  <c:v>10211</c:v>
                </c:pt>
                <c:pt idx="4">
                  <c:v>5773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13190</c:v>
                </c:pt>
                <c:pt idx="1">
                  <c:v>14925</c:v>
                </c:pt>
                <c:pt idx="2">
                  <c:v>12968</c:v>
                </c:pt>
                <c:pt idx="3">
                  <c:v>14162</c:v>
                </c:pt>
                <c:pt idx="4">
                  <c:v>13509</c:v>
                </c:pt>
                <c:pt idx="5">
                  <c:v>12870</c:v>
                </c:pt>
                <c:pt idx="6">
                  <c:v>13766</c:v>
                </c:pt>
                <c:pt idx="7">
                  <c:v>14890</c:v>
                </c:pt>
                <c:pt idx="8">
                  <c:v>15886</c:v>
                </c:pt>
                <c:pt idx="9">
                  <c:v>16457</c:v>
                </c:pt>
                <c:pt idx="10">
                  <c:v>15250</c:v>
                </c:pt>
                <c:pt idx="11">
                  <c:v>17878</c:v>
                </c:pt>
                <c:pt idx="12">
                  <c:v>11090</c:v>
                </c:pt>
                <c:pt idx="13">
                  <c:v>13187</c:v>
                </c:pt>
                <c:pt idx="14">
                  <c:v>14663</c:v>
                </c:pt>
                <c:pt idx="15">
                  <c:v>12148</c:v>
                </c:pt>
                <c:pt idx="16">
                  <c:v>13522</c:v>
                </c:pt>
                <c:pt idx="17">
                  <c:v>11957</c:v>
                </c:pt>
                <c:pt idx="18">
                  <c:v>10890</c:v>
                </c:pt>
                <c:pt idx="19">
                  <c:v>4764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PM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281826579718358E-2"/>
                  <c:y val="-2.157130358705161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6271</c:v>
                </c:pt>
                <c:pt idx="1">
                  <c:v>11277</c:v>
                </c:pt>
                <c:pt idx="2">
                  <c:v>25749</c:v>
                </c:pt>
                <c:pt idx="3">
                  <c:v>28003</c:v>
                </c:pt>
                <c:pt idx="4">
                  <c:v>28003</c:v>
                </c:pt>
                <c:pt idx="5">
                  <c:v>25712</c:v>
                </c:pt>
                <c:pt idx="6">
                  <c:v>33232</c:v>
                </c:pt>
                <c:pt idx="7">
                  <c:v>20526</c:v>
                </c:pt>
                <c:pt idx="8">
                  <c:v>23466</c:v>
                </c:pt>
                <c:pt idx="9">
                  <c:v>35005</c:v>
                </c:pt>
                <c:pt idx="10">
                  <c:v>24524</c:v>
                </c:pt>
                <c:pt idx="11">
                  <c:v>38721</c:v>
                </c:pt>
                <c:pt idx="12">
                  <c:v>36163</c:v>
                </c:pt>
                <c:pt idx="13">
                  <c:v>37791</c:v>
                </c:pt>
                <c:pt idx="14">
                  <c:v>29199</c:v>
                </c:pt>
                <c:pt idx="15">
                  <c:v>32309</c:v>
                </c:pt>
                <c:pt idx="16">
                  <c:v>29357</c:v>
                </c:pt>
                <c:pt idx="17">
                  <c:v>31955</c:v>
                </c:pt>
                <c:pt idx="18">
                  <c:v>25768</c:v>
                </c:pt>
                <c:pt idx="19">
                  <c:v>24128</c:v>
                </c:pt>
                <c:pt idx="20">
                  <c:v>25959</c:v>
                </c:pt>
                <c:pt idx="21">
                  <c:v>24318</c:v>
                </c:pt>
                <c:pt idx="22">
                  <c:v>32055</c:v>
                </c:pt>
                <c:pt idx="23">
                  <c:v>23965</c:v>
                </c:pt>
                <c:pt idx="24">
                  <c:v>22367</c:v>
                </c:pt>
                <c:pt idx="25">
                  <c:v>17782</c:v>
                </c:pt>
                <c:pt idx="26">
                  <c:v>14839</c:v>
                </c:pt>
                <c:pt idx="27">
                  <c:v>15580</c:v>
                </c:pt>
                <c:pt idx="28">
                  <c:v>12877</c:v>
                </c:pt>
                <c:pt idx="29">
                  <c:v>13632</c:v>
                </c:pt>
                <c:pt idx="30">
                  <c:v>11544</c:v>
                </c:pt>
                <c:pt idx="31">
                  <c:v>9155</c:v>
                </c:pt>
                <c:pt idx="32">
                  <c:v>8969</c:v>
                </c:pt>
                <c:pt idx="33">
                  <c:v>9018</c:v>
                </c:pt>
                <c:pt idx="34">
                  <c:v>3264</c:v>
                </c:pt>
                <c:pt idx="35">
                  <c:v>2341</c:v>
                </c:pt>
                <c:pt idx="36">
                  <c:v>1890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16200</c:v>
                </c:pt>
                <c:pt idx="1">
                  <c:v>14657</c:v>
                </c:pt>
                <c:pt idx="2">
                  <c:v>15918</c:v>
                </c:pt>
                <c:pt idx="3">
                  <c:v>14241</c:v>
                </c:pt>
                <c:pt idx="4">
                  <c:v>16516</c:v>
                </c:pt>
                <c:pt idx="5">
                  <c:v>14692</c:v>
                </c:pt>
                <c:pt idx="6">
                  <c:v>13137</c:v>
                </c:pt>
                <c:pt idx="7">
                  <c:v>13092</c:v>
                </c:pt>
                <c:pt idx="8">
                  <c:v>15638</c:v>
                </c:pt>
                <c:pt idx="9">
                  <c:v>12291</c:v>
                </c:pt>
                <c:pt idx="10">
                  <c:v>13014</c:v>
                </c:pt>
                <c:pt idx="11">
                  <c:v>13694</c:v>
                </c:pt>
                <c:pt idx="12">
                  <c:v>16720</c:v>
                </c:pt>
                <c:pt idx="13">
                  <c:v>15062</c:v>
                </c:pt>
                <c:pt idx="14">
                  <c:v>17799</c:v>
                </c:pt>
                <c:pt idx="15">
                  <c:v>15773</c:v>
                </c:pt>
                <c:pt idx="16">
                  <c:v>17210</c:v>
                </c:pt>
                <c:pt idx="17">
                  <c:v>18365</c:v>
                </c:pt>
                <c:pt idx="18">
                  <c:v>20067</c:v>
                </c:pt>
                <c:pt idx="19">
                  <c:v>19834</c:v>
                </c:pt>
                <c:pt idx="20">
                  <c:v>21981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9761</c:v>
                </c:pt>
                <c:pt idx="1">
                  <c:v>14441</c:v>
                </c:pt>
                <c:pt idx="2">
                  <c:v>18189</c:v>
                </c:pt>
                <c:pt idx="3">
                  <c:v>18189</c:v>
                </c:pt>
                <c:pt idx="4">
                  <c:v>13053</c:v>
                </c:pt>
                <c:pt idx="5">
                  <c:v>21140</c:v>
                </c:pt>
                <c:pt idx="6">
                  <c:v>20362</c:v>
                </c:pt>
                <c:pt idx="7">
                  <c:v>20362</c:v>
                </c:pt>
                <c:pt idx="8">
                  <c:v>16729</c:v>
                </c:pt>
                <c:pt idx="9">
                  <c:v>17238</c:v>
                </c:pt>
                <c:pt idx="10">
                  <c:v>17238</c:v>
                </c:pt>
                <c:pt idx="11">
                  <c:v>15001</c:v>
                </c:pt>
                <c:pt idx="12">
                  <c:v>14643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16217</c:v>
                </c:pt>
                <c:pt idx="1">
                  <c:v>18195</c:v>
                </c:pt>
                <c:pt idx="2">
                  <c:v>15688</c:v>
                </c:pt>
                <c:pt idx="3">
                  <c:v>17246</c:v>
                </c:pt>
                <c:pt idx="4">
                  <c:v>15788</c:v>
                </c:pt>
                <c:pt idx="5">
                  <c:v>14543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277122852733619E-2"/>
                  <c:y val="-3.8582040881253478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14268</c:v>
                </c:pt>
                <c:pt idx="1">
                  <c:v>14933</c:v>
                </c:pt>
                <c:pt idx="2">
                  <c:v>12753</c:v>
                </c:pt>
                <c:pt idx="3">
                  <c:v>14350</c:v>
                </c:pt>
                <c:pt idx="4">
                  <c:v>12455</c:v>
                </c:pt>
                <c:pt idx="5">
                  <c:v>12676</c:v>
                </c:pt>
                <c:pt idx="6">
                  <c:v>11055</c:v>
                </c:pt>
                <c:pt idx="7">
                  <c:v>9739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6923</c:v>
                </c:pt>
                <c:pt idx="1">
                  <c:v>10006</c:v>
                </c:pt>
                <c:pt idx="2">
                  <c:v>8331</c:v>
                </c:pt>
                <c:pt idx="3">
                  <c:v>7042</c:v>
                </c:pt>
                <c:pt idx="4">
                  <c:v>9265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SR_94_EB!$H$2:$H$15</c:f>
              <c:numCache>
                <c:formatCode>0</c:formatCode>
                <c:ptCount val="14"/>
                <c:pt idx="0">
                  <c:v>21113</c:v>
                </c:pt>
                <c:pt idx="1">
                  <c:v>22417</c:v>
                </c:pt>
                <c:pt idx="2">
                  <c:v>24639</c:v>
                </c:pt>
                <c:pt idx="3">
                  <c:v>24679</c:v>
                </c:pt>
                <c:pt idx="4">
                  <c:v>18850</c:v>
                </c:pt>
                <c:pt idx="5">
                  <c:v>29117</c:v>
                </c:pt>
                <c:pt idx="6">
                  <c:v>26037</c:v>
                </c:pt>
                <c:pt idx="7">
                  <c:v>27704</c:v>
                </c:pt>
                <c:pt idx="8">
                  <c:v>26603</c:v>
                </c:pt>
                <c:pt idx="9">
                  <c:v>22695</c:v>
                </c:pt>
                <c:pt idx="10">
                  <c:v>18419</c:v>
                </c:pt>
                <c:pt idx="11">
                  <c:v>21485</c:v>
                </c:pt>
                <c:pt idx="12">
                  <c:v>21715</c:v>
                </c:pt>
                <c:pt idx="13">
                  <c:v>8655</c:v>
                </c:pt>
              </c:numCache>
            </c:numRef>
          </c:xVal>
          <c:yVal>
            <c:numRef>
              <c:f>SR_94_EB!$I$2:$I$15</c:f>
              <c:numCache>
                <c:formatCode>0</c:formatCode>
                <c:ptCount val="14"/>
                <c:pt idx="0">
                  <c:v>25172</c:v>
                </c:pt>
                <c:pt idx="1">
                  <c:v>26343</c:v>
                </c:pt>
                <c:pt idx="2">
                  <c:v>28166</c:v>
                </c:pt>
                <c:pt idx="3">
                  <c:v>28166</c:v>
                </c:pt>
                <c:pt idx="4">
                  <c:v>21850</c:v>
                </c:pt>
                <c:pt idx="5">
                  <c:v>32728</c:v>
                </c:pt>
                <c:pt idx="6">
                  <c:v>28573</c:v>
                </c:pt>
                <c:pt idx="7">
                  <c:v>29449</c:v>
                </c:pt>
                <c:pt idx="8">
                  <c:v>27641</c:v>
                </c:pt>
                <c:pt idx="9">
                  <c:v>24958</c:v>
                </c:pt>
                <c:pt idx="10">
                  <c:v>19474</c:v>
                </c:pt>
                <c:pt idx="11">
                  <c:v>21998</c:v>
                </c:pt>
                <c:pt idx="12">
                  <c:v>21517</c:v>
                </c:pt>
                <c:pt idx="13">
                  <c:v>7686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40000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4000"/>
      </c:valAx>
      <c:valAx>
        <c:axId val="1203071832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4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3216</c:v>
                </c:pt>
                <c:pt idx="1">
                  <c:v>5003</c:v>
                </c:pt>
                <c:pt idx="2">
                  <c:v>6405</c:v>
                </c:pt>
                <c:pt idx="3">
                  <c:v>6468</c:v>
                </c:pt>
                <c:pt idx="4">
                  <c:v>13346</c:v>
                </c:pt>
                <c:pt idx="5">
                  <c:v>9513</c:v>
                </c:pt>
                <c:pt idx="6">
                  <c:v>15901</c:v>
                </c:pt>
                <c:pt idx="7">
                  <c:v>14924</c:v>
                </c:pt>
                <c:pt idx="8">
                  <c:v>13241</c:v>
                </c:pt>
                <c:pt idx="9">
                  <c:v>15899</c:v>
                </c:pt>
                <c:pt idx="10">
                  <c:v>13748</c:v>
                </c:pt>
                <c:pt idx="11">
                  <c:v>15736</c:v>
                </c:pt>
                <c:pt idx="12">
                  <c:v>16284</c:v>
                </c:pt>
                <c:pt idx="13">
                  <c:v>16433</c:v>
                </c:pt>
                <c:pt idx="14">
                  <c:v>13768</c:v>
                </c:pt>
                <c:pt idx="15">
                  <c:v>15172</c:v>
                </c:pt>
                <c:pt idx="16">
                  <c:v>18512</c:v>
                </c:pt>
                <c:pt idx="17">
                  <c:v>19154</c:v>
                </c:pt>
                <c:pt idx="18">
                  <c:v>13885</c:v>
                </c:pt>
                <c:pt idx="19">
                  <c:v>14788</c:v>
                </c:pt>
                <c:pt idx="20">
                  <c:v>13255</c:v>
                </c:pt>
                <c:pt idx="21">
                  <c:v>15802</c:v>
                </c:pt>
                <c:pt idx="22">
                  <c:v>17066</c:v>
                </c:pt>
                <c:pt idx="23">
                  <c:v>17981</c:v>
                </c:pt>
                <c:pt idx="24">
                  <c:v>14973</c:v>
                </c:pt>
                <c:pt idx="25">
                  <c:v>16429</c:v>
                </c:pt>
                <c:pt idx="26">
                  <c:v>16190</c:v>
                </c:pt>
                <c:pt idx="27">
                  <c:v>16718</c:v>
                </c:pt>
                <c:pt idx="28">
                  <c:v>22327</c:v>
                </c:pt>
                <c:pt idx="29">
                  <c:v>18162</c:v>
                </c:pt>
                <c:pt idx="30">
                  <c:v>17896</c:v>
                </c:pt>
                <c:pt idx="31">
                  <c:v>17021</c:v>
                </c:pt>
                <c:pt idx="32">
                  <c:v>18852</c:v>
                </c:pt>
                <c:pt idx="33">
                  <c:v>21245</c:v>
                </c:pt>
                <c:pt idx="34">
                  <c:v>21345</c:v>
                </c:pt>
                <c:pt idx="35">
                  <c:v>25547</c:v>
                </c:pt>
                <c:pt idx="36">
                  <c:v>19336</c:v>
                </c:pt>
                <c:pt idx="37">
                  <c:v>12911</c:v>
                </c:pt>
                <c:pt idx="38">
                  <c:v>14734</c:v>
                </c:pt>
                <c:pt idx="39">
                  <c:v>12853</c:v>
                </c:pt>
                <c:pt idx="40">
                  <c:v>13188</c:v>
                </c:pt>
                <c:pt idx="41">
                  <c:v>14915</c:v>
                </c:pt>
                <c:pt idx="42">
                  <c:v>17592</c:v>
                </c:pt>
                <c:pt idx="43">
                  <c:v>18088</c:v>
                </c:pt>
                <c:pt idx="44">
                  <c:v>8098</c:v>
                </c:pt>
                <c:pt idx="45">
                  <c:v>21677</c:v>
                </c:pt>
                <c:pt idx="46">
                  <c:v>18041</c:v>
                </c:pt>
                <c:pt idx="47">
                  <c:v>14919</c:v>
                </c:pt>
                <c:pt idx="48">
                  <c:v>20123</c:v>
                </c:pt>
                <c:pt idx="49">
                  <c:v>26077</c:v>
                </c:pt>
                <c:pt idx="50">
                  <c:v>23557</c:v>
                </c:pt>
                <c:pt idx="51">
                  <c:v>22521</c:v>
                </c:pt>
                <c:pt idx="52">
                  <c:v>21673</c:v>
                </c:pt>
                <c:pt idx="53">
                  <c:v>23644</c:v>
                </c:pt>
                <c:pt idx="54">
                  <c:v>21817</c:v>
                </c:pt>
                <c:pt idx="55">
                  <c:v>24411</c:v>
                </c:pt>
                <c:pt idx="56">
                  <c:v>21307</c:v>
                </c:pt>
                <c:pt idx="57">
                  <c:v>22060</c:v>
                </c:pt>
                <c:pt idx="58">
                  <c:v>20180</c:v>
                </c:pt>
                <c:pt idx="59">
                  <c:v>17408</c:v>
                </c:pt>
                <c:pt idx="60">
                  <c:v>19518</c:v>
                </c:pt>
                <c:pt idx="61">
                  <c:v>19908</c:v>
                </c:pt>
                <c:pt idx="62">
                  <c:v>18579</c:v>
                </c:pt>
                <c:pt idx="63">
                  <c:v>20733</c:v>
                </c:pt>
                <c:pt idx="64">
                  <c:v>24326</c:v>
                </c:pt>
                <c:pt idx="65">
                  <c:v>23200</c:v>
                </c:pt>
                <c:pt idx="66">
                  <c:v>22843</c:v>
                </c:pt>
                <c:pt idx="67">
                  <c:v>19400</c:v>
                </c:pt>
                <c:pt idx="68">
                  <c:v>15599</c:v>
                </c:pt>
                <c:pt idx="69">
                  <c:v>16392</c:v>
                </c:pt>
                <c:pt idx="70">
                  <c:v>13227</c:v>
                </c:pt>
                <c:pt idx="71">
                  <c:v>11270</c:v>
                </c:pt>
                <c:pt idx="72">
                  <c:v>11613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1613</c:v>
                </c:pt>
                <c:pt idx="1">
                  <c:v>4201</c:v>
                </c:pt>
                <c:pt idx="2">
                  <c:v>5408</c:v>
                </c:pt>
                <c:pt idx="3">
                  <c:v>5611</c:v>
                </c:pt>
                <c:pt idx="4">
                  <c:v>10941</c:v>
                </c:pt>
                <c:pt idx="5">
                  <c:v>9076</c:v>
                </c:pt>
                <c:pt idx="6">
                  <c:v>14996</c:v>
                </c:pt>
                <c:pt idx="7">
                  <c:v>14709</c:v>
                </c:pt>
                <c:pt idx="8">
                  <c:v>14911</c:v>
                </c:pt>
                <c:pt idx="9">
                  <c:v>17528</c:v>
                </c:pt>
                <c:pt idx="10">
                  <c:v>16258</c:v>
                </c:pt>
                <c:pt idx="11">
                  <c:v>18149</c:v>
                </c:pt>
                <c:pt idx="12">
                  <c:v>18692</c:v>
                </c:pt>
                <c:pt idx="13">
                  <c:v>19975</c:v>
                </c:pt>
                <c:pt idx="14">
                  <c:v>20626</c:v>
                </c:pt>
                <c:pt idx="15">
                  <c:v>19611</c:v>
                </c:pt>
                <c:pt idx="16">
                  <c:v>25567</c:v>
                </c:pt>
                <c:pt idx="17">
                  <c:v>24072</c:v>
                </c:pt>
                <c:pt idx="18">
                  <c:v>16932</c:v>
                </c:pt>
                <c:pt idx="19">
                  <c:v>19600</c:v>
                </c:pt>
                <c:pt idx="20">
                  <c:v>18545</c:v>
                </c:pt>
                <c:pt idx="21">
                  <c:v>22115</c:v>
                </c:pt>
                <c:pt idx="22">
                  <c:v>22891</c:v>
                </c:pt>
                <c:pt idx="23">
                  <c:v>22453</c:v>
                </c:pt>
                <c:pt idx="24">
                  <c:v>18675</c:v>
                </c:pt>
                <c:pt idx="25">
                  <c:v>18675</c:v>
                </c:pt>
                <c:pt idx="26">
                  <c:v>19996</c:v>
                </c:pt>
                <c:pt idx="27">
                  <c:v>18096</c:v>
                </c:pt>
                <c:pt idx="28">
                  <c:v>23295</c:v>
                </c:pt>
                <c:pt idx="29">
                  <c:v>24693</c:v>
                </c:pt>
                <c:pt idx="30">
                  <c:v>20016</c:v>
                </c:pt>
                <c:pt idx="31">
                  <c:v>18697</c:v>
                </c:pt>
                <c:pt idx="32">
                  <c:v>20356</c:v>
                </c:pt>
                <c:pt idx="33">
                  <c:v>21209</c:v>
                </c:pt>
                <c:pt idx="34">
                  <c:v>21209</c:v>
                </c:pt>
                <c:pt idx="35">
                  <c:v>28193</c:v>
                </c:pt>
                <c:pt idx="36">
                  <c:v>21577</c:v>
                </c:pt>
                <c:pt idx="37">
                  <c:v>18056</c:v>
                </c:pt>
                <c:pt idx="38">
                  <c:v>19651</c:v>
                </c:pt>
                <c:pt idx="39">
                  <c:v>20675</c:v>
                </c:pt>
                <c:pt idx="40">
                  <c:v>18432</c:v>
                </c:pt>
                <c:pt idx="41">
                  <c:v>16604</c:v>
                </c:pt>
                <c:pt idx="42">
                  <c:v>28171</c:v>
                </c:pt>
                <c:pt idx="43">
                  <c:v>24562</c:v>
                </c:pt>
                <c:pt idx="44">
                  <c:v>15961</c:v>
                </c:pt>
                <c:pt idx="45">
                  <c:v>33670</c:v>
                </c:pt>
                <c:pt idx="46">
                  <c:v>31597</c:v>
                </c:pt>
                <c:pt idx="47">
                  <c:v>30134</c:v>
                </c:pt>
                <c:pt idx="48">
                  <c:v>31028</c:v>
                </c:pt>
                <c:pt idx="49">
                  <c:v>32064</c:v>
                </c:pt>
                <c:pt idx="50">
                  <c:v>33266</c:v>
                </c:pt>
                <c:pt idx="51">
                  <c:v>30620</c:v>
                </c:pt>
                <c:pt idx="52">
                  <c:v>29806</c:v>
                </c:pt>
                <c:pt idx="53">
                  <c:v>31178</c:v>
                </c:pt>
                <c:pt idx="54">
                  <c:v>29248</c:v>
                </c:pt>
                <c:pt idx="55">
                  <c:v>30987</c:v>
                </c:pt>
                <c:pt idx="56">
                  <c:v>29073</c:v>
                </c:pt>
                <c:pt idx="57">
                  <c:v>30001</c:v>
                </c:pt>
                <c:pt idx="58">
                  <c:v>27940</c:v>
                </c:pt>
                <c:pt idx="59">
                  <c:v>29487</c:v>
                </c:pt>
                <c:pt idx="60">
                  <c:v>26895</c:v>
                </c:pt>
                <c:pt idx="61">
                  <c:v>28062</c:v>
                </c:pt>
                <c:pt idx="62">
                  <c:v>25538</c:v>
                </c:pt>
                <c:pt idx="63">
                  <c:v>26538</c:v>
                </c:pt>
                <c:pt idx="64">
                  <c:v>27822</c:v>
                </c:pt>
                <c:pt idx="65">
                  <c:v>28981</c:v>
                </c:pt>
                <c:pt idx="66">
                  <c:v>26662</c:v>
                </c:pt>
                <c:pt idx="67">
                  <c:v>24581</c:v>
                </c:pt>
                <c:pt idx="68">
                  <c:v>20097</c:v>
                </c:pt>
                <c:pt idx="69">
                  <c:v>20436</c:v>
                </c:pt>
                <c:pt idx="70">
                  <c:v>17297</c:v>
                </c:pt>
                <c:pt idx="71">
                  <c:v>14668</c:v>
                </c:pt>
                <c:pt idx="72">
                  <c:v>14825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-0.49844527363184077</c:v>
                </c:pt>
                <c:pt idx="1">
                  <c:v>-0.16030381770937441</c:v>
                </c:pt>
                <c:pt idx="2">
                  <c:v>-0.15565964090554252</c:v>
                </c:pt>
                <c:pt idx="3">
                  <c:v>-0.13249845392702531</c:v>
                </c:pt>
                <c:pt idx="4">
                  <c:v>-0.18020380638393529</c:v>
                </c:pt>
                <c:pt idx="5">
                  <c:v>-4.5937138652370479E-2</c:v>
                </c:pt>
                <c:pt idx="6">
                  <c:v>-5.6914659455380212E-2</c:v>
                </c:pt>
                <c:pt idx="7">
                  <c:v>-1.4406325381935092E-2</c:v>
                </c:pt>
                <c:pt idx="8">
                  <c:v>0.12612340457669369</c:v>
                </c:pt>
                <c:pt idx="9">
                  <c:v>0.10245927416818668</c:v>
                </c:pt>
                <c:pt idx="10">
                  <c:v>0.18257201047425076</c:v>
                </c:pt>
                <c:pt idx="11">
                  <c:v>0.15334265378749357</c:v>
                </c:pt>
                <c:pt idx="12">
                  <c:v>0.14787521493490541</c:v>
                </c:pt>
                <c:pt idx="13">
                  <c:v>0.21554189740156993</c:v>
                </c:pt>
                <c:pt idx="14">
                  <c:v>0.49811156304474147</c:v>
                </c:pt>
                <c:pt idx="15">
                  <c:v>0.29257843395728966</c:v>
                </c:pt>
                <c:pt idx="16">
                  <c:v>0.38110414866032838</c:v>
                </c:pt>
                <c:pt idx="17">
                  <c:v>0.25676098987156726</c:v>
                </c:pt>
                <c:pt idx="18">
                  <c:v>0.21944544472452288</c:v>
                </c:pt>
                <c:pt idx="19">
                  <c:v>0.3253989721395727</c:v>
                </c:pt>
                <c:pt idx="20">
                  <c:v>0.3990946812523577</c:v>
                </c:pt>
                <c:pt idx="21">
                  <c:v>0.39950639159600043</c:v>
                </c:pt>
                <c:pt idx="22">
                  <c:v>0.34132192663775918</c:v>
                </c:pt>
                <c:pt idx="23">
                  <c:v>0.24870696846671492</c:v>
                </c:pt>
                <c:pt idx="24">
                  <c:v>0.24724504107393308</c:v>
                </c:pt>
                <c:pt idx="25">
                  <c:v>0.13670947714407444</c:v>
                </c:pt>
                <c:pt idx="26">
                  <c:v>0.23508338480543545</c:v>
                </c:pt>
                <c:pt idx="27">
                  <c:v>8.2426127527216231E-2</c:v>
                </c:pt>
                <c:pt idx="28">
                  <c:v>4.3355578447619392E-2</c:v>
                </c:pt>
                <c:pt idx="29">
                  <c:v>0.35959696068714897</c:v>
                </c:pt>
                <c:pt idx="30">
                  <c:v>0.11846222619579794</c:v>
                </c:pt>
                <c:pt idx="31">
                  <c:v>9.8466600082251388E-2</c:v>
                </c:pt>
                <c:pt idx="32">
                  <c:v>7.9779333757691528E-2</c:v>
                </c:pt>
                <c:pt idx="33">
                  <c:v>-1.6945163567898547E-3</c:v>
                </c:pt>
                <c:pt idx="34">
                  <c:v>-6.3715155774185517E-3</c:v>
                </c:pt>
                <c:pt idx="35">
                  <c:v>0.10357380514346115</c:v>
                </c:pt>
                <c:pt idx="36">
                  <c:v>0.11589780719900711</c:v>
                </c:pt>
                <c:pt idx="37">
                  <c:v>0.3984974053132988</c:v>
                </c:pt>
                <c:pt idx="38">
                  <c:v>0.33371793131532512</c:v>
                </c:pt>
                <c:pt idx="39">
                  <c:v>0.60857387380378114</c:v>
                </c:pt>
                <c:pt idx="40">
                  <c:v>0.39763421292083723</c:v>
                </c:pt>
                <c:pt idx="41">
                  <c:v>0.1132417029835735</c:v>
                </c:pt>
                <c:pt idx="42">
                  <c:v>0.60135288767621642</c:v>
                </c:pt>
                <c:pt idx="43">
                  <c:v>0.35791685095090675</c:v>
                </c:pt>
                <c:pt idx="44">
                  <c:v>0.97098048900963208</c:v>
                </c:pt>
                <c:pt idx="45">
                  <c:v>0.55325921483600138</c:v>
                </c:pt>
                <c:pt idx="46">
                  <c:v>0.75139958982318045</c:v>
                </c:pt>
                <c:pt idx="47">
                  <c:v>1.0198404718814933</c:v>
                </c:pt>
                <c:pt idx="48">
                  <c:v>0.5419172091636435</c:v>
                </c:pt>
                <c:pt idx="49">
                  <c:v>0.22958929324692257</c:v>
                </c:pt>
                <c:pt idx="50">
                  <c:v>0.41214925499851418</c:v>
                </c:pt>
                <c:pt idx="51">
                  <c:v>0.35961991030593676</c:v>
                </c:pt>
                <c:pt idx="52">
                  <c:v>0.37525953951921753</c:v>
                </c:pt>
                <c:pt idx="53">
                  <c:v>0.31864320757908993</c:v>
                </c:pt>
                <c:pt idx="54">
                  <c:v>0.34060594948893064</c:v>
                </c:pt>
                <c:pt idx="55">
                  <c:v>0.26938675187415506</c:v>
                </c:pt>
                <c:pt idx="56">
                  <c:v>0.36448115642746526</c:v>
                </c:pt>
                <c:pt idx="57">
                  <c:v>0.35997280145058941</c:v>
                </c:pt>
                <c:pt idx="58">
                  <c:v>0.38453914767096142</c:v>
                </c:pt>
                <c:pt idx="59">
                  <c:v>0.69387637867647056</c:v>
                </c:pt>
                <c:pt idx="60">
                  <c:v>0.37795880725484166</c:v>
                </c:pt>
                <c:pt idx="61">
                  <c:v>0.4095840867992766</c:v>
                </c:pt>
                <c:pt idx="62">
                  <c:v>0.37456267829269607</c:v>
                </c:pt>
                <c:pt idx="63">
                  <c:v>0.27998842425119386</c:v>
                </c:pt>
                <c:pt idx="64">
                  <c:v>0.14371454410918361</c:v>
                </c:pt>
                <c:pt idx="65">
                  <c:v>0.24918103448275852</c:v>
                </c:pt>
                <c:pt idx="66">
                  <c:v>0.16718469553035931</c:v>
                </c:pt>
                <c:pt idx="67">
                  <c:v>0.26706185567010299</c:v>
                </c:pt>
                <c:pt idx="68">
                  <c:v>0.28835181742419391</c:v>
                </c:pt>
                <c:pt idx="69">
                  <c:v>0.24670571010248898</c:v>
                </c:pt>
                <c:pt idx="70">
                  <c:v>0.30770393891282977</c:v>
                </c:pt>
                <c:pt idx="71">
                  <c:v>0.30150842945874001</c:v>
                </c:pt>
                <c:pt idx="72">
                  <c:v>0.27658658400068892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I_15_NB!$I$2:$I$55</c:f>
              <c:numCache>
                <c:formatCode>0</c:formatCode>
                <c:ptCount val="54"/>
                <c:pt idx="0">
                  <c:v>17197</c:v>
                </c:pt>
                <c:pt idx="1">
                  <c:v>18014</c:v>
                </c:pt>
                <c:pt idx="2">
                  <c:v>19070</c:v>
                </c:pt>
                <c:pt idx="3">
                  <c:v>18238</c:v>
                </c:pt>
                <c:pt idx="4">
                  <c:v>23643</c:v>
                </c:pt>
                <c:pt idx="5">
                  <c:v>19193</c:v>
                </c:pt>
                <c:pt idx="6">
                  <c:v>20849</c:v>
                </c:pt>
                <c:pt idx="7">
                  <c:v>20789</c:v>
                </c:pt>
                <c:pt idx="8">
                  <c:v>16280</c:v>
                </c:pt>
                <c:pt idx="9">
                  <c:v>16280</c:v>
                </c:pt>
                <c:pt idx="10">
                  <c:v>28192</c:v>
                </c:pt>
                <c:pt idx="11">
                  <c:v>22660</c:v>
                </c:pt>
                <c:pt idx="12">
                  <c:v>24406</c:v>
                </c:pt>
                <c:pt idx="13">
                  <c:v>20584</c:v>
                </c:pt>
                <c:pt idx="14">
                  <c:v>23161</c:v>
                </c:pt>
                <c:pt idx="15">
                  <c:v>21419</c:v>
                </c:pt>
                <c:pt idx="16">
                  <c:v>30520</c:v>
                </c:pt>
                <c:pt idx="17">
                  <c:v>44796</c:v>
                </c:pt>
                <c:pt idx="18">
                  <c:v>44064</c:v>
                </c:pt>
                <c:pt idx="19">
                  <c:v>44634</c:v>
                </c:pt>
                <c:pt idx="20">
                  <c:v>39690</c:v>
                </c:pt>
                <c:pt idx="21">
                  <c:v>39756</c:v>
                </c:pt>
                <c:pt idx="22">
                  <c:v>41262</c:v>
                </c:pt>
                <c:pt idx="23">
                  <c:v>37626</c:v>
                </c:pt>
                <c:pt idx="24">
                  <c:v>42146</c:v>
                </c:pt>
                <c:pt idx="25">
                  <c:v>38670</c:v>
                </c:pt>
                <c:pt idx="26">
                  <c:v>32312</c:v>
                </c:pt>
                <c:pt idx="27">
                  <c:v>33170</c:v>
                </c:pt>
                <c:pt idx="28">
                  <c:v>30445</c:v>
                </c:pt>
                <c:pt idx="29">
                  <c:v>33065</c:v>
                </c:pt>
                <c:pt idx="30">
                  <c:v>34900</c:v>
                </c:pt>
                <c:pt idx="31">
                  <c:v>31357</c:v>
                </c:pt>
                <c:pt idx="32">
                  <c:v>31297</c:v>
                </c:pt>
                <c:pt idx="33">
                  <c:v>32834</c:v>
                </c:pt>
                <c:pt idx="34">
                  <c:v>30083</c:v>
                </c:pt>
                <c:pt idx="35">
                  <c:v>32351</c:v>
                </c:pt>
                <c:pt idx="36">
                  <c:v>33907</c:v>
                </c:pt>
                <c:pt idx="37">
                  <c:v>35038</c:v>
                </c:pt>
                <c:pt idx="38">
                  <c:v>33814</c:v>
                </c:pt>
                <c:pt idx="39">
                  <c:v>36424</c:v>
                </c:pt>
                <c:pt idx="40">
                  <c:v>32233</c:v>
                </c:pt>
                <c:pt idx="41">
                  <c:v>27283</c:v>
                </c:pt>
                <c:pt idx="42">
                  <c:v>27283</c:v>
                </c:pt>
                <c:pt idx="43">
                  <c:v>30509</c:v>
                </c:pt>
                <c:pt idx="44">
                  <c:v>29865</c:v>
                </c:pt>
                <c:pt idx="45">
                  <c:v>28062</c:v>
                </c:pt>
                <c:pt idx="46">
                  <c:v>18391</c:v>
                </c:pt>
                <c:pt idx="47">
                  <c:v>20624</c:v>
                </c:pt>
                <c:pt idx="48">
                  <c:v>19443</c:v>
                </c:pt>
                <c:pt idx="49">
                  <c:v>20758</c:v>
                </c:pt>
                <c:pt idx="50">
                  <c:v>17045</c:v>
                </c:pt>
                <c:pt idx="51">
                  <c:v>18376</c:v>
                </c:pt>
                <c:pt idx="52">
                  <c:v>17526</c:v>
                </c:pt>
                <c:pt idx="53">
                  <c:v>17538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I_15_NB!$H$2:$H$55</c:f>
              <c:numCache>
                <c:formatCode>0</c:formatCode>
                <c:ptCount val="54"/>
                <c:pt idx="0">
                  <c:v>13149</c:v>
                </c:pt>
                <c:pt idx="1">
                  <c:v>14761</c:v>
                </c:pt>
                <c:pt idx="2">
                  <c:v>16609</c:v>
                </c:pt>
                <c:pt idx="3">
                  <c:v>14365</c:v>
                </c:pt>
                <c:pt idx="4">
                  <c:v>20064</c:v>
                </c:pt>
                <c:pt idx="5">
                  <c:v>14325</c:v>
                </c:pt>
                <c:pt idx="6">
                  <c:v>15383</c:v>
                </c:pt>
                <c:pt idx="7">
                  <c:v>17762</c:v>
                </c:pt>
                <c:pt idx="8">
                  <c:v>16983</c:v>
                </c:pt>
                <c:pt idx="9">
                  <c:v>15967</c:v>
                </c:pt>
                <c:pt idx="10">
                  <c:v>21966</c:v>
                </c:pt>
                <c:pt idx="11">
                  <c:v>17283</c:v>
                </c:pt>
                <c:pt idx="12">
                  <c:v>19197</c:v>
                </c:pt>
                <c:pt idx="13">
                  <c:v>16666</c:v>
                </c:pt>
                <c:pt idx="14">
                  <c:v>19169</c:v>
                </c:pt>
                <c:pt idx="15">
                  <c:v>17861</c:v>
                </c:pt>
                <c:pt idx="16">
                  <c:v>18518</c:v>
                </c:pt>
                <c:pt idx="17">
                  <c:v>36316</c:v>
                </c:pt>
                <c:pt idx="18">
                  <c:v>33516</c:v>
                </c:pt>
                <c:pt idx="19">
                  <c:v>31178</c:v>
                </c:pt>
                <c:pt idx="20">
                  <c:v>32417</c:v>
                </c:pt>
                <c:pt idx="21">
                  <c:v>32620</c:v>
                </c:pt>
                <c:pt idx="22">
                  <c:v>35728</c:v>
                </c:pt>
                <c:pt idx="23">
                  <c:v>29575</c:v>
                </c:pt>
                <c:pt idx="24">
                  <c:v>29029</c:v>
                </c:pt>
                <c:pt idx="25">
                  <c:v>31038</c:v>
                </c:pt>
                <c:pt idx="26">
                  <c:v>27727</c:v>
                </c:pt>
                <c:pt idx="27">
                  <c:v>28826</c:v>
                </c:pt>
                <c:pt idx="28">
                  <c:v>25725</c:v>
                </c:pt>
                <c:pt idx="29">
                  <c:v>26747</c:v>
                </c:pt>
                <c:pt idx="30">
                  <c:v>27888</c:v>
                </c:pt>
                <c:pt idx="31">
                  <c:v>24668</c:v>
                </c:pt>
                <c:pt idx="32">
                  <c:v>25193</c:v>
                </c:pt>
                <c:pt idx="33">
                  <c:v>27258</c:v>
                </c:pt>
                <c:pt idx="34">
                  <c:v>26992</c:v>
                </c:pt>
                <c:pt idx="35">
                  <c:v>26360</c:v>
                </c:pt>
                <c:pt idx="36">
                  <c:v>29001</c:v>
                </c:pt>
                <c:pt idx="37">
                  <c:v>28833</c:v>
                </c:pt>
                <c:pt idx="38">
                  <c:v>28357</c:v>
                </c:pt>
                <c:pt idx="39">
                  <c:v>31976</c:v>
                </c:pt>
                <c:pt idx="40">
                  <c:v>26607</c:v>
                </c:pt>
                <c:pt idx="41">
                  <c:v>20202</c:v>
                </c:pt>
                <c:pt idx="42">
                  <c:v>26024</c:v>
                </c:pt>
                <c:pt idx="43">
                  <c:v>26201</c:v>
                </c:pt>
                <c:pt idx="44">
                  <c:v>21239</c:v>
                </c:pt>
                <c:pt idx="45">
                  <c:v>25315</c:v>
                </c:pt>
                <c:pt idx="46">
                  <c:v>18814</c:v>
                </c:pt>
                <c:pt idx="47">
                  <c:v>20135</c:v>
                </c:pt>
                <c:pt idx="48">
                  <c:v>14592</c:v>
                </c:pt>
                <c:pt idx="49">
                  <c:v>20665</c:v>
                </c:pt>
                <c:pt idx="50">
                  <c:v>19555</c:v>
                </c:pt>
                <c:pt idx="51">
                  <c:v>18193</c:v>
                </c:pt>
                <c:pt idx="52">
                  <c:v>19986</c:v>
                </c:pt>
                <c:pt idx="53">
                  <c:v>19908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I_15_NB!$F$2:$F$55</c:f>
              <c:strCache>
                <c:ptCount val="54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RANCHO BERNARDO</c:v>
                </c:pt>
                <c:pt idx="38">
                  <c:v>POMERADO</c:v>
                </c:pt>
                <c:pt idx="39">
                  <c:v>POMERADO</c:v>
                </c:pt>
                <c:pt idx="40">
                  <c:v>VIA RANCHO</c:v>
                </c:pt>
                <c:pt idx="41">
                  <c:v>CENTRE CITY</c:v>
                </c:pt>
                <c:pt idx="42">
                  <c:v>CENTRE CITY</c:v>
                </c:pt>
                <c:pt idx="43">
                  <c:v>CITRACADO</c:v>
                </c:pt>
                <c:pt idx="44">
                  <c:v>09TH</c:v>
                </c:pt>
                <c:pt idx="45">
                  <c:v>VALLEY</c:v>
                </c:pt>
                <c:pt idx="46">
                  <c:v>SR-78 WB</c:v>
                </c:pt>
                <c:pt idx="47">
                  <c:v>CENTRE CITY</c:v>
                </c:pt>
                <c:pt idx="48">
                  <c:v>DEER SPRINGS</c:v>
                </c:pt>
                <c:pt idx="49">
                  <c:v>DEER SPRINGS</c:v>
                </c:pt>
                <c:pt idx="50">
                  <c:v>PALA</c:v>
                </c:pt>
                <c:pt idx="51">
                  <c:v>PALA</c:v>
                </c:pt>
                <c:pt idx="52">
                  <c:v>MISSION</c:v>
                </c:pt>
                <c:pt idx="53">
                  <c:v>RAINBOW VALLEY WEST</c:v>
                </c:pt>
              </c:strCache>
            </c:strRef>
          </c:cat>
          <c:val>
            <c:numRef>
              <c:f>I_15_NB!$D$2:$D$55</c:f>
              <c:numCache>
                <c:formatCode>0</c:formatCode>
                <c:ptCount val="54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25.09</c:v>
                </c:pt>
                <c:pt idx="37">
                  <c:v>25.39</c:v>
                </c:pt>
                <c:pt idx="38">
                  <c:v>25.93</c:v>
                </c:pt>
                <c:pt idx="39">
                  <c:v>26.36</c:v>
                </c:pt>
                <c:pt idx="40">
                  <c:v>26.86</c:v>
                </c:pt>
                <c:pt idx="41">
                  <c:v>27.18</c:v>
                </c:pt>
                <c:pt idx="42">
                  <c:v>28.17</c:v>
                </c:pt>
                <c:pt idx="43">
                  <c:v>28.81</c:v>
                </c:pt>
                <c:pt idx="44">
                  <c:v>30.22</c:v>
                </c:pt>
                <c:pt idx="45">
                  <c:v>30.64</c:v>
                </c:pt>
                <c:pt idx="46">
                  <c:v>31.44</c:v>
                </c:pt>
                <c:pt idx="47">
                  <c:v>36.04</c:v>
                </c:pt>
                <c:pt idx="48">
                  <c:v>36.729999999999997</c:v>
                </c:pt>
                <c:pt idx="49">
                  <c:v>40.19</c:v>
                </c:pt>
                <c:pt idx="50">
                  <c:v>46.29</c:v>
                </c:pt>
                <c:pt idx="51">
                  <c:v>48.53</c:v>
                </c:pt>
                <c:pt idx="52">
                  <c:v>53.44</c:v>
                </c:pt>
                <c:pt idx="53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I_15_NB!$J$2:$J$55</c:f>
              <c:numCache>
                <c:formatCode>0%</c:formatCode>
                <c:ptCount val="54"/>
                <c:pt idx="0">
                  <c:v>0.30785611073085395</c:v>
                </c:pt>
                <c:pt idx="1">
                  <c:v>0.22037802316916189</c:v>
                </c:pt>
                <c:pt idx="2">
                  <c:v>0.14817267746402552</c:v>
                </c:pt>
                <c:pt idx="3">
                  <c:v>0.26961364427427781</c:v>
                </c:pt>
                <c:pt idx="4">
                  <c:v>0.17837918660287078</c:v>
                </c:pt>
                <c:pt idx="5">
                  <c:v>0.33982547993019208</c:v>
                </c:pt>
                <c:pt idx="6">
                  <c:v>0.35532730936748358</c:v>
                </c:pt>
                <c:pt idx="7">
                  <c:v>0.17041999774800143</c:v>
                </c:pt>
                <c:pt idx="8">
                  <c:v>-4.1394335511982572E-2</c:v>
                </c:pt>
                <c:pt idx="9">
                  <c:v>1.9602931045280991E-2</c:v>
                </c:pt>
                <c:pt idx="10">
                  <c:v>0.28343804060821265</c:v>
                </c:pt>
                <c:pt idx="11">
                  <c:v>0.31111496846612274</c:v>
                </c:pt>
                <c:pt idx="12">
                  <c:v>0.27134448090847529</c:v>
                </c:pt>
                <c:pt idx="13">
                  <c:v>0.23508940357614305</c:v>
                </c:pt>
                <c:pt idx="14">
                  <c:v>0.20825290834159316</c:v>
                </c:pt>
                <c:pt idx="15">
                  <c:v>0.19920497172610707</c:v>
                </c:pt>
                <c:pt idx="16">
                  <c:v>0.64812614753213094</c:v>
                </c:pt>
                <c:pt idx="17">
                  <c:v>0.23350589271946243</c:v>
                </c:pt>
                <c:pt idx="18">
                  <c:v>0.31471535982814181</c:v>
                </c:pt>
                <c:pt idx="19">
                  <c:v>0.43158637500801844</c:v>
                </c:pt>
                <c:pt idx="20">
                  <c:v>0.22435759015331458</c:v>
                </c:pt>
                <c:pt idx="21">
                  <c:v>0.21876149601471484</c:v>
                </c:pt>
                <c:pt idx="22">
                  <c:v>0.15489252127183151</c:v>
                </c:pt>
                <c:pt idx="23">
                  <c:v>0.27222316145393077</c:v>
                </c:pt>
                <c:pt idx="24">
                  <c:v>0.45185848634124492</c:v>
                </c:pt>
                <c:pt idx="25">
                  <c:v>0.24589213222501449</c:v>
                </c:pt>
                <c:pt idx="26">
                  <c:v>0.16536228225195648</c:v>
                </c:pt>
                <c:pt idx="27">
                  <c:v>0.15069728717130371</c:v>
                </c:pt>
                <c:pt idx="28">
                  <c:v>0.18347910592808558</c:v>
                </c:pt>
                <c:pt idx="29">
                  <c:v>0.23621340711107797</c:v>
                </c:pt>
                <c:pt idx="30">
                  <c:v>0.25143430866322425</c:v>
                </c:pt>
                <c:pt idx="31">
                  <c:v>0.27116101832333395</c:v>
                </c:pt>
                <c:pt idx="32">
                  <c:v>0.2422895248680188</c:v>
                </c:pt>
                <c:pt idx="33">
                  <c:v>0.2045637977841368</c:v>
                </c:pt>
                <c:pt idx="34">
                  <c:v>0.11451541197391824</c:v>
                </c:pt>
                <c:pt idx="35">
                  <c:v>0.22727617602427919</c:v>
                </c:pt>
                <c:pt idx="36">
                  <c:v>0.16916658046274269</c:v>
                </c:pt>
                <c:pt idx="37">
                  <c:v>0.21520480005549203</c:v>
                </c:pt>
                <c:pt idx="38">
                  <c:v>0.19243925662094008</c:v>
                </c:pt>
                <c:pt idx="39">
                  <c:v>0.13910432824618457</c:v>
                </c:pt>
                <c:pt idx="40">
                  <c:v>0.21144811515766526</c:v>
                </c:pt>
                <c:pt idx="41">
                  <c:v>0.35050985050985051</c:v>
                </c:pt>
                <c:pt idx="42">
                  <c:v>4.8378419920073856E-2</c:v>
                </c:pt>
                <c:pt idx="43">
                  <c:v>0.16442120529750781</c:v>
                </c:pt>
                <c:pt idx="44">
                  <c:v>0.40613964875935782</c:v>
                </c:pt>
                <c:pt idx="45">
                  <c:v>0.10851273948252027</c:v>
                </c:pt>
                <c:pt idx="46">
                  <c:v>-2.2483257148931624E-2</c:v>
                </c:pt>
                <c:pt idx="47">
                  <c:v>2.4286069034020308E-2</c:v>
                </c:pt>
                <c:pt idx="48">
                  <c:v>0.33244243421052633</c:v>
                </c:pt>
                <c:pt idx="49">
                  <c:v>4.5003629324944505E-3</c:v>
                </c:pt>
                <c:pt idx="50">
                  <c:v>-0.12835591920225009</c:v>
                </c:pt>
                <c:pt idx="51">
                  <c:v>1.0058813829494806E-2</c:v>
                </c:pt>
                <c:pt idx="52">
                  <c:v>-0.12308616031221853</c:v>
                </c:pt>
                <c:pt idx="53">
                  <c:v>-0.11904761904761907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5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5905</c:v>
                </c:pt>
                <c:pt idx="1">
                  <c:v>12365</c:v>
                </c:pt>
                <c:pt idx="2">
                  <c:v>15795</c:v>
                </c:pt>
                <c:pt idx="3">
                  <c:v>18139</c:v>
                </c:pt>
                <c:pt idx="4">
                  <c:v>13368</c:v>
                </c:pt>
                <c:pt idx="5">
                  <c:v>21290</c:v>
                </c:pt>
                <c:pt idx="6">
                  <c:v>24359</c:v>
                </c:pt>
                <c:pt idx="7">
                  <c:v>21655</c:v>
                </c:pt>
                <c:pt idx="8">
                  <c:v>17466</c:v>
                </c:pt>
                <c:pt idx="9">
                  <c:v>23486</c:v>
                </c:pt>
                <c:pt idx="10">
                  <c:v>18293</c:v>
                </c:pt>
                <c:pt idx="11">
                  <c:v>22257</c:v>
                </c:pt>
                <c:pt idx="12">
                  <c:v>22742</c:v>
                </c:pt>
                <c:pt idx="13">
                  <c:v>13741</c:v>
                </c:pt>
                <c:pt idx="14">
                  <c:v>15483</c:v>
                </c:pt>
                <c:pt idx="15">
                  <c:v>17656</c:v>
                </c:pt>
                <c:pt idx="16">
                  <c:v>15022</c:v>
                </c:pt>
                <c:pt idx="17">
                  <c:v>12056</c:v>
                </c:pt>
                <c:pt idx="18">
                  <c:v>16786</c:v>
                </c:pt>
                <c:pt idx="19">
                  <c:v>17540</c:v>
                </c:pt>
                <c:pt idx="20">
                  <c:v>12465</c:v>
                </c:pt>
                <c:pt idx="21">
                  <c:v>14120</c:v>
                </c:pt>
                <c:pt idx="22">
                  <c:v>16603</c:v>
                </c:pt>
                <c:pt idx="23">
                  <c:v>13405</c:v>
                </c:pt>
                <c:pt idx="24">
                  <c:v>11943</c:v>
                </c:pt>
                <c:pt idx="25">
                  <c:v>11626</c:v>
                </c:pt>
                <c:pt idx="26">
                  <c:v>21359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7736</c:v>
                </c:pt>
                <c:pt idx="1">
                  <c:v>13696</c:v>
                </c:pt>
                <c:pt idx="2">
                  <c:v>15857</c:v>
                </c:pt>
                <c:pt idx="3">
                  <c:v>17614</c:v>
                </c:pt>
                <c:pt idx="4">
                  <c:v>17032</c:v>
                </c:pt>
                <c:pt idx="5">
                  <c:v>21241</c:v>
                </c:pt>
                <c:pt idx="6">
                  <c:v>22891</c:v>
                </c:pt>
                <c:pt idx="7">
                  <c:v>23314</c:v>
                </c:pt>
                <c:pt idx="8">
                  <c:v>20660</c:v>
                </c:pt>
                <c:pt idx="9">
                  <c:v>23023</c:v>
                </c:pt>
                <c:pt idx="10">
                  <c:v>22825</c:v>
                </c:pt>
                <c:pt idx="11">
                  <c:v>23517</c:v>
                </c:pt>
                <c:pt idx="12">
                  <c:v>24522</c:v>
                </c:pt>
                <c:pt idx="13">
                  <c:v>14162</c:v>
                </c:pt>
                <c:pt idx="14">
                  <c:v>16947</c:v>
                </c:pt>
                <c:pt idx="15">
                  <c:v>18847</c:v>
                </c:pt>
                <c:pt idx="16">
                  <c:v>16088</c:v>
                </c:pt>
                <c:pt idx="17">
                  <c:v>14110</c:v>
                </c:pt>
                <c:pt idx="18">
                  <c:v>22387</c:v>
                </c:pt>
                <c:pt idx="19">
                  <c:v>21831</c:v>
                </c:pt>
                <c:pt idx="20">
                  <c:v>15889</c:v>
                </c:pt>
                <c:pt idx="21">
                  <c:v>20518</c:v>
                </c:pt>
                <c:pt idx="22">
                  <c:v>23881</c:v>
                </c:pt>
                <c:pt idx="23">
                  <c:v>21510</c:v>
                </c:pt>
                <c:pt idx="24">
                  <c:v>18155</c:v>
                </c:pt>
                <c:pt idx="25">
                  <c:v>19195</c:v>
                </c:pt>
                <c:pt idx="26">
                  <c:v>23360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0.31007620660457236</c:v>
                </c:pt>
                <c:pt idx="1">
                  <c:v>0.10764253942579871</c:v>
                </c:pt>
                <c:pt idx="2">
                  <c:v>3.9252928141817467E-3</c:v>
                </c:pt>
                <c:pt idx="3">
                  <c:v>-2.8943161144495244E-2</c:v>
                </c:pt>
                <c:pt idx="4">
                  <c:v>0.27408737283064033</c:v>
                </c:pt>
                <c:pt idx="5">
                  <c:v>-2.3015500234851993E-3</c:v>
                </c:pt>
                <c:pt idx="6">
                  <c:v>-6.0265199720842433E-2</c:v>
                </c:pt>
                <c:pt idx="7">
                  <c:v>7.6610482567536442E-2</c:v>
                </c:pt>
                <c:pt idx="8">
                  <c:v>0.18286957517462499</c:v>
                </c:pt>
                <c:pt idx="9">
                  <c:v>-1.9713872094013429E-2</c:v>
                </c:pt>
                <c:pt idx="10">
                  <c:v>0.24774503908598922</c:v>
                </c:pt>
                <c:pt idx="11">
                  <c:v>5.6611403154063877E-2</c:v>
                </c:pt>
                <c:pt idx="12">
                  <c:v>7.8269281505584321E-2</c:v>
                </c:pt>
                <c:pt idx="13">
                  <c:v>3.0638235936249147E-2</c:v>
                </c:pt>
                <c:pt idx="14">
                  <c:v>9.4555318736678995E-2</c:v>
                </c:pt>
                <c:pt idx="15">
                  <c:v>6.7455822383325703E-2</c:v>
                </c:pt>
                <c:pt idx="16">
                  <c:v>7.0962588203967503E-2</c:v>
                </c:pt>
                <c:pt idx="17">
                  <c:v>0.17037159920371603</c:v>
                </c:pt>
                <c:pt idx="18">
                  <c:v>0.33367091623972356</c:v>
                </c:pt>
                <c:pt idx="19">
                  <c:v>0.24464082098061568</c:v>
                </c:pt>
                <c:pt idx="20">
                  <c:v>0.2746891295627758</c:v>
                </c:pt>
                <c:pt idx="21">
                  <c:v>0.45311614730878191</c:v>
                </c:pt>
                <c:pt idx="22">
                  <c:v>0.43835451424441363</c:v>
                </c:pt>
                <c:pt idx="23">
                  <c:v>0.60462513987318167</c:v>
                </c:pt>
                <c:pt idx="24">
                  <c:v>0.52013731893159165</c:v>
                </c:pt>
                <c:pt idx="25">
                  <c:v>0.65104077068639254</c:v>
                </c:pt>
                <c:pt idx="26">
                  <c:v>9.3684161243503983E-2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11709</c:v>
                </c:pt>
                <c:pt idx="1">
                  <c:v>12748</c:v>
                </c:pt>
                <c:pt idx="2">
                  <c:v>21608</c:v>
                </c:pt>
                <c:pt idx="3">
                  <c:v>22349</c:v>
                </c:pt>
                <c:pt idx="4">
                  <c:v>20109</c:v>
                </c:pt>
                <c:pt idx="5">
                  <c:v>16142</c:v>
                </c:pt>
                <c:pt idx="6">
                  <c:v>18967</c:v>
                </c:pt>
                <c:pt idx="7">
                  <c:v>20700</c:v>
                </c:pt>
                <c:pt idx="8">
                  <c:v>19486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13904</c:v>
                </c:pt>
                <c:pt idx="1">
                  <c:v>15619</c:v>
                </c:pt>
                <c:pt idx="2">
                  <c:v>24279</c:v>
                </c:pt>
                <c:pt idx="3">
                  <c:v>29005</c:v>
                </c:pt>
                <c:pt idx="4">
                  <c:v>27714</c:v>
                </c:pt>
                <c:pt idx="5">
                  <c:v>19238</c:v>
                </c:pt>
                <c:pt idx="6">
                  <c:v>23357</c:v>
                </c:pt>
                <c:pt idx="7">
                  <c:v>23837</c:v>
                </c:pt>
                <c:pt idx="8">
                  <c:v>24071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0.18746263557946885</c:v>
                </c:pt>
                <c:pt idx="1">
                  <c:v>0.22521179792908685</c:v>
                </c:pt>
                <c:pt idx="2">
                  <c:v>0.12361162532395409</c:v>
                </c:pt>
                <c:pt idx="3">
                  <c:v>0.29782093158530576</c:v>
                </c:pt>
                <c:pt idx="4">
                  <c:v>0.37818887065493056</c:v>
                </c:pt>
                <c:pt idx="5">
                  <c:v>0.19179779457316326</c:v>
                </c:pt>
                <c:pt idx="6">
                  <c:v>0.23145463172879222</c:v>
                </c:pt>
                <c:pt idx="7">
                  <c:v>0.15154589371980687</c:v>
                </c:pt>
                <c:pt idx="8">
                  <c:v>0.23529713640562444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1769</c:v>
                </c:pt>
                <c:pt idx="1">
                  <c:v>1877</c:v>
                </c:pt>
                <c:pt idx="2">
                  <c:v>2321</c:v>
                </c:pt>
                <c:pt idx="3">
                  <c:v>3009</c:v>
                </c:pt>
                <c:pt idx="4">
                  <c:v>3276</c:v>
                </c:pt>
                <c:pt idx="5">
                  <c:v>3565</c:v>
                </c:pt>
                <c:pt idx="6">
                  <c:v>12679</c:v>
                </c:pt>
                <c:pt idx="7">
                  <c:v>10088</c:v>
                </c:pt>
                <c:pt idx="8">
                  <c:v>10030</c:v>
                </c:pt>
                <c:pt idx="9">
                  <c:v>13336</c:v>
                </c:pt>
                <c:pt idx="10">
                  <c:v>20112</c:v>
                </c:pt>
                <c:pt idx="11">
                  <c:v>8079</c:v>
                </c:pt>
                <c:pt idx="12">
                  <c:v>8903</c:v>
                </c:pt>
                <c:pt idx="13">
                  <c:v>11341</c:v>
                </c:pt>
                <c:pt idx="14">
                  <c:v>6788</c:v>
                </c:pt>
                <c:pt idx="15">
                  <c:v>8862</c:v>
                </c:pt>
                <c:pt idx="16">
                  <c:v>3190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1295</c:v>
                </c:pt>
                <c:pt idx="1">
                  <c:v>990</c:v>
                </c:pt>
                <c:pt idx="2">
                  <c:v>1200</c:v>
                </c:pt>
                <c:pt idx="3">
                  <c:v>1650</c:v>
                </c:pt>
                <c:pt idx="4">
                  <c:v>1672</c:v>
                </c:pt>
                <c:pt idx="5">
                  <c:v>1942</c:v>
                </c:pt>
                <c:pt idx="6">
                  <c:v>13512</c:v>
                </c:pt>
                <c:pt idx="7">
                  <c:v>11412</c:v>
                </c:pt>
                <c:pt idx="8">
                  <c:v>10485</c:v>
                </c:pt>
                <c:pt idx="9">
                  <c:v>12669</c:v>
                </c:pt>
                <c:pt idx="10">
                  <c:v>23420</c:v>
                </c:pt>
                <c:pt idx="11">
                  <c:v>8359</c:v>
                </c:pt>
                <c:pt idx="12">
                  <c:v>9570</c:v>
                </c:pt>
                <c:pt idx="13">
                  <c:v>10619</c:v>
                </c:pt>
                <c:pt idx="14">
                  <c:v>6658</c:v>
                </c:pt>
                <c:pt idx="15">
                  <c:v>9278</c:v>
                </c:pt>
                <c:pt idx="16">
                  <c:v>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-0.26794799321650653</c:v>
                </c:pt>
                <c:pt idx="1">
                  <c:v>-0.47256259989344696</c:v>
                </c:pt>
                <c:pt idx="2">
                  <c:v>-0.48298147350280052</c:v>
                </c:pt>
                <c:pt idx="3">
                  <c:v>-0.4516450648055832</c:v>
                </c:pt>
                <c:pt idx="4">
                  <c:v>-0.48962148962148966</c:v>
                </c:pt>
                <c:pt idx="5">
                  <c:v>-0.45525946704067322</c:v>
                </c:pt>
                <c:pt idx="6">
                  <c:v>6.5699187633094125E-2</c:v>
                </c:pt>
                <c:pt idx="7">
                  <c:v>0.13124504361617761</c:v>
                </c:pt>
                <c:pt idx="8">
                  <c:v>4.5363908275174447E-2</c:v>
                </c:pt>
                <c:pt idx="9">
                  <c:v>-5.0014997000599859E-2</c:v>
                </c:pt>
                <c:pt idx="10">
                  <c:v>0.16447891805887038</c:v>
                </c:pt>
                <c:pt idx="11">
                  <c:v>3.4657754672607899E-2</c:v>
                </c:pt>
                <c:pt idx="12">
                  <c:v>7.4918566775244333E-2</c:v>
                </c:pt>
                <c:pt idx="13">
                  <c:v>-6.3662816330129601E-2</c:v>
                </c:pt>
                <c:pt idx="14">
                  <c:v>-1.9151443724219175E-2</c:v>
                </c:pt>
                <c:pt idx="15">
                  <c:v>4.694199954863465E-2</c:v>
                </c:pt>
                <c:pt idx="16">
                  <c:v>0.58871473354231973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13046</c:v>
                </c:pt>
                <c:pt idx="1">
                  <c:v>11690</c:v>
                </c:pt>
                <c:pt idx="2">
                  <c:v>10194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12794</c:v>
                </c:pt>
                <c:pt idx="1">
                  <c:v>15155</c:v>
                </c:pt>
                <c:pt idx="2">
                  <c:v>10997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-1.9316265521999054E-2</c:v>
                </c:pt>
                <c:pt idx="1">
                  <c:v>0.29640718562874246</c:v>
                </c:pt>
                <c:pt idx="2">
                  <c:v>7.8771826564645764E-2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7304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11908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0.63033953997809422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PM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9795</c:v>
                </c:pt>
                <c:pt idx="1">
                  <c:v>9795</c:v>
                </c:pt>
                <c:pt idx="2">
                  <c:v>10258</c:v>
                </c:pt>
                <c:pt idx="3">
                  <c:v>10524</c:v>
                </c:pt>
                <c:pt idx="4">
                  <c:v>10524</c:v>
                </c:pt>
                <c:pt idx="5">
                  <c:v>10080</c:v>
                </c:pt>
                <c:pt idx="6">
                  <c:v>9716</c:v>
                </c:pt>
                <c:pt idx="7">
                  <c:v>9198</c:v>
                </c:pt>
                <c:pt idx="8">
                  <c:v>11956</c:v>
                </c:pt>
                <c:pt idx="9">
                  <c:v>10825</c:v>
                </c:pt>
                <c:pt idx="10">
                  <c:v>10825</c:v>
                </c:pt>
                <c:pt idx="11">
                  <c:v>9284</c:v>
                </c:pt>
                <c:pt idx="12">
                  <c:v>6418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8440</c:v>
                </c:pt>
                <c:pt idx="1">
                  <c:v>8034</c:v>
                </c:pt>
                <c:pt idx="2">
                  <c:v>11668</c:v>
                </c:pt>
                <c:pt idx="3">
                  <c:v>11009</c:v>
                </c:pt>
                <c:pt idx="4">
                  <c:v>12430</c:v>
                </c:pt>
                <c:pt idx="5">
                  <c:v>10550</c:v>
                </c:pt>
                <c:pt idx="6">
                  <c:v>7648</c:v>
                </c:pt>
                <c:pt idx="7">
                  <c:v>11992</c:v>
                </c:pt>
                <c:pt idx="8">
                  <c:v>11426</c:v>
                </c:pt>
                <c:pt idx="9">
                  <c:v>12796</c:v>
                </c:pt>
                <c:pt idx="10">
                  <c:v>12880</c:v>
                </c:pt>
                <c:pt idx="11">
                  <c:v>11289</c:v>
                </c:pt>
                <c:pt idx="12">
                  <c:v>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0.16054502369668255</c:v>
                </c:pt>
                <c:pt idx="1">
                  <c:v>0.21919342793129193</c:v>
                </c:pt>
                <c:pt idx="2">
                  <c:v>-0.12084333219060683</c:v>
                </c:pt>
                <c:pt idx="3">
                  <c:v>-4.4054864202016542E-2</c:v>
                </c:pt>
                <c:pt idx="4">
                  <c:v>-0.15333869670152855</c:v>
                </c:pt>
                <c:pt idx="5">
                  <c:v>-4.4549763033175371E-2</c:v>
                </c:pt>
                <c:pt idx="6">
                  <c:v>0.27039748953974896</c:v>
                </c:pt>
                <c:pt idx="7">
                  <c:v>-0.23298865910607069</c:v>
                </c:pt>
                <c:pt idx="8">
                  <c:v>4.6385436723262785E-2</c:v>
                </c:pt>
                <c:pt idx="9">
                  <c:v>-0.15403251015942487</c:v>
                </c:pt>
                <c:pt idx="10">
                  <c:v>-0.15954968944099379</c:v>
                </c:pt>
                <c:pt idx="11">
                  <c:v>-0.17760651962086982</c:v>
                </c:pt>
                <c:pt idx="12">
                  <c:v>-0.20312888005959773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8.6247653434496085E-2"/>
          <c:w val="0.78785894635627118"/>
          <c:h val="0.83511014586892385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3416</c:v>
                </c:pt>
                <c:pt idx="1">
                  <c:v>2536</c:v>
                </c:pt>
                <c:pt idx="2">
                  <c:v>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6872</c:v>
                </c:pt>
                <c:pt idx="1">
                  <c:v>6872</c:v>
                </c:pt>
                <c:pt idx="2">
                  <c:v>6872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1.0117096018735361</c:v>
                </c:pt>
                <c:pt idx="1">
                  <c:v>1.7097791798107256</c:v>
                </c:pt>
                <c:pt idx="2">
                  <c:v>1.2694848084544255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14524</c:v>
                </c:pt>
                <c:pt idx="1">
                  <c:v>14490</c:v>
                </c:pt>
                <c:pt idx="2">
                  <c:v>15863</c:v>
                </c:pt>
                <c:pt idx="3">
                  <c:v>19293</c:v>
                </c:pt>
                <c:pt idx="4">
                  <c:v>17697</c:v>
                </c:pt>
                <c:pt idx="5">
                  <c:v>18877</c:v>
                </c:pt>
                <c:pt idx="6">
                  <c:v>20851</c:v>
                </c:pt>
                <c:pt idx="7">
                  <c:v>21835</c:v>
                </c:pt>
                <c:pt idx="8">
                  <c:v>18348</c:v>
                </c:pt>
                <c:pt idx="9">
                  <c:v>16794</c:v>
                </c:pt>
                <c:pt idx="10">
                  <c:v>17554</c:v>
                </c:pt>
                <c:pt idx="11">
                  <c:v>18707</c:v>
                </c:pt>
                <c:pt idx="12">
                  <c:v>17333</c:v>
                </c:pt>
                <c:pt idx="13">
                  <c:v>16165</c:v>
                </c:pt>
                <c:pt idx="14">
                  <c:v>19650</c:v>
                </c:pt>
                <c:pt idx="15">
                  <c:v>18615</c:v>
                </c:pt>
                <c:pt idx="16">
                  <c:v>18441</c:v>
                </c:pt>
                <c:pt idx="17">
                  <c:v>18639</c:v>
                </c:pt>
                <c:pt idx="18">
                  <c:v>16659</c:v>
                </c:pt>
                <c:pt idx="19">
                  <c:v>19833</c:v>
                </c:pt>
                <c:pt idx="20">
                  <c:v>21969</c:v>
                </c:pt>
                <c:pt idx="21">
                  <c:v>19658</c:v>
                </c:pt>
                <c:pt idx="22">
                  <c:v>21292</c:v>
                </c:pt>
                <c:pt idx="23">
                  <c:v>20523</c:v>
                </c:pt>
                <c:pt idx="24">
                  <c:v>20460</c:v>
                </c:pt>
                <c:pt idx="25">
                  <c:v>20869</c:v>
                </c:pt>
                <c:pt idx="26">
                  <c:v>20935</c:v>
                </c:pt>
                <c:pt idx="27">
                  <c:v>24283</c:v>
                </c:pt>
                <c:pt idx="28">
                  <c:v>22523</c:v>
                </c:pt>
                <c:pt idx="29">
                  <c:v>20179</c:v>
                </c:pt>
                <c:pt idx="30">
                  <c:v>14208</c:v>
                </c:pt>
                <c:pt idx="31">
                  <c:v>18486</c:v>
                </c:pt>
                <c:pt idx="32">
                  <c:v>14198</c:v>
                </c:pt>
                <c:pt idx="33">
                  <c:v>17239</c:v>
                </c:pt>
                <c:pt idx="34">
                  <c:v>14109</c:v>
                </c:pt>
                <c:pt idx="35">
                  <c:v>18336</c:v>
                </c:pt>
                <c:pt idx="36">
                  <c:v>21235</c:v>
                </c:pt>
                <c:pt idx="37">
                  <c:v>27538</c:v>
                </c:pt>
                <c:pt idx="38">
                  <c:v>21022</c:v>
                </c:pt>
                <c:pt idx="39">
                  <c:v>28451</c:v>
                </c:pt>
                <c:pt idx="40">
                  <c:v>29375</c:v>
                </c:pt>
                <c:pt idx="41">
                  <c:v>21538</c:v>
                </c:pt>
                <c:pt idx="42">
                  <c:v>21111</c:v>
                </c:pt>
                <c:pt idx="43">
                  <c:v>14021</c:v>
                </c:pt>
                <c:pt idx="44">
                  <c:v>16676</c:v>
                </c:pt>
                <c:pt idx="45">
                  <c:v>21652</c:v>
                </c:pt>
                <c:pt idx="46">
                  <c:v>19386</c:v>
                </c:pt>
                <c:pt idx="47">
                  <c:v>25184</c:v>
                </c:pt>
                <c:pt idx="48">
                  <c:v>26000</c:v>
                </c:pt>
                <c:pt idx="49">
                  <c:v>20376</c:v>
                </c:pt>
                <c:pt idx="50">
                  <c:v>22374</c:v>
                </c:pt>
                <c:pt idx="51">
                  <c:v>18868</c:v>
                </c:pt>
                <c:pt idx="52">
                  <c:v>20899</c:v>
                </c:pt>
                <c:pt idx="53">
                  <c:v>22846</c:v>
                </c:pt>
                <c:pt idx="54">
                  <c:v>17359</c:v>
                </c:pt>
                <c:pt idx="55">
                  <c:v>21818</c:v>
                </c:pt>
                <c:pt idx="56">
                  <c:v>28405</c:v>
                </c:pt>
                <c:pt idx="57">
                  <c:v>25081</c:v>
                </c:pt>
                <c:pt idx="58">
                  <c:v>22009</c:v>
                </c:pt>
                <c:pt idx="59">
                  <c:v>18388</c:v>
                </c:pt>
                <c:pt idx="60">
                  <c:v>22546</c:v>
                </c:pt>
                <c:pt idx="61">
                  <c:v>22228</c:v>
                </c:pt>
                <c:pt idx="62">
                  <c:v>20041</c:v>
                </c:pt>
                <c:pt idx="63">
                  <c:v>22829</c:v>
                </c:pt>
                <c:pt idx="64">
                  <c:v>24174</c:v>
                </c:pt>
                <c:pt idx="65">
                  <c:v>16349</c:v>
                </c:pt>
                <c:pt idx="66">
                  <c:v>10886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12883</c:v>
                </c:pt>
                <c:pt idx="1">
                  <c:v>12636</c:v>
                </c:pt>
                <c:pt idx="2">
                  <c:v>14962</c:v>
                </c:pt>
                <c:pt idx="3">
                  <c:v>17526</c:v>
                </c:pt>
                <c:pt idx="4">
                  <c:v>17017</c:v>
                </c:pt>
                <c:pt idx="5">
                  <c:v>18128</c:v>
                </c:pt>
                <c:pt idx="6">
                  <c:v>19047</c:v>
                </c:pt>
                <c:pt idx="7">
                  <c:v>19762</c:v>
                </c:pt>
                <c:pt idx="8">
                  <c:v>17682</c:v>
                </c:pt>
                <c:pt idx="9">
                  <c:v>17028</c:v>
                </c:pt>
                <c:pt idx="10">
                  <c:v>17354</c:v>
                </c:pt>
                <c:pt idx="11">
                  <c:v>17354</c:v>
                </c:pt>
                <c:pt idx="12">
                  <c:v>16231</c:v>
                </c:pt>
                <c:pt idx="13">
                  <c:v>16283</c:v>
                </c:pt>
                <c:pt idx="14">
                  <c:v>19283</c:v>
                </c:pt>
                <c:pt idx="15">
                  <c:v>18053</c:v>
                </c:pt>
                <c:pt idx="16">
                  <c:v>20305</c:v>
                </c:pt>
                <c:pt idx="17">
                  <c:v>18540</c:v>
                </c:pt>
                <c:pt idx="18">
                  <c:v>20110</c:v>
                </c:pt>
                <c:pt idx="19">
                  <c:v>19112</c:v>
                </c:pt>
                <c:pt idx="20">
                  <c:v>20725</c:v>
                </c:pt>
                <c:pt idx="21">
                  <c:v>19090</c:v>
                </c:pt>
                <c:pt idx="22">
                  <c:v>20423</c:v>
                </c:pt>
                <c:pt idx="23">
                  <c:v>19406</c:v>
                </c:pt>
                <c:pt idx="24">
                  <c:v>19956</c:v>
                </c:pt>
                <c:pt idx="25">
                  <c:v>21076</c:v>
                </c:pt>
                <c:pt idx="26">
                  <c:v>19055</c:v>
                </c:pt>
                <c:pt idx="27">
                  <c:v>20836</c:v>
                </c:pt>
                <c:pt idx="28">
                  <c:v>23062</c:v>
                </c:pt>
                <c:pt idx="29">
                  <c:v>20306</c:v>
                </c:pt>
                <c:pt idx="30">
                  <c:v>20180</c:v>
                </c:pt>
                <c:pt idx="31">
                  <c:v>21928</c:v>
                </c:pt>
                <c:pt idx="32">
                  <c:v>13870</c:v>
                </c:pt>
                <c:pt idx="33">
                  <c:v>19697</c:v>
                </c:pt>
                <c:pt idx="34">
                  <c:v>18910</c:v>
                </c:pt>
                <c:pt idx="35">
                  <c:v>22711</c:v>
                </c:pt>
                <c:pt idx="36">
                  <c:v>24986</c:v>
                </c:pt>
                <c:pt idx="37">
                  <c:v>27492</c:v>
                </c:pt>
                <c:pt idx="38">
                  <c:v>21651</c:v>
                </c:pt>
                <c:pt idx="39">
                  <c:v>25193</c:v>
                </c:pt>
                <c:pt idx="40">
                  <c:v>27562</c:v>
                </c:pt>
                <c:pt idx="41">
                  <c:v>22654</c:v>
                </c:pt>
                <c:pt idx="42">
                  <c:v>22946</c:v>
                </c:pt>
                <c:pt idx="43">
                  <c:v>19430</c:v>
                </c:pt>
                <c:pt idx="44">
                  <c:v>21001</c:v>
                </c:pt>
                <c:pt idx="45">
                  <c:v>27968</c:v>
                </c:pt>
                <c:pt idx="46">
                  <c:v>25700</c:v>
                </c:pt>
                <c:pt idx="47">
                  <c:v>32269</c:v>
                </c:pt>
                <c:pt idx="48">
                  <c:v>30446</c:v>
                </c:pt>
                <c:pt idx="49">
                  <c:v>29122</c:v>
                </c:pt>
                <c:pt idx="50">
                  <c:v>30725</c:v>
                </c:pt>
                <c:pt idx="51">
                  <c:v>31339</c:v>
                </c:pt>
                <c:pt idx="52">
                  <c:v>28341</c:v>
                </c:pt>
                <c:pt idx="53">
                  <c:v>29373</c:v>
                </c:pt>
                <c:pt idx="54">
                  <c:v>23871</c:v>
                </c:pt>
                <c:pt idx="55">
                  <c:v>31415</c:v>
                </c:pt>
                <c:pt idx="56">
                  <c:v>32660</c:v>
                </c:pt>
                <c:pt idx="57">
                  <c:v>29607</c:v>
                </c:pt>
                <c:pt idx="58">
                  <c:v>28558</c:v>
                </c:pt>
                <c:pt idx="59">
                  <c:v>21680</c:v>
                </c:pt>
                <c:pt idx="60">
                  <c:v>25748</c:v>
                </c:pt>
                <c:pt idx="61">
                  <c:v>23828</c:v>
                </c:pt>
                <c:pt idx="62">
                  <c:v>22992</c:v>
                </c:pt>
                <c:pt idx="63">
                  <c:v>22710</c:v>
                </c:pt>
                <c:pt idx="64">
                  <c:v>19608</c:v>
                </c:pt>
                <c:pt idx="65">
                  <c:v>15291</c:v>
                </c:pt>
                <c:pt idx="66">
                  <c:v>7316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-0.11298540347011843</c:v>
                </c:pt>
                <c:pt idx="1">
                  <c:v>-0.12795031055900619</c:v>
                </c:pt>
                <c:pt idx="2">
                  <c:v>-5.6798840068083001E-2</c:v>
                </c:pt>
                <c:pt idx="3">
                  <c:v>-9.1587622453739748E-2</c:v>
                </c:pt>
                <c:pt idx="4">
                  <c:v>-3.8424591738712821E-2</c:v>
                </c:pt>
                <c:pt idx="5">
                  <c:v>-3.9677914922922053E-2</c:v>
                </c:pt>
                <c:pt idx="6">
                  <c:v>-8.651863219989453E-2</c:v>
                </c:pt>
                <c:pt idx="7">
                  <c:v>-9.4939317609342821E-2</c:v>
                </c:pt>
                <c:pt idx="8">
                  <c:v>-3.6298234139960805E-2</c:v>
                </c:pt>
                <c:pt idx="9">
                  <c:v>1.3933547695605508E-2</c:v>
                </c:pt>
                <c:pt idx="10">
                  <c:v>-1.1393414606357566E-2</c:v>
                </c:pt>
                <c:pt idx="11">
                  <c:v>-7.2325867322392656E-2</c:v>
                </c:pt>
                <c:pt idx="12">
                  <c:v>-6.3578145733571789E-2</c:v>
                </c:pt>
                <c:pt idx="13">
                  <c:v>7.2997216207857374E-3</c:v>
                </c:pt>
                <c:pt idx="14">
                  <c:v>-1.8676844783715008E-2</c:v>
                </c:pt>
                <c:pt idx="15">
                  <c:v>-3.0190706419554125E-2</c:v>
                </c:pt>
                <c:pt idx="16">
                  <c:v>0.10107911718453444</c:v>
                </c:pt>
                <c:pt idx="17">
                  <c:v>-5.3114437469821141E-3</c:v>
                </c:pt>
                <c:pt idx="18">
                  <c:v>0.20715529143405975</c:v>
                </c:pt>
                <c:pt idx="19">
                  <c:v>-3.6353552160540481E-2</c:v>
                </c:pt>
                <c:pt idx="20">
                  <c:v>-5.6625244662934171E-2</c:v>
                </c:pt>
                <c:pt idx="21">
                  <c:v>-2.8894088920541239E-2</c:v>
                </c:pt>
                <c:pt idx="22">
                  <c:v>-4.0813451061431527E-2</c:v>
                </c:pt>
                <c:pt idx="23">
                  <c:v>-5.4426740729912826E-2</c:v>
                </c:pt>
                <c:pt idx="24">
                  <c:v>-2.4633431085044011E-2</c:v>
                </c:pt>
                <c:pt idx="25">
                  <c:v>9.9190186400881508E-3</c:v>
                </c:pt>
                <c:pt idx="26">
                  <c:v>-8.9801767375208952E-2</c:v>
                </c:pt>
                <c:pt idx="27">
                  <c:v>-0.14195115924721002</c:v>
                </c:pt>
                <c:pt idx="28">
                  <c:v>2.3931092660835596E-2</c:v>
                </c:pt>
                <c:pt idx="29">
                  <c:v>6.2936716388324321E-3</c:v>
                </c:pt>
                <c:pt idx="30">
                  <c:v>0.42032657657657668</c:v>
                </c:pt>
                <c:pt idx="31">
                  <c:v>0.18619495834685718</c:v>
                </c:pt>
                <c:pt idx="32">
                  <c:v>-2.3101845330328219E-2</c:v>
                </c:pt>
                <c:pt idx="33">
                  <c:v>0.14258367654736359</c:v>
                </c:pt>
                <c:pt idx="34">
                  <c:v>0.34027925437663908</c:v>
                </c:pt>
                <c:pt idx="35">
                  <c:v>0.23860165794066313</c:v>
                </c:pt>
                <c:pt idx="36">
                  <c:v>0.1766423357664233</c:v>
                </c:pt>
                <c:pt idx="37">
                  <c:v>-1.6704190573025857E-3</c:v>
                </c:pt>
                <c:pt idx="38">
                  <c:v>2.9921035106079241E-2</c:v>
                </c:pt>
                <c:pt idx="39">
                  <c:v>-0.11451267090787665</c:v>
                </c:pt>
                <c:pt idx="40">
                  <c:v>-6.1719148936170254E-2</c:v>
                </c:pt>
                <c:pt idx="41">
                  <c:v>5.1815396044200934E-2</c:v>
                </c:pt>
                <c:pt idx="42">
                  <c:v>8.6921510113211031E-2</c:v>
                </c:pt>
                <c:pt idx="43">
                  <c:v>0.3857784751444262</c:v>
                </c:pt>
                <c:pt idx="44">
                  <c:v>0.25935476133365309</c:v>
                </c:pt>
                <c:pt idx="45">
                  <c:v>0.29170515425826715</c:v>
                </c:pt>
                <c:pt idx="46">
                  <c:v>0.32569895801093574</c:v>
                </c:pt>
                <c:pt idx="47">
                  <c:v>0.28132941550190593</c:v>
                </c:pt>
                <c:pt idx="48">
                  <c:v>0.17100000000000004</c:v>
                </c:pt>
                <c:pt idx="49">
                  <c:v>0.42923046721633296</c:v>
                </c:pt>
                <c:pt idx="50">
                  <c:v>0.37324573165281127</c:v>
                </c:pt>
                <c:pt idx="51">
                  <c:v>0.66096035615857529</c:v>
                </c:pt>
                <c:pt idx="52">
                  <c:v>0.35609359299488008</c:v>
                </c:pt>
                <c:pt idx="53">
                  <c:v>0.2856955265692025</c:v>
                </c:pt>
                <c:pt idx="54">
                  <c:v>0.37513681663690313</c:v>
                </c:pt>
                <c:pt idx="55">
                  <c:v>0.43986616555137958</c:v>
                </c:pt>
                <c:pt idx="56">
                  <c:v>0.1497975708502024</c:v>
                </c:pt>
                <c:pt idx="57">
                  <c:v>0.18045532474781711</c:v>
                </c:pt>
                <c:pt idx="58">
                  <c:v>0.29756008905447762</c:v>
                </c:pt>
                <c:pt idx="59">
                  <c:v>0.17902980204481178</c:v>
                </c:pt>
                <c:pt idx="60">
                  <c:v>0.14202075756231713</c:v>
                </c:pt>
                <c:pt idx="61">
                  <c:v>7.1981284865934914E-2</c:v>
                </c:pt>
                <c:pt idx="62">
                  <c:v>0.14724814131031394</c:v>
                </c:pt>
                <c:pt idx="63">
                  <c:v>-5.2126680975951301E-3</c:v>
                </c:pt>
                <c:pt idx="64">
                  <c:v>-0.18888061553735414</c:v>
                </c:pt>
                <c:pt idx="65">
                  <c:v>-6.4713438130772571E-2</c:v>
                </c:pt>
                <c:pt idx="66">
                  <c:v>-0.32794414844754727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I_15_SB!$H$2:$H$59</c:f>
              <c:numCache>
                <c:formatCode>0</c:formatCode>
                <c:ptCount val="58"/>
                <c:pt idx="0">
                  <c:v>11896</c:v>
                </c:pt>
                <c:pt idx="1">
                  <c:v>11871</c:v>
                </c:pt>
                <c:pt idx="2">
                  <c:v>10880</c:v>
                </c:pt>
                <c:pt idx="3">
                  <c:v>10056</c:v>
                </c:pt>
                <c:pt idx="4">
                  <c:v>10396</c:v>
                </c:pt>
                <c:pt idx="5">
                  <c:v>11448</c:v>
                </c:pt>
                <c:pt idx="6">
                  <c:v>12520</c:v>
                </c:pt>
                <c:pt idx="7">
                  <c:v>9864</c:v>
                </c:pt>
                <c:pt idx="8">
                  <c:v>12404</c:v>
                </c:pt>
                <c:pt idx="9">
                  <c:v>18732</c:v>
                </c:pt>
                <c:pt idx="10">
                  <c:v>18909</c:v>
                </c:pt>
                <c:pt idx="11">
                  <c:v>16653</c:v>
                </c:pt>
                <c:pt idx="12">
                  <c:v>19215</c:v>
                </c:pt>
                <c:pt idx="13">
                  <c:v>19684</c:v>
                </c:pt>
                <c:pt idx="14">
                  <c:v>22029</c:v>
                </c:pt>
                <c:pt idx="15">
                  <c:v>19411</c:v>
                </c:pt>
                <c:pt idx="16">
                  <c:v>22876</c:v>
                </c:pt>
                <c:pt idx="17">
                  <c:v>20797</c:v>
                </c:pt>
                <c:pt idx="18">
                  <c:v>21278</c:v>
                </c:pt>
                <c:pt idx="19">
                  <c:v>18620</c:v>
                </c:pt>
                <c:pt idx="20">
                  <c:v>22442</c:v>
                </c:pt>
                <c:pt idx="21">
                  <c:v>20923</c:v>
                </c:pt>
                <c:pt idx="22">
                  <c:v>24143</c:v>
                </c:pt>
                <c:pt idx="23">
                  <c:v>21294</c:v>
                </c:pt>
                <c:pt idx="24">
                  <c:v>26695</c:v>
                </c:pt>
                <c:pt idx="25">
                  <c:v>23905</c:v>
                </c:pt>
                <c:pt idx="26">
                  <c:v>35147</c:v>
                </c:pt>
                <c:pt idx="27">
                  <c:v>23156</c:v>
                </c:pt>
                <c:pt idx="28">
                  <c:v>23205</c:v>
                </c:pt>
                <c:pt idx="29">
                  <c:v>22862</c:v>
                </c:pt>
                <c:pt idx="30">
                  <c:v>26859</c:v>
                </c:pt>
                <c:pt idx="31">
                  <c:v>31444</c:v>
                </c:pt>
                <c:pt idx="32">
                  <c:v>23954</c:v>
                </c:pt>
                <c:pt idx="33">
                  <c:v>29897</c:v>
                </c:pt>
                <c:pt idx="34">
                  <c:v>28049</c:v>
                </c:pt>
                <c:pt idx="35">
                  <c:v>29715</c:v>
                </c:pt>
                <c:pt idx="36">
                  <c:v>29666</c:v>
                </c:pt>
                <c:pt idx="37">
                  <c:v>29449</c:v>
                </c:pt>
                <c:pt idx="38">
                  <c:v>30667</c:v>
                </c:pt>
                <c:pt idx="39">
                  <c:v>36393</c:v>
                </c:pt>
                <c:pt idx="40">
                  <c:v>12928</c:v>
                </c:pt>
                <c:pt idx="41">
                  <c:v>17034</c:v>
                </c:pt>
                <c:pt idx="42">
                  <c:v>20813</c:v>
                </c:pt>
                <c:pt idx="43">
                  <c:v>19933</c:v>
                </c:pt>
                <c:pt idx="44">
                  <c:v>26056</c:v>
                </c:pt>
                <c:pt idx="45">
                  <c:v>25927</c:v>
                </c:pt>
                <c:pt idx="46">
                  <c:v>27488</c:v>
                </c:pt>
                <c:pt idx="47">
                  <c:v>30787</c:v>
                </c:pt>
                <c:pt idx="48">
                  <c:v>25927</c:v>
                </c:pt>
                <c:pt idx="49">
                  <c:v>21325</c:v>
                </c:pt>
                <c:pt idx="50">
                  <c:v>19487</c:v>
                </c:pt>
                <c:pt idx="51">
                  <c:v>20263</c:v>
                </c:pt>
                <c:pt idx="52">
                  <c:v>13021</c:v>
                </c:pt>
                <c:pt idx="53">
                  <c:v>17423</c:v>
                </c:pt>
                <c:pt idx="54">
                  <c:v>17864</c:v>
                </c:pt>
                <c:pt idx="55">
                  <c:v>16187</c:v>
                </c:pt>
                <c:pt idx="56">
                  <c:v>14033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I_15_SB!$F$2:$F$59</c:f>
              <c:strCache>
                <c:ptCount val="57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WEST BERNARDO</c:v>
                </c:pt>
                <c:pt idx="19">
                  <c:v>RANCHO BERNARDO</c:v>
                </c:pt>
                <c:pt idx="20">
                  <c:v>RANCHO BERNARDO</c:v>
                </c:pt>
                <c:pt idx="21">
                  <c:v>BERNARDO CENTER</c:v>
                </c:pt>
                <c:pt idx="22">
                  <c:v>BERNARDO CENTER</c:v>
                </c:pt>
                <c:pt idx="23">
                  <c:v>CAM DEL NORTE</c:v>
                </c:pt>
                <c:pt idx="24">
                  <c:v>CAM DEL NORTE</c:v>
                </c:pt>
                <c:pt idx="25">
                  <c:v>CARMEL MTN</c:v>
                </c:pt>
                <c:pt idx="26">
                  <c:v>CARMEL MTN</c:v>
                </c:pt>
                <c:pt idx="27">
                  <c:v>I-15 HOV SB</c:v>
                </c:pt>
                <c:pt idx="28">
                  <c:v>SR-56 EB</c:v>
                </c:pt>
                <c:pt idx="29">
                  <c:v>RANCHO PENASQUITOS</c:v>
                </c:pt>
                <c:pt idx="30">
                  <c:v>MERCY</c:v>
                </c:pt>
                <c:pt idx="31">
                  <c:v>MERCY</c:v>
                </c:pt>
                <c:pt idx="32">
                  <c:v>MIRA MESA</c:v>
                </c:pt>
                <c:pt idx="33">
                  <c:v>MIRA MESA</c:v>
                </c:pt>
                <c:pt idx="34">
                  <c:v>CARROLL CANYON</c:v>
                </c:pt>
                <c:pt idx="35">
                  <c:v>MIRAMAR</c:v>
                </c:pt>
                <c:pt idx="36">
                  <c:v>MIRAMAR</c:v>
                </c:pt>
                <c:pt idx="37">
                  <c:v>MIRAMAR</c:v>
                </c:pt>
                <c:pt idx="38">
                  <c:v>MIRAMAR WAY</c:v>
                </c:pt>
                <c:pt idx="39">
                  <c:v>MIRAMAR WAY</c:v>
                </c:pt>
                <c:pt idx="40">
                  <c:v>I-15 HOV SB</c:v>
                </c:pt>
                <c:pt idx="41">
                  <c:v>CLAIREMONT MESA</c:v>
                </c:pt>
                <c:pt idx="42">
                  <c:v>CLAIREMONT MESA</c:v>
                </c:pt>
                <c:pt idx="43">
                  <c:v>BALBOA</c:v>
                </c:pt>
                <c:pt idx="44">
                  <c:v>BALBOA</c:v>
                </c:pt>
                <c:pt idx="45">
                  <c:v>AERO</c:v>
                </c:pt>
                <c:pt idx="46">
                  <c:v>FRIARS</c:v>
                </c:pt>
                <c:pt idx="47">
                  <c:v>FRIARS</c:v>
                </c:pt>
                <c:pt idx="48">
                  <c:v>I-8 EB</c:v>
                </c:pt>
                <c:pt idx="49">
                  <c:v>ADAMS</c:v>
                </c:pt>
                <c:pt idx="50">
                  <c:v>EL CAJON</c:v>
                </c:pt>
                <c:pt idx="51">
                  <c:v>40TH</c:v>
                </c:pt>
                <c:pt idx="52">
                  <c:v>I-805 SB</c:v>
                </c:pt>
                <c:pt idx="53">
                  <c:v>I-805 SB</c:v>
                </c:pt>
                <c:pt idx="54">
                  <c:v>SR-94 EB</c:v>
                </c:pt>
                <c:pt idx="55">
                  <c:v>IMPERIAL</c:v>
                </c:pt>
                <c:pt idx="56">
                  <c:v>OCEAN VIEW</c:v>
                </c:pt>
              </c:strCache>
            </c:strRef>
          </c:cat>
          <c:val>
            <c:numRef>
              <c:f>I_15_SB!$I$2:$I$59</c:f>
              <c:numCache>
                <c:formatCode>0</c:formatCode>
                <c:ptCount val="58"/>
                <c:pt idx="0">
                  <c:v>14033</c:v>
                </c:pt>
                <c:pt idx="1">
                  <c:v>13971</c:v>
                </c:pt>
                <c:pt idx="2">
                  <c:v>11709</c:v>
                </c:pt>
                <c:pt idx="3">
                  <c:v>13219</c:v>
                </c:pt>
                <c:pt idx="4">
                  <c:v>13442</c:v>
                </c:pt>
                <c:pt idx="5">
                  <c:v>12751</c:v>
                </c:pt>
                <c:pt idx="6">
                  <c:v>10460</c:v>
                </c:pt>
                <c:pt idx="7">
                  <c:v>10468</c:v>
                </c:pt>
                <c:pt idx="8">
                  <c:v>12705</c:v>
                </c:pt>
                <c:pt idx="9">
                  <c:v>21740</c:v>
                </c:pt>
                <c:pt idx="10">
                  <c:v>22543</c:v>
                </c:pt>
                <c:pt idx="11">
                  <c:v>21479</c:v>
                </c:pt>
                <c:pt idx="12">
                  <c:v>21518</c:v>
                </c:pt>
                <c:pt idx="13">
                  <c:v>21925</c:v>
                </c:pt>
                <c:pt idx="14">
                  <c:v>25171</c:v>
                </c:pt>
                <c:pt idx="15">
                  <c:v>23465</c:v>
                </c:pt>
                <c:pt idx="16">
                  <c:v>26100</c:v>
                </c:pt>
                <c:pt idx="17">
                  <c:v>21348</c:v>
                </c:pt>
                <c:pt idx="18">
                  <c:v>21689</c:v>
                </c:pt>
                <c:pt idx="19">
                  <c:v>19931</c:v>
                </c:pt>
                <c:pt idx="20">
                  <c:v>22170</c:v>
                </c:pt>
                <c:pt idx="21">
                  <c:v>20307</c:v>
                </c:pt>
                <c:pt idx="22">
                  <c:v>21593</c:v>
                </c:pt>
                <c:pt idx="23">
                  <c:v>20564</c:v>
                </c:pt>
                <c:pt idx="24">
                  <c:v>22837</c:v>
                </c:pt>
                <c:pt idx="25">
                  <c:v>21143</c:v>
                </c:pt>
                <c:pt idx="26">
                  <c:v>23653</c:v>
                </c:pt>
                <c:pt idx="27">
                  <c:v>20296</c:v>
                </c:pt>
                <c:pt idx="28">
                  <c:v>21394</c:v>
                </c:pt>
                <c:pt idx="29">
                  <c:v>20797</c:v>
                </c:pt>
                <c:pt idx="30">
                  <c:v>24077</c:v>
                </c:pt>
                <c:pt idx="31">
                  <c:v>26498</c:v>
                </c:pt>
                <c:pt idx="32">
                  <c:v>23847</c:v>
                </c:pt>
                <c:pt idx="33">
                  <c:v>29575</c:v>
                </c:pt>
                <c:pt idx="34">
                  <c:v>28197</c:v>
                </c:pt>
                <c:pt idx="35">
                  <c:v>28918</c:v>
                </c:pt>
                <c:pt idx="36">
                  <c:v>31062</c:v>
                </c:pt>
                <c:pt idx="37">
                  <c:v>32232</c:v>
                </c:pt>
                <c:pt idx="38">
                  <c:v>33570</c:v>
                </c:pt>
                <c:pt idx="39">
                  <c:v>33941</c:v>
                </c:pt>
                <c:pt idx="40">
                  <c:v>24382</c:v>
                </c:pt>
                <c:pt idx="41">
                  <c:v>24680</c:v>
                </c:pt>
                <c:pt idx="42">
                  <c:v>28131</c:v>
                </c:pt>
                <c:pt idx="43">
                  <c:v>26716</c:v>
                </c:pt>
                <c:pt idx="44">
                  <c:v>32079</c:v>
                </c:pt>
                <c:pt idx="45">
                  <c:v>30074</c:v>
                </c:pt>
                <c:pt idx="46">
                  <c:v>30720</c:v>
                </c:pt>
                <c:pt idx="47">
                  <c:v>33362</c:v>
                </c:pt>
                <c:pt idx="48">
                  <c:v>30283</c:v>
                </c:pt>
                <c:pt idx="49">
                  <c:v>25865</c:v>
                </c:pt>
                <c:pt idx="50">
                  <c:v>20781</c:v>
                </c:pt>
                <c:pt idx="51">
                  <c:v>23270</c:v>
                </c:pt>
                <c:pt idx="52">
                  <c:v>10451</c:v>
                </c:pt>
                <c:pt idx="53">
                  <c:v>16225</c:v>
                </c:pt>
                <c:pt idx="54">
                  <c:v>16576</c:v>
                </c:pt>
                <c:pt idx="55">
                  <c:v>16488</c:v>
                </c:pt>
                <c:pt idx="56">
                  <c:v>15413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I_15_SB!$D$2:$D$59</c:f>
              <c:numCache>
                <c:formatCode>0</c:formatCode>
                <c:ptCount val="58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30.07</c:v>
                </c:pt>
                <c:pt idx="19">
                  <c:v>30.9</c:v>
                </c:pt>
                <c:pt idx="20">
                  <c:v>31.29</c:v>
                </c:pt>
                <c:pt idx="21">
                  <c:v>31.74</c:v>
                </c:pt>
                <c:pt idx="22">
                  <c:v>32.26</c:v>
                </c:pt>
                <c:pt idx="23">
                  <c:v>32.71</c:v>
                </c:pt>
                <c:pt idx="24">
                  <c:v>33.58</c:v>
                </c:pt>
                <c:pt idx="25">
                  <c:v>34.090000000000003</c:v>
                </c:pt>
                <c:pt idx="26">
                  <c:v>34.700000000000003</c:v>
                </c:pt>
                <c:pt idx="27">
                  <c:v>35.74</c:v>
                </c:pt>
                <c:pt idx="28">
                  <c:v>35.96</c:v>
                </c:pt>
                <c:pt idx="29">
                  <c:v>36.29</c:v>
                </c:pt>
                <c:pt idx="30">
                  <c:v>37.409999999999997</c:v>
                </c:pt>
                <c:pt idx="31">
                  <c:v>38.130000000000003</c:v>
                </c:pt>
                <c:pt idx="32">
                  <c:v>38.54</c:v>
                </c:pt>
                <c:pt idx="33">
                  <c:v>39.229999999999997</c:v>
                </c:pt>
                <c:pt idx="34">
                  <c:v>39.630000000000003</c:v>
                </c:pt>
                <c:pt idx="35">
                  <c:v>40.19</c:v>
                </c:pt>
                <c:pt idx="36">
                  <c:v>40.409999999999997</c:v>
                </c:pt>
                <c:pt idx="37">
                  <c:v>40.78</c:v>
                </c:pt>
                <c:pt idx="38">
                  <c:v>41.44</c:v>
                </c:pt>
                <c:pt idx="39">
                  <c:v>42.07</c:v>
                </c:pt>
                <c:pt idx="40">
                  <c:v>43.59</c:v>
                </c:pt>
                <c:pt idx="41">
                  <c:v>44.76</c:v>
                </c:pt>
                <c:pt idx="42">
                  <c:v>45.06</c:v>
                </c:pt>
                <c:pt idx="43">
                  <c:v>45.22</c:v>
                </c:pt>
                <c:pt idx="44">
                  <c:v>45.92</c:v>
                </c:pt>
                <c:pt idx="45">
                  <c:v>46.43</c:v>
                </c:pt>
                <c:pt idx="46">
                  <c:v>47.74</c:v>
                </c:pt>
                <c:pt idx="47">
                  <c:v>47.96</c:v>
                </c:pt>
                <c:pt idx="48">
                  <c:v>49.15</c:v>
                </c:pt>
                <c:pt idx="49">
                  <c:v>49.67</c:v>
                </c:pt>
                <c:pt idx="50">
                  <c:v>50.42</c:v>
                </c:pt>
                <c:pt idx="51">
                  <c:v>51.08</c:v>
                </c:pt>
                <c:pt idx="52">
                  <c:v>51.64</c:v>
                </c:pt>
                <c:pt idx="53">
                  <c:v>52.71</c:v>
                </c:pt>
                <c:pt idx="54">
                  <c:v>53.19</c:v>
                </c:pt>
                <c:pt idx="55">
                  <c:v>53.75</c:v>
                </c:pt>
                <c:pt idx="56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I_15_SB!$J$2:$J$59</c:f>
              <c:numCache>
                <c:formatCode>0%</c:formatCode>
                <c:ptCount val="58"/>
                <c:pt idx="0">
                  <c:v>0.17964021519838602</c:v>
                </c:pt>
                <c:pt idx="1">
                  <c:v>0.17690169320192073</c:v>
                </c:pt>
                <c:pt idx="2">
                  <c:v>7.619485294117645E-2</c:v>
                </c:pt>
                <c:pt idx="3">
                  <c:v>0.31453858392999212</c:v>
                </c:pt>
                <c:pt idx="4">
                  <c:v>0.29299730665640622</c:v>
                </c:pt>
                <c:pt idx="5">
                  <c:v>0.11381900768693232</c:v>
                </c:pt>
                <c:pt idx="6">
                  <c:v>-0.16453674121405748</c:v>
                </c:pt>
                <c:pt idx="7">
                  <c:v>6.1232765612327711E-2</c:v>
                </c:pt>
                <c:pt idx="8">
                  <c:v>2.4266365688487612E-2</c:v>
                </c:pt>
                <c:pt idx="9">
                  <c:v>0.16058082425795428</c:v>
                </c:pt>
                <c:pt idx="10">
                  <c:v>0.192183616267386</c:v>
                </c:pt>
                <c:pt idx="11">
                  <c:v>0.28979763405992909</c:v>
                </c:pt>
                <c:pt idx="12">
                  <c:v>0.11985428051001823</c:v>
                </c:pt>
                <c:pt idx="13">
                  <c:v>0.11384881121723223</c:v>
                </c:pt>
                <c:pt idx="14">
                  <c:v>0.14263016932225692</c:v>
                </c:pt>
                <c:pt idx="15">
                  <c:v>0.20885065169233941</c:v>
                </c:pt>
                <c:pt idx="16">
                  <c:v>0.14093372967301976</c:v>
                </c:pt>
                <c:pt idx="17">
                  <c:v>2.6494205895081002E-2</c:v>
                </c:pt>
                <c:pt idx="18">
                  <c:v>1.9315725162139197E-2</c:v>
                </c:pt>
                <c:pt idx="19">
                  <c:v>7.040816326530619E-2</c:v>
                </c:pt>
                <c:pt idx="20">
                  <c:v>-1.2120131895552944E-2</c:v>
                </c:pt>
                <c:pt idx="21">
                  <c:v>-2.9441284710605586E-2</c:v>
                </c:pt>
                <c:pt idx="22">
                  <c:v>-0.10562067680072895</c:v>
                </c:pt>
                <c:pt idx="23">
                  <c:v>-3.4281957358880399E-2</c:v>
                </c:pt>
                <c:pt idx="24">
                  <c:v>-0.14452144596366356</c:v>
                </c:pt>
                <c:pt idx="25">
                  <c:v>-0.11554068186571842</c:v>
                </c:pt>
                <c:pt idx="26">
                  <c:v>-0.32702648874726148</c:v>
                </c:pt>
                <c:pt idx="27">
                  <c:v>-0.12351010537225771</c:v>
                </c:pt>
                <c:pt idx="28">
                  <c:v>-7.8043525102348577E-2</c:v>
                </c:pt>
                <c:pt idx="29">
                  <c:v>-9.0324556031843195E-2</c:v>
                </c:pt>
                <c:pt idx="30">
                  <c:v>-0.10357794407833498</c:v>
                </c:pt>
                <c:pt idx="31">
                  <c:v>-0.15729550947716575</c:v>
                </c:pt>
                <c:pt idx="32">
                  <c:v>-4.4668948818569199E-3</c:v>
                </c:pt>
                <c:pt idx="33">
                  <c:v>-1.0770311402481858E-2</c:v>
                </c:pt>
                <c:pt idx="34">
                  <c:v>5.2764804449356717E-3</c:v>
                </c:pt>
                <c:pt idx="35">
                  <c:v>-2.6821470637725109E-2</c:v>
                </c:pt>
                <c:pt idx="36">
                  <c:v>4.7057237241286298E-2</c:v>
                </c:pt>
                <c:pt idx="37">
                  <c:v>9.4502360012224562E-2</c:v>
                </c:pt>
                <c:pt idx="38">
                  <c:v>9.4662014543320128E-2</c:v>
                </c:pt>
                <c:pt idx="39">
                  <c:v>-6.7375594207677247E-2</c:v>
                </c:pt>
                <c:pt idx="40">
                  <c:v>0.88598391089108919</c:v>
                </c:pt>
                <c:pt idx="41">
                  <c:v>0.44886697193847591</c:v>
                </c:pt>
                <c:pt idx="42">
                  <c:v>0.35160716859655028</c:v>
                </c:pt>
                <c:pt idx="43">
                  <c:v>0.34028997140420403</c:v>
                </c:pt>
                <c:pt idx="44">
                  <c:v>0.23115597175314706</c:v>
                </c:pt>
                <c:pt idx="45">
                  <c:v>0.15994908782350437</c:v>
                </c:pt>
                <c:pt idx="46">
                  <c:v>0.11757857974388819</c:v>
                </c:pt>
                <c:pt idx="47">
                  <c:v>8.3639198362945422E-2</c:v>
                </c:pt>
                <c:pt idx="48">
                  <c:v>0.16801018243529908</c:v>
                </c:pt>
                <c:pt idx="49">
                  <c:v>0.21289566236811264</c:v>
                </c:pt>
                <c:pt idx="50">
                  <c:v>6.6403243187766137E-2</c:v>
                </c:pt>
                <c:pt idx="51">
                  <c:v>0.14839855894981002</c:v>
                </c:pt>
                <c:pt idx="52">
                  <c:v>-0.19737347361953772</c:v>
                </c:pt>
                <c:pt idx="53">
                  <c:v>-6.8759685473225085E-2</c:v>
                </c:pt>
                <c:pt idx="54">
                  <c:v>-7.2100313479623868E-2</c:v>
                </c:pt>
                <c:pt idx="55">
                  <c:v>1.8595168962747932E-2</c:v>
                </c:pt>
                <c:pt idx="56">
                  <c:v>9.8339628019668002E-2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I_805_SB!$H$2:$H$37</c:f>
              <c:numCache>
                <c:formatCode>0</c:formatCode>
                <c:ptCount val="36"/>
                <c:pt idx="0">
                  <c:v>15531</c:v>
                </c:pt>
                <c:pt idx="1">
                  <c:v>15989</c:v>
                </c:pt>
                <c:pt idx="2">
                  <c:v>14698</c:v>
                </c:pt>
                <c:pt idx="3">
                  <c:v>19459</c:v>
                </c:pt>
                <c:pt idx="4">
                  <c:v>20342</c:v>
                </c:pt>
                <c:pt idx="5">
                  <c:v>23081</c:v>
                </c:pt>
                <c:pt idx="6">
                  <c:v>20221</c:v>
                </c:pt>
                <c:pt idx="7">
                  <c:v>23171</c:v>
                </c:pt>
                <c:pt idx="8">
                  <c:v>17503</c:v>
                </c:pt>
                <c:pt idx="9">
                  <c:v>18153</c:v>
                </c:pt>
                <c:pt idx="10">
                  <c:v>29657</c:v>
                </c:pt>
                <c:pt idx="11">
                  <c:v>30448</c:v>
                </c:pt>
                <c:pt idx="12">
                  <c:v>21519</c:v>
                </c:pt>
                <c:pt idx="13">
                  <c:v>25337</c:v>
                </c:pt>
                <c:pt idx="14">
                  <c:v>28272</c:v>
                </c:pt>
                <c:pt idx="15">
                  <c:v>25480</c:v>
                </c:pt>
                <c:pt idx="16">
                  <c:v>32502</c:v>
                </c:pt>
                <c:pt idx="17">
                  <c:v>32011</c:v>
                </c:pt>
                <c:pt idx="18">
                  <c:v>21083</c:v>
                </c:pt>
                <c:pt idx="19">
                  <c:v>26681</c:v>
                </c:pt>
                <c:pt idx="20">
                  <c:v>31203</c:v>
                </c:pt>
                <c:pt idx="21">
                  <c:v>25737</c:v>
                </c:pt>
                <c:pt idx="22">
                  <c:v>30384</c:v>
                </c:pt>
                <c:pt idx="23">
                  <c:v>21753</c:v>
                </c:pt>
                <c:pt idx="24">
                  <c:v>35806</c:v>
                </c:pt>
                <c:pt idx="25">
                  <c:v>29743</c:v>
                </c:pt>
                <c:pt idx="26">
                  <c:v>26386</c:v>
                </c:pt>
                <c:pt idx="27">
                  <c:v>25637</c:v>
                </c:pt>
                <c:pt idx="28">
                  <c:v>21886</c:v>
                </c:pt>
                <c:pt idx="29">
                  <c:v>17688</c:v>
                </c:pt>
                <c:pt idx="30">
                  <c:v>13506</c:v>
                </c:pt>
                <c:pt idx="31">
                  <c:v>8717</c:v>
                </c:pt>
                <c:pt idx="32">
                  <c:v>9871</c:v>
                </c:pt>
                <c:pt idx="33">
                  <c:v>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I_805_SB!$I$2:$I$37</c:f>
              <c:numCache>
                <c:formatCode>0</c:formatCode>
                <c:ptCount val="36"/>
                <c:pt idx="0">
                  <c:v>16500</c:v>
                </c:pt>
                <c:pt idx="1">
                  <c:v>18903</c:v>
                </c:pt>
                <c:pt idx="2">
                  <c:v>20828</c:v>
                </c:pt>
                <c:pt idx="3">
                  <c:v>26520</c:v>
                </c:pt>
                <c:pt idx="4">
                  <c:v>31284</c:v>
                </c:pt>
                <c:pt idx="5">
                  <c:v>30884</c:v>
                </c:pt>
                <c:pt idx="6">
                  <c:v>29307</c:v>
                </c:pt>
                <c:pt idx="7">
                  <c:v>31447</c:v>
                </c:pt>
                <c:pt idx="8">
                  <c:v>24689</c:v>
                </c:pt>
                <c:pt idx="9">
                  <c:v>24689</c:v>
                </c:pt>
                <c:pt idx="10">
                  <c:v>37778</c:v>
                </c:pt>
                <c:pt idx="11">
                  <c:v>37623</c:v>
                </c:pt>
                <c:pt idx="12">
                  <c:v>26238</c:v>
                </c:pt>
                <c:pt idx="13">
                  <c:v>30999</c:v>
                </c:pt>
                <c:pt idx="14">
                  <c:v>34264</c:v>
                </c:pt>
                <c:pt idx="15">
                  <c:v>30146</c:v>
                </c:pt>
                <c:pt idx="16">
                  <c:v>40048</c:v>
                </c:pt>
                <c:pt idx="17">
                  <c:v>35761</c:v>
                </c:pt>
                <c:pt idx="18">
                  <c:v>30105</c:v>
                </c:pt>
                <c:pt idx="19">
                  <c:v>31145</c:v>
                </c:pt>
                <c:pt idx="20">
                  <c:v>32872</c:v>
                </c:pt>
                <c:pt idx="21">
                  <c:v>28869</c:v>
                </c:pt>
                <c:pt idx="22">
                  <c:v>31161</c:v>
                </c:pt>
                <c:pt idx="23">
                  <c:v>25240</c:v>
                </c:pt>
                <c:pt idx="24">
                  <c:v>32237</c:v>
                </c:pt>
                <c:pt idx="25">
                  <c:v>29444</c:v>
                </c:pt>
                <c:pt idx="26">
                  <c:v>24298</c:v>
                </c:pt>
                <c:pt idx="27">
                  <c:v>25933</c:v>
                </c:pt>
                <c:pt idx="28">
                  <c:v>17522</c:v>
                </c:pt>
                <c:pt idx="29">
                  <c:v>17494</c:v>
                </c:pt>
                <c:pt idx="30">
                  <c:v>15154</c:v>
                </c:pt>
                <c:pt idx="31">
                  <c:v>7397</c:v>
                </c:pt>
                <c:pt idx="32">
                  <c:v>8532</c:v>
                </c:pt>
                <c:pt idx="33">
                  <c:v>6676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I_805_SB!$D$2:$D$37</c:f>
              <c:numCache>
                <c:formatCode>0</c:formatCode>
                <c:ptCount val="36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I_805_SB!$J$2:$J$37</c:f>
              <c:numCache>
                <c:formatCode>0%</c:formatCode>
                <c:ptCount val="36"/>
                <c:pt idx="0">
                  <c:v>6.2391346339578879E-2</c:v>
                </c:pt>
                <c:pt idx="1">
                  <c:v>0.1822502970792419</c:v>
                </c:pt>
                <c:pt idx="2">
                  <c:v>0.41706354606068863</c:v>
                </c:pt>
                <c:pt idx="3">
                  <c:v>0.36286551210236917</c:v>
                </c:pt>
                <c:pt idx="4">
                  <c:v>0.53790187788811328</c:v>
                </c:pt>
                <c:pt idx="5">
                  <c:v>0.3380702742515489</c:v>
                </c:pt>
                <c:pt idx="6">
                  <c:v>0.44933484990851102</c:v>
                </c:pt>
                <c:pt idx="7">
                  <c:v>0.35717060118251265</c:v>
                </c:pt>
                <c:pt idx="8">
                  <c:v>0.41055819002456717</c:v>
                </c:pt>
                <c:pt idx="9">
                  <c:v>0.36005068032832033</c:v>
                </c:pt>
                <c:pt idx="10">
                  <c:v>0.27383079879960892</c:v>
                </c:pt>
                <c:pt idx="11">
                  <c:v>0.23564766158696804</c:v>
                </c:pt>
                <c:pt idx="12">
                  <c:v>0.21929457688554299</c:v>
                </c:pt>
                <c:pt idx="13">
                  <c:v>0.22346765599715823</c:v>
                </c:pt>
                <c:pt idx="14">
                  <c:v>0.21194114318053203</c:v>
                </c:pt>
                <c:pt idx="15">
                  <c:v>0.18312401883830454</c:v>
                </c:pt>
                <c:pt idx="16">
                  <c:v>0.23217032797981663</c:v>
                </c:pt>
                <c:pt idx="17">
                  <c:v>0.11714723063946764</c:v>
                </c:pt>
                <c:pt idx="18">
                  <c:v>0.42792771427216247</c:v>
                </c:pt>
                <c:pt idx="19">
                  <c:v>0.16731007083692506</c:v>
                </c:pt>
                <c:pt idx="20">
                  <c:v>5.3488446623721986E-2</c:v>
                </c:pt>
                <c:pt idx="21">
                  <c:v>0.12169250495395745</c:v>
                </c:pt>
                <c:pt idx="22">
                  <c:v>2.5572669826224415E-2</c:v>
                </c:pt>
                <c:pt idx="23">
                  <c:v>0.16029972877304277</c:v>
                </c:pt>
                <c:pt idx="24">
                  <c:v>-9.9676031949952559E-2</c:v>
                </c:pt>
                <c:pt idx="25">
                  <c:v>-1.005278552936828E-2</c:v>
                </c:pt>
                <c:pt idx="26">
                  <c:v>-7.9132873493519273E-2</c:v>
                </c:pt>
                <c:pt idx="27">
                  <c:v>1.1545812692592694E-2</c:v>
                </c:pt>
                <c:pt idx="28">
                  <c:v>-0.19939687471442935</c:v>
                </c:pt>
                <c:pt idx="29">
                  <c:v>-1.0967887833559509E-2</c:v>
                </c:pt>
                <c:pt idx="30">
                  <c:v>0.12201984303272617</c:v>
                </c:pt>
                <c:pt idx="31">
                  <c:v>-0.15142824366181029</c:v>
                </c:pt>
                <c:pt idx="32">
                  <c:v>-0.13564988349711271</c:v>
                </c:pt>
                <c:pt idx="33">
                  <c:v>2.1263576564173103E-2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20502</c:v>
                </c:pt>
                <c:pt idx="1">
                  <c:v>20096</c:v>
                </c:pt>
                <c:pt idx="2">
                  <c:v>24233</c:v>
                </c:pt>
                <c:pt idx="3">
                  <c:v>22699</c:v>
                </c:pt>
                <c:pt idx="4">
                  <c:v>20426</c:v>
                </c:pt>
                <c:pt idx="5">
                  <c:v>16624</c:v>
                </c:pt>
                <c:pt idx="6">
                  <c:v>22351</c:v>
                </c:pt>
                <c:pt idx="7">
                  <c:v>22081</c:v>
                </c:pt>
                <c:pt idx="8">
                  <c:v>10546</c:v>
                </c:pt>
                <c:pt idx="9">
                  <c:v>11803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13152</c:v>
                </c:pt>
                <c:pt idx="1">
                  <c:v>13152</c:v>
                </c:pt>
                <c:pt idx="2">
                  <c:v>15329</c:v>
                </c:pt>
                <c:pt idx="3">
                  <c:v>19254</c:v>
                </c:pt>
                <c:pt idx="4">
                  <c:v>20488</c:v>
                </c:pt>
                <c:pt idx="5">
                  <c:v>24337</c:v>
                </c:pt>
                <c:pt idx="6">
                  <c:v>25473</c:v>
                </c:pt>
                <c:pt idx="7">
                  <c:v>22881</c:v>
                </c:pt>
                <c:pt idx="8">
                  <c:v>12797</c:v>
                </c:pt>
                <c:pt idx="9">
                  <c:v>13057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-0.35850160959906352</c:v>
                </c:pt>
                <c:pt idx="1">
                  <c:v>-0.34554140127388533</c:v>
                </c:pt>
                <c:pt idx="2">
                  <c:v>-0.36743283951636196</c:v>
                </c:pt>
                <c:pt idx="3">
                  <c:v>-0.15176880038768226</c:v>
                </c:pt>
                <c:pt idx="4">
                  <c:v>3.035347106628894E-3</c:v>
                </c:pt>
                <c:pt idx="5">
                  <c:v>0.46396775745909524</c:v>
                </c:pt>
                <c:pt idx="6">
                  <c:v>0.13968055120576262</c:v>
                </c:pt>
                <c:pt idx="7">
                  <c:v>3.6230243195507494E-2</c:v>
                </c:pt>
                <c:pt idx="8">
                  <c:v>0.21344585624881462</c:v>
                </c:pt>
                <c:pt idx="9">
                  <c:v>0.10624417520969254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5340</c:v>
                </c:pt>
                <c:pt idx="1">
                  <c:v>10546</c:v>
                </c:pt>
                <c:pt idx="2">
                  <c:v>7573</c:v>
                </c:pt>
                <c:pt idx="3">
                  <c:v>9357</c:v>
                </c:pt>
                <c:pt idx="4">
                  <c:v>13100</c:v>
                </c:pt>
                <c:pt idx="5">
                  <c:v>10673</c:v>
                </c:pt>
                <c:pt idx="6">
                  <c:v>6385</c:v>
                </c:pt>
                <c:pt idx="7">
                  <c:v>9706</c:v>
                </c:pt>
                <c:pt idx="8">
                  <c:v>18706</c:v>
                </c:pt>
                <c:pt idx="9">
                  <c:v>21376</c:v>
                </c:pt>
                <c:pt idx="10">
                  <c:v>15658</c:v>
                </c:pt>
                <c:pt idx="11">
                  <c:v>5914</c:v>
                </c:pt>
                <c:pt idx="12">
                  <c:v>5332</c:v>
                </c:pt>
                <c:pt idx="13">
                  <c:v>4233</c:v>
                </c:pt>
                <c:pt idx="14">
                  <c:v>2769</c:v>
                </c:pt>
                <c:pt idx="15">
                  <c:v>1552</c:v>
                </c:pt>
                <c:pt idx="16">
                  <c:v>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4880</c:v>
                </c:pt>
                <c:pt idx="1">
                  <c:v>7928</c:v>
                </c:pt>
                <c:pt idx="2">
                  <c:v>5336</c:v>
                </c:pt>
                <c:pt idx="3">
                  <c:v>7726</c:v>
                </c:pt>
                <c:pt idx="4">
                  <c:v>10970</c:v>
                </c:pt>
                <c:pt idx="5">
                  <c:v>10119</c:v>
                </c:pt>
                <c:pt idx="6">
                  <c:v>8158</c:v>
                </c:pt>
                <c:pt idx="7">
                  <c:v>19946</c:v>
                </c:pt>
                <c:pt idx="8">
                  <c:v>22236</c:v>
                </c:pt>
                <c:pt idx="9">
                  <c:v>23301</c:v>
                </c:pt>
                <c:pt idx="10">
                  <c:v>12444</c:v>
                </c:pt>
                <c:pt idx="11">
                  <c:v>4761</c:v>
                </c:pt>
                <c:pt idx="12">
                  <c:v>4391</c:v>
                </c:pt>
                <c:pt idx="13">
                  <c:v>3133</c:v>
                </c:pt>
                <c:pt idx="14">
                  <c:v>2142</c:v>
                </c:pt>
                <c:pt idx="15">
                  <c:v>1212</c:v>
                </c:pt>
                <c:pt idx="16">
                  <c:v>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-8.6142322097378266E-2</c:v>
                </c:pt>
                <c:pt idx="1">
                  <c:v>-0.24824578039066947</c:v>
                </c:pt>
                <c:pt idx="2">
                  <c:v>-0.2953915225141952</c:v>
                </c:pt>
                <c:pt idx="3">
                  <c:v>-0.17430800470236185</c:v>
                </c:pt>
                <c:pt idx="4">
                  <c:v>-0.16259541984732828</c:v>
                </c:pt>
                <c:pt idx="5">
                  <c:v>-5.1906680408507433E-2</c:v>
                </c:pt>
                <c:pt idx="6">
                  <c:v>0.27768206734534062</c:v>
                </c:pt>
                <c:pt idx="7">
                  <c:v>1.0550175149392129</c:v>
                </c:pt>
                <c:pt idx="8">
                  <c:v>0.18870950497166694</c:v>
                </c:pt>
                <c:pt idx="9">
                  <c:v>9.0054266467065824E-2</c:v>
                </c:pt>
                <c:pt idx="10">
                  <c:v>-0.20526248563034866</c:v>
                </c:pt>
                <c:pt idx="11">
                  <c:v>-0.19496110923233001</c:v>
                </c:pt>
                <c:pt idx="12">
                  <c:v>-0.17648162040510129</c:v>
                </c:pt>
                <c:pt idx="13">
                  <c:v>-0.25986298133711316</c:v>
                </c:pt>
                <c:pt idx="14">
                  <c:v>-0.22643553629469126</c:v>
                </c:pt>
                <c:pt idx="15">
                  <c:v>-0.21907216494845361</c:v>
                </c:pt>
                <c:pt idx="16">
                  <c:v>0.18361955085865267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8372</c:v>
                </c:pt>
                <c:pt idx="1">
                  <c:v>13580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8258</c:v>
                </c:pt>
                <c:pt idx="1">
                  <c:v>17355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-1.361681796464409E-2</c:v>
                </c:pt>
                <c:pt idx="1">
                  <c:v>0.27798232695139902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598060011138541"/>
          <c:y val="1.172529467881331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11465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10598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-7.5621456607064985E-2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PM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3117</c:v>
                </c:pt>
                <c:pt idx="1">
                  <c:v>4028</c:v>
                </c:pt>
                <c:pt idx="2">
                  <c:v>3426</c:v>
                </c:pt>
                <c:pt idx="3">
                  <c:v>4267</c:v>
                </c:pt>
                <c:pt idx="4">
                  <c:v>3786</c:v>
                </c:pt>
                <c:pt idx="5">
                  <c:v>4503</c:v>
                </c:pt>
                <c:pt idx="6">
                  <c:v>8794</c:v>
                </c:pt>
                <c:pt idx="7">
                  <c:v>6103</c:v>
                </c:pt>
                <c:pt idx="8">
                  <c:v>6298</c:v>
                </c:pt>
                <c:pt idx="9">
                  <c:v>12654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2504</c:v>
                </c:pt>
                <c:pt idx="1">
                  <c:v>2358</c:v>
                </c:pt>
                <c:pt idx="2">
                  <c:v>2019</c:v>
                </c:pt>
                <c:pt idx="3">
                  <c:v>3721</c:v>
                </c:pt>
                <c:pt idx="4">
                  <c:v>2687</c:v>
                </c:pt>
                <c:pt idx="5">
                  <c:v>2869</c:v>
                </c:pt>
                <c:pt idx="6">
                  <c:v>4674</c:v>
                </c:pt>
                <c:pt idx="7">
                  <c:v>4012</c:v>
                </c:pt>
                <c:pt idx="8">
                  <c:v>5212</c:v>
                </c:pt>
                <c:pt idx="9">
                  <c:v>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-0.1966634584536413</c:v>
                </c:pt>
                <c:pt idx="1">
                  <c:v>-0.41459781529294937</c:v>
                </c:pt>
                <c:pt idx="2">
                  <c:v>-0.41068301225919435</c:v>
                </c:pt>
                <c:pt idx="3">
                  <c:v>-0.12795875322240446</c:v>
                </c:pt>
                <c:pt idx="4">
                  <c:v>-0.29027997886951928</c:v>
                </c:pt>
                <c:pt idx="5">
                  <c:v>-0.3628691983122363</c:v>
                </c:pt>
                <c:pt idx="6">
                  <c:v>-0.46850125085285421</c:v>
                </c:pt>
                <c:pt idx="7">
                  <c:v>-0.34261838440111425</c:v>
                </c:pt>
                <c:pt idx="8">
                  <c:v>-0.17243569387107016</c:v>
                </c:pt>
                <c:pt idx="9">
                  <c:v>-0.71605816342658446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0570056027777642"/>
          <c:y val="2.3955279454367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03646207305E-2"/>
          <c:w val="0.78558887346945039"/>
          <c:h val="0.8634844582422383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0.90312876052948265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PM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1614</c:v>
                </c:pt>
                <c:pt idx="1">
                  <c:v>1811</c:v>
                </c:pt>
                <c:pt idx="2">
                  <c:v>2191</c:v>
                </c:pt>
                <c:pt idx="3">
                  <c:v>5692</c:v>
                </c:pt>
                <c:pt idx="4">
                  <c:v>4977</c:v>
                </c:pt>
                <c:pt idx="5">
                  <c:v>6666</c:v>
                </c:pt>
                <c:pt idx="6">
                  <c:v>8666</c:v>
                </c:pt>
                <c:pt idx="7">
                  <c:v>7643</c:v>
                </c:pt>
                <c:pt idx="8">
                  <c:v>9752</c:v>
                </c:pt>
                <c:pt idx="9">
                  <c:v>9806</c:v>
                </c:pt>
                <c:pt idx="10">
                  <c:v>8828</c:v>
                </c:pt>
                <c:pt idx="11">
                  <c:v>12759</c:v>
                </c:pt>
                <c:pt idx="12">
                  <c:v>12095</c:v>
                </c:pt>
                <c:pt idx="13">
                  <c:v>10007</c:v>
                </c:pt>
                <c:pt idx="14">
                  <c:v>10067</c:v>
                </c:pt>
                <c:pt idx="15">
                  <c:v>18238</c:v>
                </c:pt>
                <c:pt idx="16">
                  <c:v>19030</c:v>
                </c:pt>
                <c:pt idx="17">
                  <c:v>20551</c:v>
                </c:pt>
                <c:pt idx="18">
                  <c:v>26051</c:v>
                </c:pt>
                <c:pt idx="19">
                  <c:v>18726</c:v>
                </c:pt>
                <c:pt idx="20">
                  <c:v>20572</c:v>
                </c:pt>
                <c:pt idx="21">
                  <c:v>16177</c:v>
                </c:pt>
                <c:pt idx="22">
                  <c:v>16615</c:v>
                </c:pt>
                <c:pt idx="23">
                  <c:v>18896</c:v>
                </c:pt>
                <c:pt idx="24">
                  <c:v>17225</c:v>
                </c:pt>
                <c:pt idx="25">
                  <c:v>18996</c:v>
                </c:pt>
                <c:pt idx="26">
                  <c:v>18202</c:v>
                </c:pt>
                <c:pt idx="27">
                  <c:v>22776</c:v>
                </c:pt>
                <c:pt idx="28">
                  <c:v>22010</c:v>
                </c:pt>
                <c:pt idx="29">
                  <c:v>24002</c:v>
                </c:pt>
                <c:pt idx="30">
                  <c:v>14904</c:v>
                </c:pt>
                <c:pt idx="31">
                  <c:v>26003</c:v>
                </c:pt>
                <c:pt idx="32">
                  <c:v>17300</c:v>
                </c:pt>
                <c:pt idx="33">
                  <c:v>15322</c:v>
                </c:pt>
                <c:pt idx="34">
                  <c:v>25461</c:v>
                </c:pt>
                <c:pt idx="35">
                  <c:v>23960</c:v>
                </c:pt>
                <c:pt idx="36">
                  <c:v>21479</c:v>
                </c:pt>
                <c:pt idx="37">
                  <c:v>22331</c:v>
                </c:pt>
                <c:pt idx="38">
                  <c:v>21767</c:v>
                </c:pt>
                <c:pt idx="39">
                  <c:v>21819</c:v>
                </c:pt>
                <c:pt idx="40">
                  <c:v>19978</c:v>
                </c:pt>
                <c:pt idx="41">
                  <c:v>12722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688</c:v>
                </c:pt>
                <c:pt idx="1">
                  <c:v>933</c:v>
                </c:pt>
                <c:pt idx="2">
                  <c:v>1320</c:v>
                </c:pt>
                <c:pt idx="3">
                  <c:v>5323</c:v>
                </c:pt>
                <c:pt idx="4">
                  <c:v>4396</c:v>
                </c:pt>
                <c:pt idx="5">
                  <c:v>5684</c:v>
                </c:pt>
                <c:pt idx="6">
                  <c:v>7496</c:v>
                </c:pt>
                <c:pt idx="7">
                  <c:v>7211</c:v>
                </c:pt>
                <c:pt idx="8">
                  <c:v>9112</c:v>
                </c:pt>
                <c:pt idx="9">
                  <c:v>9112</c:v>
                </c:pt>
                <c:pt idx="10">
                  <c:v>8177</c:v>
                </c:pt>
                <c:pt idx="11">
                  <c:v>10480</c:v>
                </c:pt>
                <c:pt idx="12">
                  <c:v>9956</c:v>
                </c:pt>
                <c:pt idx="13">
                  <c:v>11979</c:v>
                </c:pt>
                <c:pt idx="14">
                  <c:v>8404</c:v>
                </c:pt>
                <c:pt idx="15">
                  <c:v>17464</c:v>
                </c:pt>
                <c:pt idx="16">
                  <c:v>19152</c:v>
                </c:pt>
                <c:pt idx="17">
                  <c:v>20852</c:v>
                </c:pt>
                <c:pt idx="18">
                  <c:v>23582</c:v>
                </c:pt>
                <c:pt idx="19">
                  <c:v>15777</c:v>
                </c:pt>
                <c:pt idx="20">
                  <c:v>17506</c:v>
                </c:pt>
                <c:pt idx="21">
                  <c:v>15464</c:v>
                </c:pt>
                <c:pt idx="22">
                  <c:v>17153</c:v>
                </c:pt>
                <c:pt idx="23">
                  <c:v>18623</c:v>
                </c:pt>
                <c:pt idx="24">
                  <c:v>17132</c:v>
                </c:pt>
                <c:pt idx="25">
                  <c:v>21106</c:v>
                </c:pt>
                <c:pt idx="26">
                  <c:v>18780</c:v>
                </c:pt>
                <c:pt idx="27">
                  <c:v>22639</c:v>
                </c:pt>
                <c:pt idx="28">
                  <c:v>21500</c:v>
                </c:pt>
                <c:pt idx="29">
                  <c:v>23395</c:v>
                </c:pt>
                <c:pt idx="30">
                  <c:v>14137</c:v>
                </c:pt>
                <c:pt idx="31">
                  <c:v>26621</c:v>
                </c:pt>
                <c:pt idx="32">
                  <c:v>15808</c:v>
                </c:pt>
                <c:pt idx="33">
                  <c:v>13322</c:v>
                </c:pt>
                <c:pt idx="34">
                  <c:v>23911</c:v>
                </c:pt>
                <c:pt idx="35">
                  <c:v>24316</c:v>
                </c:pt>
                <c:pt idx="36">
                  <c:v>21737</c:v>
                </c:pt>
                <c:pt idx="37">
                  <c:v>25100</c:v>
                </c:pt>
                <c:pt idx="38">
                  <c:v>23059</c:v>
                </c:pt>
                <c:pt idx="39">
                  <c:v>23511</c:v>
                </c:pt>
                <c:pt idx="40">
                  <c:v>21886</c:v>
                </c:pt>
                <c:pt idx="41">
                  <c:v>12594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-0.57372986369268897</c:v>
                </c:pt>
                <c:pt idx="1">
                  <c:v>-0.48481501932633908</c:v>
                </c:pt>
                <c:pt idx="2">
                  <c:v>-0.39753537197626654</c:v>
                </c:pt>
                <c:pt idx="3">
                  <c:v>-6.4827828531272003E-2</c:v>
                </c:pt>
                <c:pt idx="4">
                  <c:v>-0.11673699015471173</c:v>
                </c:pt>
                <c:pt idx="5">
                  <c:v>-0.14731473147314733</c:v>
                </c:pt>
                <c:pt idx="6">
                  <c:v>-0.13501038541426269</c:v>
                </c:pt>
                <c:pt idx="7">
                  <c:v>-5.6522307994243071E-2</c:v>
                </c:pt>
                <c:pt idx="8">
                  <c:v>-6.5627563576702186E-2</c:v>
                </c:pt>
                <c:pt idx="9">
                  <c:v>-7.0772996124821574E-2</c:v>
                </c:pt>
                <c:pt idx="10">
                  <c:v>-7.3742637063887617E-2</c:v>
                </c:pt>
                <c:pt idx="11">
                  <c:v>-0.17861901402931268</c:v>
                </c:pt>
                <c:pt idx="12">
                  <c:v>-0.17684993799090531</c:v>
                </c:pt>
                <c:pt idx="13">
                  <c:v>0.19706205656040776</c:v>
                </c:pt>
                <c:pt idx="14">
                  <c:v>-0.16519320552299588</c:v>
                </c:pt>
                <c:pt idx="15">
                  <c:v>-4.2438863910516544E-2</c:v>
                </c:pt>
                <c:pt idx="16">
                  <c:v>6.4109301103520977E-3</c:v>
                </c:pt>
                <c:pt idx="17">
                  <c:v>1.4646489221935566E-2</c:v>
                </c:pt>
                <c:pt idx="18">
                  <c:v>-9.4775632413343081E-2</c:v>
                </c:pt>
                <c:pt idx="19">
                  <c:v>-0.15748157641781479</c:v>
                </c:pt>
                <c:pt idx="20">
                  <c:v>-0.14903752673536841</c:v>
                </c:pt>
                <c:pt idx="21">
                  <c:v>-4.4074921184397597E-2</c:v>
                </c:pt>
                <c:pt idx="22">
                  <c:v>3.2380379175443785E-2</c:v>
                </c:pt>
                <c:pt idx="23">
                  <c:v>-1.4447502116850086E-2</c:v>
                </c:pt>
                <c:pt idx="24">
                  <c:v>-5.3991291727141233E-3</c:v>
                </c:pt>
                <c:pt idx="25">
                  <c:v>0.11107601600336903</c:v>
                </c:pt>
                <c:pt idx="26">
                  <c:v>3.1754752225030325E-2</c:v>
                </c:pt>
                <c:pt idx="27">
                  <c:v>-6.0151036178432982E-3</c:v>
                </c:pt>
                <c:pt idx="28">
                  <c:v>-2.3171285779191253E-2</c:v>
                </c:pt>
                <c:pt idx="29">
                  <c:v>-2.5289559203399703E-2</c:v>
                </c:pt>
                <c:pt idx="30">
                  <c:v>-5.1462694578636614E-2</c:v>
                </c:pt>
                <c:pt idx="31">
                  <c:v>2.376648848209828E-2</c:v>
                </c:pt>
                <c:pt idx="32">
                  <c:v>-8.6242774566474001E-2</c:v>
                </c:pt>
                <c:pt idx="33">
                  <c:v>-0.13053126223730582</c:v>
                </c:pt>
                <c:pt idx="34">
                  <c:v>-6.0877420368406598E-2</c:v>
                </c:pt>
                <c:pt idx="35">
                  <c:v>1.485809682804673E-2</c:v>
                </c:pt>
                <c:pt idx="36">
                  <c:v>1.2011732389776153E-2</c:v>
                </c:pt>
                <c:pt idx="37">
                  <c:v>0.12399802964488837</c:v>
                </c:pt>
                <c:pt idx="38">
                  <c:v>5.9355905728855518E-2</c:v>
                </c:pt>
                <c:pt idx="39">
                  <c:v>7.7547091984050631E-2</c:v>
                </c:pt>
                <c:pt idx="40">
                  <c:v>9.5505055561117214E-2</c:v>
                </c:pt>
                <c:pt idx="41">
                  <c:v>-1.0061311114604621E-2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5770</c:v>
                </c:pt>
                <c:pt idx="1">
                  <c:v>8307</c:v>
                </c:pt>
                <c:pt idx="2">
                  <c:v>17543</c:v>
                </c:pt>
                <c:pt idx="3">
                  <c:v>14740</c:v>
                </c:pt>
                <c:pt idx="4">
                  <c:v>17481</c:v>
                </c:pt>
                <c:pt idx="5">
                  <c:v>16023</c:v>
                </c:pt>
                <c:pt idx="6">
                  <c:v>15535</c:v>
                </c:pt>
                <c:pt idx="7">
                  <c:v>15927</c:v>
                </c:pt>
                <c:pt idx="8">
                  <c:v>13288</c:v>
                </c:pt>
                <c:pt idx="9">
                  <c:v>18053</c:v>
                </c:pt>
                <c:pt idx="10">
                  <c:v>13126</c:v>
                </c:pt>
                <c:pt idx="11">
                  <c:v>17701</c:v>
                </c:pt>
                <c:pt idx="12">
                  <c:v>14609</c:v>
                </c:pt>
                <c:pt idx="13">
                  <c:v>17400</c:v>
                </c:pt>
                <c:pt idx="14">
                  <c:v>15494</c:v>
                </c:pt>
                <c:pt idx="15">
                  <c:v>12296</c:v>
                </c:pt>
                <c:pt idx="16">
                  <c:v>14271</c:v>
                </c:pt>
                <c:pt idx="17">
                  <c:v>11619</c:v>
                </c:pt>
                <c:pt idx="18">
                  <c:v>13550</c:v>
                </c:pt>
                <c:pt idx="19">
                  <c:v>15506</c:v>
                </c:pt>
                <c:pt idx="20">
                  <c:v>11378</c:v>
                </c:pt>
                <c:pt idx="21">
                  <c:v>13713</c:v>
                </c:pt>
                <c:pt idx="22">
                  <c:v>11505</c:v>
                </c:pt>
                <c:pt idx="23">
                  <c:v>11342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8019</c:v>
                </c:pt>
                <c:pt idx="1">
                  <c:v>9563</c:v>
                </c:pt>
                <c:pt idx="2">
                  <c:v>19582</c:v>
                </c:pt>
                <c:pt idx="3">
                  <c:v>22332</c:v>
                </c:pt>
                <c:pt idx="4">
                  <c:v>20987</c:v>
                </c:pt>
                <c:pt idx="5">
                  <c:v>19845</c:v>
                </c:pt>
                <c:pt idx="6">
                  <c:v>19274</c:v>
                </c:pt>
                <c:pt idx="7">
                  <c:v>20114</c:v>
                </c:pt>
                <c:pt idx="8">
                  <c:v>16053</c:v>
                </c:pt>
                <c:pt idx="9">
                  <c:v>16053</c:v>
                </c:pt>
                <c:pt idx="10">
                  <c:v>18377</c:v>
                </c:pt>
                <c:pt idx="11">
                  <c:v>20291</c:v>
                </c:pt>
                <c:pt idx="12">
                  <c:v>17239</c:v>
                </c:pt>
                <c:pt idx="13">
                  <c:v>17439</c:v>
                </c:pt>
                <c:pt idx="14">
                  <c:v>15109</c:v>
                </c:pt>
                <c:pt idx="15">
                  <c:v>13370</c:v>
                </c:pt>
                <c:pt idx="16">
                  <c:v>14548</c:v>
                </c:pt>
                <c:pt idx="17">
                  <c:v>11273</c:v>
                </c:pt>
                <c:pt idx="18">
                  <c:v>12740</c:v>
                </c:pt>
                <c:pt idx="19">
                  <c:v>14175</c:v>
                </c:pt>
                <c:pt idx="20">
                  <c:v>11398</c:v>
                </c:pt>
                <c:pt idx="21">
                  <c:v>12449</c:v>
                </c:pt>
                <c:pt idx="22">
                  <c:v>11072</c:v>
                </c:pt>
                <c:pt idx="23">
                  <c:v>11972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0.38977469670710563</c:v>
                </c:pt>
                <c:pt idx="1">
                  <c:v>0.15119778500060188</c:v>
                </c:pt>
                <c:pt idx="2">
                  <c:v>0.11622869520606516</c:v>
                </c:pt>
                <c:pt idx="3">
                  <c:v>0.51506105834464044</c:v>
                </c:pt>
                <c:pt idx="4">
                  <c:v>0.20056060866083181</c:v>
                </c:pt>
                <c:pt idx="5">
                  <c:v>0.23853211009174302</c:v>
                </c:pt>
                <c:pt idx="6">
                  <c:v>0.24068233022207908</c:v>
                </c:pt>
                <c:pt idx="7">
                  <c:v>0.26288692157970739</c:v>
                </c:pt>
                <c:pt idx="8">
                  <c:v>0.20808248043347377</c:v>
                </c:pt>
                <c:pt idx="9">
                  <c:v>-0.1107849110951088</c:v>
                </c:pt>
                <c:pt idx="10">
                  <c:v>0.40004571080298645</c:v>
                </c:pt>
                <c:pt idx="11">
                  <c:v>0.14631941698209139</c:v>
                </c:pt>
                <c:pt idx="12">
                  <c:v>0.18002601136285845</c:v>
                </c:pt>
                <c:pt idx="13">
                  <c:v>2.2413793103448487E-3</c:v>
                </c:pt>
                <c:pt idx="14">
                  <c:v>-2.4848328385181362E-2</c:v>
                </c:pt>
                <c:pt idx="15">
                  <c:v>8.7345478204294169E-2</c:v>
                </c:pt>
                <c:pt idx="16">
                  <c:v>1.9409992292060751E-2</c:v>
                </c:pt>
                <c:pt idx="17">
                  <c:v>-2.9778810568895753E-2</c:v>
                </c:pt>
                <c:pt idx="18">
                  <c:v>-5.9778597785977827E-2</c:v>
                </c:pt>
                <c:pt idx="19">
                  <c:v>-8.5837740229588566E-2</c:v>
                </c:pt>
                <c:pt idx="20">
                  <c:v>1.7577781683950633E-3</c:v>
                </c:pt>
                <c:pt idx="21">
                  <c:v>-9.217530810180119E-2</c:v>
                </c:pt>
                <c:pt idx="22">
                  <c:v>-3.7635810517166468E-2</c:v>
                </c:pt>
                <c:pt idx="23">
                  <c:v>5.5545759125374738E-2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8170</c:v>
                </c:pt>
                <c:pt idx="1">
                  <c:v>8710</c:v>
                </c:pt>
                <c:pt idx="2">
                  <c:v>7448</c:v>
                </c:pt>
                <c:pt idx="3">
                  <c:v>7477</c:v>
                </c:pt>
                <c:pt idx="4">
                  <c:v>6319</c:v>
                </c:pt>
                <c:pt idx="5">
                  <c:v>7702</c:v>
                </c:pt>
                <c:pt idx="6">
                  <c:v>7547</c:v>
                </c:pt>
                <c:pt idx="7">
                  <c:v>7928</c:v>
                </c:pt>
                <c:pt idx="8">
                  <c:v>8432</c:v>
                </c:pt>
                <c:pt idx="9">
                  <c:v>6012</c:v>
                </c:pt>
                <c:pt idx="10">
                  <c:v>11348</c:v>
                </c:pt>
                <c:pt idx="11">
                  <c:v>11783</c:v>
                </c:pt>
                <c:pt idx="12">
                  <c:v>11107</c:v>
                </c:pt>
                <c:pt idx="13">
                  <c:v>8758</c:v>
                </c:pt>
                <c:pt idx="14">
                  <c:v>10159</c:v>
                </c:pt>
                <c:pt idx="15">
                  <c:v>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8977</c:v>
                </c:pt>
                <c:pt idx="1">
                  <c:v>9371</c:v>
                </c:pt>
                <c:pt idx="2">
                  <c:v>11226</c:v>
                </c:pt>
                <c:pt idx="3">
                  <c:v>11226</c:v>
                </c:pt>
                <c:pt idx="4">
                  <c:v>10821</c:v>
                </c:pt>
                <c:pt idx="5">
                  <c:v>13450</c:v>
                </c:pt>
                <c:pt idx="6">
                  <c:v>13450</c:v>
                </c:pt>
                <c:pt idx="7">
                  <c:v>14515</c:v>
                </c:pt>
                <c:pt idx="8">
                  <c:v>14515</c:v>
                </c:pt>
                <c:pt idx="9">
                  <c:v>7752</c:v>
                </c:pt>
                <c:pt idx="10">
                  <c:v>13596</c:v>
                </c:pt>
                <c:pt idx="11">
                  <c:v>13596</c:v>
                </c:pt>
                <c:pt idx="12">
                  <c:v>12033</c:v>
                </c:pt>
                <c:pt idx="13">
                  <c:v>8118</c:v>
                </c:pt>
                <c:pt idx="14">
                  <c:v>10214</c:v>
                </c:pt>
                <c:pt idx="15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9.8776009791921693E-2</c:v>
                </c:pt>
                <c:pt idx="1">
                  <c:v>7.5889781859931116E-2</c:v>
                </c:pt>
                <c:pt idx="2">
                  <c:v>0.50725026852846411</c:v>
                </c:pt>
                <c:pt idx="3">
                  <c:v>0.50140430654005619</c:v>
                </c:pt>
                <c:pt idx="4">
                  <c:v>0.71245450229466689</c:v>
                </c:pt>
                <c:pt idx="5">
                  <c:v>0.74629966242534396</c:v>
                </c:pt>
                <c:pt idx="6">
                  <c:v>0.78216509871472106</c:v>
                </c:pt>
                <c:pt idx="7">
                  <c:v>0.83085267406659935</c:v>
                </c:pt>
                <c:pt idx="8">
                  <c:v>0.72141840607210628</c:v>
                </c:pt>
                <c:pt idx="9">
                  <c:v>0.28942115768463084</c:v>
                </c:pt>
                <c:pt idx="10">
                  <c:v>0.1980965808953119</c:v>
                </c:pt>
                <c:pt idx="11">
                  <c:v>0.15386573877620302</c:v>
                </c:pt>
                <c:pt idx="12">
                  <c:v>8.3370847213468879E-2</c:v>
                </c:pt>
                <c:pt idx="13">
                  <c:v>-7.3076044759077363E-2</c:v>
                </c:pt>
                <c:pt idx="14">
                  <c:v>5.413918692784625E-3</c:v>
                </c:pt>
                <c:pt idx="15">
                  <c:v>9.1847265221878249E-2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13806</c:v>
                </c:pt>
                <c:pt idx="1">
                  <c:v>14051</c:v>
                </c:pt>
                <c:pt idx="2">
                  <c:v>15144</c:v>
                </c:pt>
                <c:pt idx="3">
                  <c:v>13551</c:v>
                </c:pt>
                <c:pt idx="4">
                  <c:v>15465</c:v>
                </c:pt>
                <c:pt idx="5">
                  <c:v>10619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12431</c:v>
                </c:pt>
                <c:pt idx="1">
                  <c:v>10539</c:v>
                </c:pt>
                <c:pt idx="2">
                  <c:v>11979</c:v>
                </c:pt>
                <c:pt idx="3">
                  <c:v>10398</c:v>
                </c:pt>
                <c:pt idx="4">
                  <c:v>11597</c:v>
                </c:pt>
                <c:pt idx="5">
                  <c:v>9112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-9.9594379255396159E-2</c:v>
                </c:pt>
                <c:pt idx="1">
                  <c:v>-0.24994662301615544</c:v>
                </c:pt>
                <c:pt idx="2">
                  <c:v>-0.20899366085578452</c:v>
                </c:pt>
                <c:pt idx="3">
                  <c:v>-0.23267655523577591</c:v>
                </c:pt>
                <c:pt idx="4">
                  <c:v>-0.25011315874555451</c:v>
                </c:pt>
                <c:pt idx="5">
                  <c:v>-0.14191543459836142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8119</c:v>
                </c:pt>
                <c:pt idx="1">
                  <c:v>8306</c:v>
                </c:pt>
                <c:pt idx="2">
                  <c:v>7385</c:v>
                </c:pt>
                <c:pt idx="3">
                  <c:v>4817</c:v>
                </c:pt>
                <c:pt idx="4">
                  <c:v>5728</c:v>
                </c:pt>
                <c:pt idx="5">
                  <c:v>5188</c:v>
                </c:pt>
                <c:pt idx="6">
                  <c:v>4893</c:v>
                </c:pt>
                <c:pt idx="7">
                  <c:v>5886</c:v>
                </c:pt>
                <c:pt idx="8">
                  <c:v>5055</c:v>
                </c:pt>
                <c:pt idx="9">
                  <c:v>6492</c:v>
                </c:pt>
                <c:pt idx="10">
                  <c:v>5706</c:v>
                </c:pt>
                <c:pt idx="11">
                  <c:v>7326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9220</c:v>
                </c:pt>
                <c:pt idx="1">
                  <c:v>8404</c:v>
                </c:pt>
                <c:pt idx="2">
                  <c:v>8803</c:v>
                </c:pt>
                <c:pt idx="3">
                  <c:v>6463</c:v>
                </c:pt>
                <c:pt idx="4">
                  <c:v>7464</c:v>
                </c:pt>
                <c:pt idx="5">
                  <c:v>7464</c:v>
                </c:pt>
                <c:pt idx="6">
                  <c:v>6501</c:v>
                </c:pt>
                <c:pt idx="7">
                  <c:v>8015</c:v>
                </c:pt>
                <c:pt idx="8">
                  <c:v>6398</c:v>
                </c:pt>
                <c:pt idx="9">
                  <c:v>7831</c:v>
                </c:pt>
                <c:pt idx="10">
                  <c:v>7045</c:v>
                </c:pt>
                <c:pt idx="11">
                  <c:v>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0.1356078334770292</c:v>
                </c:pt>
                <c:pt idx="1">
                  <c:v>1.1798699735131146E-2</c:v>
                </c:pt>
                <c:pt idx="2">
                  <c:v>0.19201083276912656</c:v>
                </c:pt>
                <c:pt idx="3">
                  <c:v>0.34170645630060204</c:v>
                </c:pt>
                <c:pt idx="4">
                  <c:v>0.30307262569832405</c:v>
                </c:pt>
                <c:pt idx="5">
                  <c:v>0.43870470316114107</c:v>
                </c:pt>
                <c:pt idx="6">
                  <c:v>0.32863274064990811</c:v>
                </c:pt>
                <c:pt idx="7">
                  <c:v>0.36170574243968745</c:v>
                </c:pt>
                <c:pt idx="8">
                  <c:v>0.26567754698318491</c:v>
                </c:pt>
                <c:pt idx="9">
                  <c:v>0.20625385089340731</c:v>
                </c:pt>
                <c:pt idx="10">
                  <c:v>0.23466526463371884</c:v>
                </c:pt>
                <c:pt idx="11">
                  <c:v>0.18277368277368278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3469</c:v>
                </c:pt>
                <c:pt idx="1">
                  <c:v>6111</c:v>
                </c:pt>
                <c:pt idx="2">
                  <c:v>7984</c:v>
                </c:pt>
                <c:pt idx="3">
                  <c:v>11558</c:v>
                </c:pt>
                <c:pt idx="4">
                  <c:v>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2100</c:v>
                </c:pt>
                <c:pt idx="1">
                  <c:v>3494</c:v>
                </c:pt>
                <c:pt idx="2">
                  <c:v>7535</c:v>
                </c:pt>
                <c:pt idx="3">
                  <c:v>10211</c:v>
                </c:pt>
                <c:pt idx="4">
                  <c:v>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-0.39463822427212458</c:v>
                </c:pt>
                <c:pt idx="1">
                  <c:v>-0.42824414989363446</c:v>
                </c:pt>
                <c:pt idx="2">
                  <c:v>-5.6237474949899835E-2</c:v>
                </c:pt>
                <c:pt idx="3">
                  <c:v>-0.11654265443848422</c:v>
                </c:pt>
                <c:pt idx="4">
                  <c:v>-0.2259318852239206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10635</c:v>
                </c:pt>
                <c:pt idx="1">
                  <c:v>14243</c:v>
                </c:pt>
                <c:pt idx="2">
                  <c:v>12793</c:v>
                </c:pt>
                <c:pt idx="3">
                  <c:v>15038</c:v>
                </c:pt>
                <c:pt idx="4">
                  <c:v>12949</c:v>
                </c:pt>
                <c:pt idx="5">
                  <c:v>12943</c:v>
                </c:pt>
                <c:pt idx="6">
                  <c:v>14247</c:v>
                </c:pt>
                <c:pt idx="7">
                  <c:v>15515</c:v>
                </c:pt>
                <c:pt idx="8">
                  <c:v>15580</c:v>
                </c:pt>
                <c:pt idx="9">
                  <c:v>16129</c:v>
                </c:pt>
                <c:pt idx="10">
                  <c:v>14905</c:v>
                </c:pt>
                <c:pt idx="11">
                  <c:v>18373</c:v>
                </c:pt>
                <c:pt idx="12">
                  <c:v>9018</c:v>
                </c:pt>
                <c:pt idx="13">
                  <c:v>12464</c:v>
                </c:pt>
                <c:pt idx="14">
                  <c:v>14272</c:v>
                </c:pt>
                <c:pt idx="15">
                  <c:v>11686</c:v>
                </c:pt>
                <c:pt idx="16">
                  <c:v>13214</c:v>
                </c:pt>
                <c:pt idx="17">
                  <c:v>11871</c:v>
                </c:pt>
                <c:pt idx="18">
                  <c:v>11090</c:v>
                </c:pt>
                <c:pt idx="19">
                  <c:v>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13190</c:v>
                </c:pt>
                <c:pt idx="1">
                  <c:v>14925</c:v>
                </c:pt>
                <c:pt idx="2">
                  <c:v>12968</c:v>
                </c:pt>
                <c:pt idx="3">
                  <c:v>14162</c:v>
                </c:pt>
                <c:pt idx="4">
                  <c:v>13509</c:v>
                </c:pt>
                <c:pt idx="5">
                  <c:v>12870</c:v>
                </c:pt>
                <c:pt idx="6">
                  <c:v>13766</c:v>
                </c:pt>
                <c:pt idx="7">
                  <c:v>14890</c:v>
                </c:pt>
                <c:pt idx="8">
                  <c:v>15886</c:v>
                </c:pt>
                <c:pt idx="9">
                  <c:v>16457</c:v>
                </c:pt>
                <c:pt idx="10">
                  <c:v>15250</c:v>
                </c:pt>
                <c:pt idx="11">
                  <c:v>17878</c:v>
                </c:pt>
                <c:pt idx="12">
                  <c:v>11090</c:v>
                </c:pt>
                <c:pt idx="13">
                  <c:v>13187</c:v>
                </c:pt>
                <c:pt idx="14">
                  <c:v>14663</c:v>
                </c:pt>
                <c:pt idx="15">
                  <c:v>12148</c:v>
                </c:pt>
                <c:pt idx="16">
                  <c:v>13522</c:v>
                </c:pt>
                <c:pt idx="17">
                  <c:v>11957</c:v>
                </c:pt>
                <c:pt idx="18">
                  <c:v>10890</c:v>
                </c:pt>
                <c:pt idx="19">
                  <c:v>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0.24024447578749419</c:v>
                </c:pt>
                <c:pt idx="1">
                  <c:v>4.7883170680334208E-2</c:v>
                </c:pt>
                <c:pt idx="2">
                  <c:v>1.3679355897756595E-2</c:v>
                </c:pt>
                <c:pt idx="3">
                  <c:v>-5.8252427184465994E-2</c:v>
                </c:pt>
                <c:pt idx="4">
                  <c:v>4.3246582747702433E-2</c:v>
                </c:pt>
                <c:pt idx="5">
                  <c:v>-5.6401143475237614E-3</c:v>
                </c:pt>
                <c:pt idx="6">
                  <c:v>-3.3761493647785468E-2</c:v>
                </c:pt>
                <c:pt idx="7">
                  <c:v>-4.0283596519497311E-2</c:v>
                </c:pt>
                <c:pt idx="8">
                  <c:v>1.9640564826700846E-2</c:v>
                </c:pt>
                <c:pt idx="9">
                  <c:v>2.033604067208139E-2</c:v>
                </c:pt>
                <c:pt idx="10">
                  <c:v>2.3146595102314649E-2</c:v>
                </c:pt>
                <c:pt idx="11">
                  <c:v>-2.694170794100037E-2</c:v>
                </c:pt>
                <c:pt idx="12">
                  <c:v>0.22976269682856509</c:v>
                </c:pt>
                <c:pt idx="13">
                  <c:v>5.800706033376124E-2</c:v>
                </c:pt>
                <c:pt idx="14">
                  <c:v>2.7396300448430555E-2</c:v>
                </c:pt>
                <c:pt idx="15">
                  <c:v>3.9534485709395772E-2</c:v>
                </c:pt>
                <c:pt idx="16">
                  <c:v>2.3308612078098978E-2</c:v>
                </c:pt>
                <c:pt idx="17">
                  <c:v>7.2445455311263007E-3</c:v>
                </c:pt>
                <c:pt idx="18">
                  <c:v>-1.8034265103696989E-2</c:v>
                </c:pt>
                <c:pt idx="19">
                  <c:v>3.1168831168831179E-2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4773</c:v>
                </c:pt>
                <c:pt idx="1">
                  <c:v>10052</c:v>
                </c:pt>
                <c:pt idx="2">
                  <c:v>24913</c:v>
                </c:pt>
                <c:pt idx="3">
                  <c:v>24920</c:v>
                </c:pt>
                <c:pt idx="4">
                  <c:v>25127</c:v>
                </c:pt>
                <c:pt idx="5">
                  <c:v>24622</c:v>
                </c:pt>
                <c:pt idx="6">
                  <c:v>29759</c:v>
                </c:pt>
                <c:pt idx="7">
                  <c:v>18862</c:v>
                </c:pt>
                <c:pt idx="8">
                  <c:v>22989</c:v>
                </c:pt>
                <c:pt idx="9">
                  <c:v>32396</c:v>
                </c:pt>
                <c:pt idx="10">
                  <c:v>22091</c:v>
                </c:pt>
                <c:pt idx="11">
                  <c:v>32123</c:v>
                </c:pt>
                <c:pt idx="12">
                  <c:v>31503</c:v>
                </c:pt>
                <c:pt idx="13">
                  <c:v>32064</c:v>
                </c:pt>
                <c:pt idx="14">
                  <c:v>28358</c:v>
                </c:pt>
                <c:pt idx="15">
                  <c:v>28021</c:v>
                </c:pt>
                <c:pt idx="16">
                  <c:v>26509</c:v>
                </c:pt>
                <c:pt idx="17">
                  <c:v>27861</c:v>
                </c:pt>
                <c:pt idx="18">
                  <c:v>23673</c:v>
                </c:pt>
                <c:pt idx="19">
                  <c:v>23045</c:v>
                </c:pt>
                <c:pt idx="20">
                  <c:v>26961</c:v>
                </c:pt>
                <c:pt idx="21">
                  <c:v>20842</c:v>
                </c:pt>
                <c:pt idx="22">
                  <c:v>30620</c:v>
                </c:pt>
                <c:pt idx="23">
                  <c:v>22190</c:v>
                </c:pt>
                <c:pt idx="24">
                  <c:v>21209</c:v>
                </c:pt>
                <c:pt idx="25">
                  <c:v>15750</c:v>
                </c:pt>
                <c:pt idx="26">
                  <c:v>15602</c:v>
                </c:pt>
                <c:pt idx="27">
                  <c:v>16338</c:v>
                </c:pt>
                <c:pt idx="28">
                  <c:v>11333</c:v>
                </c:pt>
                <c:pt idx="29">
                  <c:v>13115</c:v>
                </c:pt>
                <c:pt idx="30">
                  <c:v>11862</c:v>
                </c:pt>
                <c:pt idx="31">
                  <c:v>8438</c:v>
                </c:pt>
                <c:pt idx="32">
                  <c:v>7857</c:v>
                </c:pt>
                <c:pt idx="33">
                  <c:v>8246</c:v>
                </c:pt>
                <c:pt idx="34">
                  <c:v>2708</c:v>
                </c:pt>
                <c:pt idx="35">
                  <c:v>1915</c:v>
                </c:pt>
                <c:pt idx="36">
                  <c:v>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6271</c:v>
                </c:pt>
                <c:pt idx="1">
                  <c:v>11277</c:v>
                </c:pt>
                <c:pt idx="2">
                  <c:v>25749</c:v>
                </c:pt>
                <c:pt idx="3">
                  <c:v>28003</c:v>
                </c:pt>
                <c:pt idx="4">
                  <c:v>28003</c:v>
                </c:pt>
                <c:pt idx="5">
                  <c:v>25712</c:v>
                </c:pt>
                <c:pt idx="6">
                  <c:v>33232</c:v>
                </c:pt>
                <c:pt idx="7">
                  <c:v>20526</c:v>
                </c:pt>
                <c:pt idx="8">
                  <c:v>23466</c:v>
                </c:pt>
                <c:pt idx="9">
                  <c:v>35005</c:v>
                </c:pt>
                <c:pt idx="10">
                  <c:v>24524</c:v>
                </c:pt>
                <c:pt idx="11">
                  <c:v>38721</c:v>
                </c:pt>
                <c:pt idx="12">
                  <c:v>36163</c:v>
                </c:pt>
                <c:pt idx="13">
                  <c:v>37791</c:v>
                </c:pt>
                <c:pt idx="14">
                  <c:v>29199</c:v>
                </c:pt>
                <c:pt idx="15">
                  <c:v>32309</c:v>
                </c:pt>
                <c:pt idx="16">
                  <c:v>29357</c:v>
                </c:pt>
                <c:pt idx="17">
                  <c:v>31955</c:v>
                </c:pt>
                <c:pt idx="18">
                  <c:v>25768</c:v>
                </c:pt>
                <c:pt idx="19">
                  <c:v>24128</c:v>
                </c:pt>
                <c:pt idx="20">
                  <c:v>25959</c:v>
                </c:pt>
                <c:pt idx="21">
                  <c:v>24318</c:v>
                </c:pt>
                <c:pt idx="22">
                  <c:v>32055</c:v>
                </c:pt>
                <c:pt idx="23">
                  <c:v>23965</c:v>
                </c:pt>
                <c:pt idx="24">
                  <c:v>22367</c:v>
                </c:pt>
                <c:pt idx="25">
                  <c:v>17782</c:v>
                </c:pt>
                <c:pt idx="26">
                  <c:v>14839</c:v>
                </c:pt>
                <c:pt idx="27">
                  <c:v>15580</c:v>
                </c:pt>
                <c:pt idx="28">
                  <c:v>12877</c:v>
                </c:pt>
                <c:pt idx="29">
                  <c:v>13632</c:v>
                </c:pt>
                <c:pt idx="30">
                  <c:v>11544</c:v>
                </c:pt>
                <c:pt idx="31">
                  <c:v>9155</c:v>
                </c:pt>
                <c:pt idx="32">
                  <c:v>8969</c:v>
                </c:pt>
                <c:pt idx="33">
                  <c:v>9018</c:v>
                </c:pt>
                <c:pt idx="34">
                  <c:v>3264</c:v>
                </c:pt>
                <c:pt idx="35">
                  <c:v>2341</c:v>
                </c:pt>
                <c:pt idx="36">
                  <c:v>1890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0.31384873245338363</c:v>
                </c:pt>
                <c:pt idx="1">
                  <c:v>0.12186629526462389</c:v>
                </c:pt>
                <c:pt idx="2">
                  <c:v>3.3556777585999287E-2</c:v>
                </c:pt>
                <c:pt idx="3">
                  <c:v>0.12371589085072232</c:v>
                </c:pt>
                <c:pt idx="4">
                  <c:v>0.11445855056313925</c:v>
                </c:pt>
                <c:pt idx="5">
                  <c:v>4.4269352611485679E-2</c:v>
                </c:pt>
                <c:pt idx="6">
                  <c:v>0.11670419032897605</c:v>
                </c:pt>
                <c:pt idx="7">
                  <c:v>8.821970098610965E-2</c:v>
                </c:pt>
                <c:pt idx="8">
                  <c:v>2.0749053895341207E-2</c:v>
                </c:pt>
                <c:pt idx="9">
                  <c:v>8.0534633905420483E-2</c:v>
                </c:pt>
                <c:pt idx="10">
                  <c:v>0.11013534923724588</c:v>
                </c:pt>
                <c:pt idx="11">
                  <c:v>0.20539800143199582</c:v>
                </c:pt>
                <c:pt idx="12">
                  <c:v>0.14792242008697576</c:v>
                </c:pt>
                <c:pt idx="13">
                  <c:v>0.17861152694610771</c:v>
                </c:pt>
                <c:pt idx="14">
                  <c:v>2.9656534311305549E-2</c:v>
                </c:pt>
                <c:pt idx="15">
                  <c:v>0.15302808607829843</c:v>
                </c:pt>
                <c:pt idx="16">
                  <c:v>0.1074352106831642</c:v>
                </c:pt>
                <c:pt idx="17">
                  <c:v>0.14694375650550939</c:v>
                </c:pt>
                <c:pt idx="18">
                  <c:v>8.849744434587925E-2</c:v>
                </c:pt>
                <c:pt idx="19">
                  <c:v>4.6995009763506124E-2</c:v>
                </c:pt>
                <c:pt idx="20">
                  <c:v>-3.7164793590742207E-2</c:v>
                </c:pt>
                <c:pt idx="21">
                  <c:v>0.16677862009404087</c:v>
                </c:pt>
                <c:pt idx="22">
                  <c:v>4.6864794252122755E-2</c:v>
                </c:pt>
                <c:pt idx="23">
                  <c:v>7.9990986931050001E-2</c:v>
                </c:pt>
                <c:pt idx="24">
                  <c:v>5.4599462492338269E-2</c:v>
                </c:pt>
                <c:pt idx="25">
                  <c:v>0.12901587301587303</c:v>
                </c:pt>
                <c:pt idx="26">
                  <c:v>-4.890398666837581E-2</c:v>
                </c:pt>
                <c:pt idx="27">
                  <c:v>-4.6394907577426814E-2</c:v>
                </c:pt>
                <c:pt idx="28">
                  <c:v>0.13623930115591643</c:v>
                </c:pt>
                <c:pt idx="29">
                  <c:v>3.942051086542131E-2</c:v>
                </c:pt>
                <c:pt idx="30">
                  <c:v>-2.6808295397066306E-2</c:v>
                </c:pt>
                <c:pt idx="31">
                  <c:v>8.497274235600849E-2</c:v>
                </c:pt>
                <c:pt idx="32">
                  <c:v>0.14152984599719987</c:v>
                </c:pt>
                <c:pt idx="33">
                  <c:v>9.3621149648314361E-2</c:v>
                </c:pt>
                <c:pt idx="34">
                  <c:v>0.20531757754800584</c:v>
                </c:pt>
                <c:pt idx="35">
                  <c:v>0.22245430809399469</c:v>
                </c:pt>
                <c:pt idx="36">
                  <c:v>0.17537313432835822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PM Volumes</a:t>
            </a:r>
            <a:endParaRPr lang="en-US" sz="1200"/>
          </a:p>
        </c:rich>
      </c:tx>
      <c:layout>
        <c:manualLayout>
          <c:xMode val="edge"/>
          <c:yMode val="edge"/>
          <c:x val="0.32214975241406141"/>
          <c:y val="1.15862063932139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17971</c:v>
                </c:pt>
                <c:pt idx="1">
                  <c:v>14738</c:v>
                </c:pt>
                <c:pt idx="2">
                  <c:v>16132</c:v>
                </c:pt>
                <c:pt idx="3">
                  <c:v>13545</c:v>
                </c:pt>
                <c:pt idx="4">
                  <c:v>18241</c:v>
                </c:pt>
                <c:pt idx="5">
                  <c:v>13531</c:v>
                </c:pt>
                <c:pt idx="6">
                  <c:v>13301</c:v>
                </c:pt>
                <c:pt idx="7">
                  <c:v>13078</c:v>
                </c:pt>
                <c:pt idx="8">
                  <c:v>16661</c:v>
                </c:pt>
                <c:pt idx="9">
                  <c:v>11279</c:v>
                </c:pt>
                <c:pt idx="10">
                  <c:v>11620</c:v>
                </c:pt>
                <c:pt idx="11">
                  <c:v>13461</c:v>
                </c:pt>
                <c:pt idx="12">
                  <c:v>13576</c:v>
                </c:pt>
                <c:pt idx="13">
                  <c:v>11855</c:v>
                </c:pt>
                <c:pt idx="14">
                  <c:v>14152</c:v>
                </c:pt>
                <c:pt idx="15">
                  <c:v>11294</c:v>
                </c:pt>
                <c:pt idx="16">
                  <c:v>12866</c:v>
                </c:pt>
                <c:pt idx="17">
                  <c:v>15255</c:v>
                </c:pt>
                <c:pt idx="18">
                  <c:v>15630</c:v>
                </c:pt>
                <c:pt idx="19">
                  <c:v>17649</c:v>
                </c:pt>
                <c:pt idx="20">
                  <c:v>21311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16200</c:v>
                </c:pt>
                <c:pt idx="1">
                  <c:v>14657</c:v>
                </c:pt>
                <c:pt idx="2">
                  <c:v>15918</c:v>
                </c:pt>
                <c:pt idx="3">
                  <c:v>14241</c:v>
                </c:pt>
                <c:pt idx="4">
                  <c:v>16516</c:v>
                </c:pt>
                <c:pt idx="5">
                  <c:v>14692</c:v>
                </c:pt>
                <c:pt idx="6">
                  <c:v>13137</c:v>
                </c:pt>
                <c:pt idx="7">
                  <c:v>13092</c:v>
                </c:pt>
                <c:pt idx="8">
                  <c:v>15638</c:v>
                </c:pt>
                <c:pt idx="9">
                  <c:v>12291</c:v>
                </c:pt>
                <c:pt idx="10">
                  <c:v>13014</c:v>
                </c:pt>
                <c:pt idx="11">
                  <c:v>13694</c:v>
                </c:pt>
                <c:pt idx="12">
                  <c:v>16720</c:v>
                </c:pt>
                <c:pt idx="13">
                  <c:v>15062</c:v>
                </c:pt>
                <c:pt idx="14">
                  <c:v>17799</c:v>
                </c:pt>
                <c:pt idx="15">
                  <c:v>15773</c:v>
                </c:pt>
                <c:pt idx="16">
                  <c:v>17210</c:v>
                </c:pt>
                <c:pt idx="17">
                  <c:v>18365</c:v>
                </c:pt>
                <c:pt idx="18">
                  <c:v>20067</c:v>
                </c:pt>
                <c:pt idx="19">
                  <c:v>19834</c:v>
                </c:pt>
                <c:pt idx="20">
                  <c:v>21981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-9.8547660119080782E-2</c:v>
                </c:pt>
                <c:pt idx="1">
                  <c:v>-5.4959967431130741E-3</c:v>
                </c:pt>
                <c:pt idx="2">
                  <c:v>-1.3265559137118799E-2</c:v>
                </c:pt>
                <c:pt idx="3">
                  <c:v>5.1384274640088545E-2</c:v>
                </c:pt>
                <c:pt idx="4">
                  <c:v>-9.4567183816676725E-2</c:v>
                </c:pt>
                <c:pt idx="5">
                  <c:v>8.5802970955583424E-2</c:v>
                </c:pt>
                <c:pt idx="6">
                  <c:v>-1.2329900007518213E-2</c:v>
                </c:pt>
                <c:pt idx="7">
                  <c:v>1.0705000764643646E-3</c:v>
                </c:pt>
                <c:pt idx="8">
                  <c:v>-6.1400876297941331E-2</c:v>
                </c:pt>
                <c:pt idx="9">
                  <c:v>8.9724266335668101E-2</c:v>
                </c:pt>
                <c:pt idx="10">
                  <c:v>0.11996557659208262</c:v>
                </c:pt>
                <c:pt idx="11">
                  <c:v>1.7309263799123453E-2</c:v>
                </c:pt>
                <c:pt idx="12">
                  <c:v>0.23158515026517379</c:v>
                </c:pt>
                <c:pt idx="13">
                  <c:v>0.27051876845212997</c:v>
                </c:pt>
                <c:pt idx="14">
                  <c:v>0.25770209157716217</c:v>
                </c:pt>
                <c:pt idx="15">
                  <c:v>0.39658225606516728</c:v>
                </c:pt>
                <c:pt idx="16">
                  <c:v>0.3376340743043682</c:v>
                </c:pt>
                <c:pt idx="17">
                  <c:v>0.20386758439855779</c:v>
                </c:pt>
                <c:pt idx="18">
                  <c:v>0.28387715930902102</c:v>
                </c:pt>
                <c:pt idx="19">
                  <c:v>0.12380304833135014</c:v>
                </c:pt>
                <c:pt idx="20">
                  <c:v>3.1439162873633242E-2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0406815661927744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9428</c:v>
                </c:pt>
                <c:pt idx="1">
                  <c:v>11876</c:v>
                </c:pt>
                <c:pt idx="2">
                  <c:v>15528</c:v>
                </c:pt>
                <c:pt idx="3">
                  <c:v>16404</c:v>
                </c:pt>
                <c:pt idx="4">
                  <c:v>6375</c:v>
                </c:pt>
                <c:pt idx="5">
                  <c:v>16332</c:v>
                </c:pt>
                <c:pt idx="6">
                  <c:v>17040</c:v>
                </c:pt>
                <c:pt idx="7">
                  <c:v>17410</c:v>
                </c:pt>
                <c:pt idx="8">
                  <c:v>13602</c:v>
                </c:pt>
                <c:pt idx="9">
                  <c:v>14494</c:v>
                </c:pt>
                <c:pt idx="10">
                  <c:v>14529</c:v>
                </c:pt>
                <c:pt idx="11">
                  <c:v>12887</c:v>
                </c:pt>
                <c:pt idx="12">
                  <c:v>12478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9761</c:v>
                </c:pt>
                <c:pt idx="1">
                  <c:v>14441</c:v>
                </c:pt>
                <c:pt idx="2">
                  <c:v>18189</c:v>
                </c:pt>
                <c:pt idx="3">
                  <c:v>18189</c:v>
                </c:pt>
                <c:pt idx="4">
                  <c:v>13053</c:v>
                </c:pt>
                <c:pt idx="5">
                  <c:v>21140</c:v>
                </c:pt>
                <c:pt idx="6">
                  <c:v>20362</c:v>
                </c:pt>
                <c:pt idx="7">
                  <c:v>20362</c:v>
                </c:pt>
                <c:pt idx="8">
                  <c:v>16729</c:v>
                </c:pt>
                <c:pt idx="9">
                  <c:v>17238</c:v>
                </c:pt>
                <c:pt idx="10">
                  <c:v>17238</c:v>
                </c:pt>
                <c:pt idx="11">
                  <c:v>15001</c:v>
                </c:pt>
                <c:pt idx="12">
                  <c:v>14643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3.532032244378458E-2</c:v>
                </c:pt>
                <c:pt idx="1">
                  <c:v>0.21598181205793199</c:v>
                </c:pt>
                <c:pt idx="2">
                  <c:v>0.17136785162287471</c:v>
                </c:pt>
                <c:pt idx="3">
                  <c:v>0.10881492318946595</c:v>
                </c:pt>
                <c:pt idx="4">
                  <c:v>1.0475294117647058</c:v>
                </c:pt>
                <c:pt idx="5">
                  <c:v>0.29439137888807254</c:v>
                </c:pt>
                <c:pt idx="6">
                  <c:v>0.19495305164319254</c:v>
                </c:pt>
                <c:pt idx="7">
                  <c:v>0.16955772544514636</c:v>
                </c:pt>
                <c:pt idx="8">
                  <c:v>0.22989266284369947</c:v>
                </c:pt>
                <c:pt idx="9">
                  <c:v>0.18931971850420859</c:v>
                </c:pt>
                <c:pt idx="10">
                  <c:v>0.18645467685319028</c:v>
                </c:pt>
                <c:pt idx="11">
                  <c:v>0.16404128191200429</c:v>
                </c:pt>
                <c:pt idx="12">
                  <c:v>0.17350536945023243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15496</c:v>
                </c:pt>
                <c:pt idx="1">
                  <c:v>18999</c:v>
                </c:pt>
                <c:pt idx="2">
                  <c:v>15676</c:v>
                </c:pt>
                <c:pt idx="3">
                  <c:v>17321</c:v>
                </c:pt>
                <c:pt idx="4">
                  <c:v>15541</c:v>
                </c:pt>
                <c:pt idx="5">
                  <c:v>13722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16217</c:v>
                </c:pt>
                <c:pt idx="1">
                  <c:v>18195</c:v>
                </c:pt>
                <c:pt idx="2">
                  <c:v>15688</c:v>
                </c:pt>
                <c:pt idx="3">
                  <c:v>17246</c:v>
                </c:pt>
                <c:pt idx="4">
                  <c:v>15788</c:v>
                </c:pt>
                <c:pt idx="5">
                  <c:v>14543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4.6528136293237043E-2</c:v>
                </c:pt>
                <c:pt idx="1">
                  <c:v>-4.2318016737723063E-2</c:v>
                </c:pt>
                <c:pt idx="2">
                  <c:v>7.655014034191332E-4</c:v>
                </c:pt>
                <c:pt idx="3">
                  <c:v>-4.3300040413370988E-3</c:v>
                </c:pt>
                <c:pt idx="4">
                  <c:v>1.589344315037633E-2</c:v>
                </c:pt>
                <c:pt idx="5">
                  <c:v>5.983092843608806E-2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11621</c:v>
                </c:pt>
                <c:pt idx="1">
                  <c:v>13771</c:v>
                </c:pt>
                <c:pt idx="2">
                  <c:v>10501</c:v>
                </c:pt>
                <c:pt idx="3">
                  <c:v>13298</c:v>
                </c:pt>
                <c:pt idx="4">
                  <c:v>12653</c:v>
                </c:pt>
                <c:pt idx="5">
                  <c:v>12737</c:v>
                </c:pt>
                <c:pt idx="6">
                  <c:v>12403</c:v>
                </c:pt>
                <c:pt idx="7">
                  <c:v>10101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14268</c:v>
                </c:pt>
                <c:pt idx="1">
                  <c:v>14933</c:v>
                </c:pt>
                <c:pt idx="2">
                  <c:v>12753</c:v>
                </c:pt>
                <c:pt idx="3">
                  <c:v>14350</c:v>
                </c:pt>
                <c:pt idx="4">
                  <c:v>12455</c:v>
                </c:pt>
                <c:pt idx="5">
                  <c:v>12676</c:v>
                </c:pt>
                <c:pt idx="6">
                  <c:v>11055</c:v>
                </c:pt>
                <c:pt idx="7">
                  <c:v>9739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0.22777729971603122</c:v>
                </c:pt>
                <c:pt idx="1">
                  <c:v>8.438021930143047E-2</c:v>
                </c:pt>
                <c:pt idx="2">
                  <c:v>0.2144557661175126</c:v>
                </c:pt>
                <c:pt idx="3">
                  <c:v>7.9109640547450732E-2</c:v>
                </c:pt>
                <c:pt idx="4">
                  <c:v>-1.564846281514265E-2</c:v>
                </c:pt>
                <c:pt idx="5">
                  <c:v>-4.7891968281384978E-3</c:v>
                </c:pt>
                <c:pt idx="6">
                  <c:v>-0.10868338305248726</c:v>
                </c:pt>
                <c:pt idx="7">
                  <c:v>-3.5838035838035798E-2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8022</c:v>
                </c:pt>
                <c:pt idx="1">
                  <c:v>7641</c:v>
                </c:pt>
                <c:pt idx="2">
                  <c:v>6599</c:v>
                </c:pt>
                <c:pt idx="3">
                  <c:v>4947</c:v>
                </c:pt>
                <c:pt idx="4">
                  <c:v>4282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6923</c:v>
                </c:pt>
                <c:pt idx="1">
                  <c:v>10006</c:v>
                </c:pt>
                <c:pt idx="2">
                  <c:v>8331</c:v>
                </c:pt>
                <c:pt idx="3">
                  <c:v>7042</c:v>
                </c:pt>
                <c:pt idx="4">
                  <c:v>9265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-0.13699825479930194</c:v>
                </c:pt>
                <c:pt idx="1">
                  <c:v>0.30951446145792438</c:v>
                </c:pt>
                <c:pt idx="2">
                  <c:v>0.26246400969843919</c:v>
                </c:pt>
                <c:pt idx="3">
                  <c:v>0.42348898322215489</c:v>
                </c:pt>
                <c:pt idx="4">
                  <c:v>1.1637085474077535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PM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SR_94_EB!$H$2:$H$15</c:f>
              <c:numCache>
                <c:formatCode>0</c:formatCode>
                <c:ptCount val="14"/>
                <c:pt idx="0">
                  <c:v>21113</c:v>
                </c:pt>
                <c:pt idx="1">
                  <c:v>22417</c:v>
                </c:pt>
                <c:pt idx="2">
                  <c:v>24639</c:v>
                </c:pt>
                <c:pt idx="3">
                  <c:v>24679</c:v>
                </c:pt>
                <c:pt idx="4">
                  <c:v>18850</c:v>
                </c:pt>
                <c:pt idx="5">
                  <c:v>29117</c:v>
                </c:pt>
                <c:pt idx="6">
                  <c:v>26037</c:v>
                </c:pt>
                <c:pt idx="7">
                  <c:v>27704</c:v>
                </c:pt>
                <c:pt idx="8">
                  <c:v>26603</c:v>
                </c:pt>
                <c:pt idx="9">
                  <c:v>22695</c:v>
                </c:pt>
                <c:pt idx="10">
                  <c:v>18419</c:v>
                </c:pt>
                <c:pt idx="11">
                  <c:v>21485</c:v>
                </c:pt>
                <c:pt idx="12">
                  <c:v>21715</c:v>
                </c:pt>
                <c:pt idx="13">
                  <c:v>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SR_94_EB!$F$2:$F$15</c:f>
              <c:strCache>
                <c:ptCount val="14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28TH</c:v>
                </c:pt>
                <c:pt idx="4">
                  <c:v>SR-15 NB</c:v>
                </c:pt>
                <c:pt idx="5">
                  <c:v>47TH</c:v>
                </c:pt>
                <c:pt idx="6">
                  <c:v>EUCLID</c:v>
                </c:pt>
                <c:pt idx="7">
                  <c:v>EUCLID</c:v>
                </c:pt>
                <c:pt idx="8">
                  <c:v>KELTON</c:v>
                </c:pt>
                <c:pt idx="9">
                  <c:v>FEDERAL</c:v>
                </c:pt>
                <c:pt idx="10">
                  <c:v>MASSACHUSETTS</c:v>
                </c:pt>
                <c:pt idx="11">
                  <c:v>WAITE</c:v>
                </c:pt>
                <c:pt idx="12">
                  <c:v>LEMON GROVE</c:v>
                </c:pt>
                <c:pt idx="13">
                  <c:v>AVOCADO</c:v>
                </c:pt>
              </c:strCache>
            </c:strRef>
          </c:cat>
          <c:val>
            <c:numRef>
              <c:f>SR_94_EB!$I$2:$I$15</c:f>
              <c:numCache>
                <c:formatCode>0</c:formatCode>
                <c:ptCount val="14"/>
                <c:pt idx="0">
                  <c:v>25172</c:v>
                </c:pt>
                <c:pt idx="1">
                  <c:v>26343</c:v>
                </c:pt>
                <c:pt idx="2">
                  <c:v>28166</c:v>
                </c:pt>
                <c:pt idx="3">
                  <c:v>28166</c:v>
                </c:pt>
                <c:pt idx="4">
                  <c:v>21850</c:v>
                </c:pt>
                <c:pt idx="5">
                  <c:v>32728</c:v>
                </c:pt>
                <c:pt idx="6">
                  <c:v>28573</c:v>
                </c:pt>
                <c:pt idx="7">
                  <c:v>29449</c:v>
                </c:pt>
                <c:pt idx="8">
                  <c:v>27641</c:v>
                </c:pt>
                <c:pt idx="9">
                  <c:v>24958</c:v>
                </c:pt>
                <c:pt idx="10">
                  <c:v>19474</c:v>
                </c:pt>
                <c:pt idx="11">
                  <c:v>21998</c:v>
                </c:pt>
                <c:pt idx="12">
                  <c:v>21517</c:v>
                </c:pt>
                <c:pt idx="13">
                  <c:v>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SR_94_EB!$D$2:$D$15</c:f>
              <c:numCache>
                <c:formatCode>0.0</c:formatCode>
                <c:ptCount val="14"/>
                <c:pt idx="0">
                  <c:v>0.59</c:v>
                </c:pt>
                <c:pt idx="1">
                  <c:v>1.01</c:v>
                </c:pt>
                <c:pt idx="2">
                  <c:v>1.1200000000000001</c:v>
                </c:pt>
                <c:pt idx="3">
                  <c:v>1.29</c:v>
                </c:pt>
                <c:pt idx="4">
                  <c:v>2.0099999999999998</c:v>
                </c:pt>
                <c:pt idx="5">
                  <c:v>3.49</c:v>
                </c:pt>
                <c:pt idx="6">
                  <c:v>3.89</c:v>
                </c:pt>
                <c:pt idx="7">
                  <c:v>4.16</c:v>
                </c:pt>
                <c:pt idx="8">
                  <c:v>4.5</c:v>
                </c:pt>
                <c:pt idx="9">
                  <c:v>6.31</c:v>
                </c:pt>
                <c:pt idx="10">
                  <c:v>7.04</c:v>
                </c:pt>
                <c:pt idx="11">
                  <c:v>7.32</c:v>
                </c:pt>
                <c:pt idx="12">
                  <c:v>7.96</c:v>
                </c:pt>
                <c:pt idx="13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SR_94_EB!$J$2:$J$15</c:f>
              <c:numCache>
                <c:formatCode>0%</c:formatCode>
                <c:ptCount val="14"/>
                <c:pt idx="0">
                  <c:v>0.19225121962771752</c:v>
                </c:pt>
                <c:pt idx="1">
                  <c:v>0.17513494223134218</c:v>
                </c:pt>
                <c:pt idx="2">
                  <c:v>0.14314704330532901</c:v>
                </c:pt>
                <c:pt idx="3">
                  <c:v>0.14129421775598683</c:v>
                </c:pt>
                <c:pt idx="4">
                  <c:v>0.15915119363395225</c:v>
                </c:pt>
                <c:pt idx="5">
                  <c:v>0.12401689734519361</c:v>
                </c:pt>
                <c:pt idx="6">
                  <c:v>9.7399854053846546E-2</c:v>
                </c:pt>
                <c:pt idx="7">
                  <c:v>6.298729425353744E-2</c:v>
                </c:pt>
                <c:pt idx="8">
                  <c:v>3.9018155847085012E-2</c:v>
                </c:pt>
                <c:pt idx="9">
                  <c:v>9.9713593302489523E-2</c:v>
                </c:pt>
                <c:pt idx="10">
                  <c:v>5.7277810956077868E-2</c:v>
                </c:pt>
                <c:pt idx="11">
                  <c:v>2.3877123574586934E-2</c:v>
                </c:pt>
                <c:pt idx="12">
                  <c:v>-9.1181211144369945E-3</c:v>
                </c:pt>
                <c:pt idx="13">
                  <c:v>-0.11195840554592718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702733</xdr:colOff>
      <xdr:row>3</xdr:row>
      <xdr:rowOff>52916</xdr:rowOff>
    </xdr:from>
    <xdr:to>
      <xdr:col>31</xdr:col>
      <xdr:colOff>21167</xdr:colOff>
      <xdr:row>45</xdr:row>
      <xdr:rowOff>31749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%Link(+)=86% %Link(-)=14% AvgGap(+)=32%  AvgGap(-)=-13%  AvgGap(±)=26%  GapIn(±10%)=12%  GapIn(±20%)=34%  GapIn(±30%)=55%  Linear Slope=1.279 RMSE=35%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7406</xdr:colOff>
      <xdr:row>2</xdr:row>
      <xdr:rowOff>156638</xdr:rowOff>
    </xdr:from>
    <xdr:to>
      <xdr:col>31</xdr:col>
      <xdr:colOff>42334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%Link(+)=91% %Link(-)=9% AvgGap(+)=23%  AvgGap(-)=-9%  AvgGap(±)=20%  GapIn(±10%)=13%  GapIn(±20%)=44%  GapIn(±30%)=80%  Linear Slope=1.206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152398</xdr:rowOff>
    </xdr:from>
    <xdr:to>
      <xdr:col>31</xdr:col>
      <xdr:colOff>63500</xdr:colOff>
      <xdr:row>42</xdr:row>
      <xdr:rowOff>179917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%Link(+)=85% %Link(-)=15% AvgGap(+)=23%  AvgGap(-)=-3%  AvgGap(±)=20%  GapIn(±10%)=48%  GapIn(±20%)=59%  GapIn(±30%)=74%  Linear Slope=1.138 RMSE=23%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10581</xdr:colOff>
      <xdr:row>2</xdr:row>
      <xdr:rowOff>138640</xdr:rowOff>
    </xdr:from>
    <xdr:to>
      <xdr:col>31</xdr:col>
      <xdr:colOff>31750</xdr:colOff>
      <xdr:row>38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AvgGap(+)=22%  AvgGap(-)=0%  AvgGap(±)=22%  GapIn(±10%)=0%  GapIn(±20%)=44%  GapIn(±30%)=89%  Linear Slope=1.229 RMSE=25%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2</xdr:row>
      <xdr:rowOff>128059</xdr:rowOff>
    </xdr:from>
    <xdr:to>
      <xdr:col>31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79149" y="626961"/>
          <a:ext cx="121509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%Link(+)=47% %Link(-)=53% AvgGap(+)=14%  AvgGap(-)=-31%  AvgGap(±)=-9%  GapIn(±10%)=47%  GapIn(±20%)=59%  GapIn(±30%)=65%  Linear Slope=1.053 RMSE=17%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5291</xdr:colOff>
      <xdr:row>2</xdr:row>
      <xdr:rowOff>52917</xdr:rowOff>
    </xdr:from>
    <xdr:to>
      <xdr:col>32</xdr:col>
      <xdr:colOff>201084</xdr:colOff>
      <xdr:row>40</xdr:row>
      <xdr:rowOff>179918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0.26719</cdr:y>
    </cdr:to>
    <cdr:sp macro="" textlink="SR_67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10388038" y="467152"/>
          <a:ext cx="1377923" cy="15009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AvgGap(+)=19%  AvgGap(-)=-2%  AvgGap(±)=12%  GapIn(±10%)=67%  GapIn(±20%)=67%  GapIn(±30%)=100%  Linear Slope=1.111 RMSE=18%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19048</xdr:colOff>
      <xdr:row>2</xdr:row>
      <xdr:rowOff>41274</xdr:rowOff>
    </xdr:from>
    <xdr:to>
      <xdr:col>31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0.97915</cdr:x>
      <cdr:y>0.27166</cdr:y>
    </cdr:to>
    <cdr:sp macro="" textlink="SR_75_N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30002" cy="16575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AvgGap(+)=63%  AvgGap(-)=0%  AvgGap(±)=63%  GapIn(±10%)=0%  GapIn(±20%)=0%  GapIn(±30%)=0%  Linear Slope=1.63 RMSE=63%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2114</xdr:colOff>
      <xdr:row>3</xdr:row>
      <xdr:rowOff>114305</xdr:rowOff>
    </xdr:from>
    <xdr:to>
      <xdr:col>31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I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%Link(+)=31% %Link(-)=69% AvgGap(+)=17%  AvgGap(-)=-14%  AvgGap(±)=-5%  GapIn(±10%)=23% GapIn(±20%)=69%  GapIn(±30%)=100%  Linear Slope=.918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4234</xdr:colOff>
      <xdr:row>3</xdr:row>
      <xdr:rowOff>116417</xdr:rowOff>
    </xdr:from>
    <xdr:to>
      <xdr:col>32</xdr:col>
      <xdr:colOff>179917</xdr:colOff>
      <xdr:row>43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%Link(+)=100% %Link(-)=0% AvgGap(+)=133%  AvgGap(-)=0%  AvgGap(±)=133%  GapIn(±10%)=0% GapIn(±20%)=0%  GapIn(±30%)=0%  Linear Slope=2.263 RMSE=130%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9522</xdr:colOff>
      <xdr:row>2</xdr:row>
      <xdr:rowOff>128064</xdr:rowOff>
    </xdr:from>
    <xdr:to>
      <xdr:col>31</xdr:col>
      <xdr:colOff>10584</xdr:colOff>
      <xdr:row>44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%Link(+)=54% %Link(-)=46% AvgGap(+)=22%  AvgGap(-)=-7%  AvgGap(±)=9%  GapIn(±10%)=51% GapIn(±20%)=73%  GapIn(±30%)=84%  Linear Slope=1.083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5290</xdr:colOff>
      <xdr:row>2</xdr:row>
      <xdr:rowOff>112182</xdr:rowOff>
    </xdr:from>
    <xdr:to>
      <xdr:col>31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AvgGap(+)=17%  AvgGap(-)=-10%  AvgGap(±)=8%  GapIn(±10%)=44% GapIn(±20%)=81%  GapIn(±30%)=89%  Linear Slope=1.034 RMSE=18%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130174</xdr:rowOff>
    </xdr:from>
    <xdr:to>
      <xdr:col>31</xdr:col>
      <xdr:colOff>10584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%Link(+)=79% %Link(-)=21% AvgGap(+)=23%  AvgGap(-)=-10%  AvgGap(±)=16%  GapIn(±10%)=26% GapIn(±20%)=56%  GapIn(±30%)=74%  Linear Slope=1.154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699558</xdr:colOff>
      <xdr:row>3</xdr:row>
      <xdr:rowOff>31749</xdr:rowOff>
    </xdr:from>
    <xdr:to>
      <xdr:col>31</xdr:col>
      <xdr:colOff>21168</xdr:colOff>
      <xdr:row>41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AvgGap(+)=16%  AvgGap(-)=-31%  AvgGap(±)=-3%  GapIn(±10%)=20% GapIn(±20%)=50%  GapIn(±30%)=60%  Linear Slope=.915 RMSE=27%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11640</xdr:colOff>
      <xdr:row>3</xdr:row>
      <xdr:rowOff>17992</xdr:rowOff>
    </xdr:from>
    <xdr:to>
      <xdr:col>31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%Link(+)=29% %Link(-)=71% AvgGap(+)=36%  AvgGap(-)=-19%  AvgGap(±)=-3%  GapIn(±10%)=18% GapIn(±20%)=53%  GapIn(±30%)=94%  Linear Slope=1.029 RMSE=35%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704850</xdr:colOff>
      <xdr:row>2</xdr:row>
      <xdr:rowOff>0</xdr:rowOff>
    </xdr:from>
    <xdr:to>
      <xdr:col>30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AvgGap(+)=28%  AvgGap(-)=-1%  AvgGap(±)=13%  GapIn(±10%)=50% GapIn(±20%)=50%  GapIn(±30%)=100%  Linear Slope=1.198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27517</xdr:colOff>
      <xdr:row>2</xdr:row>
      <xdr:rowOff>156633</xdr:rowOff>
    </xdr:from>
    <xdr:to>
      <xdr:col>31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0.9848</cdr:x>
      <cdr:y>0.28352</cdr:y>
    </cdr:to>
    <cdr:sp macro="" textlink="SR_75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31703" cy="16574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AvgGap(-)=-8%  AvgGap(±)=-8%  GapIn(±10%)=100% GapIn(±20%)=100%  GapIn(±30%)=100%  Linear Slope=.924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708022</xdr:colOff>
      <xdr:row>3</xdr:row>
      <xdr:rowOff>11646</xdr:rowOff>
    </xdr:from>
    <xdr:to>
      <xdr:col>30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AvgGap(-)=-35%  AvgGap(±)=-35%  GapIn(±10%)=0% GapIn(±20%)=30%  GapIn(±30%)=40%  Linear Slope=.511 RMSE=59%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</xdr:colOff>
      <xdr:row>3</xdr:row>
      <xdr:rowOff>186265</xdr:rowOff>
    </xdr:from>
    <xdr:to>
      <xdr:col>31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I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AvgGap(+)=90%  AvgGap(-)=0%  AvgGap(±)=90%  GapIn(±10%)=0% GapIn(±20%)=0%  GapIn(±30%)=0%  Linear Slope=1.903 RMSE=90%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710143</xdr:colOff>
      <xdr:row>2</xdr:row>
      <xdr:rowOff>88899</xdr:rowOff>
    </xdr:from>
    <xdr:to>
      <xdr:col>31</xdr:col>
      <xdr:colOff>0</xdr:colOff>
      <xdr:row>45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%Link(+)=31% %Link(-)=69% AvgGap(+)=6%  AvgGap(-)=-12%  AvgGap(±)=-7%  GapIn(±10%)=64% GapIn(±20%)=93%  GapIn(±30%)=93%  Linear Slope=.984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706965</xdr:colOff>
      <xdr:row>3</xdr:row>
      <xdr:rowOff>17990</xdr:rowOff>
    </xdr:from>
    <xdr:to>
      <xdr:col>31</xdr:col>
      <xdr:colOff>63500</xdr:colOff>
      <xdr:row>46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%Link(+)=71% %Link(-)=29% AvgGap(+)=19%  AvgGap(-)=-6%  AvgGap(±)=12%  GapIn(±10%)=46% GapIn(±20%)=67%  GapIn(±30%)=88%  Linear Slope=1.108 RMSE=20%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703792</xdr:colOff>
      <xdr:row>3</xdr:row>
      <xdr:rowOff>53975</xdr:rowOff>
    </xdr:from>
    <xdr:to>
      <xdr:col>31</xdr:col>
      <xdr:colOff>74084</xdr:colOff>
      <xdr:row>44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%Link(+)=94% %Link(-)=6% AvgGap(+)=39%  AvgGap(-)=-7%  AvgGap(±)=36%  GapIn(±10%)=38% GapIn(±20%)=50%  GapIn(±30%)=56%  Linear Slope=1.295 RMSE=43%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716491</xdr:colOff>
      <xdr:row>2</xdr:row>
      <xdr:rowOff>0</xdr:rowOff>
    </xdr:from>
    <xdr:to>
      <xdr:col>31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AvgGap(-)=-20%  AvgGap(±)=-20%  GapIn(±10%)=17% GapIn(±20%)=33%  GapIn(±30%)=100%  Linear Slope=.796 RMSE=21%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697442</xdr:colOff>
      <xdr:row>3</xdr:row>
      <xdr:rowOff>97364</xdr:rowOff>
    </xdr:from>
    <xdr:to>
      <xdr:col>31</xdr:col>
      <xdr:colOff>21167</xdr:colOff>
      <xdr:row>42</xdr:row>
      <xdr:rowOff>63499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AvgGap(+)=25%  AvgGap(-)=0%  AvgGap(±)=25%  GapIn(±10%)=8% GapIn(±20%)=33%  GapIn(±30%)=58%  Linear Slope=1.213 RMSE=25%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706967</xdr:colOff>
      <xdr:row>2</xdr:row>
      <xdr:rowOff>0</xdr:rowOff>
    </xdr:from>
    <xdr:to>
      <xdr:col>31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AvgGap(-)=-24%  AvgGap(±)=-24%  GapIn(±10%)=20% GapIn(±20%)=40%  GapIn(±30%)=60%  Linear Slope=.826 RMSE=23%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698500</xdr:colOff>
      <xdr:row>2</xdr:row>
      <xdr:rowOff>177798</xdr:rowOff>
    </xdr:from>
    <xdr:to>
      <xdr:col>31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%Link(+)=70% %Link(-)=30% AvgGap(+)=6%  AvgGap(-)=-3%  AvgGap(±)=3%  GapIn(±10%)=90% GapIn(±20%)=90%  GapIn(±30%)=100%  Linear Slope=1.018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714373</xdr:colOff>
      <xdr:row>2</xdr:row>
      <xdr:rowOff>169331</xdr:rowOff>
    </xdr:from>
    <xdr:to>
      <xdr:col>31</xdr:col>
      <xdr:colOff>0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0.98923</cdr:x>
      <cdr:y>0.3169</cdr:y>
    </cdr:to>
    <cdr:sp macro="" textlink="I_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5" y="506756"/>
          <a:ext cx="1167589" cy="18744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%Link(+)=89% %Link(-)=11% AvgGap(+)=12%  AvgGap(-)=-4%  AvgGap(±)=10%  GapIn(±10%)=49% GapIn(±20%)=89%  GapIn(±30%)=97%  Linear Slope=1.094 RMSE=13%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709085</xdr:colOff>
      <xdr:row>3</xdr:row>
      <xdr:rowOff>42332</xdr:rowOff>
    </xdr:from>
    <xdr:to>
      <xdr:col>31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%Link(+)=71% %Link(-)=29% AvgGap(+)=17%  AvgGap(-)=-5%  AvgGap(±)=11%  GapIn(±10%)=57% GapIn(±20%)=67%  GapIn(±30%)=90%  Linear Slope=1.082 RMSE=16%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171449</xdr:rowOff>
    </xdr:from>
    <xdr:to>
      <xdr:col>30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AvgGap(+)=24%  AvgGap(-)=0%  AvgGap(±)=24%  GapIn(±10%)=8% GapIn(±20%)=69%  GapIn(±30%)=92%  Linear Slope=1.198 RMSE=24%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682625</xdr:colOff>
      <xdr:row>2</xdr:row>
      <xdr:rowOff>0</xdr:rowOff>
    </xdr:from>
    <xdr:to>
      <xdr:col>31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AvgGap(+)=3%  AvgGap(-)=-2%  AvgGap(±)=1%  GapIn(±10%)=100% GapIn(±20%)=100%  GapIn(±30%)=100%  Linear Slope=1.006 RMSE=3%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685800</xdr:colOff>
      <xdr:row>3</xdr:row>
      <xdr:rowOff>0</xdr:rowOff>
    </xdr:from>
    <xdr:to>
      <xdr:col>31</xdr:col>
      <xdr:colOff>10583</xdr:colOff>
      <xdr:row>37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%Link(+)=50% %Link(-)=50% AvgGap(+)=15%  AvgGap(-)=-4%  AvgGap(±)=6%  GapIn(±10%)=63% GapIn(±20%)=75%  GapIn(±30%)=100%  Linear Slope=1.051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717548</xdr:colOff>
      <xdr:row>2</xdr:row>
      <xdr:rowOff>0</xdr:rowOff>
    </xdr:from>
    <xdr:to>
      <xdr:col>31</xdr:col>
      <xdr:colOff>10583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AvgGap(+)=54%  AvgGap(-)=-14%  AvgGap(±)=40%  GapIn(±10%)=0% GapIn(±20%)=20%  GapIn(±30%)=40%  Linear Slope=1.251 RMSE=44%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714375</xdr:colOff>
      <xdr:row>2</xdr:row>
      <xdr:rowOff>137581</xdr:rowOff>
    </xdr:from>
    <xdr:to>
      <xdr:col>31</xdr:col>
      <xdr:colOff>0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I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%Link(+)=86% %Link(-)=14% AvgGap(+)=11%  AvgGap(-)=-6%  AvgGap(±)=9%  GapIn(±10%)=50% GapIn(±20%)=100%  GapIn(±30%)=100%  Linear Slope=1.097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ql2014a8/highway_assignment_validation_2016_FreewayCorridor_Dail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/>
      <sheetData sheetId="4"/>
      <sheetData sheetId="5"/>
      <sheetData sheetId="6">
        <row r="2">
          <cell r="A2">
            <v>58</v>
          </cell>
          <cell r="B2">
            <v>259</v>
          </cell>
          <cell r="C2">
            <v>11354</v>
          </cell>
          <cell r="D2">
            <v>2013</v>
          </cell>
          <cell r="E2">
            <v>4799</v>
          </cell>
        </row>
        <row r="3">
          <cell r="A3">
            <v>59</v>
          </cell>
          <cell r="B3">
            <v>259</v>
          </cell>
          <cell r="C3">
            <v>98019</v>
          </cell>
          <cell r="D3">
            <v>23331</v>
          </cell>
          <cell r="E3">
            <v>20418</v>
          </cell>
        </row>
        <row r="4">
          <cell r="A4">
            <v>323</v>
          </cell>
          <cell r="B4">
            <v>259</v>
          </cell>
          <cell r="C4">
            <v>32003</v>
          </cell>
          <cell r="D4">
            <v>7412</v>
          </cell>
          <cell r="E4">
            <v>7688</v>
          </cell>
        </row>
        <row r="5">
          <cell r="A5">
            <v>442</v>
          </cell>
          <cell r="B5">
            <v>259</v>
          </cell>
          <cell r="C5">
            <v>4702</v>
          </cell>
          <cell r="D5">
            <v>716</v>
          </cell>
          <cell r="E5">
            <v>1295</v>
          </cell>
        </row>
        <row r="6">
          <cell r="A6">
            <v>457</v>
          </cell>
          <cell r="B6">
            <v>259</v>
          </cell>
          <cell r="C6">
            <v>39604</v>
          </cell>
          <cell r="D6">
            <v>12415</v>
          </cell>
          <cell r="E6">
            <v>7045</v>
          </cell>
        </row>
        <row r="7">
          <cell r="A7">
            <v>459</v>
          </cell>
          <cell r="B7">
            <v>259</v>
          </cell>
          <cell r="C7">
            <v>22225</v>
          </cell>
          <cell r="D7">
            <v>2740</v>
          </cell>
          <cell r="E7">
            <v>10524</v>
          </cell>
        </row>
        <row r="8">
          <cell r="A8">
            <v>460</v>
          </cell>
          <cell r="B8">
            <v>259</v>
          </cell>
          <cell r="C8">
            <v>22887</v>
          </cell>
          <cell r="D8">
            <v>3738</v>
          </cell>
          <cell r="E8">
            <v>9795</v>
          </cell>
        </row>
        <row r="9">
          <cell r="A9">
            <v>461</v>
          </cell>
          <cell r="B9">
            <v>259</v>
          </cell>
          <cell r="C9">
            <v>22225</v>
          </cell>
          <cell r="D9">
            <v>2740</v>
          </cell>
          <cell r="E9">
            <v>10524</v>
          </cell>
        </row>
        <row r="10">
          <cell r="A10">
            <v>462</v>
          </cell>
          <cell r="B10">
            <v>259</v>
          </cell>
          <cell r="C10">
            <v>19402</v>
          </cell>
          <cell r="D10">
            <v>2297</v>
          </cell>
          <cell r="E10">
            <v>9260</v>
          </cell>
        </row>
        <row r="11">
          <cell r="A11">
            <v>463</v>
          </cell>
          <cell r="B11">
            <v>259</v>
          </cell>
          <cell r="C11">
            <v>21733</v>
          </cell>
          <cell r="D11">
            <v>2882</v>
          </cell>
          <cell r="E11">
            <v>10757</v>
          </cell>
        </row>
        <row r="12">
          <cell r="A12">
            <v>464</v>
          </cell>
          <cell r="B12">
            <v>259</v>
          </cell>
          <cell r="C12">
            <v>22133</v>
          </cell>
          <cell r="D12">
            <v>2669</v>
          </cell>
          <cell r="E12">
            <v>9716</v>
          </cell>
        </row>
        <row r="13">
          <cell r="A13">
            <v>465</v>
          </cell>
          <cell r="B13">
            <v>259</v>
          </cell>
          <cell r="C13">
            <v>21733</v>
          </cell>
          <cell r="D13">
            <v>2882</v>
          </cell>
          <cell r="E13">
            <v>10757</v>
          </cell>
        </row>
        <row r="14">
          <cell r="A14">
            <v>468</v>
          </cell>
          <cell r="B14">
            <v>259</v>
          </cell>
          <cell r="C14">
            <v>20389</v>
          </cell>
          <cell r="D14">
            <v>2396</v>
          </cell>
          <cell r="E14">
            <v>9198</v>
          </cell>
        </row>
        <row r="15">
          <cell r="A15">
            <v>469</v>
          </cell>
          <cell r="B15">
            <v>259</v>
          </cell>
          <cell r="C15">
            <v>24900</v>
          </cell>
          <cell r="D15">
            <v>3564</v>
          </cell>
          <cell r="E15">
            <v>11956</v>
          </cell>
        </row>
        <row r="16">
          <cell r="A16">
            <v>470</v>
          </cell>
          <cell r="B16">
            <v>259</v>
          </cell>
          <cell r="C16">
            <v>24358</v>
          </cell>
          <cell r="D16">
            <v>3123</v>
          </cell>
          <cell r="E16">
            <v>10825</v>
          </cell>
        </row>
        <row r="17">
          <cell r="A17">
            <v>473</v>
          </cell>
          <cell r="B17">
            <v>259</v>
          </cell>
          <cell r="C17">
            <v>21061</v>
          </cell>
          <cell r="D17">
            <v>2771</v>
          </cell>
          <cell r="E17">
            <v>9284</v>
          </cell>
        </row>
        <row r="18">
          <cell r="A18">
            <v>474</v>
          </cell>
          <cell r="B18">
            <v>259</v>
          </cell>
          <cell r="C18">
            <v>75007</v>
          </cell>
          <cell r="D18">
            <v>14999</v>
          </cell>
          <cell r="E18">
            <v>19274</v>
          </cell>
        </row>
        <row r="19">
          <cell r="A19">
            <v>505</v>
          </cell>
          <cell r="B19">
            <v>259</v>
          </cell>
          <cell r="C19">
            <v>11836</v>
          </cell>
          <cell r="D19">
            <v>4702</v>
          </cell>
          <cell r="E19">
            <v>1196</v>
          </cell>
        </row>
        <row r="20">
          <cell r="A20">
            <v>510</v>
          </cell>
          <cell r="B20">
            <v>259</v>
          </cell>
          <cell r="C20">
            <v>23823</v>
          </cell>
          <cell r="D20">
            <v>3361</v>
          </cell>
          <cell r="E20">
            <v>10407</v>
          </cell>
        </row>
        <row r="21">
          <cell r="A21">
            <v>512</v>
          </cell>
          <cell r="B21">
            <v>259</v>
          </cell>
          <cell r="C21">
            <v>21344</v>
          </cell>
          <cell r="D21">
            <v>2672</v>
          </cell>
          <cell r="E21">
            <v>10080</v>
          </cell>
        </row>
        <row r="22">
          <cell r="A22">
            <v>513</v>
          </cell>
          <cell r="B22">
            <v>259</v>
          </cell>
          <cell r="C22">
            <v>16167</v>
          </cell>
          <cell r="D22">
            <v>6688</v>
          </cell>
          <cell r="E22">
            <v>2019</v>
          </cell>
        </row>
        <row r="23">
          <cell r="A23">
            <v>514</v>
          </cell>
          <cell r="B23">
            <v>259</v>
          </cell>
          <cell r="C23">
            <v>111797</v>
          </cell>
          <cell r="D23">
            <v>18403</v>
          </cell>
          <cell r="E23">
            <v>33884</v>
          </cell>
        </row>
        <row r="24">
          <cell r="A24">
            <v>515</v>
          </cell>
          <cell r="B24">
            <v>259</v>
          </cell>
          <cell r="C24">
            <v>19794</v>
          </cell>
          <cell r="D24">
            <v>7556</v>
          </cell>
          <cell r="E24">
            <v>3010</v>
          </cell>
        </row>
        <row r="25">
          <cell r="A25">
            <v>516</v>
          </cell>
          <cell r="B25">
            <v>259</v>
          </cell>
          <cell r="C25">
            <v>105581</v>
          </cell>
          <cell r="D25">
            <v>16710</v>
          </cell>
          <cell r="E25">
            <v>31357</v>
          </cell>
        </row>
        <row r="26">
          <cell r="A26">
            <v>517</v>
          </cell>
          <cell r="B26">
            <v>259</v>
          </cell>
          <cell r="C26">
            <v>17786</v>
          </cell>
          <cell r="D26">
            <v>6758</v>
          </cell>
          <cell r="E26">
            <v>2687</v>
          </cell>
        </row>
        <row r="27">
          <cell r="A27">
            <v>520</v>
          </cell>
          <cell r="B27">
            <v>259</v>
          </cell>
          <cell r="C27">
            <v>18066</v>
          </cell>
          <cell r="D27">
            <v>6824</v>
          </cell>
          <cell r="E27">
            <v>2869</v>
          </cell>
        </row>
        <row r="28">
          <cell r="A28">
            <v>521</v>
          </cell>
          <cell r="B28">
            <v>259</v>
          </cell>
          <cell r="C28">
            <v>98287</v>
          </cell>
          <cell r="D28">
            <v>16682</v>
          </cell>
          <cell r="E28">
            <v>26521</v>
          </cell>
        </row>
        <row r="29">
          <cell r="A29">
            <v>522</v>
          </cell>
          <cell r="B29">
            <v>259</v>
          </cell>
          <cell r="C29">
            <v>17255</v>
          </cell>
          <cell r="D29">
            <v>6358</v>
          </cell>
          <cell r="E29">
            <v>2736</v>
          </cell>
        </row>
        <row r="30">
          <cell r="A30">
            <v>524</v>
          </cell>
          <cell r="B30">
            <v>259</v>
          </cell>
          <cell r="C30">
            <v>18120</v>
          </cell>
          <cell r="D30">
            <v>6785</v>
          </cell>
          <cell r="E30">
            <v>2924</v>
          </cell>
        </row>
        <row r="31">
          <cell r="A31">
            <v>525</v>
          </cell>
          <cell r="B31">
            <v>259</v>
          </cell>
          <cell r="C31">
            <v>23224</v>
          </cell>
          <cell r="D31">
            <v>9151</v>
          </cell>
          <cell r="E31">
            <v>4674</v>
          </cell>
        </row>
        <row r="32">
          <cell r="A32">
            <v>526</v>
          </cell>
          <cell r="B32">
            <v>259</v>
          </cell>
          <cell r="C32">
            <v>23035</v>
          </cell>
          <cell r="D32">
            <v>3738</v>
          </cell>
          <cell r="E32">
            <v>9795</v>
          </cell>
        </row>
        <row r="33">
          <cell r="A33">
            <v>528</v>
          </cell>
          <cell r="B33">
            <v>259</v>
          </cell>
          <cell r="C33">
            <v>21520</v>
          </cell>
          <cell r="D33">
            <v>8063</v>
          </cell>
          <cell r="E33">
            <v>4020</v>
          </cell>
        </row>
        <row r="34">
          <cell r="A34">
            <v>551</v>
          </cell>
          <cell r="B34">
            <v>259</v>
          </cell>
          <cell r="C34">
            <v>105859</v>
          </cell>
          <cell r="D34">
            <v>26410</v>
          </cell>
          <cell r="E34">
            <v>22319</v>
          </cell>
        </row>
        <row r="35">
          <cell r="A35">
            <v>552</v>
          </cell>
          <cell r="B35">
            <v>259</v>
          </cell>
          <cell r="C35">
            <v>21915</v>
          </cell>
          <cell r="D35">
            <v>2720</v>
          </cell>
          <cell r="E35">
            <v>10417</v>
          </cell>
        </row>
        <row r="36">
          <cell r="A36">
            <v>553</v>
          </cell>
          <cell r="B36">
            <v>259</v>
          </cell>
          <cell r="C36">
            <v>21347</v>
          </cell>
          <cell r="D36">
            <v>8022</v>
          </cell>
          <cell r="E36">
            <v>4012</v>
          </cell>
        </row>
        <row r="37">
          <cell r="A37">
            <v>554</v>
          </cell>
          <cell r="B37">
            <v>259</v>
          </cell>
          <cell r="C37">
            <v>120998</v>
          </cell>
          <cell r="D37">
            <v>19067</v>
          </cell>
          <cell r="E37">
            <v>35038</v>
          </cell>
        </row>
        <row r="38">
          <cell r="A38">
            <v>556</v>
          </cell>
          <cell r="B38">
            <v>259</v>
          </cell>
          <cell r="C38">
            <v>109382</v>
          </cell>
          <cell r="D38">
            <v>18123</v>
          </cell>
          <cell r="E38">
            <v>30954</v>
          </cell>
        </row>
        <row r="39">
          <cell r="A39">
            <v>558</v>
          </cell>
          <cell r="B39">
            <v>259</v>
          </cell>
          <cell r="C39">
            <v>59371</v>
          </cell>
          <cell r="D39">
            <v>8832</v>
          </cell>
          <cell r="E39">
            <v>18391</v>
          </cell>
        </row>
        <row r="40">
          <cell r="A40">
            <v>562</v>
          </cell>
          <cell r="B40">
            <v>259</v>
          </cell>
          <cell r="C40">
            <v>110132</v>
          </cell>
          <cell r="D40">
            <v>24575</v>
          </cell>
          <cell r="E40">
            <v>21925</v>
          </cell>
        </row>
        <row r="41">
          <cell r="A41">
            <v>564</v>
          </cell>
          <cell r="B41">
            <v>259</v>
          </cell>
          <cell r="C41">
            <v>73757</v>
          </cell>
          <cell r="D41">
            <v>18744</v>
          </cell>
          <cell r="E41">
            <v>16280</v>
          </cell>
        </row>
        <row r="42">
          <cell r="A42">
            <v>568</v>
          </cell>
          <cell r="B42">
            <v>259</v>
          </cell>
          <cell r="C42">
            <v>109783</v>
          </cell>
          <cell r="D42">
            <v>26095</v>
          </cell>
          <cell r="E42">
            <v>19931</v>
          </cell>
        </row>
        <row r="43">
          <cell r="A43">
            <v>570</v>
          </cell>
          <cell r="B43">
            <v>259</v>
          </cell>
          <cell r="C43">
            <v>108983</v>
          </cell>
          <cell r="D43">
            <v>25957</v>
          </cell>
          <cell r="E43">
            <v>20296</v>
          </cell>
        </row>
        <row r="44">
          <cell r="A44">
            <v>573</v>
          </cell>
          <cell r="B44">
            <v>259</v>
          </cell>
          <cell r="C44">
            <v>104412</v>
          </cell>
          <cell r="D44">
            <v>17717</v>
          </cell>
          <cell r="E44">
            <v>30283</v>
          </cell>
        </row>
        <row r="45">
          <cell r="A45">
            <v>574</v>
          </cell>
          <cell r="B45">
            <v>259</v>
          </cell>
          <cell r="C45">
            <v>167626</v>
          </cell>
          <cell r="D45">
            <v>31191</v>
          </cell>
          <cell r="E45">
            <v>44796</v>
          </cell>
        </row>
        <row r="46">
          <cell r="A46">
            <v>575</v>
          </cell>
          <cell r="B46">
            <v>259</v>
          </cell>
          <cell r="C46">
            <v>148586</v>
          </cell>
          <cell r="D46">
            <v>24806</v>
          </cell>
          <cell r="E46">
            <v>42793</v>
          </cell>
        </row>
        <row r="47">
          <cell r="A47">
            <v>578</v>
          </cell>
          <cell r="B47">
            <v>259</v>
          </cell>
          <cell r="C47">
            <v>104412</v>
          </cell>
          <cell r="D47">
            <v>17717</v>
          </cell>
          <cell r="E47">
            <v>30283</v>
          </cell>
        </row>
        <row r="48">
          <cell r="A48">
            <v>579</v>
          </cell>
          <cell r="B48">
            <v>259</v>
          </cell>
          <cell r="C48">
            <v>62934</v>
          </cell>
          <cell r="D48">
            <v>13950</v>
          </cell>
          <cell r="E48">
            <v>15413</v>
          </cell>
        </row>
        <row r="49">
          <cell r="A49">
            <v>580</v>
          </cell>
          <cell r="B49">
            <v>259</v>
          </cell>
          <cell r="C49">
            <v>99739</v>
          </cell>
          <cell r="D49">
            <v>23009</v>
          </cell>
          <cell r="E49">
            <v>18303</v>
          </cell>
        </row>
        <row r="50">
          <cell r="A50">
            <v>589</v>
          </cell>
          <cell r="B50">
            <v>259</v>
          </cell>
          <cell r="C50">
            <v>70005</v>
          </cell>
          <cell r="D50">
            <v>11607</v>
          </cell>
          <cell r="E50">
            <v>19195</v>
          </cell>
        </row>
        <row r="51">
          <cell r="A51">
            <v>590</v>
          </cell>
          <cell r="B51">
            <v>259</v>
          </cell>
          <cell r="C51">
            <v>85203</v>
          </cell>
          <cell r="D51">
            <v>14312</v>
          </cell>
          <cell r="E51">
            <v>23048</v>
          </cell>
        </row>
        <row r="52">
          <cell r="A52">
            <v>605</v>
          </cell>
          <cell r="B52">
            <v>259</v>
          </cell>
          <cell r="C52">
            <v>42282</v>
          </cell>
          <cell r="D52">
            <v>8476</v>
          </cell>
          <cell r="E52">
            <v>7120</v>
          </cell>
        </row>
        <row r="53">
          <cell r="A53">
            <v>610</v>
          </cell>
          <cell r="B53">
            <v>259</v>
          </cell>
          <cell r="C53">
            <v>58995</v>
          </cell>
          <cell r="D53">
            <v>12603</v>
          </cell>
          <cell r="E53">
            <v>14256</v>
          </cell>
        </row>
        <row r="54">
          <cell r="A54">
            <v>611</v>
          </cell>
          <cell r="B54">
            <v>259</v>
          </cell>
          <cell r="C54">
            <v>59409</v>
          </cell>
          <cell r="D54">
            <v>12799</v>
          </cell>
          <cell r="E54">
            <v>14313</v>
          </cell>
        </row>
        <row r="55">
          <cell r="A55">
            <v>615</v>
          </cell>
          <cell r="B55">
            <v>259</v>
          </cell>
          <cell r="C55">
            <v>102390</v>
          </cell>
          <cell r="D55">
            <v>16281</v>
          </cell>
          <cell r="E55">
            <v>29248</v>
          </cell>
        </row>
        <row r="56">
          <cell r="A56">
            <v>617</v>
          </cell>
          <cell r="B56">
            <v>259</v>
          </cell>
          <cell r="C56">
            <v>60375</v>
          </cell>
          <cell r="D56">
            <v>11849</v>
          </cell>
          <cell r="E56">
            <v>12554</v>
          </cell>
        </row>
        <row r="57">
          <cell r="A57">
            <v>619</v>
          </cell>
          <cell r="B57">
            <v>259</v>
          </cell>
          <cell r="C57">
            <v>29312</v>
          </cell>
          <cell r="D57">
            <v>2542</v>
          </cell>
          <cell r="E57">
            <v>9040</v>
          </cell>
        </row>
        <row r="58">
          <cell r="A58">
            <v>621</v>
          </cell>
          <cell r="B58">
            <v>259</v>
          </cell>
          <cell r="C58">
            <v>102638</v>
          </cell>
          <cell r="D58">
            <v>23863</v>
          </cell>
          <cell r="E58">
            <v>19090</v>
          </cell>
        </row>
        <row r="59">
          <cell r="A59">
            <v>637</v>
          </cell>
          <cell r="B59">
            <v>259</v>
          </cell>
          <cell r="C59">
            <v>100286</v>
          </cell>
          <cell r="D59">
            <v>26646</v>
          </cell>
          <cell r="E59">
            <v>19816</v>
          </cell>
        </row>
        <row r="60">
          <cell r="A60">
            <v>640</v>
          </cell>
          <cell r="B60">
            <v>259</v>
          </cell>
          <cell r="C60">
            <v>88117</v>
          </cell>
          <cell r="D60">
            <v>21974</v>
          </cell>
          <cell r="E60">
            <v>20784</v>
          </cell>
        </row>
        <row r="61">
          <cell r="A61">
            <v>643</v>
          </cell>
          <cell r="B61">
            <v>259</v>
          </cell>
          <cell r="C61">
            <v>112031</v>
          </cell>
          <cell r="D61">
            <v>27308</v>
          </cell>
          <cell r="E61">
            <v>21076</v>
          </cell>
        </row>
        <row r="62">
          <cell r="A62">
            <v>651</v>
          </cell>
          <cell r="B62">
            <v>259</v>
          </cell>
          <cell r="C62">
            <v>40375</v>
          </cell>
          <cell r="D62">
            <v>2550</v>
          </cell>
          <cell r="E62">
            <v>13325</v>
          </cell>
        </row>
        <row r="63">
          <cell r="A63">
            <v>653</v>
          </cell>
          <cell r="B63">
            <v>259</v>
          </cell>
          <cell r="C63">
            <v>1833</v>
          </cell>
          <cell r="D63">
            <v>1833</v>
          </cell>
          <cell r="E63">
            <v>0</v>
          </cell>
        </row>
        <row r="64">
          <cell r="A64">
            <v>659</v>
          </cell>
          <cell r="B64">
            <v>259</v>
          </cell>
          <cell r="C64">
            <v>1833</v>
          </cell>
          <cell r="D64">
            <v>1833</v>
          </cell>
          <cell r="E64">
            <v>0</v>
          </cell>
        </row>
        <row r="65">
          <cell r="A65">
            <v>660</v>
          </cell>
          <cell r="B65">
            <v>259</v>
          </cell>
          <cell r="C65">
            <v>1833</v>
          </cell>
          <cell r="D65">
            <v>1833</v>
          </cell>
          <cell r="E65">
            <v>0</v>
          </cell>
        </row>
        <row r="66">
          <cell r="A66">
            <v>662</v>
          </cell>
          <cell r="B66">
            <v>259</v>
          </cell>
          <cell r="C66">
            <v>1833</v>
          </cell>
          <cell r="D66">
            <v>1833</v>
          </cell>
          <cell r="E66">
            <v>0</v>
          </cell>
        </row>
        <row r="67">
          <cell r="A67">
            <v>663</v>
          </cell>
          <cell r="B67">
            <v>259</v>
          </cell>
          <cell r="C67">
            <v>14381</v>
          </cell>
          <cell r="D67">
            <v>4001</v>
          </cell>
          <cell r="E67">
            <v>4527</v>
          </cell>
        </row>
        <row r="68">
          <cell r="A68">
            <v>664</v>
          </cell>
          <cell r="B68">
            <v>259</v>
          </cell>
          <cell r="C68">
            <v>16309</v>
          </cell>
          <cell r="D68">
            <v>3966</v>
          </cell>
          <cell r="E68">
            <v>5287</v>
          </cell>
        </row>
        <row r="69">
          <cell r="A69">
            <v>665</v>
          </cell>
          <cell r="B69">
            <v>259</v>
          </cell>
          <cell r="C69">
            <v>2132</v>
          </cell>
          <cell r="D69">
            <v>0</v>
          </cell>
          <cell r="E69">
            <v>2132</v>
          </cell>
        </row>
        <row r="70">
          <cell r="A70">
            <v>666</v>
          </cell>
          <cell r="B70">
            <v>259</v>
          </cell>
          <cell r="C70">
            <v>2132</v>
          </cell>
          <cell r="D70">
            <v>0</v>
          </cell>
          <cell r="E70">
            <v>2132</v>
          </cell>
        </row>
        <row r="71">
          <cell r="A71">
            <v>668</v>
          </cell>
          <cell r="B71">
            <v>259</v>
          </cell>
          <cell r="C71">
            <v>2132</v>
          </cell>
          <cell r="D71">
            <v>0</v>
          </cell>
          <cell r="E71">
            <v>2132</v>
          </cell>
        </row>
        <row r="72">
          <cell r="A72">
            <v>669</v>
          </cell>
          <cell r="B72">
            <v>259</v>
          </cell>
          <cell r="C72">
            <v>101802</v>
          </cell>
          <cell r="D72">
            <v>16911</v>
          </cell>
          <cell r="E72">
            <v>28939</v>
          </cell>
        </row>
        <row r="73">
          <cell r="A73">
            <v>671</v>
          </cell>
          <cell r="B73">
            <v>259</v>
          </cell>
          <cell r="C73">
            <v>97194</v>
          </cell>
          <cell r="D73">
            <v>15651</v>
          </cell>
          <cell r="E73">
            <v>27940</v>
          </cell>
        </row>
        <row r="74">
          <cell r="A74">
            <v>672</v>
          </cell>
          <cell r="B74">
            <v>259</v>
          </cell>
          <cell r="C74">
            <v>97812</v>
          </cell>
          <cell r="D74">
            <v>22490</v>
          </cell>
          <cell r="E74">
            <v>18540</v>
          </cell>
        </row>
        <row r="75">
          <cell r="A75">
            <v>673</v>
          </cell>
          <cell r="B75">
            <v>259</v>
          </cell>
          <cell r="C75">
            <v>90341</v>
          </cell>
          <cell r="D75">
            <v>14367</v>
          </cell>
          <cell r="E75">
            <v>26538</v>
          </cell>
        </row>
        <row r="76">
          <cell r="A76">
            <v>674</v>
          </cell>
          <cell r="B76">
            <v>259</v>
          </cell>
          <cell r="C76">
            <v>90963</v>
          </cell>
          <cell r="D76">
            <v>21706</v>
          </cell>
          <cell r="E76">
            <v>16231</v>
          </cell>
        </row>
        <row r="77">
          <cell r="A77">
            <v>675</v>
          </cell>
          <cell r="B77">
            <v>259</v>
          </cell>
          <cell r="C77">
            <v>96409</v>
          </cell>
          <cell r="D77">
            <v>22683</v>
          </cell>
          <cell r="E77">
            <v>17354</v>
          </cell>
        </row>
        <row r="78">
          <cell r="A78">
            <v>684</v>
          </cell>
          <cell r="B78">
            <v>259</v>
          </cell>
          <cell r="C78">
            <v>26423</v>
          </cell>
          <cell r="D78">
            <v>4457</v>
          </cell>
          <cell r="E78">
            <v>5506</v>
          </cell>
        </row>
        <row r="79">
          <cell r="A79">
            <v>685</v>
          </cell>
          <cell r="B79">
            <v>259</v>
          </cell>
          <cell r="C79">
            <v>25411</v>
          </cell>
          <cell r="D79">
            <v>4137</v>
          </cell>
          <cell r="E79">
            <v>5489</v>
          </cell>
        </row>
        <row r="80">
          <cell r="A80">
            <v>686</v>
          </cell>
          <cell r="B80">
            <v>259</v>
          </cell>
          <cell r="C80">
            <v>34026</v>
          </cell>
          <cell r="D80">
            <v>5784</v>
          </cell>
          <cell r="E80">
            <v>7736</v>
          </cell>
        </row>
        <row r="81">
          <cell r="A81">
            <v>687</v>
          </cell>
          <cell r="B81">
            <v>259</v>
          </cell>
          <cell r="C81">
            <v>29731</v>
          </cell>
          <cell r="D81">
            <v>5176</v>
          </cell>
          <cell r="E81">
            <v>6773</v>
          </cell>
        </row>
        <row r="82">
          <cell r="A82">
            <v>688</v>
          </cell>
          <cell r="B82">
            <v>259</v>
          </cell>
          <cell r="C82">
            <v>64577</v>
          </cell>
          <cell r="D82">
            <v>11910</v>
          </cell>
          <cell r="E82">
            <v>14788</v>
          </cell>
        </row>
        <row r="83">
          <cell r="A83">
            <v>689</v>
          </cell>
          <cell r="B83">
            <v>259</v>
          </cell>
          <cell r="C83">
            <v>58684</v>
          </cell>
          <cell r="D83">
            <v>10846</v>
          </cell>
          <cell r="E83">
            <v>13696</v>
          </cell>
        </row>
        <row r="84">
          <cell r="A84">
            <v>690</v>
          </cell>
          <cell r="B84">
            <v>259</v>
          </cell>
          <cell r="C84">
            <v>77025</v>
          </cell>
          <cell r="D84">
            <v>15287</v>
          </cell>
          <cell r="E84">
            <v>17760</v>
          </cell>
        </row>
        <row r="85">
          <cell r="A85">
            <v>696</v>
          </cell>
          <cell r="B85">
            <v>259</v>
          </cell>
          <cell r="C85">
            <v>68301</v>
          </cell>
          <cell r="D85">
            <v>13740</v>
          </cell>
          <cell r="E85">
            <v>15857</v>
          </cell>
        </row>
        <row r="86">
          <cell r="A86">
            <v>698</v>
          </cell>
          <cell r="B86">
            <v>259</v>
          </cell>
          <cell r="C86">
            <v>77015</v>
          </cell>
          <cell r="D86">
            <v>16088</v>
          </cell>
          <cell r="E86">
            <v>17825</v>
          </cell>
        </row>
        <row r="87">
          <cell r="A87">
            <v>699</v>
          </cell>
          <cell r="B87">
            <v>259</v>
          </cell>
          <cell r="C87">
            <v>64289</v>
          </cell>
          <cell r="D87">
            <v>13861</v>
          </cell>
          <cell r="E87">
            <v>14870</v>
          </cell>
        </row>
        <row r="88">
          <cell r="A88">
            <v>700</v>
          </cell>
          <cell r="B88">
            <v>259</v>
          </cell>
          <cell r="C88">
            <v>80790</v>
          </cell>
          <cell r="D88">
            <v>17623</v>
          </cell>
          <cell r="E88">
            <v>17614</v>
          </cell>
        </row>
        <row r="89">
          <cell r="A89">
            <v>702</v>
          </cell>
          <cell r="B89">
            <v>259</v>
          </cell>
          <cell r="C89">
            <v>79266</v>
          </cell>
          <cell r="D89">
            <v>16100</v>
          </cell>
          <cell r="E89">
            <v>17614</v>
          </cell>
        </row>
        <row r="90">
          <cell r="A90">
            <v>703</v>
          </cell>
          <cell r="B90">
            <v>259</v>
          </cell>
          <cell r="C90">
            <v>72299</v>
          </cell>
          <cell r="D90">
            <v>14710</v>
          </cell>
          <cell r="E90">
            <v>16098</v>
          </cell>
        </row>
        <row r="91">
          <cell r="A91">
            <v>704</v>
          </cell>
          <cell r="B91">
            <v>259</v>
          </cell>
          <cell r="C91">
            <v>95908</v>
          </cell>
          <cell r="D91">
            <v>18632</v>
          </cell>
          <cell r="E91">
            <v>19842</v>
          </cell>
        </row>
        <row r="92">
          <cell r="A92">
            <v>705</v>
          </cell>
          <cell r="B92">
            <v>259</v>
          </cell>
          <cell r="C92">
            <v>103157</v>
          </cell>
          <cell r="D92">
            <v>21327</v>
          </cell>
          <cell r="E92">
            <v>21241</v>
          </cell>
        </row>
        <row r="93">
          <cell r="A93">
            <v>706</v>
          </cell>
          <cell r="B93">
            <v>259</v>
          </cell>
          <cell r="C93">
            <v>111962</v>
          </cell>
          <cell r="D93">
            <v>23553</v>
          </cell>
          <cell r="E93">
            <v>22891</v>
          </cell>
        </row>
        <row r="94">
          <cell r="A94">
            <v>707</v>
          </cell>
          <cell r="B94">
            <v>259</v>
          </cell>
          <cell r="C94">
            <v>83103</v>
          </cell>
          <cell r="D94">
            <v>18203</v>
          </cell>
          <cell r="E94">
            <v>15990</v>
          </cell>
        </row>
        <row r="95">
          <cell r="A95">
            <v>708</v>
          </cell>
          <cell r="B95">
            <v>259</v>
          </cell>
          <cell r="C95">
            <v>78008</v>
          </cell>
          <cell r="D95">
            <v>16892</v>
          </cell>
          <cell r="E95">
            <v>14847</v>
          </cell>
        </row>
        <row r="96">
          <cell r="A96">
            <v>711</v>
          </cell>
          <cell r="B96">
            <v>259</v>
          </cell>
          <cell r="C96">
            <v>92294</v>
          </cell>
          <cell r="D96">
            <v>20659</v>
          </cell>
          <cell r="E96">
            <v>18525</v>
          </cell>
        </row>
        <row r="97">
          <cell r="A97">
            <v>716</v>
          </cell>
          <cell r="B97">
            <v>259</v>
          </cell>
          <cell r="C97">
            <v>117115</v>
          </cell>
          <cell r="D97">
            <v>27701</v>
          </cell>
          <cell r="E97">
            <v>23023</v>
          </cell>
        </row>
        <row r="98">
          <cell r="A98">
            <v>717</v>
          </cell>
          <cell r="B98">
            <v>259</v>
          </cell>
          <cell r="C98">
            <v>113605</v>
          </cell>
          <cell r="D98">
            <v>26802</v>
          </cell>
          <cell r="E98">
            <v>22306</v>
          </cell>
        </row>
        <row r="99">
          <cell r="A99">
            <v>720</v>
          </cell>
          <cell r="B99">
            <v>259</v>
          </cell>
          <cell r="C99">
            <v>118003</v>
          </cell>
          <cell r="D99">
            <v>27887</v>
          </cell>
          <cell r="E99">
            <v>22482</v>
          </cell>
        </row>
        <row r="100">
          <cell r="A100">
            <v>721</v>
          </cell>
          <cell r="B100">
            <v>259</v>
          </cell>
          <cell r="C100">
            <v>112419</v>
          </cell>
          <cell r="D100">
            <v>18570</v>
          </cell>
          <cell r="E100">
            <v>32233</v>
          </cell>
        </row>
        <row r="101">
          <cell r="A101">
            <v>722</v>
          </cell>
          <cell r="B101">
            <v>259</v>
          </cell>
          <cell r="C101">
            <v>120679</v>
          </cell>
          <cell r="D101">
            <v>27703</v>
          </cell>
          <cell r="E101">
            <v>23465</v>
          </cell>
        </row>
        <row r="102">
          <cell r="A102">
            <v>725</v>
          </cell>
          <cell r="B102">
            <v>259</v>
          </cell>
          <cell r="C102">
            <v>122730</v>
          </cell>
          <cell r="D102">
            <v>29001</v>
          </cell>
          <cell r="E102">
            <v>23560</v>
          </cell>
        </row>
        <row r="103">
          <cell r="A103">
            <v>726</v>
          </cell>
          <cell r="B103">
            <v>259</v>
          </cell>
          <cell r="C103">
            <v>118605</v>
          </cell>
          <cell r="D103">
            <v>28294</v>
          </cell>
          <cell r="E103">
            <v>22825</v>
          </cell>
        </row>
        <row r="104">
          <cell r="A104">
            <v>727</v>
          </cell>
          <cell r="B104">
            <v>259</v>
          </cell>
          <cell r="C104">
            <v>129217</v>
          </cell>
          <cell r="D104">
            <v>30318</v>
          </cell>
          <cell r="E104">
            <v>24521</v>
          </cell>
        </row>
        <row r="105">
          <cell r="A105">
            <v>728</v>
          </cell>
          <cell r="B105">
            <v>259</v>
          </cell>
          <cell r="C105">
            <v>124500</v>
          </cell>
          <cell r="D105">
            <v>28970</v>
          </cell>
          <cell r="E105">
            <v>23517</v>
          </cell>
        </row>
        <row r="106">
          <cell r="A106">
            <v>729</v>
          </cell>
          <cell r="B106">
            <v>259</v>
          </cell>
          <cell r="C106">
            <v>96068</v>
          </cell>
          <cell r="D106">
            <v>26412</v>
          </cell>
          <cell r="E106">
            <v>18735</v>
          </cell>
        </row>
        <row r="107">
          <cell r="A107">
            <v>730</v>
          </cell>
          <cell r="B107">
            <v>259</v>
          </cell>
          <cell r="C107">
            <v>98728</v>
          </cell>
          <cell r="D107">
            <v>27570</v>
          </cell>
          <cell r="E107">
            <v>19261</v>
          </cell>
        </row>
        <row r="108">
          <cell r="A108">
            <v>733</v>
          </cell>
          <cell r="B108">
            <v>259</v>
          </cell>
          <cell r="C108">
            <v>93953</v>
          </cell>
          <cell r="D108">
            <v>26667</v>
          </cell>
          <cell r="E108">
            <v>17995</v>
          </cell>
        </row>
        <row r="109">
          <cell r="A109">
            <v>734</v>
          </cell>
          <cell r="B109">
            <v>259</v>
          </cell>
          <cell r="C109">
            <v>94034</v>
          </cell>
          <cell r="D109">
            <v>15196</v>
          </cell>
          <cell r="E109">
            <v>26895</v>
          </cell>
        </row>
        <row r="110">
          <cell r="A110">
            <v>735</v>
          </cell>
          <cell r="B110">
            <v>259</v>
          </cell>
          <cell r="C110">
            <v>94018</v>
          </cell>
          <cell r="D110">
            <v>21682</v>
          </cell>
          <cell r="E110">
            <v>18053</v>
          </cell>
        </row>
        <row r="111">
          <cell r="A111">
            <v>738</v>
          </cell>
          <cell r="B111">
            <v>259</v>
          </cell>
          <cell r="C111">
            <v>77158</v>
          </cell>
          <cell r="D111">
            <v>22514</v>
          </cell>
          <cell r="E111">
            <v>14162</v>
          </cell>
        </row>
        <row r="112">
          <cell r="A112">
            <v>743</v>
          </cell>
          <cell r="B112">
            <v>259</v>
          </cell>
          <cell r="C112">
            <v>98648</v>
          </cell>
          <cell r="D112">
            <v>27404</v>
          </cell>
          <cell r="E112">
            <v>19117</v>
          </cell>
        </row>
        <row r="113">
          <cell r="A113">
            <v>744</v>
          </cell>
          <cell r="B113">
            <v>259</v>
          </cell>
          <cell r="C113">
            <v>89800</v>
          </cell>
          <cell r="D113">
            <v>25692</v>
          </cell>
          <cell r="E113">
            <v>16947</v>
          </cell>
        </row>
        <row r="114">
          <cell r="A114">
            <v>746</v>
          </cell>
          <cell r="B114">
            <v>259</v>
          </cell>
          <cell r="C114">
            <v>99576</v>
          </cell>
          <cell r="D114">
            <v>27782</v>
          </cell>
          <cell r="E114">
            <v>18847</v>
          </cell>
        </row>
        <row r="115">
          <cell r="A115">
            <v>748</v>
          </cell>
          <cell r="B115">
            <v>259</v>
          </cell>
          <cell r="C115">
            <v>100230</v>
          </cell>
          <cell r="D115">
            <v>27500</v>
          </cell>
          <cell r="E115">
            <v>17916</v>
          </cell>
        </row>
        <row r="116">
          <cell r="A116">
            <v>749</v>
          </cell>
          <cell r="B116">
            <v>259</v>
          </cell>
          <cell r="C116">
            <v>114463</v>
          </cell>
          <cell r="D116">
            <v>31635</v>
          </cell>
          <cell r="E116">
            <v>21080</v>
          </cell>
        </row>
        <row r="117">
          <cell r="A117">
            <v>751</v>
          </cell>
          <cell r="B117">
            <v>259</v>
          </cell>
          <cell r="C117">
            <v>116628</v>
          </cell>
          <cell r="D117">
            <v>31323</v>
          </cell>
          <cell r="E117">
            <v>22387</v>
          </cell>
        </row>
        <row r="118">
          <cell r="A118">
            <v>752</v>
          </cell>
          <cell r="B118">
            <v>259</v>
          </cell>
          <cell r="C118">
            <v>111005</v>
          </cell>
          <cell r="D118">
            <v>30073</v>
          </cell>
          <cell r="E118">
            <v>20941</v>
          </cell>
        </row>
        <row r="119">
          <cell r="A119">
            <v>753</v>
          </cell>
          <cell r="B119">
            <v>259</v>
          </cell>
          <cell r="C119">
            <v>114855</v>
          </cell>
          <cell r="D119">
            <v>31181</v>
          </cell>
          <cell r="E119">
            <v>21831</v>
          </cell>
        </row>
        <row r="120">
          <cell r="A120">
            <v>754</v>
          </cell>
          <cell r="B120">
            <v>259</v>
          </cell>
          <cell r="C120">
            <v>99502</v>
          </cell>
          <cell r="D120">
            <v>27605</v>
          </cell>
          <cell r="E120">
            <v>18865</v>
          </cell>
        </row>
        <row r="121">
          <cell r="A121">
            <v>755</v>
          </cell>
          <cell r="B121">
            <v>259</v>
          </cell>
          <cell r="C121">
            <v>81327</v>
          </cell>
          <cell r="D121">
            <v>21689</v>
          </cell>
          <cell r="E121">
            <v>15889</v>
          </cell>
        </row>
        <row r="122">
          <cell r="A122">
            <v>756</v>
          </cell>
          <cell r="B122">
            <v>259</v>
          </cell>
          <cell r="C122">
            <v>116224</v>
          </cell>
          <cell r="D122">
            <v>28931</v>
          </cell>
          <cell r="E122">
            <v>24341</v>
          </cell>
        </row>
        <row r="123">
          <cell r="A123">
            <v>757</v>
          </cell>
          <cell r="B123">
            <v>259</v>
          </cell>
          <cell r="C123">
            <v>97750</v>
          </cell>
          <cell r="D123">
            <v>24675</v>
          </cell>
          <cell r="E123">
            <v>20207</v>
          </cell>
        </row>
        <row r="124">
          <cell r="A124">
            <v>758</v>
          </cell>
          <cell r="B124">
            <v>259</v>
          </cell>
          <cell r="C124">
            <v>112392</v>
          </cell>
          <cell r="D124">
            <v>26839</v>
          </cell>
          <cell r="E124">
            <v>23817</v>
          </cell>
        </row>
        <row r="125">
          <cell r="A125">
            <v>759</v>
          </cell>
          <cell r="B125">
            <v>259</v>
          </cell>
          <cell r="C125">
            <v>96484</v>
          </cell>
          <cell r="D125">
            <v>22968</v>
          </cell>
          <cell r="E125">
            <v>20518</v>
          </cell>
        </row>
        <row r="126">
          <cell r="A126">
            <v>760</v>
          </cell>
          <cell r="B126">
            <v>259</v>
          </cell>
          <cell r="C126">
            <v>110028</v>
          </cell>
          <cell r="D126">
            <v>25057</v>
          </cell>
          <cell r="E126">
            <v>23881</v>
          </cell>
        </row>
        <row r="127">
          <cell r="A127">
            <v>762</v>
          </cell>
          <cell r="B127">
            <v>259</v>
          </cell>
          <cell r="C127">
            <v>93727</v>
          </cell>
          <cell r="D127">
            <v>21967</v>
          </cell>
          <cell r="E127">
            <v>19603</v>
          </cell>
        </row>
        <row r="128">
          <cell r="A128">
            <v>763</v>
          </cell>
          <cell r="B128">
            <v>259</v>
          </cell>
          <cell r="C128">
            <v>86226</v>
          </cell>
          <cell r="D128">
            <v>20259</v>
          </cell>
          <cell r="E128">
            <v>17134</v>
          </cell>
        </row>
        <row r="129">
          <cell r="A129">
            <v>764</v>
          </cell>
          <cell r="B129">
            <v>259</v>
          </cell>
          <cell r="C129">
            <v>123314</v>
          </cell>
          <cell r="D129">
            <v>29159</v>
          </cell>
          <cell r="E129">
            <v>25994</v>
          </cell>
        </row>
        <row r="130">
          <cell r="A130">
            <v>768</v>
          </cell>
          <cell r="B130">
            <v>259</v>
          </cell>
          <cell r="C130">
            <v>127825</v>
          </cell>
          <cell r="D130">
            <v>21842</v>
          </cell>
          <cell r="E130">
            <v>33351</v>
          </cell>
        </row>
        <row r="131">
          <cell r="A131">
            <v>769</v>
          </cell>
          <cell r="B131">
            <v>259</v>
          </cell>
          <cell r="C131">
            <v>96856</v>
          </cell>
          <cell r="D131">
            <v>17196</v>
          </cell>
          <cell r="E131">
            <v>26702</v>
          </cell>
        </row>
        <row r="132">
          <cell r="A132">
            <v>770</v>
          </cell>
          <cell r="B132">
            <v>259</v>
          </cell>
          <cell r="C132">
            <v>97895</v>
          </cell>
          <cell r="D132">
            <v>17491</v>
          </cell>
          <cell r="E132">
            <v>26909</v>
          </cell>
        </row>
        <row r="133">
          <cell r="A133">
            <v>771</v>
          </cell>
          <cell r="B133">
            <v>259</v>
          </cell>
          <cell r="C133">
            <v>112245</v>
          </cell>
          <cell r="D133">
            <v>21180</v>
          </cell>
          <cell r="E133">
            <v>30884</v>
          </cell>
        </row>
        <row r="134">
          <cell r="A134">
            <v>772</v>
          </cell>
          <cell r="B134">
            <v>259</v>
          </cell>
          <cell r="C134">
            <v>96883</v>
          </cell>
          <cell r="D134">
            <v>17683</v>
          </cell>
          <cell r="E134">
            <v>27147</v>
          </cell>
        </row>
        <row r="135">
          <cell r="A135">
            <v>773</v>
          </cell>
          <cell r="B135">
            <v>259</v>
          </cell>
          <cell r="C135">
            <v>102923</v>
          </cell>
          <cell r="D135">
            <v>18282</v>
          </cell>
          <cell r="E135">
            <v>29307</v>
          </cell>
        </row>
        <row r="136">
          <cell r="A136">
            <v>774</v>
          </cell>
          <cell r="B136">
            <v>259</v>
          </cell>
          <cell r="C136">
            <v>109670</v>
          </cell>
          <cell r="D136">
            <v>19777</v>
          </cell>
          <cell r="E136">
            <v>30895</v>
          </cell>
        </row>
        <row r="137">
          <cell r="A137">
            <v>776</v>
          </cell>
          <cell r="B137">
            <v>259</v>
          </cell>
          <cell r="C137">
            <v>93735</v>
          </cell>
          <cell r="D137">
            <v>16333</v>
          </cell>
          <cell r="E137">
            <v>27221</v>
          </cell>
        </row>
        <row r="138">
          <cell r="A138">
            <v>777</v>
          </cell>
          <cell r="B138">
            <v>259</v>
          </cell>
          <cell r="C138">
            <v>107252</v>
          </cell>
          <cell r="D138">
            <v>18687</v>
          </cell>
          <cell r="E138">
            <v>31447</v>
          </cell>
        </row>
        <row r="139">
          <cell r="A139">
            <v>778</v>
          </cell>
          <cell r="B139">
            <v>259</v>
          </cell>
          <cell r="C139">
            <v>81053</v>
          </cell>
          <cell r="D139">
            <v>14147</v>
          </cell>
          <cell r="E139">
            <v>24689</v>
          </cell>
        </row>
        <row r="140">
          <cell r="A140">
            <v>779</v>
          </cell>
          <cell r="B140">
            <v>259</v>
          </cell>
          <cell r="C140">
            <v>105526</v>
          </cell>
          <cell r="D140">
            <v>17316</v>
          </cell>
          <cell r="E140">
            <v>33623</v>
          </cell>
        </row>
        <row r="141">
          <cell r="A141">
            <v>782</v>
          </cell>
          <cell r="B141">
            <v>259</v>
          </cell>
          <cell r="C141">
            <v>104456</v>
          </cell>
          <cell r="D141">
            <v>25376</v>
          </cell>
          <cell r="E141">
            <v>19412</v>
          </cell>
        </row>
        <row r="142">
          <cell r="A142">
            <v>783</v>
          </cell>
          <cell r="B142">
            <v>259</v>
          </cell>
          <cell r="C142">
            <v>108700</v>
          </cell>
          <cell r="D142">
            <v>16715</v>
          </cell>
          <cell r="E142">
            <v>31028</v>
          </cell>
        </row>
        <row r="143">
          <cell r="A143">
            <v>786</v>
          </cell>
          <cell r="B143">
            <v>259</v>
          </cell>
          <cell r="C143">
            <v>123333</v>
          </cell>
          <cell r="D143">
            <v>19403</v>
          </cell>
          <cell r="E143">
            <v>37778</v>
          </cell>
        </row>
        <row r="144">
          <cell r="A144">
            <v>787</v>
          </cell>
          <cell r="B144">
            <v>259</v>
          </cell>
          <cell r="C144">
            <v>117436</v>
          </cell>
          <cell r="D144">
            <v>18199</v>
          </cell>
          <cell r="E144">
            <v>36116</v>
          </cell>
        </row>
        <row r="145">
          <cell r="A145">
            <v>788</v>
          </cell>
          <cell r="B145">
            <v>259</v>
          </cell>
          <cell r="C145">
            <v>123052</v>
          </cell>
          <cell r="D145">
            <v>19366</v>
          </cell>
          <cell r="E145">
            <v>37623</v>
          </cell>
        </row>
        <row r="146">
          <cell r="A146">
            <v>789</v>
          </cell>
          <cell r="B146">
            <v>259</v>
          </cell>
          <cell r="C146">
            <v>131950</v>
          </cell>
          <cell r="D146">
            <v>31916</v>
          </cell>
          <cell r="E146">
            <v>24077</v>
          </cell>
        </row>
        <row r="147">
          <cell r="A147">
            <v>790</v>
          </cell>
          <cell r="B147">
            <v>259</v>
          </cell>
          <cell r="C147">
            <v>43160</v>
          </cell>
          <cell r="D147">
            <v>9029</v>
          </cell>
          <cell r="E147">
            <v>10598</v>
          </cell>
        </row>
        <row r="148">
          <cell r="A148">
            <v>791</v>
          </cell>
          <cell r="B148">
            <v>259</v>
          </cell>
          <cell r="C148">
            <v>123549</v>
          </cell>
          <cell r="D148">
            <v>18083</v>
          </cell>
          <cell r="E148">
            <v>38919</v>
          </cell>
        </row>
        <row r="149">
          <cell r="A149">
            <v>792</v>
          </cell>
          <cell r="B149">
            <v>259</v>
          </cell>
          <cell r="C149">
            <v>108734</v>
          </cell>
          <cell r="D149">
            <v>15826</v>
          </cell>
          <cell r="E149">
            <v>34512</v>
          </cell>
        </row>
        <row r="150">
          <cell r="A150">
            <v>797</v>
          </cell>
          <cell r="B150">
            <v>259</v>
          </cell>
          <cell r="C150">
            <v>108600</v>
          </cell>
          <cell r="D150">
            <v>16562</v>
          </cell>
          <cell r="E150">
            <v>34264</v>
          </cell>
        </row>
        <row r="151">
          <cell r="A151">
            <v>799</v>
          </cell>
          <cell r="B151">
            <v>259</v>
          </cell>
          <cell r="C151">
            <v>94841</v>
          </cell>
          <cell r="D151">
            <v>14368</v>
          </cell>
          <cell r="E151">
            <v>30146</v>
          </cell>
        </row>
        <row r="152">
          <cell r="A152">
            <v>800</v>
          </cell>
          <cell r="B152">
            <v>259</v>
          </cell>
          <cell r="C152">
            <v>105785</v>
          </cell>
          <cell r="D152">
            <v>16677</v>
          </cell>
          <cell r="E152">
            <v>33002</v>
          </cell>
        </row>
        <row r="153">
          <cell r="A153">
            <v>801</v>
          </cell>
          <cell r="B153">
            <v>259</v>
          </cell>
          <cell r="C153">
            <v>83923</v>
          </cell>
          <cell r="D153">
            <v>12760</v>
          </cell>
          <cell r="E153">
            <v>27228</v>
          </cell>
        </row>
        <row r="154">
          <cell r="A154">
            <v>802</v>
          </cell>
          <cell r="B154">
            <v>259</v>
          </cell>
          <cell r="C154">
            <v>132845</v>
          </cell>
          <cell r="D154">
            <v>21038</v>
          </cell>
          <cell r="E154">
            <v>40048</v>
          </cell>
        </row>
        <row r="155">
          <cell r="A155">
            <v>803</v>
          </cell>
          <cell r="B155">
            <v>259</v>
          </cell>
          <cell r="C155">
            <v>125015</v>
          </cell>
          <cell r="D155">
            <v>19920</v>
          </cell>
          <cell r="E155">
            <v>37663</v>
          </cell>
        </row>
        <row r="156">
          <cell r="A156">
            <v>804</v>
          </cell>
          <cell r="B156">
            <v>259</v>
          </cell>
          <cell r="C156">
            <v>96114</v>
          </cell>
          <cell r="D156">
            <v>14981</v>
          </cell>
          <cell r="E156">
            <v>29357</v>
          </cell>
        </row>
        <row r="157">
          <cell r="A157">
            <v>805</v>
          </cell>
          <cell r="B157">
            <v>259</v>
          </cell>
          <cell r="C157">
            <v>104344</v>
          </cell>
          <cell r="D157">
            <v>17085</v>
          </cell>
          <cell r="E157">
            <v>31357</v>
          </cell>
        </row>
        <row r="158">
          <cell r="A158">
            <v>806</v>
          </cell>
          <cell r="B158">
            <v>259</v>
          </cell>
          <cell r="C158">
            <v>97351</v>
          </cell>
          <cell r="D158">
            <v>16425</v>
          </cell>
          <cell r="E158">
            <v>26710</v>
          </cell>
        </row>
        <row r="159">
          <cell r="A159">
            <v>807</v>
          </cell>
          <cell r="B159">
            <v>259</v>
          </cell>
          <cell r="C159">
            <v>131792</v>
          </cell>
          <cell r="D159">
            <v>21176</v>
          </cell>
          <cell r="E159">
            <v>35761</v>
          </cell>
        </row>
        <row r="160">
          <cell r="A160">
            <v>808</v>
          </cell>
          <cell r="B160">
            <v>259</v>
          </cell>
          <cell r="C160">
            <v>135087</v>
          </cell>
          <cell r="D160">
            <v>21682</v>
          </cell>
          <cell r="E160">
            <v>36815</v>
          </cell>
        </row>
        <row r="161">
          <cell r="A161">
            <v>809</v>
          </cell>
          <cell r="B161">
            <v>259</v>
          </cell>
          <cell r="C161">
            <v>122754</v>
          </cell>
          <cell r="D161">
            <v>19497</v>
          </cell>
          <cell r="E161">
            <v>33454</v>
          </cell>
        </row>
        <row r="162">
          <cell r="A162">
            <v>810</v>
          </cell>
          <cell r="B162">
            <v>259</v>
          </cell>
          <cell r="C162">
            <v>128194</v>
          </cell>
          <cell r="D162">
            <v>20422</v>
          </cell>
          <cell r="E162">
            <v>34620</v>
          </cell>
        </row>
        <row r="163">
          <cell r="A163">
            <v>811</v>
          </cell>
          <cell r="B163">
            <v>259</v>
          </cell>
          <cell r="C163">
            <v>122849</v>
          </cell>
          <cell r="D163">
            <v>19489</v>
          </cell>
          <cell r="E163">
            <v>33278</v>
          </cell>
        </row>
        <row r="164">
          <cell r="A164">
            <v>813</v>
          </cell>
          <cell r="B164">
            <v>259</v>
          </cell>
          <cell r="C164">
            <v>117085</v>
          </cell>
          <cell r="D164">
            <v>19509</v>
          </cell>
          <cell r="E164">
            <v>31145</v>
          </cell>
        </row>
        <row r="165">
          <cell r="A165">
            <v>815</v>
          </cell>
          <cell r="B165">
            <v>259</v>
          </cell>
          <cell r="C165">
            <v>122355</v>
          </cell>
          <cell r="D165">
            <v>20389</v>
          </cell>
          <cell r="E165">
            <v>32872</v>
          </cell>
        </row>
        <row r="166">
          <cell r="A166">
            <v>822</v>
          </cell>
          <cell r="B166">
            <v>259</v>
          </cell>
          <cell r="C166">
            <v>97000</v>
          </cell>
          <cell r="D166">
            <v>15756</v>
          </cell>
          <cell r="E166">
            <v>25240</v>
          </cell>
        </row>
        <row r="167">
          <cell r="A167">
            <v>823</v>
          </cell>
          <cell r="B167">
            <v>259</v>
          </cell>
          <cell r="C167">
            <v>86589</v>
          </cell>
          <cell r="D167">
            <v>14022</v>
          </cell>
          <cell r="E167">
            <v>23319</v>
          </cell>
        </row>
        <row r="168">
          <cell r="A168">
            <v>824</v>
          </cell>
          <cell r="B168">
            <v>259</v>
          </cell>
          <cell r="C168">
            <v>90085</v>
          </cell>
          <cell r="D168">
            <v>15026</v>
          </cell>
          <cell r="E168">
            <v>24309</v>
          </cell>
        </row>
        <row r="169">
          <cell r="A169">
            <v>834</v>
          </cell>
          <cell r="B169">
            <v>259</v>
          </cell>
          <cell r="C169">
            <v>108258</v>
          </cell>
          <cell r="D169">
            <v>17735</v>
          </cell>
          <cell r="E169">
            <v>29159</v>
          </cell>
        </row>
        <row r="170">
          <cell r="A170">
            <v>835</v>
          </cell>
          <cell r="B170">
            <v>259</v>
          </cell>
          <cell r="C170">
            <v>126287</v>
          </cell>
          <cell r="D170">
            <v>20410</v>
          </cell>
          <cell r="E170">
            <v>32237</v>
          </cell>
        </row>
        <row r="171">
          <cell r="A171">
            <v>836</v>
          </cell>
          <cell r="B171">
            <v>259</v>
          </cell>
          <cell r="C171">
            <v>116492</v>
          </cell>
          <cell r="D171">
            <v>18761</v>
          </cell>
          <cell r="E171">
            <v>29444</v>
          </cell>
        </row>
        <row r="172">
          <cell r="A172">
            <v>837</v>
          </cell>
          <cell r="B172">
            <v>259</v>
          </cell>
          <cell r="C172">
            <v>129054</v>
          </cell>
          <cell r="D172">
            <v>20712</v>
          </cell>
          <cell r="E172">
            <v>32869</v>
          </cell>
        </row>
        <row r="173">
          <cell r="A173">
            <v>839</v>
          </cell>
          <cell r="B173">
            <v>259</v>
          </cell>
          <cell r="C173">
            <v>98549</v>
          </cell>
          <cell r="D173">
            <v>16348</v>
          </cell>
          <cell r="E173">
            <v>24298</v>
          </cell>
        </row>
        <row r="174">
          <cell r="A174">
            <v>841</v>
          </cell>
          <cell r="B174">
            <v>259</v>
          </cell>
          <cell r="C174">
            <v>104945</v>
          </cell>
          <cell r="D174">
            <v>17581</v>
          </cell>
          <cell r="E174">
            <v>25933</v>
          </cell>
        </row>
        <row r="175">
          <cell r="A175">
            <v>842</v>
          </cell>
          <cell r="B175">
            <v>259</v>
          </cell>
          <cell r="C175">
            <v>70903</v>
          </cell>
          <cell r="D175">
            <v>12868</v>
          </cell>
          <cell r="E175">
            <v>15836</v>
          </cell>
        </row>
        <row r="176">
          <cell r="A176">
            <v>843</v>
          </cell>
          <cell r="B176">
            <v>259</v>
          </cell>
          <cell r="C176">
            <v>77493</v>
          </cell>
          <cell r="D176">
            <v>14561</v>
          </cell>
          <cell r="E176">
            <v>17522</v>
          </cell>
        </row>
        <row r="177">
          <cell r="A177">
            <v>844</v>
          </cell>
          <cell r="B177">
            <v>259</v>
          </cell>
          <cell r="C177">
            <v>67790</v>
          </cell>
          <cell r="D177">
            <v>12818</v>
          </cell>
          <cell r="E177">
            <v>16159</v>
          </cell>
        </row>
        <row r="178">
          <cell r="A178">
            <v>845</v>
          </cell>
          <cell r="B178">
            <v>259</v>
          </cell>
          <cell r="C178">
            <v>85651</v>
          </cell>
          <cell r="D178">
            <v>16401</v>
          </cell>
          <cell r="E178">
            <v>20117</v>
          </cell>
        </row>
        <row r="179">
          <cell r="A179">
            <v>851</v>
          </cell>
          <cell r="B179">
            <v>259</v>
          </cell>
          <cell r="C179">
            <v>76776</v>
          </cell>
          <cell r="D179">
            <v>14823</v>
          </cell>
          <cell r="E179">
            <v>17494</v>
          </cell>
        </row>
        <row r="180">
          <cell r="A180">
            <v>852</v>
          </cell>
          <cell r="B180">
            <v>259</v>
          </cell>
          <cell r="C180">
            <v>86996</v>
          </cell>
          <cell r="D180">
            <v>16400</v>
          </cell>
          <cell r="E180">
            <v>20052</v>
          </cell>
        </row>
        <row r="181">
          <cell r="A181">
            <v>853</v>
          </cell>
          <cell r="B181">
            <v>259</v>
          </cell>
          <cell r="C181">
            <v>68767</v>
          </cell>
          <cell r="D181">
            <v>13349</v>
          </cell>
          <cell r="E181">
            <v>15154</v>
          </cell>
        </row>
        <row r="182">
          <cell r="A182">
            <v>854</v>
          </cell>
          <cell r="B182">
            <v>259</v>
          </cell>
          <cell r="C182">
            <v>75580</v>
          </cell>
          <cell r="D182">
            <v>14248</v>
          </cell>
          <cell r="E182">
            <v>17034</v>
          </cell>
        </row>
        <row r="183">
          <cell r="A183">
            <v>855</v>
          </cell>
          <cell r="B183">
            <v>259</v>
          </cell>
          <cell r="C183">
            <v>31675</v>
          </cell>
          <cell r="D183">
            <v>5349</v>
          </cell>
          <cell r="E183">
            <v>7397</v>
          </cell>
        </row>
        <row r="184">
          <cell r="A184">
            <v>856</v>
          </cell>
          <cell r="B184">
            <v>259</v>
          </cell>
          <cell r="C184">
            <v>35304</v>
          </cell>
          <cell r="D184">
            <v>5952</v>
          </cell>
          <cell r="E184">
            <v>8075</v>
          </cell>
        </row>
        <row r="185">
          <cell r="A185">
            <v>857</v>
          </cell>
          <cell r="B185">
            <v>259</v>
          </cell>
          <cell r="C185">
            <v>36888</v>
          </cell>
          <cell r="D185">
            <v>6157</v>
          </cell>
          <cell r="E185">
            <v>8532</v>
          </cell>
        </row>
        <row r="186">
          <cell r="A186">
            <v>858</v>
          </cell>
          <cell r="B186">
            <v>259</v>
          </cell>
          <cell r="C186">
            <v>28494</v>
          </cell>
          <cell r="D186">
            <v>4414</v>
          </cell>
          <cell r="E186">
            <v>6676</v>
          </cell>
        </row>
        <row r="187">
          <cell r="A187">
            <v>859</v>
          </cell>
          <cell r="B187">
            <v>259</v>
          </cell>
          <cell r="C187">
            <v>29494</v>
          </cell>
          <cell r="D187">
            <v>4424</v>
          </cell>
          <cell r="E187">
            <v>7024</v>
          </cell>
        </row>
        <row r="188">
          <cell r="A188">
            <v>860</v>
          </cell>
          <cell r="B188">
            <v>259</v>
          </cell>
          <cell r="C188">
            <v>17993</v>
          </cell>
          <cell r="D188">
            <v>2012</v>
          </cell>
          <cell r="E188">
            <v>4960</v>
          </cell>
        </row>
        <row r="189">
          <cell r="A189">
            <v>1042</v>
          </cell>
          <cell r="B189">
            <v>259</v>
          </cell>
          <cell r="C189">
            <v>25207</v>
          </cell>
          <cell r="D189">
            <v>3608</v>
          </cell>
          <cell r="E189">
            <v>8600</v>
          </cell>
        </row>
        <row r="190">
          <cell r="A190">
            <v>1173</v>
          </cell>
          <cell r="B190">
            <v>259</v>
          </cell>
          <cell r="C190">
            <v>67756</v>
          </cell>
          <cell r="D190">
            <v>14949</v>
          </cell>
          <cell r="E190">
            <v>16576</v>
          </cell>
        </row>
        <row r="191">
          <cell r="A191">
            <v>1250</v>
          </cell>
          <cell r="B191">
            <v>259</v>
          </cell>
          <cell r="C191">
            <v>105919</v>
          </cell>
          <cell r="D191">
            <v>24299</v>
          </cell>
          <cell r="E191">
            <v>20110</v>
          </cell>
        </row>
        <row r="192">
          <cell r="A192">
            <v>1549</v>
          </cell>
          <cell r="B192">
            <v>259</v>
          </cell>
          <cell r="C192">
            <v>11354</v>
          </cell>
          <cell r="D192">
            <v>2013</v>
          </cell>
          <cell r="E192">
            <v>4799</v>
          </cell>
        </row>
        <row r="193">
          <cell r="A193">
            <v>1580</v>
          </cell>
          <cell r="B193">
            <v>259</v>
          </cell>
          <cell r="C193">
            <v>13609</v>
          </cell>
          <cell r="D193">
            <v>3980</v>
          </cell>
          <cell r="E193">
            <v>3061</v>
          </cell>
        </row>
        <row r="194">
          <cell r="A194">
            <v>1768</v>
          </cell>
          <cell r="B194">
            <v>259</v>
          </cell>
          <cell r="C194">
            <v>7563</v>
          </cell>
          <cell r="D194">
            <v>1308</v>
          </cell>
          <cell r="E194">
            <v>2385</v>
          </cell>
        </row>
        <row r="195">
          <cell r="A195">
            <v>3010</v>
          </cell>
          <cell r="B195">
            <v>259</v>
          </cell>
          <cell r="C195">
            <v>1523</v>
          </cell>
          <cell r="D195">
            <v>1523</v>
          </cell>
          <cell r="E195">
            <v>0</v>
          </cell>
        </row>
        <row r="196">
          <cell r="A196">
            <v>3012</v>
          </cell>
          <cell r="B196">
            <v>259</v>
          </cell>
          <cell r="C196">
            <v>1833</v>
          </cell>
          <cell r="D196">
            <v>1833</v>
          </cell>
          <cell r="E196">
            <v>0</v>
          </cell>
        </row>
        <row r="197">
          <cell r="A197">
            <v>3098</v>
          </cell>
          <cell r="B197">
            <v>259</v>
          </cell>
          <cell r="C197">
            <v>2386</v>
          </cell>
          <cell r="D197">
            <v>2386</v>
          </cell>
          <cell r="E197">
            <v>0</v>
          </cell>
        </row>
        <row r="198">
          <cell r="A198">
            <v>3115</v>
          </cell>
          <cell r="B198">
            <v>259</v>
          </cell>
          <cell r="C198">
            <v>2348</v>
          </cell>
          <cell r="D198">
            <v>2348</v>
          </cell>
          <cell r="E198">
            <v>0</v>
          </cell>
        </row>
        <row r="199">
          <cell r="A199">
            <v>3122</v>
          </cell>
          <cell r="B199">
            <v>259</v>
          </cell>
          <cell r="C199">
            <v>2132</v>
          </cell>
          <cell r="D199">
            <v>0</v>
          </cell>
          <cell r="E199">
            <v>2132</v>
          </cell>
        </row>
        <row r="200">
          <cell r="A200">
            <v>3125</v>
          </cell>
          <cell r="B200">
            <v>259</v>
          </cell>
          <cell r="C200">
            <v>96218</v>
          </cell>
          <cell r="D200">
            <v>18942</v>
          </cell>
          <cell r="E200">
            <v>19842</v>
          </cell>
        </row>
        <row r="201">
          <cell r="A201">
            <v>3145</v>
          </cell>
          <cell r="B201">
            <v>259</v>
          </cell>
          <cell r="C201">
            <v>76697</v>
          </cell>
          <cell r="D201">
            <v>16482</v>
          </cell>
          <cell r="E201">
            <v>16720</v>
          </cell>
        </row>
        <row r="202">
          <cell r="A202">
            <v>3192</v>
          </cell>
          <cell r="B202">
            <v>259</v>
          </cell>
          <cell r="C202">
            <v>76697</v>
          </cell>
          <cell r="D202">
            <v>16482</v>
          </cell>
          <cell r="E202">
            <v>16720</v>
          </cell>
        </row>
        <row r="203">
          <cell r="A203">
            <v>3197</v>
          </cell>
          <cell r="B203">
            <v>259</v>
          </cell>
          <cell r="C203">
            <v>82248</v>
          </cell>
          <cell r="D203">
            <v>16214</v>
          </cell>
          <cell r="E203">
            <v>17032</v>
          </cell>
        </row>
        <row r="204">
          <cell r="A204">
            <v>3204</v>
          </cell>
          <cell r="B204">
            <v>259</v>
          </cell>
          <cell r="C204">
            <v>78561</v>
          </cell>
          <cell r="D204">
            <v>17445</v>
          </cell>
          <cell r="E204">
            <v>14847</v>
          </cell>
        </row>
        <row r="205">
          <cell r="A205">
            <v>3205</v>
          </cell>
          <cell r="B205">
            <v>259</v>
          </cell>
          <cell r="C205">
            <v>107935</v>
          </cell>
          <cell r="D205">
            <v>25754</v>
          </cell>
          <cell r="E205">
            <v>20783</v>
          </cell>
        </row>
        <row r="206">
          <cell r="A206">
            <v>3206</v>
          </cell>
          <cell r="B206">
            <v>259</v>
          </cell>
          <cell r="C206">
            <v>93719</v>
          </cell>
          <cell r="D206">
            <v>24063</v>
          </cell>
          <cell r="E206">
            <v>18735</v>
          </cell>
        </row>
        <row r="207">
          <cell r="A207">
            <v>3207</v>
          </cell>
          <cell r="B207">
            <v>259</v>
          </cell>
          <cell r="C207">
            <v>76446</v>
          </cell>
          <cell r="D207">
            <v>13957</v>
          </cell>
          <cell r="E207">
            <v>20291</v>
          </cell>
        </row>
        <row r="208">
          <cell r="A208">
            <v>3212</v>
          </cell>
          <cell r="B208">
            <v>259</v>
          </cell>
          <cell r="C208">
            <v>76446</v>
          </cell>
          <cell r="D208">
            <v>13957</v>
          </cell>
          <cell r="E208">
            <v>20291</v>
          </cell>
        </row>
        <row r="209">
          <cell r="A209">
            <v>3221</v>
          </cell>
          <cell r="B209">
            <v>259</v>
          </cell>
          <cell r="C209">
            <v>100494</v>
          </cell>
          <cell r="D209">
            <v>16425</v>
          </cell>
          <cell r="E209">
            <v>29853</v>
          </cell>
        </row>
        <row r="210">
          <cell r="A210">
            <v>3222</v>
          </cell>
          <cell r="B210">
            <v>259</v>
          </cell>
          <cell r="C210">
            <v>112033</v>
          </cell>
          <cell r="D210">
            <v>17848</v>
          </cell>
          <cell r="E210">
            <v>30105</v>
          </cell>
        </row>
        <row r="211">
          <cell r="A211">
            <v>3223</v>
          </cell>
          <cell r="B211">
            <v>259</v>
          </cell>
          <cell r="C211">
            <v>85189</v>
          </cell>
          <cell r="D211">
            <v>14022</v>
          </cell>
          <cell r="E211">
            <v>21918</v>
          </cell>
        </row>
        <row r="212">
          <cell r="A212">
            <v>3419</v>
          </cell>
          <cell r="B212">
            <v>259</v>
          </cell>
          <cell r="C212">
            <v>25225</v>
          </cell>
          <cell r="D212">
            <v>8716</v>
          </cell>
          <cell r="E212">
            <v>4338</v>
          </cell>
        </row>
        <row r="213">
          <cell r="A213">
            <v>3968</v>
          </cell>
          <cell r="B213">
            <v>259</v>
          </cell>
          <cell r="C213">
            <v>105962</v>
          </cell>
          <cell r="D213">
            <v>16203</v>
          </cell>
          <cell r="E213">
            <v>30445</v>
          </cell>
        </row>
        <row r="214">
          <cell r="A214">
            <v>4887</v>
          </cell>
          <cell r="B214">
            <v>259</v>
          </cell>
          <cell r="C214">
            <v>117232</v>
          </cell>
          <cell r="D214">
            <v>18208</v>
          </cell>
          <cell r="E214">
            <v>33670</v>
          </cell>
        </row>
        <row r="215">
          <cell r="A215">
            <v>5127</v>
          </cell>
          <cell r="B215">
            <v>259</v>
          </cell>
          <cell r="C215">
            <v>64302</v>
          </cell>
          <cell r="D215">
            <v>9732</v>
          </cell>
          <cell r="E215">
            <v>18563</v>
          </cell>
        </row>
        <row r="216">
          <cell r="A216">
            <v>6664</v>
          </cell>
          <cell r="B216">
            <v>259</v>
          </cell>
          <cell r="C216">
            <v>1833</v>
          </cell>
          <cell r="D216">
            <v>1833</v>
          </cell>
          <cell r="E216">
            <v>0</v>
          </cell>
        </row>
        <row r="217">
          <cell r="A217">
            <v>6666</v>
          </cell>
          <cell r="B217">
            <v>259</v>
          </cell>
          <cell r="C217">
            <v>2386</v>
          </cell>
          <cell r="D217">
            <v>2386</v>
          </cell>
          <cell r="E217">
            <v>0</v>
          </cell>
        </row>
        <row r="218">
          <cell r="A218">
            <v>6852</v>
          </cell>
          <cell r="B218">
            <v>259</v>
          </cell>
          <cell r="C218">
            <v>73757</v>
          </cell>
          <cell r="D218">
            <v>18744</v>
          </cell>
          <cell r="E218">
            <v>16280</v>
          </cell>
        </row>
        <row r="219">
          <cell r="A219">
            <v>6928</v>
          </cell>
          <cell r="B219">
            <v>259</v>
          </cell>
          <cell r="C219">
            <v>88510</v>
          </cell>
          <cell r="D219">
            <v>17017</v>
          </cell>
          <cell r="E219">
            <v>22236</v>
          </cell>
        </row>
        <row r="220">
          <cell r="A220">
            <v>7073</v>
          </cell>
          <cell r="B220">
            <v>259</v>
          </cell>
          <cell r="C220">
            <v>3872</v>
          </cell>
          <cell r="D220">
            <v>1760</v>
          </cell>
          <cell r="E220">
            <v>809</v>
          </cell>
        </row>
        <row r="221">
          <cell r="A221">
            <v>7074</v>
          </cell>
          <cell r="B221">
            <v>259</v>
          </cell>
          <cell r="C221">
            <v>3872</v>
          </cell>
          <cell r="D221">
            <v>1760</v>
          </cell>
          <cell r="E221">
            <v>809</v>
          </cell>
        </row>
        <row r="222">
          <cell r="A222">
            <v>7132</v>
          </cell>
          <cell r="B222">
            <v>259</v>
          </cell>
          <cell r="C222">
            <v>8798</v>
          </cell>
          <cell r="D222">
            <v>4229</v>
          </cell>
          <cell r="E222">
            <v>1672</v>
          </cell>
        </row>
        <row r="223">
          <cell r="A223">
            <v>7190</v>
          </cell>
          <cell r="B223">
            <v>259</v>
          </cell>
          <cell r="C223">
            <v>53826</v>
          </cell>
          <cell r="D223">
            <v>11473</v>
          </cell>
          <cell r="E223">
            <v>13512</v>
          </cell>
        </row>
        <row r="224">
          <cell r="A224">
            <v>7215</v>
          </cell>
          <cell r="B224">
            <v>259</v>
          </cell>
          <cell r="C224">
            <v>46174</v>
          </cell>
          <cell r="D224">
            <v>10308</v>
          </cell>
          <cell r="E224">
            <v>11412</v>
          </cell>
        </row>
        <row r="225">
          <cell r="A225">
            <v>7216</v>
          </cell>
          <cell r="B225">
            <v>259</v>
          </cell>
          <cell r="C225">
            <v>51791</v>
          </cell>
          <cell r="D225">
            <v>11998</v>
          </cell>
          <cell r="E225">
            <v>12439</v>
          </cell>
        </row>
        <row r="226">
          <cell r="A226">
            <v>7222</v>
          </cell>
          <cell r="B226">
            <v>259</v>
          </cell>
          <cell r="C226">
            <v>45061</v>
          </cell>
          <cell r="D226">
            <v>10927</v>
          </cell>
          <cell r="E226">
            <v>10485</v>
          </cell>
        </row>
        <row r="227">
          <cell r="A227">
            <v>7223</v>
          </cell>
          <cell r="B227">
            <v>259</v>
          </cell>
          <cell r="C227">
            <v>46860</v>
          </cell>
          <cell r="D227">
            <v>8901</v>
          </cell>
          <cell r="E227">
            <v>13402</v>
          </cell>
        </row>
        <row r="228">
          <cell r="A228">
            <v>7258</v>
          </cell>
          <cell r="B228">
            <v>259</v>
          </cell>
          <cell r="C228">
            <v>53237</v>
          </cell>
          <cell r="D228">
            <v>10537</v>
          </cell>
          <cell r="E228">
            <v>14728</v>
          </cell>
        </row>
        <row r="229">
          <cell r="A229">
            <v>7259</v>
          </cell>
          <cell r="B229">
            <v>259</v>
          </cell>
          <cell r="C229">
            <v>45560</v>
          </cell>
          <cell r="D229">
            <v>9588</v>
          </cell>
          <cell r="E229">
            <v>12444</v>
          </cell>
        </row>
        <row r="230">
          <cell r="A230">
            <v>7260</v>
          </cell>
          <cell r="B230">
            <v>259</v>
          </cell>
          <cell r="C230">
            <v>54221</v>
          </cell>
          <cell r="D230">
            <v>11504</v>
          </cell>
          <cell r="E230">
            <v>14219</v>
          </cell>
        </row>
        <row r="231">
          <cell r="A231">
            <v>7303</v>
          </cell>
          <cell r="B231">
            <v>259</v>
          </cell>
          <cell r="C231">
            <v>9845</v>
          </cell>
          <cell r="D231">
            <v>1614</v>
          </cell>
          <cell r="E231">
            <v>4391</v>
          </cell>
        </row>
        <row r="232">
          <cell r="A232">
            <v>7310</v>
          </cell>
          <cell r="B232">
            <v>259</v>
          </cell>
          <cell r="C232">
            <v>4273</v>
          </cell>
          <cell r="D232">
            <v>862</v>
          </cell>
          <cell r="E232">
            <v>1753</v>
          </cell>
        </row>
        <row r="233">
          <cell r="A233">
            <v>7373</v>
          </cell>
          <cell r="B233">
            <v>259</v>
          </cell>
          <cell r="C233">
            <v>91385</v>
          </cell>
          <cell r="D233">
            <v>18235</v>
          </cell>
          <cell r="E233">
            <v>23611</v>
          </cell>
        </row>
        <row r="234">
          <cell r="A234">
            <v>7374</v>
          </cell>
          <cell r="B234">
            <v>259</v>
          </cell>
          <cell r="C234">
            <v>73638</v>
          </cell>
          <cell r="D234">
            <v>17471</v>
          </cell>
          <cell r="E234">
            <v>13123</v>
          </cell>
        </row>
        <row r="235">
          <cell r="A235">
            <v>7375</v>
          </cell>
          <cell r="B235">
            <v>259</v>
          </cell>
          <cell r="C235">
            <v>61862</v>
          </cell>
          <cell r="D235">
            <v>9302</v>
          </cell>
          <cell r="E235">
            <v>20362</v>
          </cell>
        </row>
        <row r="236">
          <cell r="A236">
            <v>7376</v>
          </cell>
          <cell r="B236">
            <v>259</v>
          </cell>
          <cell r="C236">
            <v>46983</v>
          </cell>
          <cell r="D236">
            <v>7806</v>
          </cell>
          <cell r="E236">
            <v>14127</v>
          </cell>
        </row>
        <row r="237">
          <cell r="A237">
            <v>7377</v>
          </cell>
          <cell r="B237">
            <v>259</v>
          </cell>
          <cell r="C237">
            <v>51045</v>
          </cell>
          <cell r="D237">
            <v>8649</v>
          </cell>
          <cell r="E237">
            <v>15001</v>
          </cell>
        </row>
        <row r="238">
          <cell r="A238">
            <v>7380</v>
          </cell>
          <cell r="B238">
            <v>259</v>
          </cell>
          <cell r="C238">
            <v>58406</v>
          </cell>
          <cell r="D238">
            <v>8530</v>
          </cell>
          <cell r="E238">
            <v>19293</v>
          </cell>
        </row>
        <row r="239">
          <cell r="A239">
            <v>7430</v>
          </cell>
          <cell r="B239">
            <v>259</v>
          </cell>
          <cell r="C239">
            <v>63531</v>
          </cell>
          <cell r="D239">
            <v>12344</v>
          </cell>
          <cell r="E239">
            <v>18189</v>
          </cell>
        </row>
        <row r="240">
          <cell r="A240">
            <v>7442</v>
          </cell>
          <cell r="B240">
            <v>259</v>
          </cell>
          <cell r="C240">
            <v>64264</v>
          </cell>
          <cell r="D240">
            <v>17767</v>
          </cell>
          <cell r="E240">
            <v>12635</v>
          </cell>
        </row>
        <row r="241">
          <cell r="A241">
            <v>7470</v>
          </cell>
          <cell r="B241">
            <v>259</v>
          </cell>
          <cell r="C241">
            <v>58406</v>
          </cell>
          <cell r="D241">
            <v>8530</v>
          </cell>
          <cell r="E241">
            <v>19293</v>
          </cell>
        </row>
        <row r="242">
          <cell r="A242">
            <v>7492</v>
          </cell>
          <cell r="B242">
            <v>259</v>
          </cell>
          <cell r="C242">
            <v>44637</v>
          </cell>
          <cell r="D242">
            <v>10001</v>
          </cell>
          <cell r="E242">
            <v>10676</v>
          </cell>
        </row>
        <row r="243">
          <cell r="A243">
            <v>7497</v>
          </cell>
          <cell r="B243">
            <v>259</v>
          </cell>
          <cell r="C243">
            <v>63531</v>
          </cell>
          <cell r="D243">
            <v>12344</v>
          </cell>
          <cell r="E243">
            <v>18189</v>
          </cell>
        </row>
        <row r="244">
          <cell r="A244">
            <v>7499</v>
          </cell>
          <cell r="B244">
            <v>259</v>
          </cell>
          <cell r="C244">
            <v>43025</v>
          </cell>
          <cell r="D244">
            <v>10629</v>
          </cell>
          <cell r="E244">
            <v>8507</v>
          </cell>
        </row>
        <row r="245">
          <cell r="A245">
            <v>7501</v>
          </cell>
          <cell r="B245">
            <v>259</v>
          </cell>
          <cell r="C245">
            <v>53729</v>
          </cell>
          <cell r="D245">
            <v>14202</v>
          </cell>
          <cell r="E245">
            <v>10821</v>
          </cell>
        </row>
        <row r="246">
          <cell r="A246">
            <v>7505</v>
          </cell>
          <cell r="B246">
            <v>259</v>
          </cell>
          <cell r="C246">
            <v>28970</v>
          </cell>
          <cell r="D246">
            <v>4307</v>
          </cell>
          <cell r="E246">
            <v>9798</v>
          </cell>
        </row>
        <row r="247">
          <cell r="A247">
            <v>7506</v>
          </cell>
          <cell r="B247">
            <v>259</v>
          </cell>
          <cell r="C247">
            <v>45121</v>
          </cell>
          <cell r="D247">
            <v>11051</v>
          </cell>
          <cell r="E247">
            <v>10985</v>
          </cell>
        </row>
        <row r="248">
          <cell r="A248">
            <v>7514</v>
          </cell>
          <cell r="B248">
            <v>259</v>
          </cell>
          <cell r="C248">
            <v>42014</v>
          </cell>
          <cell r="D248">
            <v>7752</v>
          </cell>
          <cell r="E248">
            <v>12587</v>
          </cell>
        </row>
        <row r="249">
          <cell r="A249">
            <v>7525</v>
          </cell>
          <cell r="B249">
            <v>259</v>
          </cell>
          <cell r="C249">
            <v>52660</v>
          </cell>
          <cell r="D249">
            <v>9868</v>
          </cell>
          <cell r="E249">
            <v>14543</v>
          </cell>
        </row>
        <row r="250">
          <cell r="A250">
            <v>7526</v>
          </cell>
          <cell r="B250">
            <v>259</v>
          </cell>
          <cell r="C250">
            <v>48550</v>
          </cell>
          <cell r="D250">
            <v>9428</v>
          </cell>
          <cell r="E250">
            <v>12329</v>
          </cell>
        </row>
        <row r="251">
          <cell r="A251">
            <v>7545</v>
          </cell>
          <cell r="B251">
            <v>259</v>
          </cell>
          <cell r="C251">
            <v>41430</v>
          </cell>
          <cell r="D251">
            <v>8494</v>
          </cell>
          <cell r="E251">
            <v>11018</v>
          </cell>
        </row>
        <row r="252">
          <cell r="A252">
            <v>7630</v>
          </cell>
          <cell r="B252">
            <v>259</v>
          </cell>
          <cell r="C252">
            <v>47817</v>
          </cell>
          <cell r="D252">
            <v>10287</v>
          </cell>
          <cell r="E252">
            <v>11672</v>
          </cell>
        </row>
        <row r="253">
          <cell r="A253">
            <v>7636</v>
          </cell>
          <cell r="B253">
            <v>259</v>
          </cell>
          <cell r="C253">
            <v>27052</v>
          </cell>
          <cell r="D253">
            <v>3110</v>
          </cell>
          <cell r="E253">
            <v>9624</v>
          </cell>
        </row>
        <row r="254">
          <cell r="A254">
            <v>7664</v>
          </cell>
          <cell r="B254">
            <v>259</v>
          </cell>
          <cell r="C254">
            <v>38429</v>
          </cell>
          <cell r="D254">
            <v>9752</v>
          </cell>
          <cell r="E254">
            <v>9220</v>
          </cell>
        </row>
        <row r="255">
          <cell r="A255">
            <v>7665</v>
          </cell>
          <cell r="B255">
            <v>259</v>
          </cell>
          <cell r="C255">
            <v>32675</v>
          </cell>
          <cell r="D255">
            <v>8783</v>
          </cell>
          <cell r="E255">
            <v>7479</v>
          </cell>
        </row>
        <row r="256">
          <cell r="A256">
            <v>7666</v>
          </cell>
          <cell r="B256">
            <v>259</v>
          </cell>
          <cell r="C256">
            <v>46927</v>
          </cell>
          <cell r="D256">
            <v>14073</v>
          </cell>
          <cell r="E256">
            <v>8665</v>
          </cell>
        </row>
        <row r="257">
          <cell r="A257">
            <v>7699</v>
          </cell>
          <cell r="B257">
            <v>259</v>
          </cell>
          <cell r="C257">
            <v>22562</v>
          </cell>
          <cell r="D257">
            <v>6440</v>
          </cell>
          <cell r="E257">
            <v>6531</v>
          </cell>
        </row>
        <row r="258">
          <cell r="A258">
            <v>7716</v>
          </cell>
          <cell r="B258">
            <v>259</v>
          </cell>
          <cell r="C258">
            <v>27140</v>
          </cell>
          <cell r="D258">
            <v>6330</v>
          </cell>
          <cell r="E258">
            <v>6292</v>
          </cell>
        </row>
        <row r="259">
          <cell r="A259">
            <v>7723</v>
          </cell>
          <cell r="B259">
            <v>259</v>
          </cell>
          <cell r="C259">
            <v>41651</v>
          </cell>
          <cell r="D259">
            <v>10201</v>
          </cell>
          <cell r="E259">
            <v>9224</v>
          </cell>
        </row>
        <row r="260">
          <cell r="A260">
            <v>7724</v>
          </cell>
          <cell r="B260">
            <v>259</v>
          </cell>
          <cell r="C260">
            <v>43160</v>
          </cell>
          <cell r="D260">
            <v>9029</v>
          </cell>
          <cell r="E260">
            <v>10598</v>
          </cell>
        </row>
        <row r="261">
          <cell r="A261">
            <v>7725</v>
          </cell>
          <cell r="B261">
            <v>259</v>
          </cell>
          <cell r="C261">
            <v>43160</v>
          </cell>
          <cell r="D261">
            <v>9029</v>
          </cell>
          <cell r="E261">
            <v>10598</v>
          </cell>
        </row>
        <row r="262">
          <cell r="A262">
            <v>7772</v>
          </cell>
          <cell r="B262">
            <v>259</v>
          </cell>
          <cell r="C262">
            <v>61862</v>
          </cell>
          <cell r="D262">
            <v>9302</v>
          </cell>
          <cell r="E262">
            <v>20362</v>
          </cell>
        </row>
        <row r="263">
          <cell r="A263">
            <v>7872</v>
          </cell>
          <cell r="B263">
            <v>259</v>
          </cell>
          <cell r="C263">
            <v>51919</v>
          </cell>
          <cell r="D263">
            <v>10833</v>
          </cell>
          <cell r="E263">
            <v>12291</v>
          </cell>
        </row>
        <row r="264">
          <cell r="A264">
            <v>7873</v>
          </cell>
          <cell r="B264">
            <v>259</v>
          </cell>
          <cell r="C264">
            <v>63157</v>
          </cell>
          <cell r="D264">
            <v>13985</v>
          </cell>
          <cell r="E264">
            <v>13694</v>
          </cell>
        </row>
        <row r="265">
          <cell r="A265">
            <v>7874</v>
          </cell>
          <cell r="B265">
            <v>259</v>
          </cell>
          <cell r="C265">
            <v>72268</v>
          </cell>
          <cell r="D265">
            <v>12831</v>
          </cell>
          <cell r="E265">
            <v>19535</v>
          </cell>
        </row>
        <row r="266">
          <cell r="A266">
            <v>7963</v>
          </cell>
          <cell r="B266">
            <v>259</v>
          </cell>
          <cell r="C266">
            <v>86287</v>
          </cell>
          <cell r="D266">
            <v>17110</v>
          </cell>
          <cell r="E266">
            <v>20067</v>
          </cell>
        </row>
        <row r="267">
          <cell r="A267">
            <v>8022</v>
          </cell>
          <cell r="B267">
            <v>259</v>
          </cell>
          <cell r="C267">
            <v>94738</v>
          </cell>
          <cell r="D267">
            <v>18419</v>
          </cell>
          <cell r="E267">
            <v>22096</v>
          </cell>
        </row>
        <row r="268">
          <cell r="A268">
            <v>8042</v>
          </cell>
          <cell r="B268">
            <v>259</v>
          </cell>
          <cell r="C268">
            <v>82655</v>
          </cell>
          <cell r="D268">
            <v>15966</v>
          </cell>
          <cell r="E268">
            <v>19834</v>
          </cell>
        </row>
        <row r="269">
          <cell r="A269">
            <v>8054</v>
          </cell>
          <cell r="B269">
            <v>259</v>
          </cell>
          <cell r="C269">
            <v>80586</v>
          </cell>
          <cell r="D269">
            <v>16822</v>
          </cell>
          <cell r="E269">
            <v>19582</v>
          </cell>
        </row>
        <row r="270">
          <cell r="A270">
            <v>8056</v>
          </cell>
          <cell r="B270">
            <v>259</v>
          </cell>
          <cell r="C270">
            <v>84952</v>
          </cell>
          <cell r="D270">
            <v>16481</v>
          </cell>
          <cell r="E270">
            <v>20987</v>
          </cell>
        </row>
        <row r="271">
          <cell r="A271">
            <v>8057</v>
          </cell>
          <cell r="B271">
            <v>259</v>
          </cell>
          <cell r="C271">
            <v>76833</v>
          </cell>
          <cell r="D271">
            <v>15187</v>
          </cell>
          <cell r="E271">
            <v>20114</v>
          </cell>
        </row>
        <row r="272">
          <cell r="A272">
            <v>8058</v>
          </cell>
          <cell r="B272">
            <v>259</v>
          </cell>
          <cell r="C272">
            <v>64667</v>
          </cell>
          <cell r="D272">
            <v>11767</v>
          </cell>
          <cell r="E272">
            <v>17439</v>
          </cell>
        </row>
        <row r="273">
          <cell r="A273">
            <v>8059</v>
          </cell>
          <cell r="B273">
            <v>259</v>
          </cell>
          <cell r="C273">
            <v>56727</v>
          </cell>
          <cell r="D273">
            <v>11079</v>
          </cell>
          <cell r="E273">
            <v>15109</v>
          </cell>
        </row>
        <row r="274">
          <cell r="A274">
            <v>8060</v>
          </cell>
          <cell r="B274">
            <v>259</v>
          </cell>
          <cell r="C274">
            <v>63541</v>
          </cell>
          <cell r="D274">
            <v>13799</v>
          </cell>
          <cell r="E274">
            <v>14175</v>
          </cell>
        </row>
        <row r="275">
          <cell r="A275">
            <v>8102</v>
          </cell>
          <cell r="B275">
            <v>259</v>
          </cell>
          <cell r="C275">
            <v>17137</v>
          </cell>
          <cell r="D275">
            <v>579</v>
          </cell>
          <cell r="E275">
            <v>5809</v>
          </cell>
        </row>
        <row r="276">
          <cell r="A276">
            <v>8103</v>
          </cell>
          <cell r="B276">
            <v>259</v>
          </cell>
          <cell r="C276">
            <v>67709</v>
          </cell>
          <cell r="D276">
            <v>18931</v>
          </cell>
          <cell r="E276">
            <v>13450</v>
          </cell>
        </row>
        <row r="277">
          <cell r="A277">
            <v>8185</v>
          </cell>
          <cell r="B277">
            <v>259</v>
          </cell>
          <cell r="C277">
            <v>17811</v>
          </cell>
          <cell r="D277">
            <v>4685</v>
          </cell>
          <cell r="E277">
            <v>1920</v>
          </cell>
        </row>
        <row r="278">
          <cell r="A278">
            <v>8218</v>
          </cell>
          <cell r="B278">
            <v>259</v>
          </cell>
          <cell r="C278">
            <v>31443</v>
          </cell>
          <cell r="D278">
            <v>6047</v>
          </cell>
          <cell r="E278">
            <v>6228</v>
          </cell>
        </row>
        <row r="279">
          <cell r="A279">
            <v>8337</v>
          </cell>
          <cell r="B279">
            <v>259</v>
          </cell>
          <cell r="C279">
            <v>75172</v>
          </cell>
          <cell r="D279">
            <v>12161</v>
          </cell>
          <cell r="E279">
            <v>21198</v>
          </cell>
        </row>
        <row r="280">
          <cell r="A280">
            <v>8339</v>
          </cell>
          <cell r="B280">
            <v>259</v>
          </cell>
          <cell r="C280">
            <v>79306</v>
          </cell>
          <cell r="D280">
            <v>17769</v>
          </cell>
          <cell r="E280">
            <v>14460</v>
          </cell>
        </row>
        <row r="281">
          <cell r="A281">
            <v>8353</v>
          </cell>
          <cell r="B281">
            <v>259</v>
          </cell>
          <cell r="C281">
            <v>8242</v>
          </cell>
          <cell r="D281">
            <v>1634</v>
          </cell>
          <cell r="E281">
            <v>2005</v>
          </cell>
        </row>
        <row r="282">
          <cell r="A282">
            <v>8647</v>
          </cell>
          <cell r="B282">
            <v>259</v>
          </cell>
          <cell r="C282">
            <v>42782</v>
          </cell>
          <cell r="D282">
            <v>13163</v>
          </cell>
          <cell r="E282">
            <v>7831</v>
          </cell>
        </row>
        <row r="283">
          <cell r="A283">
            <v>8720</v>
          </cell>
          <cell r="B283">
            <v>259</v>
          </cell>
          <cell r="C283">
            <v>13429</v>
          </cell>
          <cell r="D283">
            <v>1803</v>
          </cell>
          <cell r="E283">
            <v>5461</v>
          </cell>
        </row>
        <row r="284">
          <cell r="A284">
            <v>8768</v>
          </cell>
          <cell r="B284">
            <v>259</v>
          </cell>
          <cell r="C284">
            <v>104204</v>
          </cell>
          <cell r="D284">
            <v>15543</v>
          </cell>
          <cell r="E284">
            <v>29858</v>
          </cell>
        </row>
        <row r="285">
          <cell r="A285">
            <v>8769</v>
          </cell>
          <cell r="B285">
            <v>259</v>
          </cell>
          <cell r="C285">
            <v>101847</v>
          </cell>
          <cell r="D285">
            <v>24002</v>
          </cell>
          <cell r="E285">
            <v>18292</v>
          </cell>
        </row>
        <row r="286">
          <cell r="A286">
            <v>8770</v>
          </cell>
          <cell r="B286">
            <v>259</v>
          </cell>
          <cell r="C286">
            <v>104549</v>
          </cell>
          <cell r="D286">
            <v>17110</v>
          </cell>
          <cell r="E286">
            <v>29487</v>
          </cell>
        </row>
        <row r="287">
          <cell r="A287">
            <v>8771</v>
          </cell>
          <cell r="B287">
            <v>259</v>
          </cell>
          <cell r="C287">
            <v>105238</v>
          </cell>
          <cell r="D287">
            <v>23524</v>
          </cell>
          <cell r="E287">
            <v>20305</v>
          </cell>
        </row>
        <row r="288">
          <cell r="A288">
            <v>8772</v>
          </cell>
          <cell r="B288">
            <v>259</v>
          </cell>
          <cell r="C288">
            <v>105919</v>
          </cell>
          <cell r="D288">
            <v>24299</v>
          </cell>
          <cell r="E288">
            <v>20110</v>
          </cell>
        </row>
        <row r="289">
          <cell r="A289">
            <v>8773</v>
          </cell>
          <cell r="B289">
            <v>259</v>
          </cell>
          <cell r="C289">
            <v>101871</v>
          </cell>
          <cell r="D289">
            <v>23531</v>
          </cell>
          <cell r="E289">
            <v>19112</v>
          </cell>
        </row>
        <row r="290">
          <cell r="A290">
            <v>8774</v>
          </cell>
          <cell r="B290">
            <v>259</v>
          </cell>
          <cell r="C290">
            <v>108601</v>
          </cell>
          <cell r="D290">
            <v>26321</v>
          </cell>
          <cell r="E290">
            <v>20306</v>
          </cell>
        </row>
        <row r="291">
          <cell r="A291">
            <v>8775</v>
          </cell>
          <cell r="B291">
            <v>259</v>
          </cell>
          <cell r="C291">
            <v>113471</v>
          </cell>
          <cell r="D291">
            <v>27762</v>
          </cell>
          <cell r="E291">
            <v>21931</v>
          </cell>
        </row>
        <row r="292">
          <cell r="A292">
            <v>8776</v>
          </cell>
          <cell r="B292">
            <v>259</v>
          </cell>
          <cell r="C292">
            <v>122610</v>
          </cell>
          <cell r="D292">
            <v>18928</v>
          </cell>
          <cell r="E292">
            <v>34197</v>
          </cell>
        </row>
        <row r="293">
          <cell r="A293">
            <v>8777</v>
          </cell>
          <cell r="B293">
            <v>259</v>
          </cell>
          <cell r="C293">
            <v>83100</v>
          </cell>
          <cell r="D293">
            <v>16880</v>
          </cell>
          <cell r="E293">
            <v>24986</v>
          </cell>
        </row>
        <row r="294">
          <cell r="A294">
            <v>8778</v>
          </cell>
          <cell r="B294">
            <v>259</v>
          </cell>
          <cell r="C294">
            <v>94559</v>
          </cell>
          <cell r="D294">
            <v>18859</v>
          </cell>
          <cell r="E294">
            <v>27807</v>
          </cell>
        </row>
        <row r="295">
          <cell r="A295">
            <v>8780</v>
          </cell>
          <cell r="B295">
            <v>259</v>
          </cell>
          <cell r="C295">
            <v>76340</v>
          </cell>
          <cell r="D295">
            <v>16202</v>
          </cell>
          <cell r="E295">
            <v>21651</v>
          </cell>
        </row>
        <row r="296">
          <cell r="A296">
            <v>8781</v>
          </cell>
          <cell r="B296">
            <v>259</v>
          </cell>
          <cell r="C296">
            <v>75703</v>
          </cell>
          <cell r="D296">
            <v>17887</v>
          </cell>
          <cell r="E296">
            <v>18190</v>
          </cell>
        </row>
        <row r="297">
          <cell r="A297">
            <v>8784</v>
          </cell>
          <cell r="B297">
            <v>259</v>
          </cell>
          <cell r="C297">
            <v>106271</v>
          </cell>
          <cell r="D297">
            <v>22867</v>
          </cell>
          <cell r="E297">
            <v>25920</v>
          </cell>
        </row>
        <row r="298">
          <cell r="A298">
            <v>8785</v>
          </cell>
          <cell r="B298">
            <v>259</v>
          </cell>
          <cell r="C298">
            <v>111386</v>
          </cell>
          <cell r="D298">
            <v>24233</v>
          </cell>
          <cell r="E298">
            <v>27154</v>
          </cell>
        </row>
        <row r="299">
          <cell r="A299">
            <v>8786</v>
          </cell>
          <cell r="B299">
            <v>259</v>
          </cell>
          <cell r="C299">
            <v>103717</v>
          </cell>
          <cell r="D299">
            <v>21525</v>
          </cell>
          <cell r="E299">
            <v>26792</v>
          </cell>
        </row>
        <row r="300">
          <cell r="A300">
            <v>8787</v>
          </cell>
          <cell r="B300">
            <v>259</v>
          </cell>
          <cell r="C300">
            <v>96875</v>
          </cell>
          <cell r="D300">
            <v>19895</v>
          </cell>
          <cell r="E300">
            <v>25193</v>
          </cell>
        </row>
        <row r="301">
          <cell r="A301">
            <v>8788</v>
          </cell>
          <cell r="B301">
            <v>259</v>
          </cell>
          <cell r="C301">
            <v>101674</v>
          </cell>
          <cell r="D301">
            <v>20809</v>
          </cell>
          <cell r="E301">
            <v>26879</v>
          </cell>
        </row>
        <row r="302">
          <cell r="A302">
            <v>8789</v>
          </cell>
          <cell r="B302">
            <v>259</v>
          </cell>
          <cell r="C302">
            <v>105554</v>
          </cell>
          <cell r="D302">
            <v>22329</v>
          </cell>
          <cell r="E302">
            <v>27562</v>
          </cell>
        </row>
        <row r="303">
          <cell r="A303">
            <v>8790</v>
          </cell>
          <cell r="B303">
            <v>259</v>
          </cell>
          <cell r="C303">
            <v>114334</v>
          </cell>
          <cell r="D303">
            <v>24225</v>
          </cell>
          <cell r="E303">
            <v>28193</v>
          </cell>
        </row>
        <row r="304">
          <cell r="A304">
            <v>8791</v>
          </cell>
          <cell r="B304">
            <v>259</v>
          </cell>
          <cell r="C304">
            <v>94609</v>
          </cell>
          <cell r="D304">
            <v>20179</v>
          </cell>
          <cell r="E304">
            <v>25120</v>
          </cell>
        </row>
        <row r="305">
          <cell r="A305">
            <v>8792</v>
          </cell>
          <cell r="B305">
            <v>259</v>
          </cell>
          <cell r="C305">
            <v>100921</v>
          </cell>
          <cell r="D305">
            <v>22106</v>
          </cell>
          <cell r="E305">
            <v>25625</v>
          </cell>
        </row>
        <row r="306">
          <cell r="A306">
            <v>8793</v>
          </cell>
          <cell r="B306">
            <v>259</v>
          </cell>
          <cell r="C306">
            <v>106854</v>
          </cell>
          <cell r="D306">
            <v>21728</v>
          </cell>
          <cell r="E306">
            <v>27795</v>
          </cell>
        </row>
        <row r="307">
          <cell r="A307">
            <v>8794</v>
          </cell>
          <cell r="B307">
            <v>259</v>
          </cell>
          <cell r="C307">
            <v>111304</v>
          </cell>
          <cell r="D307">
            <v>24145</v>
          </cell>
          <cell r="E307">
            <v>27945</v>
          </cell>
        </row>
        <row r="308">
          <cell r="A308">
            <v>8797</v>
          </cell>
          <cell r="B308">
            <v>259</v>
          </cell>
          <cell r="C308">
            <v>98619</v>
          </cell>
          <cell r="D308">
            <v>19857</v>
          </cell>
          <cell r="E308">
            <v>23518</v>
          </cell>
        </row>
        <row r="309">
          <cell r="A309">
            <v>8802</v>
          </cell>
          <cell r="B309">
            <v>259</v>
          </cell>
          <cell r="C309">
            <v>79706</v>
          </cell>
          <cell r="D309">
            <v>18356</v>
          </cell>
          <cell r="E309">
            <v>18903</v>
          </cell>
        </row>
        <row r="310">
          <cell r="A310">
            <v>8803</v>
          </cell>
          <cell r="B310">
            <v>259</v>
          </cell>
          <cell r="C310">
            <v>88378</v>
          </cell>
          <cell r="D310">
            <v>19189</v>
          </cell>
          <cell r="E310">
            <v>20071</v>
          </cell>
        </row>
        <row r="311">
          <cell r="A311">
            <v>8804</v>
          </cell>
          <cell r="B311">
            <v>259</v>
          </cell>
          <cell r="C311">
            <v>124257</v>
          </cell>
          <cell r="D311">
            <v>21423</v>
          </cell>
          <cell r="E311">
            <v>32158</v>
          </cell>
        </row>
        <row r="312">
          <cell r="A312">
            <v>8807</v>
          </cell>
          <cell r="B312">
            <v>259</v>
          </cell>
          <cell r="C312">
            <v>129404</v>
          </cell>
          <cell r="D312">
            <v>20723</v>
          </cell>
          <cell r="E312">
            <v>36424</v>
          </cell>
        </row>
        <row r="313">
          <cell r="A313">
            <v>8808</v>
          </cell>
          <cell r="B313">
            <v>259</v>
          </cell>
          <cell r="C313">
            <v>136902</v>
          </cell>
          <cell r="D313">
            <v>30480</v>
          </cell>
          <cell r="E313">
            <v>26100</v>
          </cell>
        </row>
        <row r="314">
          <cell r="A314">
            <v>8809</v>
          </cell>
          <cell r="B314">
            <v>259</v>
          </cell>
          <cell r="C314">
            <v>117318</v>
          </cell>
          <cell r="D314">
            <v>18775</v>
          </cell>
          <cell r="E314">
            <v>33814</v>
          </cell>
        </row>
        <row r="315">
          <cell r="A315">
            <v>8810</v>
          </cell>
          <cell r="B315">
            <v>259</v>
          </cell>
          <cell r="C315">
            <v>118235</v>
          </cell>
          <cell r="D315">
            <v>27071</v>
          </cell>
          <cell r="E315">
            <v>21348</v>
          </cell>
        </row>
        <row r="316">
          <cell r="A316">
            <v>8811</v>
          </cell>
          <cell r="B316">
            <v>259</v>
          </cell>
          <cell r="C316">
            <v>122129</v>
          </cell>
          <cell r="D316">
            <v>28596</v>
          </cell>
          <cell r="E316">
            <v>22400</v>
          </cell>
        </row>
        <row r="317">
          <cell r="A317">
            <v>8812</v>
          </cell>
          <cell r="B317">
            <v>259</v>
          </cell>
          <cell r="C317">
            <v>113565</v>
          </cell>
          <cell r="D317">
            <v>17290</v>
          </cell>
          <cell r="E317">
            <v>32610</v>
          </cell>
        </row>
        <row r="318">
          <cell r="A318">
            <v>8813</v>
          </cell>
          <cell r="B318">
            <v>259</v>
          </cell>
          <cell r="C318">
            <v>139612</v>
          </cell>
          <cell r="D318">
            <v>21009</v>
          </cell>
          <cell r="E318">
            <v>39676</v>
          </cell>
        </row>
        <row r="319">
          <cell r="A319">
            <v>8814</v>
          </cell>
          <cell r="B319">
            <v>259</v>
          </cell>
          <cell r="C319">
            <v>151930</v>
          </cell>
          <cell r="D319">
            <v>36277</v>
          </cell>
          <cell r="E319">
            <v>29575</v>
          </cell>
        </row>
        <row r="320">
          <cell r="A320">
            <v>8815</v>
          </cell>
          <cell r="B320">
            <v>259</v>
          </cell>
          <cell r="C320">
            <v>91944</v>
          </cell>
          <cell r="D320">
            <v>18145</v>
          </cell>
          <cell r="E320">
            <v>20818</v>
          </cell>
        </row>
        <row r="321">
          <cell r="A321">
            <v>8816</v>
          </cell>
          <cell r="B321">
            <v>259</v>
          </cell>
          <cell r="C321">
            <v>105869</v>
          </cell>
          <cell r="D321">
            <v>23486</v>
          </cell>
          <cell r="E321">
            <v>24382</v>
          </cell>
        </row>
        <row r="322">
          <cell r="A322">
            <v>8817</v>
          </cell>
          <cell r="B322">
            <v>259</v>
          </cell>
          <cell r="C322">
            <v>92163</v>
          </cell>
          <cell r="D322">
            <v>20387</v>
          </cell>
          <cell r="E322">
            <v>22278</v>
          </cell>
        </row>
        <row r="323">
          <cell r="A323">
            <v>8820</v>
          </cell>
          <cell r="B323">
            <v>259</v>
          </cell>
          <cell r="C323">
            <v>85260</v>
          </cell>
          <cell r="D323">
            <v>20800</v>
          </cell>
          <cell r="E323">
            <v>19254</v>
          </cell>
        </row>
        <row r="324">
          <cell r="A324">
            <v>8821</v>
          </cell>
          <cell r="B324">
            <v>259</v>
          </cell>
          <cell r="C324">
            <v>90622</v>
          </cell>
          <cell r="D324">
            <v>17077</v>
          </cell>
          <cell r="E324">
            <v>25469</v>
          </cell>
        </row>
        <row r="325">
          <cell r="A325">
            <v>8822</v>
          </cell>
          <cell r="B325">
            <v>259</v>
          </cell>
          <cell r="C325">
            <v>68277</v>
          </cell>
          <cell r="D325">
            <v>13992</v>
          </cell>
          <cell r="E325">
            <v>19238</v>
          </cell>
        </row>
        <row r="326">
          <cell r="A326">
            <v>8823</v>
          </cell>
          <cell r="B326">
            <v>259</v>
          </cell>
          <cell r="C326">
            <v>64701</v>
          </cell>
          <cell r="D326">
            <v>15781</v>
          </cell>
          <cell r="E326">
            <v>15228</v>
          </cell>
        </row>
        <row r="327">
          <cell r="A327">
            <v>8824</v>
          </cell>
          <cell r="B327">
            <v>259</v>
          </cell>
          <cell r="C327">
            <v>71501</v>
          </cell>
          <cell r="D327">
            <v>19130</v>
          </cell>
          <cell r="E327">
            <v>14020</v>
          </cell>
        </row>
        <row r="328">
          <cell r="A328">
            <v>8825</v>
          </cell>
          <cell r="B328">
            <v>259</v>
          </cell>
          <cell r="C328">
            <v>74997</v>
          </cell>
          <cell r="D328">
            <v>11842</v>
          </cell>
          <cell r="E328">
            <v>23357</v>
          </cell>
        </row>
        <row r="329">
          <cell r="A329">
            <v>8826</v>
          </cell>
          <cell r="B329">
            <v>259</v>
          </cell>
          <cell r="C329">
            <v>85106</v>
          </cell>
          <cell r="D329">
            <v>18758</v>
          </cell>
          <cell r="E329">
            <v>22238</v>
          </cell>
        </row>
        <row r="330">
          <cell r="A330">
            <v>8827</v>
          </cell>
          <cell r="B330">
            <v>259</v>
          </cell>
          <cell r="C330">
            <v>114194</v>
          </cell>
          <cell r="D330">
            <v>23672</v>
          </cell>
          <cell r="E330">
            <v>30840</v>
          </cell>
        </row>
        <row r="331">
          <cell r="A331">
            <v>8828</v>
          </cell>
          <cell r="B331">
            <v>259</v>
          </cell>
          <cell r="C331">
            <v>77894</v>
          </cell>
          <cell r="D331">
            <v>15890</v>
          </cell>
          <cell r="E331">
            <v>21126</v>
          </cell>
        </row>
        <row r="332">
          <cell r="A332">
            <v>8829</v>
          </cell>
          <cell r="B332">
            <v>259</v>
          </cell>
          <cell r="C332">
            <v>63328</v>
          </cell>
          <cell r="D332">
            <v>10874</v>
          </cell>
          <cell r="E332">
            <v>16516</v>
          </cell>
        </row>
        <row r="333">
          <cell r="A333">
            <v>8830</v>
          </cell>
          <cell r="B333">
            <v>259</v>
          </cell>
          <cell r="C333">
            <v>49665</v>
          </cell>
          <cell r="D333">
            <v>8806</v>
          </cell>
          <cell r="E333">
            <v>13137</v>
          </cell>
        </row>
        <row r="334">
          <cell r="A334">
            <v>8831</v>
          </cell>
          <cell r="B334">
            <v>259</v>
          </cell>
          <cell r="C334">
            <v>55335</v>
          </cell>
          <cell r="D334">
            <v>9725</v>
          </cell>
          <cell r="E334">
            <v>14692</v>
          </cell>
        </row>
        <row r="335">
          <cell r="A335">
            <v>8832</v>
          </cell>
          <cell r="B335">
            <v>259</v>
          </cell>
          <cell r="C335">
            <v>57753</v>
          </cell>
          <cell r="D335">
            <v>10538</v>
          </cell>
          <cell r="E335">
            <v>15058</v>
          </cell>
        </row>
        <row r="336">
          <cell r="A336">
            <v>8833</v>
          </cell>
          <cell r="B336">
            <v>259</v>
          </cell>
          <cell r="C336">
            <v>60035</v>
          </cell>
          <cell r="D336">
            <v>13250</v>
          </cell>
          <cell r="E336">
            <v>14070</v>
          </cell>
        </row>
        <row r="337">
          <cell r="A337">
            <v>8834</v>
          </cell>
          <cell r="B337">
            <v>259</v>
          </cell>
          <cell r="C337">
            <v>52739</v>
          </cell>
          <cell r="D337">
            <v>10826</v>
          </cell>
          <cell r="E337">
            <v>13370</v>
          </cell>
        </row>
        <row r="338">
          <cell r="A338">
            <v>8835</v>
          </cell>
          <cell r="B338">
            <v>259</v>
          </cell>
          <cell r="C338">
            <v>68995</v>
          </cell>
          <cell r="D338">
            <v>12719</v>
          </cell>
          <cell r="E338">
            <v>18293</v>
          </cell>
        </row>
        <row r="339">
          <cell r="A339">
            <v>8836</v>
          </cell>
          <cell r="B339">
            <v>259</v>
          </cell>
          <cell r="C339">
            <v>67601</v>
          </cell>
          <cell r="D339">
            <v>14507</v>
          </cell>
          <cell r="E339">
            <v>14752</v>
          </cell>
        </row>
        <row r="340">
          <cell r="A340">
            <v>8837</v>
          </cell>
          <cell r="B340">
            <v>259</v>
          </cell>
          <cell r="C340">
            <v>69632</v>
          </cell>
          <cell r="D340">
            <v>12472</v>
          </cell>
          <cell r="E340">
            <v>18972</v>
          </cell>
        </row>
        <row r="341">
          <cell r="A341">
            <v>8838</v>
          </cell>
          <cell r="B341">
            <v>259</v>
          </cell>
          <cell r="C341">
            <v>67902</v>
          </cell>
          <cell r="D341">
            <v>15506</v>
          </cell>
          <cell r="E341">
            <v>14861</v>
          </cell>
        </row>
        <row r="342">
          <cell r="A342">
            <v>8839</v>
          </cell>
          <cell r="B342">
            <v>259</v>
          </cell>
          <cell r="C342">
            <v>61864</v>
          </cell>
          <cell r="D342">
            <v>11349</v>
          </cell>
          <cell r="E342">
            <v>17239</v>
          </cell>
        </row>
        <row r="343">
          <cell r="A343">
            <v>8840</v>
          </cell>
          <cell r="B343">
            <v>259</v>
          </cell>
          <cell r="C343">
            <v>60569</v>
          </cell>
          <cell r="D343">
            <v>14154</v>
          </cell>
          <cell r="E343">
            <v>13650</v>
          </cell>
        </row>
        <row r="344">
          <cell r="A344">
            <v>8841</v>
          </cell>
          <cell r="B344">
            <v>259</v>
          </cell>
          <cell r="C344">
            <v>76697</v>
          </cell>
          <cell r="D344">
            <v>16482</v>
          </cell>
          <cell r="E344">
            <v>16720</v>
          </cell>
        </row>
        <row r="345">
          <cell r="A345">
            <v>8842</v>
          </cell>
          <cell r="B345">
            <v>259</v>
          </cell>
          <cell r="C345">
            <v>78077</v>
          </cell>
          <cell r="D345">
            <v>16402</v>
          </cell>
          <cell r="E345">
            <v>18177</v>
          </cell>
        </row>
        <row r="346">
          <cell r="A346">
            <v>8843</v>
          </cell>
          <cell r="B346">
            <v>259</v>
          </cell>
          <cell r="C346">
            <v>88994</v>
          </cell>
          <cell r="D346">
            <v>17512</v>
          </cell>
          <cell r="E346">
            <v>22134</v>
          </cell>
        </row>
        <row r="347">
          <cell r="A347">
            <v>8844</v>
          </cell>
          <cell r="B347">
            <v>259</v>
          </cell>
          <cell r="C347">
            <v>85611</v>
          </cell>
          <cell r="D347">
            <v>17227</v>
          </cell>
          <cell r="E347">
            <v>20004</v>
          </cell>
        </row>
        <row r="348">
          <cell r="A348">
            <v>8845</v>
          </cell>
          <cell r="B348">
            <v>259</v>
          </cell>
          <cell r="C348">
            <v>92851</v>
          </cell>
          <cell r="D348">
            <v>18375</v>
          </cell>
          <cell r="E348">
            <v>22332</v>
          </cell>
        </row>
        <row r="349">
          <cell r="A349">
            <v>8846</v>
          </cell>
          <cell r="B349">
            <v>259</v>
          </cell>
          <cell r="C349">
            <v>86287</v>
          </cell>
          <cell r="D349">
            <v>17110</v>
          </cell>
          <cell r="E349">
            <v>20067</v>
          </cell>
        </row>
        <row r="350">
          <cell r="A350">
            <v>8879</v>
          </cell>
          <cell r="B350">
            <v>259</v>
          </cell>
          <cell r="C350">
            <v>76611</v>
          </cell>
          <cell r="D350">
            <v>16391</v>
          </cell>
          <cell r="E350">
            <v>18797</v>
          </cell>
        </row>
        <row r="351">
          <cell r="A351">
            <v>8887</v>
          </cell>
          <cell r="B351">
            <v>259</v>
          </cell>
          <cell r="C351">
            <v>93840</v>
          </cell>
          <cell r="D351">
            <v>19086</v>
          </cell>
          <cell r="E351">
            <v>22881</v>
          </cell>
        </row>
        <row r="352">
          <cell r="A352">
            <v>8896</v>
          </cell>
          <cell r="B352">
            <v>259</v>
          </cell>
          <cell r="C352">
            <v>77881</v>
          </cell>
          <cell r="D352">
            <v>11615</v>
          </cell>
          <cell r="E352">
            <v>24562</v>
          </cell>
        </row>
        <row r="353">
          <cell r="A353">
            <v>8899</v>
          </cell>
          <cell r="B353">
            <v>259</v>
          </cell>
          <cell r="C353">
            <v>122312</v>
          </cell>
          <cell r="D353">
            <v>29352</v>
          </cell>
          <cell r="E353">
            <v>23644</v>
          </cell>
        </row>
        <row r="354">
          <cell r="A354">
            <v>8900</v>
          </cell>
          <cell r="B354">
            <v>259</v>
          </cell>
          <cell r="C354">
            <v>113895</v>
          </cell>
          <cell r="D354">
            <v>27642</v>
          </cell>
          <cell r="E354">
            <v>21691</v>
          </cell>
        </row>
        <row r="355">
          <cell r="A355">
            <v>8902</v>
          </cell>
          <cell r="B355">
            <v>259</v>
          </cell>
          <cell r="C355">
            <v>54601</v>
          </cell>
          <cell r="D355">
            <v>13350</v>
          </cell>
          <cell r="E355">
            <v>13037</v>
          </cell>
        </row>
        <row r="356">
          <cell r="A356">
            <v>8921</v>
          </cell>
          <cell r="B356">
            <v>259</v>
          </cell>
          <cell r="C356">
            <v>74190</v>
          </cell>
          <cell r="D356">
            <v>16665</v>
          </cell>
          <cell r="E356">
            <v>18238</v>
          </cell>
        </row>
        <row r="357">
          <cell r="A357">
            <v>8930</v>
          </cell>
          <cell r="B357">
            <v>259</v>
          </cell>
          <cell r="C357">
            <v>49796</v>
          </cell>
          <cell r="D357">
            <v>10892</v>
          </cell>
          <cell r="E357">
            <v>13766</v>
          </cell>
        </row>
        <row r="358">
          <cell r="A358">
            <v>8933</v>
          </cell>
          <cell r="B358">
            <v>259</v>
          </cell>
          <cell r="C358">
            <v>104412</v>
          </cell>
          <cell r="D358">
            <v>17717</v>
          </cell>
          <cell r="E358">
            <v>30283</v>
          </cell>
        </row>
        <row r="359">
          <cell r="A359">
            <v>8938</v>
          </cell>
          <cell r="B359">
            <v>259</v>
          </cell>
          <cell r="C359">
            <v>92311</v>
          </cell>
          <cell r="D359">
            <v>17354</v>
          </cell>
          <cell r="E359">
            <v>23270</v>
          </cell>
        </row>
        <row r="360">
          <cell r="A360">
            <v>8939</v>
          </cell>
          <cell r="B360">
            <v>259</v>
          </cell>
          <cell r="C360">
            <v>102943</v>
          </cell>
          <cell r="D360">
            <v>23629</v>
          </cell>
          <cell r="E360">
            <v>23643</v>
          </cell>
        </row>
        <row r="361">
          <cell r="A361">
            <v>8944</v>
          </cell>
          <cell r="B361">
            <v>259</v>
          </cell>
          <cell r="C361">
            <v>92311</v>
          </cell>
          <cell r="D361">
            <v>17354</v>
          </cell>
          <cell r="E361">
            <v>23270</v>
          </cell>
        </row>
        <row r="362">
          <cell r="A362">
            <v>8954</v>
          </cell>
          <cell r="B362">
            <v>259</v>
          </cell>
          <cell r="C362">
            <v>93245</v>
          </cell>
          <cell r="D362">
            <v>21965</v>
          </cell>
          <cell r="E362">
            <v>21187</v>
          </cell>
        </row>
        <row r="363">
          <cell r="A363">
            <v>8955</v>
          </cell>
          <cell r="B363">
            <v>259</v>
          </cell>
          <cell r="C363">
            <v>84219</v>
          </cell>
          <cell r="D363">
            <v>15827</v>
          </cell>
          <cell r="E363">
            <v>22046</v>
          </cell>
        </row>
        <row r="364">
          <cell r="A364">
            <v>8966</v>
          </cell>
          <cell r="B364">
            <v>259</v>
          </cell>
          <cell r="C364">
            <v>102943</v>
          </cell>
          <cell r="D364">
            <v>23629</v>
          </cell>
          <cell r="E364">
            <v>23643</v>
          </cell>
        </row>
        <row r="365">
          <cell r="A365">
            <v>8968</v>
          </cell>
          <cell r="B365">
            <v>259</v>
          </cell>
          <cell r="C365">
            <v>91677</v>
          </cell>
          <cell r="D365">
            <v>16171</v>
          </cell>
          <cell r="E365">
            <v>25865</v>
          </cell>
        </row>
        <row r="366">
          <cell r="A366">
            <v>8972</v>
          </cell>
          <cell r="B366">
            <v>259</v>
          </cell>
          <cell r="C366">
            <v>102851</v>
          </cell>
          <cell r="D366">
            <v>25174</v>
          </cell>
          <cell r="E366">
            <v>22255</v>
          </cell>
        </row>
        <row r="367">
          <cell r="A367">
            <v>8973</v>
          </cell>
          <cell r="B367">
            <v>259</v>
          </cell>
          <cell r="C367">
            <v>96162</v>
          </cell>
          <cell r="D367">
            <v>17280</v>
          </cell>
          <cell r="E367">
            <v>26686</v>
          </cell>
        </row>
        <row r="368">
          <cell r="A368">
            <v>8976</v>
          </cell>
          <cell r="B368">
            <v>259</v>
          </cell>
          <cell r="C368">
            <v>105859</v>
          </cell>
          <cell r="D368">
            <v>26410</v>
          </cell>
          <cell r="E368">
            <v>22319</v>
          </cell>
        </row>
        <row r="369">
          <cell r="A369">
            <v>8977</v>
          </cell>
          <cell r="B369">
            <v>259</v>
          </cell>
          <cell r="C369">
            <v>97452</v>
          </cell>
          <cell r="D369">
            <v>24398</v>
          </cell>
          <cell r="E369">
            <v>20789</v>
          </cell>
        </row>
        <row r="370">
          <cell r="A370">
            <v>8982</v>
          </cell>
          <cell r="B370">
            <v>259</v>
          </cell>
          <cell r="C370">
            <v>99028</v>
          </cell>
          <cell r="D370">
            <v>20914</v>
          </cell>
          <cell r="E370">
            <v>23420</v>
          </cell>
        </row>
        <row r="371">
          <cell r="A371">
            <v>9012</v>
          </cell>
          <cell r="B371">
            <v>259</v>
          </cell>
          <cell r="C371">
            <v>10513</v>
          </cell>
          <cell r="D371">
            <v>1656</v>
          </cell>
          <cell r="E371">
            <v>4761</v>
          </cell>
        </row>
        <row r="372">
          <cell r="A372">
            <v>9022</v>
          </cell>
          <cell r="B372">
            <v>259</v>
          </cell>
          <cell r="C372">
            <v>108601</v>
          </cell>
          <cell r="D372">
            <v>26321</v>
          </cell>
          <cell r="E372">
            <v>20306</v>
          </cell>
        </row>
        <row r="373">
          <cell r="A373">
            <v>9025</v>
          </cell>
          <cell r="B373">
            <v>259</v>
          </cell>
          <cell r="C373">
            <v>101577</v>
          </cell>
          <cell r="D373">
            <v>21834</v>
          </cell>
          <cell r="E373">
            <v>19762</v>
          </cell>
        </row>
        <row r="374">
          <cell r="A374">
            <v>9027</v>
          </cell>
          <cell r="B374">
            <v>259</v>
          </cell>
          <cell r="C374">
            <v>54848</v>
          </cell>
          <cell r="D374">
            <v>13414</v>
          </cell>
          <cell r="E374">
            <v>13061</v>
          </cell>
        </row>
        <row r="375">
          <cell r="A375">
            <v>9028</v>
          </cell>
          <cell r="B375">
            <v>259</v>
          </cell>
          <cell r="C375">
            <v>64534</v>
          </cell>
          <cell r="D375">
            <v>9926</v>
          </cell>
          <cell r="E375">
            <v>21140</v>
          </cell>
        </row>
        <row r="376">
          <cell r="A376">
            <v>9029</v>
          </cell>
          <cell r="B376">
            <v>259</v>
          </cell>
          <cell r="C376">
            <v>70359</v>
          </cell>
          <cell r="D376">
            <v>19717</v>
          </cell>
          <cell r="E376">
            <v>14515</v>
          </cell>
        </row>
        <row r="377">
          <cell r="A377">
            <v>9031</v>
          </cell>
          <cell r="B377">
            <v>259</v>
          </cell>
          <cell r="C377">
            <v>5657</v>
          </cell>
          <cell r="D377">
            <v>1524</v>
          </cell>
          <cell r="E377">
            <v>646</v>
          </cell>
        </row>
        <row r="378">
          <cell r="A378">
            <v>9032</v>
          </cell>
          <cell r="B378">
            <v>259</v>
          </cell>
          <cell r="C378">
            <v>5829</v>
          </cell>
          <cell r="D378">
            <v>823</v>
          </cell>
          <cell r="E378">
            <v>1783</v>
          </cell>
        </row>
        <row r="379">
          <cell r="A379">
            <v>9033</v>
          </cell>
          <cell r="B379">
            <v>259</v>
          </cell>
          <cell r="C379">
            <v>38083</v>
          </cell>
          <cell r="D379">
            <v>9373</v>
          </cell>
          <cell r="E379">
            <v>8258</v>
          </cell>
        </row>
        <row r="380">
          <cell r="A380">
            <v>9034</v>
          </cell>
          <cell r="B380">
            <v>259</v>
          </cell>
          <cell r="C380">
            <v>27526</v>
          </cell>
          <cell r="D380">
            <v>6979</v>
          </cell>
          <cell r="E380">
            <v>6532</v>
          </cell>
        </row>
        <row r="381">
          <cell r="A381">
            <v>9035</v>
          </cell>
          <cell r="B381">
            <v>259</v>
          </cell>
          <cell r="C381">
            <v>25356</v>
          </cell>
          <cell r="D381">
            <v>4541</v>
          </cell>
          <cell r="E381">
            <v>6658</v>
          </cell>
        </row>
        <row r="382">
          <cell r="A382">
            <v>9036</v>
          </cell>
          <cell r="B382">
            <v>259</v>
          </cell>
          <cell r="C382">
            <v>39774</v>
          </cell>
          <cell r="D382">
            <v>6634</v>
          </cell>
          <cell r="E382">
            <v>10997</v>
          </cell>
        </row>
        <row r="383">
          <cell r="A383">
            <v>9037</v>
          </cell>
          <cell r="B383">
            <v>259</v>
          </cell>
          <cell r="C383">
            <v>42402</v>
          </cell>
          <cell r="D383">
            <v>6990</v>
          </cell>
          <cell r="E383">
            <v>11742</v>
          </cell>
        </row>
        <row r="384">
          <cell r="A384">
            <v>9039</v>
          </cell>
          <cell r="B384">
            <v>259</v>
          </cell>
          <cell r="C384">
            <v>70300</v>
          </cell>
          <cell r="D384">
            <v>14924</v>
          </cell>
          <cell r="E384">
            <v>15773</v>
          </cell>
        </row>
        <row r="385">
          <cell r="A385">
            <v>9041</v>
          </cell>
          <cell r="B385">
            <v>259</v>
          </cell>
          <cell r="C385">
            <v>42308</v>
          </cell>
          <cell r="D385">
            <v>10381</v>
          </cell>
          <cell r="E385">
            <v>9259</v>
          </cell>
        </row>
        <row r="386">
          <cell r="A386">
            <v>9042</v>
          </cell>
          <cell r="B386">
            <v>259</v>
          </cell>
          <cell r="C386">
            <v>91962</v>
          </cell>
          <cell r="D386">
            <v>18060</v>
          </cell>
          <cell r="E386">
            <v>23301</v>
          </cell>
        </row>
        <row r="387">
          <cell r="A387">
            <v>9043</v>
          </cell>
          <cell r="B387">
            <v>259</v>
          </cell>
          <cell r="C387">
            <v>83907</v>
          </cell>
          <cell r="D387">
            <v>17208</v>
          </cell>
          <cell r="E387">
            <v>21131</v>
          </cell>
        </row>
        <row r="388">
          <cell r="A388">
            <v>9054</v>
          </cell>
          <cell r="B388">
            <v>259</v>
          </cell>
          <cell r="C388">
            <v>70300</v>
          </cell>
          <cell r="D388">
            <v>14924</v>
          </cell>
          <cell r="E388">
            <v>15773</v>
          </cell>
        </row>
        <row r="389">
          <cell r="A389">
            <v>9132</v>
          </cell>
          <cell r="B389">
            <v>259</v>
          </cell>
          <cell r="C389">
            <v>3888</v>
          </cell>
          <cell r="D389">
            <v>1291</v>
          </cell>
          <cell r="E389">
            <v>826</v>
          </cell>
        </row>
        <row r="390">
          <cell r="A390">
            <v>9134</v>
          </cell>
          <cell r="B390">
            <v>259</v>
          </cell>
          <cell r="C390">
            <v>88799</v>
          </cell>
          <cell r="D390">
            <v>22438</v>
          </cell>
          <cell r="E390">
            <v>17195</v>
          </cell>
        </row>
        <row r="391">
          <cell r="A391">
            <v>9136</v>
          </cell>
          <cell r="B391">
            <v>259</v>
          </cell>
          <cell r="C391">
            <v>7274</v>
          </cell>
          <cell r="D391">
            <v>1345</v>
          </cell>
          <cell r="E391">
            <v>3060</v>
          </cell>
        </row>
        <row r="392">
          <cell r="A392">
            <v>9142</v>
          </cell>
          <cell r="B392">
            <v>259</v>
          </cell>
          <cell r="C392">
            <v>7689</v>
          </cell>
          <cell r="D392">
            <v>1492</v>
          </cell>
          <cell r="E392">
            <v>3133</v>
          </cell>
        </row>
        <row r="393">
          <cell r="A393">
            <v>9143</v>
          </cell>
          <cell r="B393">
            <v>259</v>
          </cell>
          <cell r="C393">
            <v>7663</v>
          </cell>
          <cell r="D393">
            <v>3420</v>
          </cell>
          <cell r="E393">
            <v>1650</v>
          </cell>
        </row>
        <row r="394">
          <cell r="A394">
            <v>9144</v>
          </cell>
          <cell r="B394">
            <v>259</v>
          </cell>
          <cell r="C394">
            <v>7663</v>
          </cell>
          <cell r="D394">
            <v>3420</v>
          </cell>
          <cell r="E394">
            <v>1650</v>
          </cell>
        </row>
        <row r="395">
          <cell r="A395">
            <v>9146</v>
          </cell>
          <cell r="B395">
            <v>259</v>
          </cell>
          <cell r="C395">
            <v>8798</v>
          </cell>
          <cell r="D395">
            <v>4229</v>
          </cell>
          <cell r="E395">
            <v>1672</v>
          </cell>
        </row>
        <row r="396">
          <cell r="A396">
            <v>9224</v>
          </cell>
          <cell r="B396">
            <v>259</v>
          </cell>
          <cell r="C396">
            <v>78495</v>
          </cell>
          <cell r="D396">
            <v>11463</v>
          </cell>
          <cell r="E396">
            <v>23907</v>
          </cell>
        </row>
        <row r="397">
          <cell r="A397">
            <v>9241</v>
          </cell>
          <cell r="B397">
            <v>259</v>
          </cell>
          <cell r="C397">
            <v>82485</v>
          </cell>
          <cell r="D397">
            <v>18001</v>
          </cell>
          <cell r="E397">
            <v>22265</v>
          </cell>
        </row>
        <row r="398">
          <cell r="A398">
            <v>9249</v>
          </cell>
          <cell r="B398">
            <v>259</v>
          </cell>
          <cell r="C398">
            <v>89785</v>
          </cell>
          <cell r="D398">
            <v>18699</v>
          </cell>
          <cell r="E398">
            <v>22381</v>
          </cell>
        </row>
        <row r="399">
          <cell r="A399">
            <v>9250</v>
          </cell>
          <cell r="B399">
            <v>259</v>
          </cell>
          <cell r="C399">
            <v>80838</v>
          </cell>
          <cell r="D399">
            <v>17163</v>
          </cell>
          <cell r="E399">
            <v>19973</v>
          </cell>
        </row>
        <row r="400">
          <cell r="A400">
            <v>9251</v>
          </cell>
          <cell r="B400">
            <v>259</v>
          </cell>
          <cell r="C400">
            <v>82485</v>
          </cell>
          <cell r="D400">
            <v>18001</v>
          </cell>
          <cell r="E400">
            <v>22265</v>
          </cell>
        </row>
        <row r="401">
          <cell r="A401">
            <v>9252</v>
          </cell>
          <cell r="B401">
            <v>259</v>
          </cell>
          <cell r="C401">
            <v>66001</v>
          </cell>
          <cell r="D401">
            <v>14251</v>
          </cell>
          <cell r="E401">
            <v>18910</v>
          </cell>
        </row>
        <row r="402">
          <cell r="A402">
            <v>9300</v>
          </cell>
          <cell r="B402">
            <v>259</v>
          </cell>
          <cell r="C402">
            <v>64264</v>
          </cell>
          <cell r="D402">
            <v>17767</v>
          </cell>
          <cell r="E402">
            <v>12635</v>
          </cell>
        </row>
        <row r="403">
          <cell r="A403">
            <v>9328</v>
          </cell>
          <cell r="B403">
            <v>259</v>
          </cell>
          <cell r="C403">
            <v>121235</v>
          </cell>
          <cell r="D403">
            <v>29605</v>
          </cell>
          <cell r="E403">
            <v>25941</v>
          </cell>
        </row>
        <row r="404">
          <cell r="A404">
            <v>9330</v>
          </cell>
          <cell r="B404">
            <v>259</v>
          </cell>
          <cell r="C404">
            <v>126791</v>
          </cell>
          <cell r="D404">
            <v>23312</v>
          </cell>
          <cell r="E404">
            <v>33738</v>
          </cell>
        </row>
        <row r="405">
          <cell r="A405">
            <v>9333</v>
          </cell>
          <cell r="B405">
            <v>259</v>
          </cell>
          <cell r="C405">
            <v>105617</v>
          </cell>
          <cell r="D405">
            <v>26363</v>
          </cell>
          <cell r="E405">
            <v>22660</v>
          </cell>
        </row>
        <row r="406">
          <cell r="A406">
            <v>9335</v>
          </cell>
          <cell r="B406">
            <v>259</v>
          </cell>
          <cell r="C406">
            <v>113215</v>
          </cell>
          <cell r="D406">
            <v>21171</v>
          </cell>
          <cell r="E406">
            <v>30074</v>
          </cell>
        </row>
        <row r="407">
          <cell r="A407">
            <v>9336</v>
          </cell>
          <cell r="B407">
            <v>259</v>
          </cell>
          <cell r="C407">
            <v>112075</v>
          </cell>
          <cell r="D407">
            <v>27560</v>
          </cell>
          <cell r="E407">
            <v>24406</v>
          </cell>
        </row>
        <row r="408">
          <cell r="A408">
            <v>9337</v>
          </cell>
          <cell r="B408">
            <v>259</v>
          </cell>
          <cell r="C408">
            <v>88975</v>
          </cell>
          <cell r="D408">
            <v>20011</v>
          </cell>
          <cell r="E408">
            <v>20584</v>
          </cell>
        </row>
        <row r="409">
          <cell r="A409">
            <v>9338</v>
          </cell>
          <cell r="B409">
            <v>259</v>
          </cell>
          <cell r="C409">
            <v>121311</v>
          </cell>
          <cell r="D409">
            <v>23011</v>
          </cell>
          <cell r="E409">
            <v>32079</v>
          </cell>
        </row>
        <row r="410">
          <cell r="A410">
            <v>9339</v>
          </cell>
          <cell r="B410">
            <v>259</v>
          </cell>
          <cell r="C410">
            <v>112613</v>
          </cell>
          <cell r="D410">
            <v>22113</v>
          </cell>
          <cell r="E410">
            <v>29152</v>
          </cell>
        </row>
        <row r="411">
          <cell r="A411">
            <v>9342</v>
          </cell>
          <cell r="B411">
            <v>259</v>
          </cell>
          <cell r="C411">
            <v>95626</v>
          </cell>
          <cell r="D411">
            <v>21384</v>
          </cell>
          <cell r="E411">
            <v>23161</v>
          </cell>
        </row>
        <row r="412">
          <cell r="A412">
            <v>9343</v>
          </cell>
          <cell r="B412">
            <v>259</v>
          </cell>
          <cell r="C412">
            <v>103978</v>
          </cell>
          <cell r="D412">
            <v>20276</v>
          </cell>
          <cell r="E412">
            <v>26716</v>
          </cell>
        </row>
        <row r="413">
          <cell r="A413">
            <v>9468</v>
          </cell>
          <cell r="B413">
            <v>259</v>
          </cell>
          <cell r="C413">
            <v>4702</v>
          </cell>
          <cell r="D413">
            <v>716</v>
          </cell>
          <cell r="E413">
            <v>1295</v>
          </cell>
        </row>
        <row r="414">
          <cell r="A414">
            <v>9472</v>
          </cell>
          <cell r="B414">
            <v>259</v>
          </cell>
          <cell r="C414">
            <v>4702</v>
          </cell>
          <cell r="D414">
            <v>716</v>
          </cell>
          <cell r="E414">
            <v>1295</v>
          </cell>
        </row>
        <row r="415">
          <cell r="A415">
            <v>9473</v>
          </cell>
          <cell r="B415">
            <v>259</v>
          </cell>
          <cell r="C415">
            <v>4057</v>
          </cell>
          <cell r="D415">
            <v>1056</v>
          </cell>
          <cell r="E415">
            <v>896</v>
          </cell>
        </row>
        <row r="416">
          <cell r="A416">
            <v>9474</v>
          </cell>
          <cell r="B416">
            <v>259</v>
          </cell>
          <cell r="C416">
            <v>4057</v>
          </cell>
          <cell r="D416">
            <v>1056</v>
          </cell>
          <cell r="E416">
            <v>896</v>
          </cell>
        </row>
        <row r="417">
          <cell r="A417">
            <v>9477</v>
          </cell>
          <cell r="B417">
            <v>259</v>
          </cell>
          <cell r="C417">
            <v>4057</v>
          </cell>
          <cell r="D417">
            <v>1056</v>
          </cell>
          <cell r="E417">
            <v>896</v>
          </cell>
        </row>
        <row r="418">
          <cell r="A418">
            <v>9483</v>
          </cell>
          <cell r="B418">
            <v>259</v>
          </cell>
          <cell r="C418">
            <v>4702</v>
          </cell>
          <cell r="D418">
            <v>716</v>
          </cell>
          <cell r="E418">
            <v>1295</v>
          </cell>
        </row>
        <row r="419">
          <cell r="A419">
            <v>9484</v>
          </cell>
          <cell r="B419">
            <v>259</v>
          </cell>
          <cell r="C419">
            <v>3067</v>
          </cell>
          <cell r="D419">
            <v>490</v>
          </cell>
          <cell r="E419">
            <v>792</v>
          </cell>
        </row>
        <row r="420">
          <cell r="A420">
            <v>9485</v>
          </cell>
          <cell r="B420">
            <v>259</v>
          </cell>
          <cell r="C420">
            <v>3067</v>
          </cell>
          <cell r="D420">
            <v>490</v>
          </cell>
          <cell r="E420">
            <v>792</v>
          </cell>
        </row>
        <row r="421">
          <cell r="A421">
            <v>9488</v>
          </cell>
          <cell r="B421">
            <v>259</v>
          </cell>
          <cell r="C421">
            <v>4057</v>
          </cell>
          <cell r="D421">
            <v>1056</v>
          </cell>
          <cell r="E421">
            <v>896</v>
          </cell>
        </row>
        <row r="422">
          <cell r="A422">
            <v>9489</v>
          </cell>
          <cell r="B422">
            <v>259</v>
          </cell>
          <cell r="C422">
            <v>2691</v>
          </cell>
          <cell r="D422">
            <v>728</v>
          </cell>
          <cell r="E422">
            <v>626</v>
          </cell>
        </row>
        <row r="423">
          <cell r="A423">
            <v>9490</v>
          </cell>
          <cell r="B423">
            <v>259</v>
          </cell>
          <cell r="C423">
            <v>2691</v>
          </cell>
          <cell r="D423">
            <v>728</v>
          </cell>
          <cell r="E423">
            <v>626</v>
          </cell>
        </row>
        <row r="424">
          <cell r="A424">
            <v>9509</v>
          </cell>
          <cell r="B424">
            <v>259</v>
          </cell>
          <cell r="C424">
            <v>4512</v>
          </cell>
          <cell r="D424">
            <v>1377</v>
          </cell>
          <cell r="E424">
            <v>990</v>
          </cell>
        </row>
        <row r="425">
          <cell r="A425">
            <v>9510</v>
          </cell>
          <cell r="B425">
            <v>259</v>
          </cell>
          <cell r="C425">
            <v>3820</v>
          </cell>
          <cell r="D425">
            <v>904</v>
          </cell>
          <cell r="E425">
            <v>1212</v>
          </cell>
        </row>
        <row r="426">
          <cell r="A426">
            <v>9512</v>
          </cell>
          <cell r="B426">
            <v>259</v>
          </cell>
          <cell r="C426">
            <v>3488</v>
          </cell>
          <cell r="D426">
            <v>824</v>
          </cell>
          <cell r="E426">
            <v>1104</v>
          </cell>
        </row>
        <row r="427">
          <cell r="A427">
            <v>9513</v>
          </cell>
          <cell r="B427">
            <v>259</v>
          </cell>
          <cell r="C427">
            <v>3488</v>
          </cell>
          <cell r="D427">
            <v>824</v>
          </cell>
          <cell r="E427">
            <v>1104</v>
          </cell>
        </row>
        <row r="428">
          <cell r="A428">
            <v>9516</v>
          </cell>
          <cell r="B428">
            <v>259</v>
          </cell>
          <cell r="C428">
            <v>5735</v>
          </cell>
          <cell r="D428">
            <v>1095</v>
          </cell>
          <cell r="E428">
            <v>2142</v>
          </cell>
        </row>
        <row r="429">
          <cell r="A429">
            <v>9517</v>
          </cell>
          <cell r="B429">
            <v>259</v>
          </cell>
          <cell r="C429">
            <v>68509</v>
          </cell>
          <cell r="D429">
            <v>13572</v>
          </cell>
          <cell r="E429">
            <v>18397</v>
          </cell>
        </row>
        <row r="430">
          <cell r="A430">
            <v>9518</v>
          </cell>
          <cell r="B430">
            <v>259</v>
          </cell>
          <cell r="C430">
            <v>68509</v>
          </cell>
          <cell r="D430">
            <v>13572</v>
          </cell>
          <cell r="E430">
            <v>18397</v>
          </cell>
        </row>
        <row r="431">
          <cell r="A431">
            <v>9519</v>
          </cell>
          <cell r="B431">
            <v>259</v>
          </cell>
          <cell r="C431">
            <v>5635</v>
          </cell>
          <cell r="D431">
            <v>2094</v>
          </cell>
          <cell r="E431">
            <v>1200</v>
          </cell>
        </row>
        <row r="432">
          <cell r="A432">
            <v>9540</v>
          </cell>
          <cell r="B432">
            <v>259</v>
          </cell>
          <cell r="C432">
            <v>4584</v>
          </cell>
          <cell r="D432">
            <v>1675</v>
          </cell>
          <cell r="E432">
            <v>1041</v>
          </cell>
        </row>
        <row r="433">
          <cell r="A433">
            <v>9808</v>
          </cell>
          <cell r="B433">
            <v>259</v>
          </cell>
          <cell r="C433">
            <v>13429</v>
          </cell>
          <cell r="D433">
            <v>1803</v>
          </cell>
          <cell r="E433">
            <v>5461</v>
          </cell>
        </row>
        <row r="434">
          <cell r="A434">
            <v>9872</v>
          </cell>
          <cell r="B434">
            <v>259</v>
          </cell>
          <cell r="C434">
            <v>129663</v>
          </cell>
          <cell r="D434">
            <v>20270</v>
          </cell>
          <cell r="E434">
            <v>37746</v>
          </cell>
        </row>
        <row r="435">
          <cell r="A435">
            <v>9873</v>
          </cell>
          <cell r="B435">
            <v>259</v>
          </cell>
          <cell r="C435">
            <v>127380</v>
          </cell>
          <cell r="D435">
            <v>30512</v>
          </cell>
          <cell r="E435">
            <v>23685</v>
          </cell>
        </row>
        <row r="436">
          <cell r="A436">
            <v>9903</v>
          </cell>
          <cell r="B436">
            <v>259</v>
          </cell>
          <cell r="C436">
            <v>49982</v>
          </cell>
          <cell r="D436">
            <v>9943</v>
          </cell>
          <cell r="E436">
            <v>10006</v>
          </cell>
        </row>
        <row r="437">
          <cell r="A437">
            <v>9904</v>
          </cell>
          <cell r="B437">
            <v>259</v>
          </cell>
          <cell r="C437">
            <v>46591</v>
          </cell>
          <cell r="D437">
            <v>8148</v>
          </cell>
          <cell r="E437">
            <v>10211</v>
          </cell>
        </row>
        <row r="438">
          <cell r="A438">
            <v>9910</v>
          </cell>
          <cell r="B438">
            <v>259</v>
          </cell>
          <cell r="C438">
            <v>17093</v>
          </cell>
          <cell r="D438">
            <v>3088</v>
          </cell>
          <cell r="E438">
            <v>3709</v>
          </cell>
        </row>
        <row r="439">
          <cell r="A439">
            <v>9914</v>
          </cell>
          <cell r="B439">
            <v>259</v>
          </cell>
          <cell r="C439">
            <v>17156</v>
          </cell>
          <cell r="D439">
            <v>3635</v>
          </cell>
          <cell r="E439">
            <v>3446</v>
          </cell>
        </row>
        <row r="440">
          <cell r="A440">
            <v>9915</v>
          </cell>
          <cell r="B440">
            <v>259</v>
          </cell>
          <cell r="C440">
            <v>16764</v>
          </cell>
          <cell r="D440">
            <v>3036</v>
          </cell>
          <cell r="E440">
            <v>3650</v>
          </cell>
        </row>
        <row r="441">
          <cell r="A441">
            <v>9919</v>
          </cell>
          <cell r="B441">
            <v>259</v>
          </cell>
          <cell r="C441">
            <v>40742</v>
          </cell>
          <cell r="D441">
            <v>10184</v>
          </cell>
          <cell r="E441">
            <v>3611</v>
          </cell>
        </row>
        <row r="442">
          <cell r="A442">
            <v>9930</v>
          </cell>
          <cell r="B442">
            <v>259</v>
          </cell>
          <cell r="C442">
            <v>44409</v>
          </cell>
          <cell r="D442">
            <v>8569</v>
          </cell>
          <cell r="E442">
            <v>8755</v>
          </cell>
        </row>
        <row r="443">
          <cell r="A443">
            <v>9931</v>
          </cell>
          <cell r="B443">
            <v>259</v>
          </cell>
          <cell r="C443">
            <v>17148</v>
          </cell>
          <cell r="D443">
            <v>579</v>
          </cell>
          <cell r="E443">
            <v>5819</v>
          </cell>
        </row>
        <row r="444">
          <cell r="A444">
            <v>9953</v>
          </cell>
          <cell r="B444">
            <v>259</v>
          </cell>
          <cell r="C444">
            <v>30870</v>
          </cell>
          <cell r="D444">
            <v>5078</v>
          </cell>
          <cell r="E444">
            <v>7020</v>
          </cell>
        </row>
        <row r="445">
          <cell r="A445">
            <v>10002</v>
          </cell>
          <cell r="B445">
            <v>259</v>
          </cell>
          <cell r="C445">
            <v>26737</v>
          </cell>
          <cell r="D445">
            <v>5456</v>
          </cell>
          <cell r="E445">
            <v>3494</v>
          </cell>
        </row>
        <row r="446">
          <cell r="A446">
            <v>10003</v>
          </cell>
          <cell r="B446">
            <v>259</v>
          </cell>
          <cell r="C446">
            <v>27667</v>
          </cell>
          <cell r="D446">
            <v>3696</v>
          </cell>
          <cell r="E446">
            <v>7042</v>
          </cell>
        </row>
        <row r="447">
          <cell r="A447">
            <v>10013</v>
          </cell>
          <cell r="B447">
            <v>259</v>
          </cell>
          <cell r="C447">
            <v>17137</v>
          </cell>
          <cell r="D447">
            <v>579</v>
          </cell>
          <cell r="E447">
            <v>5809</v>
          </cell>
        </row>
        <row r="448">
          <cell r="A448">
            <v>10015</v>
          </cell>
          <cell r="B448">
            <v>259</v>
          </cell>
          <cell r="C448">
            <v>24323</v>
          </cell>
          <cell r="D448">
            <v>6597</v>
          </cell>
          <cell r="E448">
            <v>2100</v>
          </cell>
        </row>
        <row r="449">
          <cell r="A449">
            <v>10016</v>
          </cell>
          <cell r="B449">
            <v>259</v>
          </cell>
          <cell r="C449">
            <v>24622</v>
          </cell>
          <cell r="D449">
            <v>781</v>
          </cell>
          <cell r="E449">
            <v>9265</v>
          </cell>
        </row>
        <row r="450">
          <cell r="A450">
            <v>10044</v>
          </cell>
          <cell r="B450">
            <v>259</v>
          </cell>
          <cell r="C450">
            <v>30870</v>
          </cell>
          <cell r="D450">
            <v>5078</v>
          </cell>
          <cell r="E450">
            <v>7020</v>
          </cell>
        </row>
        <row r="451">
          <cell r="A451">
            <v>10056</v>
          </cell>
          <cell r="B451">
            <v>259</v>
          </cell>
          <cell r="C451">
            <v>49982</v>
          </cell>
          <cell r="D451">
            <v>9943</v>
          </cell>
          <cell r="E451">
            <v>10006</v>
          </cell>
        </row>
        <row r="452">
          <cell r="A452">
            <v>10057</v>
          </cell>
          <cell r="B452">
            <v>259</v>
          </cell>
          <cell r="C452">
            <v>46591</v>
          </cell>
          <cell r="D452">
            <v>8148</v>
          </cell>
          <cell r="E452">
            <v>10211</v>
          </cell>
        </row>
        <row r="453">
          <cell r="A453">
            <v>10067</v>
          </cell>
          <cell r="B453">
            <v>259</v>
          </cell>
          <cell r="C453">
            <v>31507</v>
          </cell>
          <cell r="D453">
            <v>5086</v>
          </cell>
          <cell r="E453">
            <v>7264</v>
          </cell>
        </row>
        <row r="454">
          <cell r="A454">
            <v>10158</v>
          </cell>
          <cell r="B454">
            <v>259</v>
          </cell>
          <cell r="C454">
            <v>72998</v>
          </cell>
          <cell r="D454">
            <v>14426</v>
          </cell>
          <cell r="E454">
            <v>18146</v>
          </cell>
        </row>
        <row r="455">
          <cell r="A455">
            <v>10159</v>
          </cell>
          <cell r="B455">
            <v>259</v>
          </cell>
          <cell r="C455">
            <v>36359</v>
          </cell>
          <cell r="D455">
            <v>6027</v>
          </cell>
          <cell r="E455">
            <v>9846</v>
          </cell>
        </row>
        <row r="456">
          <cell r="A456">
            <v>10177</v>
          </cell>
          <cell r="B456">
            <v>259</v>
          </cell>
          <cell r="C456">
            <v>83907</v>
          </cell>
          <cell r="D456">
            <v>17208</v>
          </cell>
          <cell r="E456">
            <v>21131</v>
          </cell>
        </row>
        <row r="457">
          <cell r="A457">
            <v>10238</v>
          </cell>
          <cell r="B457">
            <v>259</v>
          </cell>
          <cell r="C457">
            <v>4057</v>
          </cell>
          <cell r="D457">
            <v>1056</v>
          </cell>
          <cell r="E457">
            <v>896</v>
          </cell>
        </row>
        <row r="458">
          <cell r="A458">
            <v>10241</v>
          </cell>
          <cell r="B458">
            <v>259</v>
          </cell>
          <cell r="C458">
            <v>4057</v>
          </cell>
          <cell r="D458">
            <v>1056</v>
          </cell>
          <cell r="E458">
            <v>896</v>
          </cell>
        </row>
        <row r="459">
          <cell r="A459">
            <v>10243</v>
          </cell>
          <cell r="B459">
            <v>259</v>
          </cell>
          <cell r="C459">
            <v>4702</v>
          </cell>
          <cell r="D459">
            <v>716</v>
          </cell>
          <cell r="E459">
            <v>1295</v>
          </cell>
        </row>
        <row r="460">
          <cell r="A460">
            <v>10248</v>
          </cell>
          <cell r="B460">
            <v>259</v>
          </cell>
          <cell r="C460">
            <v>4702</v>
          </cell>
          <cell r="D460">
            <v>716</v>
          </cell>
          <cell r="E460">
            <v>1295</v>
          </cell>
        </row>
        <row r="461">
          <cell r="A461">
            <v>10252</v>
          </cell>
          <cell r="B461">
            <v>259</v>
          </cell>
          <cell r="C461">
            <v>65829</v>
          </cell>
          <cell r="D461">
            <v>9586</v>
          </cell>
          <cell r="E461">
            <v>19777</v>
          </cell>
        </row>
        <row r="462">
          <cell r="A462">
            <v>10255</v>
          </cell>
          <cell r="B462">
            <v>259</v>
          </cell>
          <cell r="C462">
            <v>8798</v>
          </cell>
          <cell r="D462">
            <v>4229</v>
          </cell>
          <cell r="E462">
            <v>1672</v>
          </cell>
        </row>
        <row r="463">
          <cell r="A463">
            <v>10257</v>
          </cell>
          <cell r="B463">
            <v>259</v>
          </cell>
          <cell r="C463">
            <v>10692</v>
          </cell>
          <cell r="D463">
            <v>5315</v>
          </cell>
          <cell r="E463">
            <v>1942</v>
          </cell>
        </row>
        <row r="464">
          <cell r="A464">
            <v>10389</v>
          </cell>
          <cell r="B464">
            <v>259</v>
          </cell>
          <cell r="C464">
            <v>27450</v>
          </cell>
          <cell r="D464">
            <v>3172</v>
          </cell>
          <cell r="E464">
            <v>11555</v>
          </cell>
        </row>
        <row r="465">
          <cell r="A465">
            <v>10390</v>
          </cell>
          <cell r="B465">
            <v>259</v>
          </cell>
          <cell r="C465">
            <v>32187</v>
          </cell>
          <cell r="D465">
            <v>3406</v>
          </cell>
          <cell r="E465">
            <v>11871</v>
          </cell>
        </row>
        <row r="466">
          <cell r="A466">
            <v>10486</v>
          </cell>
          <cell r="B466">
            <v>259</v>
          </cell>
          <cell r="C466">
            <v>105280</v>
          </cell>
          <cell r="D466">
            <v>17286</v>
          </cell>
          <cell r="E466">
            <v>27200</v>
          </cell>
        </row>
        <row r="467">
          <cell r="A467">
            <v>10572</v>
          </cell>
          <cell r="B467">
            <v>259</v>
          </cell>
          <cell r="C467">
            <v>79625</v>
          </cell>
          <cell r="D467">
            <v>14561</v>
          </cell>
          <cell r="E467">
            <v>19654</v>
          </cell>
        </row>
        <row r="468">
          <cell r="A468">
            <v>10575</v>
          </cell>
          <cell r="B468">
            <v>259</v>
          </cell>
          <cell r="C468">
            <v>1523</v>
          </cell>
          <cell r="D468">
            <v>1523</v>
          </cell>
          <cell r="E468">
            <v>0</v>
          </cell>
        </row>
        <row r="469">
          <cell r="A469">
            <v>10633</v>
          </cell>
          <cell r="B469">
            <v>259</v>
          </cell>
          <cell r="C469">
            <v>70903</v>
          </cell>
          <cell r="D469">
            <v>12868</v>
          </cell>
          <cell r="E469">
            <v>15836</v>
          </cell>
        </row>
        <row r="470">
          <cell r="A470">
            <v>10658</v>
          </cell>
          <cell r="B470">
            <v>259</v>
          </cell>
          <cell r="C470">
            <v>2132</v>
          </cell>
          <cell r="D470">
            <v>0</v>
          </cell>
          <cell r="E470">
            <v>2132</v>
          </cell>
        </row>
        <row r="471">
          <cell r="A471">
            <v>10790</v>
          </cell>
          <cell r="B471">
            <v>259</v>
          </cell>
          <cell r="C471">
            <v>61474</v>
          </cell>
          <cell r="D471">
            <v>10807</v>
          </cell>
          <cell r="E471">
            <v>17246</v>
          </cell>
        </row>
        <row r="472">
          <cell r="A472">
            <v>10791</v>
          </cell>
          <cell r="B472">
            <v>259</v>
          </cell>
          <cell r="C472">
            <v>61474</v>
          </cell>
          <cell r="D472">
            <v>10807</v>
          </cell>
          <cell r="E472">
            <v>17246</v>
          </cell>
        </row>
        <row r="473">
          <cell r="A473">
            <v>10792</v>
          </cell>
          <cell r="B473">
            <v>259</v>
          </cell>
          <cell r="C473">
            <v>58426</v>
          </cell>
          <cell r="D473">
            <v>13235</v>
          </cell>
          <cell r="E473">
            <v>12669</v>
          </cell>
        </row>
        <row r="474">
          <cell r="A474">
            <v>10793</v>
          </cell>
          <cell r="B474">
            <v>259</v>
          </cell>
          <cell r="C474">
            <v>58426</v>
          </cell>
          <cell r="D474">
            <v>13235</v>
          </cell>
          <cell r="E474">
            <v>12669</v>
          </cell>
        </row>
        <row r="475">
          <cell r="A475">
            <v>10859</v>
          </cell>
          <cell r="B475">
            <v>259</v>
          </cell>
          <cell r="C475">
            <v>112477</v>
          </cell>
          <cell r="D475">
            <v>17055</v>
          </cell>
          <cell r="E475">
            <v>32312</v>
          </cell>
        </row>
        <row r="476">
          <cell r="A476">
            <v>10913</v>
          </cell>
          <cell r="B476">
            <v>259</v>
          </cell>
          <cell r="C476">
            <v>86753</v>
          </cell>
          <cell r="D476">
            <v>16348</v>
          </cell>
          <cell r="E476">
            <v>23110</v>
          </cell>
        </row>
        <row r="477">
          <cell r="A477">
            <v>10963</v>
          </cell>
          <cell r="B477">
            <v>259</v>
          </cell>
          <cell r="C477">
            <v>75155</v>
          </cell>
          <cell r="D477">
            <v>13497</v>
          </cell>
          <cell r="E477">
            <v>22634</v>
          </cell>
        </row>
        <row r="478">
          <cell r="A478">
            <v>10965</v>
          </cell>
          <cell r="B478">
            <v>259</v>
          </cell>
          <cell r="C478">
            <v>89004</v>
          </cell>
          <cell r="D478">
            <v>19521</v>
          </cell>
          <cell r="E478">
            <v>22654</v>
          </cell>
        </row>
        <row r="479">
          <cell r="A479">
            <v>10966</v>
          </cell>
          <cell r="B479">
            <v>259</v>
          </cell>
          <cell r="C479">
            <v>88266</v>
          </cell>
          <cell r="D479">
            <v>18457</v>
          </cell>
          <cell r="E479">
            <v>21209</v>
          </cell>
        </row>
        <row r="480">
          <cell r="A480">
            <v>10967</v>
          </cell>
          <cell r="B480">
            <v>259</v>
          </cell>
          <cell r="C480">
            <v>94419</v>
          </cell>
          <cell r="D480">
            <v>20159</v>
          </cell>
          <cell r="E480">
            <v>24249</v>
          </cell>
        </row>
        <row r="481">
          <cell r="A481">
            <v>10968</v>
          </cell>
          <cell r="B481">
            <v>259</v>
          </cell>
          <cell r="C481">
            <v>89304</v>
          </cell>
          <cell r="D481">
            <v>18895</v>
          </cell>
          <cell r="E481">
            <v>22946</v>
          </cell>
        </row>
        <row r="482">
          <cell r="A482">
            <v>10969</v>
          </cell>
          <cell r="B482">
            <v>259</v>
          </cell>
          <cell r="C482">
            <v>82871</v>
          </cell>
          <cell r="D482">
            <v>18150</v>
          </cell>
          <cell r="E482">
            <v>20356</v>
          </cell>
        </row>
        <row r="483">
          <cell r="A483">
            <v>10970</v>
          </cell>
          <cell r="B483">
            <v>259</v>
          </cell>
          <cell r="C483">
            <v>93336</v>
          </cell>
          <cell r="D483">
            <v>19535</v>
          </cell>
          <cell r="E483">
            <v>22409</v>
          </cell>
        </row>
        <row r="484">
          <cell r="A484">
            <v>10979</v>
          </cell>
          <cell r="B484">
            <v>259</v>
          </cell>
          <cell r="C484">
            <v>77455</v>
          </cell>
          <cell r="D484">
            <v>19356</v>
          </cell>
          <cell r="E484">
            <v>17206</v>
          </cell>
        </row>
        <row r="485">
          <cell r="A485">
            <v>10981</v>
          </cell>
          <cell r="B485">
            <v>259</v>
          </cell>
          <cell r="C485">
            <v>110163</v>
          </cell>
          <cell r="D485">
            <v>27216</v>
          </cell>
          <cell r="E485">
            <v>24316</v>
          </cell>
        </row>
        <row r="486">
          <cell r="A486">
            <v>10982</v>
          </cell>
          <cell r="B486">
            <v>259</v>
          </cell>
          <cell r="C486">
            <v>91846</v>
          </cell>
          <cell r="D486">
            <v>24673</v>
          </cell>
          <cell r="E486">
            <v>19134</v>
          </cell>
        </row>
        <row r="487">
          <cell r="A487">
            <v>10991</v>
          </cell>
          <cell r="B487">
            <v>259</v>
          </cell>
          <cell r="C487">
            <v>69753</v>
          </cell>
          <cell r="D487">
            <v>19630</v>
          </cell>
          <cell r="E487">
            <v>13322</v>
          </cell>
        </row>
        <row r="488">
          <cell r="A488">
            <v>10994</v>
          </cell>
          <cell r="B488">
            <v>259</v>
          </cell>
          <cell r="C488">
            <v>80494</v>
          </cell>
          <cell r="D488">
            <v>22596</v>
          </cell>
          <cell r="E488">
            <v>15808</v>
          </cell>
        </row>
        <row r="489">
          <cell r="A489">
            <v>10996</v>
          </cell>
          <cell r="B489">
            <v>259</v>
          </cell>
          <cell r="C489">
            <v>114336</v>
          </cell>
          <cell r="D489">
            <v>17763</v>
          </cell>
          <cell r="E489">
            <v>35005</v>
          </cell>
        </row>
        <row r="490">
          <cell r="A490">
            <v>10998</v>
          </cell>
          <cell r="B490">
            <v>259</v>
          </cell>
          <cell r="C490">
            <v>126202</v>
          </cell>
          <cell r="D490">
            <v>31590</v>
          </cell>
          <cell r="E490">
            <v>26621</v>
          </cell>
        </row>
        <row r="491">
          <cell r="A491">
            <v>11035</v>
          </cell>
          <cell r="B491">
            <v>259</v>
          </cell>
          <cell r="C491">
            <v>108562</v>
          </cell>
          <cell r="D491">
            <v>16446</v>
          </cell>
          <cell r="E491">
            <v>31955</v>
          </cell>
        </row>
        <row r="492">
          <cell r="A492">
            <v>11050</v>
          </cell>
          <cell r="B492">
            <v>259</v>
          </cell>
          <cell r="C492">
            <v>39937</v>
          </cell>
          <cell r="D492">
            <v>10015</v>
          </cell>
          <cell r="E492">
            <v>8838</v>
          </cell>
        </row>
        <row r="493">
          <cell r="A493">
            <v>11054</v>
          </cell>
          <cell r="B493">
            <v>259</v>
          </cell>
          <cell r="C493">
            <v>85518</v>
          </cell>
          <cell r="D493">
            <v>14453</v>
          </cell>
          <cell r="E493">
            <v>23965</v>
          </cell>
        </row>
        <row r="494">
          <cell r="A494">
            <v>11055</v>
          </cell>
          <cell r="B494">
            <v>259</v>
          </cell>
          <cell r="C494">
            <v>79593</v>
          </cell>
          <cell r="D494">
            <v>13253</v>
          </cell>
          <cell r="E494">
            <v>22367</v>
          </cell>
        </row>
        <row r="495">
          <cell r="A495">
            <v>11056</v>
          </cell>
          <cell r="B495">
            <v>259</v>
          </cell>
          <cell r="C495">
            <v>87116</v>
          </cell>
          <cell r="D495">
            <v>20864</v>
          </cell>
          <cell r="E495">
            <v>19152</v>
          </cell>
        </row>
        <row r="496">
          <cell r="A496">
            <v>11057</v>
          </cell>
          <cell r="B496">
            <v>259</v>
          </cell>
          <cell r="C496">
            <v>92086</v>
          </cell>
          <cell r="D496">
            <v>21861</v>
          </cell>
          <cell r="E496">
            <v>20120</v>
          </cell>
        </row>
        <row r="497">
          <cell r="A497">
            <v>11058</v>
          </cell>
          <cell r="B497">
            <v>259</v>
          </cell>
          <cell r="C497">
            <v>84639</v>
          </cell>
          <cell r="D497">
            <v>14134</v>
          </cell>
          <cell r="E497">
            <v>23853</v>
          </cell>
        </row>
        <row r="498">
          <cell r="A498">
            <v>11095</v>
          </cell>
          <cell r="B498">
            <v>259</v>
          </cell>
          <cell r="C498">
            <v>48891</v>
          </cell>
          <cell r="D498">
            <v>11686</v>
          </cell>
          <cell r="E498">
            <v>14441</v>
          </cell>
        </row>
        <row r="499">
          <cell r="A499">
            <v>11097</v>
          </cell>
          <cell r="B499">
            <v>259</v>
          </cell>
          <cell r="C499">
            <v>30249</v>
          </cell>
          <cell r="D499">
            <v>6634</v>
          </cell>
          <cell r="E499">
            <v>9651</v>
          </cell>
        </row>
        <row r="500">
          <cell r="A500">
            <v>11100</v>
          </cell>
          <cell r="B500">
            <v>259</v>
          </cell>
          <cell r="C500">
            <v>29905</v>
          </cell>
          <cell r="D500">
            <v>8081</v>
          </cell>
          <cell r="E500">
            <v>7121</v>
          </cell>
        </row>
        <row r="501">
          <cell r="A501">
            <v>11101</v>
          </cell>
          <cell r="B501">
            <v>259</v>
          </cell>
          <cell r="C501">
            <v>67773</v>
          </cell>
          <cell r="D501">
            <v>13557</v>
          </cell>
          <cell r="E501">
            <v>18905</v>
          </cell>
        </row>
        <row r="502">
          <cell r="A502">
            <v>11102</v>
          </cell>
          <cell r="B502">
            <v>259</v>
          </cell>
          <cell r="C502">
            <v>68032</v>
          </cell>
          <cell r="D502">
            <v>17275</v>
          </cell>
          <cell r="E502">
            <v>16188</v>
          </cell>
        </row>
        <row r="503">
          <cell r="A503">
            <v>11103</v>
          </cell>
          <cell r="B503">
            <v>259</v>
          </cell>
          <cell r="C503">
            <v>68858</v>
          </cell>
          <cell r="D503">
            <v>13677</v>
          </cell>
          <cell r="E503">
            <v>19319</v>
          </cell>
        </row>
        <row r="504">
          <cell r="A504">
            <v>11106</v>
          </cell>
          <cell r="B504">
            <v>259</v>
          </cell>
          <cell r="C504">
            <v>62572</v>
          </cell>
          <cell r="D504">
            <v>16363</v>
          </cell>
          <cell r="E504">
            <v>13596</v>
          </cell>
        </row>
        <row r="505">
          <cell r="A505">
            <v>11107</v>
          </cell>
          <cell r="B505">
            <v>259</v>
          </cell>
          <cell r="C505">
            <v>41659</v>
          </cell>
          <cell r="D505">
            <v>12898</v>
          </cell>
          <cell r="E505">
            <v>7752</v>
          </cell>
        </row>
        <row r="506">
          <cell r="A506">
            <v>11109</v>
          </cell>
          <cell r="B506">
            <v>259</v>
          </cell>
          <cell r="C506">
            <v>71829</v>
          </cell>
          <cell r="D506">
            <v>18973</v>
          </cell>
          <cell r="E506">
            <v>15208</v>
          </cell>
        </row>
        <row r="507">
          <cell r="A507">
            <v>11110</v>
          </cell>
          <cell r="B507">
            <v>259</v>
          </cell>
          <cell r="C507">
            <v>54903</v>
          </cell>
          <cell r="D507">
            <v>14928</v>
          </cell>
          <cell r="E507">
            <v>12213</v>
          </cell>
        </row>
        <row r="508">
          <cell r="A508">
            <v>11112</v>
          </cell>
          <cell r="B508">
            <v>259</v>
          </cell>
          <cell r="C508">
            <v>45030</v>
          </cell>
          <cell r="D508">
            <v>6722</v>
          </cell>
          <cell r="E508">
            <v>16772</v>
          </cell>
        </row>
        <row r="509">
          <cell r="A509">
            <v>11113</v>
          </cell>
          <cell r="B509">
            <v>259</v>
          </cell>
          <cell r="C509">
            <v>59306</v>
          </cell>
          <cell r="D509">
            <v>9372</v>
          </cell>
          <cell r="E509">
            <v>19785</v>
          </cell>
        </row>
        <row r="510">
          <cell r="A510">
            <v>11120</v>
          </cell>
          <cell r="B510">
            <v>259</v>
          </cell>
          <cell r="C510">
            <v>58406</v>
          </cell>
          <cell r="D510">
            <v>8530</v>
          </cell>
          <cell r="E510">
            <v>19293</v>
          </cell>
        </row>
        <row r="511">
          <cell r="A511">
            <v>11123</v>
          </cell>
          <cell r="B511">
            <v>259</v>
          </cell>
          <cell r="C511">
            <v>55595</v>
          </cell>
          <cell r="D511">
            <v>14736</v>
          </cell>
          <cell r="E511">
            <v>11226</v>
          </cell>
        </row>
        <row r="512">
          <cell r="A512">
            <v>11124</v>
          </cell>
          <cell r="B512">
            <v>259</v>
          </cell>
          <cell r="C512">
            <v>53315</v>
          </cell>
          <cell r="D512">
            <v>8593</v>
          </cell>
          <cell r="E512">
            <v>17238</v>
          </cell>
        </row>
        <row r="513">
          <cell r="A513">
            <v>11125</v>
          </cell>
          <cell r="B513">
            <v>259</v>
          </cell>
          <cell r="C513">
            <v>2132</v>
          </cell>
          <cell r="D513">
            <v>0</v>
          </cell>
          <cell r="E513">
            <v>2132</v>
          </cell>
        </row>
        <row r="514">
          <cell r="A514">
            <v>11245</v>
          </cell>
          <cell r="B514">
            <v>259</v>
          </cell>
          <cell r="C514">
            <v>53147</v>
          </cell>
          <cell r="D514">
            <v>7993</v>
          </cell>
          <cell r="E514">
            <v>15840</v>
          </cell>
        </row>
        <row r="515">
          <cell r="A515">
            <v>11263</v>
          </cell>
          <cell r="B515">
            <v>259</v>
          </cell>
          <cell r="C515">
            <v>94511</v>
          </cell>
          <cell r="D515">
            <v>22649</v>
          </cell>
          <cell r="E515">
            <v>20852</v>
          </cell>
        </row>
        <row r="516">
          <cell r="A516">
            <v>11266</v>
          </cell>
          <cell r="B516">
            <v>259</v>
          </cell>
          <cell r="C516">
            <v>111609</v>
          </cell>
          <cell r="D516">
            <v>25597</v>
          </cell>
          <cell r="E516">
            <v>23582</v>
          </cell>
        </row>
        <row r="517">
          <cell r="A517">
            <v>11268</v>
          </cell>
          <cell r="B517">
            <v>259</v>
          </cell>
          <cell r="C517">
            <v>115073</v>
          </cell>
          <cell r="D517">
            <v>18926</v>
          </cell>
          <cell r="E517">
            <v>32055</v>
          </cell>
        </row>
        <row r="518">
          <cell r="A518">
            <v>11271</v>
          </cell>
          <cell r="B518">
            <v>259</v>
          </cell>
          <cell r="C518">
            <v>108819</v>
          </cell>
          <cell r="D518">
            <v>17958</v>
          </cell>
          <cell r="E518">
            <v>30253</v>
          </cell>
        </row>
        <row r="519">
          <cell r="A519">
            <v>11275</v>
          </cell>
          <cell r="B519">
            <v>259</v>
          </cell>
          <cell r="C519">
            <v>31981</v>
          </cell>
          <cell r="D519">
            <v>7864</v>
          </cell>
          <cell r="E519">
            <v>7443</v>
          </cell>
        </row>
        <row r="520">
          <cell r="A520">
            <v>11278</v>
          </cell>
          <cell r="B520">
            <v>259</v>
          </cell>
          <cell r="C520">
            <v>82455</v>
          </cell>
          <cell r="D520">
            <v>12734</v>
          </cell>
          <cell r="E520">
            <v>24318</v>
          </cell>
        </row>
        <row r="521">
          <cell r="A521">
            <v>11280</v>
          </cell>
          <cell r="B521">
            <v>259</v>
          </cell>
          <cell r="C521">
            <v>66392</v>
          </cell>
          <cell r="D521">
            <v>18096</v>
          </cell>
          <cell r="E521">
            <v>13189</v>
          </cell>
        </row>
        <row r="522">
          <cell r="A522">
            <v>11282</v>
          </cell>
          <cell r="B522">
            <v>259</v>
          </cell>
          <cell r="C522">
            <v>83751</v>
          </cell>
          <cell r="D522">
            <v>21466</v>
          </cell>
          <cell r="E522">
            <v>16932</v>
          </cell>
        </row>
        <row r="523">
          <cell r="A523">
            <v>11284</v>
          </cell>
          <cell r="B523">
            <v>259</v>
          </cell>
          <cell r="C523">
            <v>27999</v>
          </cell>
          <cell r="D523">
            <v>6135</v>
          </cell>
          <cell r="E523">
            <v>8158</v>
          </cell>
        </row>
        <row r="524">
          <cell r="A524">
            <v>11285</v>
          </cell>
          <cell r="B524">
            <v>259</v>
          </cell>
          <cell r="C524">
            <v>23533</v>
          </cell>
          <cell r="D524">
            <v>5328</v>
          </cell>
          <cell r="E524">
            <v>6623</v>
          </cell>
        </row>
        <row r="525">
          <cell r="A525">
            <v>11287</v>
          </cell>
          <cell r="B525">
            <v>259</v>
          </cell>
          <cell r="C525">
            <v>50139</v>
          </cell>
          <cell r="D525">
            <v>7545</v>
          </cell>
          <cell r="E525">
            <v>15002</v>
          </cell>
        </row>
        <row r="526">
          <cell r="A526">
            <v>11288</v>
          </cell>
          <cell r="B526">
            <v>259</v>
          </cell>
          <cell r="C526">
            <v>56476</v>
          </cell>
          <cell r="D526">
            <v>8526</v>
          </cell>
          <cell r="E526">
            <v>16894</v>
          </cell>
        </row>
        <row r="527">
          <cell r="A527">
            <v>11289</v>
          </cell>
          <cell r="B527">
            <v>259</v>
          </cell>
          <cell r="C527">
            <v>104978</v>
          </cell>
          <cell r="D527">
            <v>24272</v>
          </cell>
          <cell r="E527">
            <v>22185</v>
          </cell>
        </row>
        <row r="528">
          <cell r="A528">
            <v>11290</v>
          </cell>
          <cell r="B528">
            <v>259</v>
          </cell>
          <cell r="C528">
            <v>57616</v>
          </cell>
          <cell r="D528">
            <v>14661</v>
          </cell>
          <cell r="E528">
            <v>11594</v>
          </cell>
        </row>
        <row r="529">
          <cell r="A529">
            <v>11291</v>
          </cell>
          <cell r="B529">
            <v>259</v>
          </cell>
          <cell r="C529">
            <v>37777</v>
          </cell>
          <cell r="D529">
            <v>9555</v>
          </cell>
          <cell r="E529">
            <v>8359</v>
          </cell>
        </row>
        <row r="530">
          <cell r="A530">
            <v>11293</v>
          </cell>
          <cell r="B530">
            <v>259</v>
          </cell>
          <cell r="C530">
            <v>84381</v>
          </cell>
          <cell r="D530">
            <v>18439</v>
          </cell>
          <cell r="E530">
            <v>19996</v>
          </cell>
        </row>
        <row r="531">
          <cell r="A531">
            <v>11294</v>
          </cell>
          <cell r="B531">
            <v>259</v>
          </cell>
          <cell r="C531">
            <v>78200</v>
          </cell>
          <cell r="D531">
            <v>15692</v>
          </cell>
          <cell r="E531">
            <v>19946</v>
          </cell>
        </row>
        <row r="532">
          <cell r="A532">
            <v>11296</v>
          </cell>
          <cell r="B532">
            <v>259</v>
          </cell>
          <cell r="C532">
            <v>99028</v>
          </cell>
          <cell r="D532">
            <v>20914</v>
          </cell>
          <cell r="E532">
            <v>23420</v>
          </cell>
        </row>
        <row r="533">
          <cell r="A533">
            <v>11297</v>
          </cell>
          <cell r="B533">
            <v>259</v>
          </cell>
          <cell r="C533">
            <v>91962</v>
          </cell>
          <cell r="D533">
            <v>18060</v>
          </cell>
          <cell r="E533">
            <v>23301</v>
          </cell>
        </row>
        <row r="534">
          <cell r="A534">
            <v>11311</v>
          </cell>
          <cell r="B534">
            <v>259</v>
          </cell>
          <cell r="C534">
            <v>36160</v>
          </cell>
          <cell r="D534">
            <v>6145</v>
          </cell>
          <cell r="E534">
            <v>10000</v>
          </cell>
        </row>
        <row r="535">
          <cell r="A535">
            <v>11312</v>
          </cell>
          <cell r="B535">
            <v>259</v>
          </cell>
          <cell r="C535">
            <v>34999</v>
          </cell>
          <cell r="D535">
            <v>5853</v>
          </cell>
          <cell r="E535">
            <v>9727</v>
          </cell>
        </row>
        <row r="536">
          <cell r="A536">
            <v>11326</v>
          </cell>
          <cell r="B536">
            <v>259</v>
          </cell>
          <cell r="C536">
            <v>49796</v>
          </cell>
          <cell r="D536">
            <v>10892</v>
          </cell>
          <cell r="E536">
            <v>13766</v>
          </cell>
        </row>
        <row r="537">
          <cell r="A537">
            <v>11327</v>
          </cell>
          <cell r="B537">
            <v>259</v>
          </cell>
          <cell r="C537">
            <v>71646</v>
          </cell>
          <cell r="D537">
            <v>15200</v>
          </cell>
          <cell r="E537">
            <v>18014</v>
          </cell>
        </row>
        <row r="538">
          <cell r="A538">
            <v>11329</v>
          </cell>
          <cell r="B538">
            <v>259</v>
          </cell>
          <cell r="C538">
            <v>66749</v>
          </cell>
          <cell r="D538">
            <v>14184</v>
          </cell>
          <cell r="E538">
            <v>16911</v>
          </cell>
        </row>
        <row r="539">
          <cell r="A539">
            <v>11370</v>
          </cell>
          <cell r="B539">
            <v>259</v>
          </cell>
          <cell r="C539">
            <v>30249</v>
          </cell>
          <cell r="D539">
            <v>6634</v>
          </cell>
          <cell r="E539">
            <v>9651</v>
          </cell>
        </row>
        <row r="540">
          <cell r="A540">
            <v>11371</v>
          </cell>
          <cell r="B540">
            <v>259</v>
          </cell>
          <cell r="C540">
            <v>67709</v>
          </cell>
          <cell r="D540">
            <v>18931</v>
          </cell>
          <cell r="E540">
            <v>13450</v>
          </cell>
        </row>
        <row r="541">
          <cell r="A541">
            <v>11379</v>
          </cell>
          <cell r="B541">
            <v>259</v>
          </cell>
          <cell r="C541">
            <v>29806</v>
          </cell>
          <cell r="D541">
            <v>5472</v>
          </cell>
          <cell r="E541">
            <v>8813</v>
          </cell>
        </row>
        <row r="542">
          <cell r="A542">
            <v>11382</v>
          </cell>
          <cell r="B542">
            <v>259</v>
          </cell>
          <cell r="C542">
            <v>38053</v>
          </cell>
          <cell r="D542">
            <v>10429</v>
          </cell>
          <cell r="E542">
            <v>8404</v>
          </cell>
        </row>
        <row r="543">
          <cell r="A543">
            <v>11481</v>
          </cell>
          <cell r="B543">
            <v>259</v>
          </cell>
          <cell r="C543">
            <v>66664</v>
          </cell>
          <cell r="D543">
            <v>9590</v>
          </cell>
          <cell r="E543">
            <v>20161</v>
          </cell>
        </row>
        <row r="544">
          <cell r="A544">
            <v>11483</v>
          </cell>
          <cell r="B544">
            <v>259</v>
          </cell>
          <cell r="C544">
            <v>75015</v>
          </cell>
          <cell r="D544">
            <v>10677</v>
          </cell>
          <cell r="E544">
            <v>24071</v>
          </cell>
        </row>
        <row r="545">
          <cell r="A545">
            <v>12007</v>
          </cell>
          <cell r="B545">
            <v>259</v>
          </cell>
          <cell r="C545">
            <v>77510</v>
          </cell>
          <cell r="D545">
            <v>17745</v>
          </cell>
          <cell r="E545">
            <v>18056</v>
          </cell>
        </row>
        <row r="546">
          <cell r="A546">
            <v>12009</v>
          </cell>
          <cell r="B546">
            <v>259</v>
          </cell>
          <cell r="C546">
            <v>77623</v>
          </cell>
          <cell r="D546">
            <v>15826</v>
          </cell>
          <cell r="E546">
            <v>22340</v>
          </cell>
        </row>
        <row r="547">
          <cell r="A547">
            <v>12010</v>
          </cell>
          <cell r="B547">
            <v>259</v>
          </cell>
          <cell r="C547">
            <v>84895</v>
          </cell>
          <cell r="D547">
            <v>18840</v>
          </cell>
          <cell r="E547">
            <v>19655</v>
          </cell>
        </row>
        <row r="548">
          <cell r="A548">
            <v>12065</v>
          </cell>
          <cell r="B548">
            <v>259</v>
          </cell>
          <cell r="C548">
            <v>27231</v>
          </cell>
          <cell r="D548">
            <v>4883</v>
          </cell>
          <cell r="E548">
            <v>7726</v>
          </cell>
        </row>
        <row r="549">
          <cell r="A549">
            <v>12193</v>
          </cell>
          <cell r="B549">
            <v>259</v>
          </cell>
          <cell r="C549">
            <v>11836</v>
          </cell>
          <cell r="D549">
            <v>4702</v>
          </cell>
          <cell r="E549">
            <v>1196</v>
          </cell>
        </row>
        <row r="550">
          <cell r="A550">
            <v>12238</v>
          </cell>
          <cell r="B550">
            <v>259</v>
          </cell>
          <cell r="C550">
            <v>94310</v>
          </cell>
          <cell r="D550">
            <v>20020</v>
          </cell>
          <cell r="E550">
            <v>18912</v>
          </cell>
        </row>
        <row r="551">
          <cell r="A551">
            <v>12239</v>
          </cell>
          <cell r="B551">
            <v>259</v>
          </cell>
          <cell r="C551">
            <v>96495</v>
          </cell>
          <cell r="D551">
            <v>17285</v>
          </cell>
          <cell r="E551">
            <v>25038</v>
          </cell>
        </row>
        <row r="552">
          <cell r="A552">
            <v>12241</v>
          </cell>
          <cell r="B552">
            <v>259</v>
          </cell>
          <cell r="C552">
            <v>91335</v>
          </cell>
          <cell r="D552">
            <v>19583</v>
          </cell>
          <cell r="E552">
            <v>18128</v>
          </cell>
        </row>
        <row r="553">
          <cell r="A553">
            <v>12242</v>
          </cell>
          <cell r="B553">
            <v>259</v>
          </cell>
          <cell r="C553">
            <v>94503</v>
          </cell>
          <cell r="D553">
            <v>16884</v>
          </cell>
          <cell r="E553">
            <v>24581</v>
          </cell>
        </row>
        <row r="554">
          <cell r="A554">
            <v>12245</v>
          </cell>
          <cell r="B554">
            <v>259</v>
          </cell>
          <cell r="C554">
            <v>102905</v>
          </cell>
          <cell r="D554">
            <v>17930</v>
          </cell>
          <cell r="E554">
            <v>27145</v>
          </cell>
        </row>
        <row r="555">
          <cell r="A555">
            <v>12247</v>
          </cell>
          <cell r="B555">
            <v>259</v>
          </cell>
          <cell r="C555">
            <v>97386</v>
          </cell>
          <cell r="D555">
            <v>20832</v>
          </cell>
          <cell r="E555">
            <v>19047</v>
          </cell>
        </row>
        <row r="556">
          <cell r="A556">
            <v>12253</v>
          </cell>
          <cell r="B556">
            <v>259</v>
          </cell>
          <cell r="C556">
            <v>100549</v>
          </cell>
          <cell r="D556">
            <v>17510</v>
          </cell>
          <cell r="E556">
            <v>26662</v>
          </cell>
        </row>
        <row r="557">
          <cell r="A557">
            <v>12267</v>
          </cell>
          <cell r="B557">
            <v>259</v>
          </cell>
          <cell r="C557">
            <v>75274</v>
          </cell>
          <cell r="D557">
            <v>14671</v>
          </cell>
          <cell r="E557">
            <v>18285</v>
          </cell>
        </row>
        <row r="558">
          <cell r="A558">
            <v>12268</v>
          </cell>
          <cell r="B558">
            <v>259</v>
          </cell>
          <cell r="C558">
            <v>59447</v>
          </cell>
          <cell r="D558">
            <v>12256</v>
          </cell>
          <cell r="E558">
            <v>14668</v>
          </cell>
        </row>
        <row r="559">
          <cell r="A559">
            <v>12270</v>
          </cell>
          <cell r="B559">
            <v>259</v>
          </cell>
          <cell r="C559">
            <v>77959</v>
          </cell>
          <cell r="D559">
            <v>15282</v>
          </cell>
          <cell r="E559">
            <v>16372</v>
          </cell>
        </row>
        <row r="560">
          <cell r="A560">
            <v>12547</v>
          </cell>
          <cell r="B560">
            <v>259</v>
          </cell>
          <cell r="C560">
            <v>56152</v>
          </cell>
          <cell r="D560">
            <v>12404</v>
          </cell>
          <cell r="E560">
            <v>11972</v>
          </cell>
        </row>
        <row r="561">
          <cell r="A561">
            <v>12571</v>
          </cell>
          <cell r="B561">
            <v>259</v>
          </cell>
          <cell r="C561">
            <v>63541</v>
          </cell>
          <cell r="D561">
            <v>13799</v>
          </cell>
          <cell r="E561">
            <v>14175</v>
          </cell>
        </row>
        <row r="562">
          <cell r="A562">
            <v>12572</v>
          </cell>
          <cell r="B562">
            <v>259</v>
          </cell>
          <cell r="C562">
            <v>63541</v>
          </cell>
          <cell r="D562">
            <v>13799</v>
          </cell>
          <cell r="E562">
            <v>14175</v>
          </cell>
        </row>
        <row r="563">
          <cell r="A563">
            <v>12573</v>
          </cell>
          <cell r="B563">
            <v>259</v>
          </cell>
          <cell r="C563">
            <v>63328</v>
          </cell>
          <cell r="D563">
            <v>10874</v>
          </cell>
          <cell r="E563">
            <v>16516</v>
          </cell>
        </row>
        <row r="564">
          <cell r="A564">
            <v>12574</v>
          </cell>
          <cell r="B564">
            <v>259</v>
          </cell>
          <cell r="C564">
            <v>63328</v>
          </cell>
          <cell r="D564">
            <v>10874</v>
          </cell>
          <cell r="E564">
            <v>16516</v>
          </cell>
        </row>
        <row r="565">
          <cell r="A565">
            <v>12578</v>
          </cell>
          <cell r="B565">
            <v>259</v>
          </cell>
          <cell r="C565">
            <v>49290</v>
          </cell>
          <cell r="D565">
            <v>11239</v>
          </cell>
          <cell r="E565">
            <v>11273</v>
          </cell>
        </row>
        <row r="566">
          <cell r="A566">
            <v>12579</v>
          </cell>
          <cell r="B566">
            <v>259</v>
          </cell>
          <cell r="C566">
            <v>55418</v>
          </cell>
          <cell r="D566">
            <v>12289</v>
          </cell>
          <cell r="E566">
            <v>12740</v>
          </cell>
        </row>
        <row r="567">
          <cell r="A567">
            <v>12582</v>
          </cell>
          <cell r="B567">
            <v>259</v>
          </cell>
          <cell r="C567">
            <v>99951</v>
          </cell>
          <cell r="D567">
            <v>23173</v>
          </cell>
          <cell r="E567">
            <v>18276</v>
          </cell>
        </row>
        <row r="568">
          <cell r="A568">
            <v>12583</v>
          </cell>
          <cell r="B568">
            <v>259</v>
          </cell>
          <cell r="C568">
            <v>94051</v>
          </cell>
          <cell r="D568">
            <v>22197</v>
          </cell>
          <cell r="E568">
            <v>17028</v>
          </cell>
        </row>
        <row r="569">
          <cell r="A569">
            <v>12584</v>
          </cell>
          <cell r="B569">
            <v>259</v>
          </cell>
          <cell r="C569">
            <v>94760</v>
          </cell>
          <cell r="D569">
            <v>14546</v>
          </cell>
          <cell r="E569">
            <v>27327</v>
          </cell>
        </row>
        <row r="570">
          <cell r="A570">
            <v>12585</v>
          </cell>
          <cell r="B570">
            <v>259</v>
          </cell>
          <cell r="C570">
            <v>102692</v>
          </cell>
          <cell r="D570">
            <v>16009</v>
          </cell>
          <cell r="E570">
            <v>29600</v>
          </cell>
        </row>
        <row r="571">
          <cell r="A571">
            <v>12586</v>
          </cell>
          <cell r="B571">
            <v>259</v>
          </cell>
          <cell r="C571">
            <v>100249</v>
          </cell>
          <cell r="D571">
            <v>23278</v>
          </cell>
          <cell r="E571">
            <v>18417</v>
          </cell>
        </row>
        <row r="572">
          <cell r="A572">
            <v>12589</v>
          </cell>
          <cell r="B572">
            <v>259</v>
          </cell>
          <cell r="C572">
            <v>97093</v>
          </cell>
          <cell r="D572">
            <v>22541</v>
          </cell>
          <cell r="E572">
            <v>17682</v>
          </cell>
        </row>
        <row r="573">
          <cell r="A573">
            <v>12591</v>
          </cell>
          <cell r="B573">
            <v>259</v>
          </cell>
          <cell r="C573">
            <v>101630</v>
          </cell>
          <cell r="D573">
            <v>15894</v>
          </cell>
          <cell r="E573">
            <v>29304</v>
          </cell>
        </row>
        <row r="574">
          <cell r="A574">
            <v>12592</v>
          </cell>
          <cell r="B574">
            <v>259</v>
          </cell>
          <cell r="C574">
            <v>97768</v>
          </cell>
          <cell r="D574">
            <v>14860</v>
          </cell>
          <cell r="E574">
            <v>27822</v>
          </cell>
        </row>
        <row r="575">
          <cell r="A575">
            <v>12593</v>
          </cell>
          <cell r="B575">
            <v>259</v>
          </cell>
          <cell r="C575">
            <v>101656</v>
          </cell>
          <cell r="D575">
            <v>15772</v>
          </cell>
          <cell r="E575">
            <v>28981</v>
          </cell>
        </row>
        <row r="576">
          <cell r="A576">
            <v>12749</v>
          </cell>
          <cell r="B576">
            <v>259</v>
          </cell>
          <cell r="C576">
            <v>100412</v>
          </cell>
          <cell r="D576">
            <v>16915</v>
          </cell>
          <cell r="E576">
            <v>27283</v>
          </cell>
        </row>
        <row r="577">
          <cell r="A577">
            <v>12750</v>
          </cell>
          <cell r="B577">
            <v>259</v>
          </cell>
          <cell r="C577">
            <v>60777</v>
          </cell>
          <cell r="D577">
            <v>11898</v>
          </cell>
          <cell r="E577">
            <v>12771</v>
          </cell>
        </row>
        <row r="578">
          <cell r="A578">
            <v>12753</v>
          </cell>
          <cell r="B578">
            <v>259</v>
          </cell>
          <cell r="C578">
            <v>60375</v>
          </cell>
          <cell r="D578">
            <v>11849</v>
          </cell>
          <cell r="E578">
            <v>12554</v>
          </cell>
        </row>
        <row r="579">
          <cell r="A579">
            <v>12758</v>
          </cell>
          <cell r="B579">
            <v>259</v>
          </cell>
          <cell r="C579">
            <v>60336</v>
          </cell>
          <cell r="D579">
            <v>11837</v>
          </cell>
          <cell r="E579">
            <v>12549</v>
          </cell>
        </row>
        <row r="580">
          <cell r="A580">
            <v>12759</v>
          </cell>
          <cell r="B580">
            <v>259</v>
          </cell>
          <cell r="C580">
            <v>58952</v>
          </cell>
          <cell r="D580">
            <v>12601</v>
          </cell>
          <cell r="E580">
            <v>14241</v>
          </cell>
        </row>
        <row r="581">
          <cell r="A581">
            <v>12761</v>
          </cell>
          <cell r="B581">
            <v>259</v>
          </cell>
          <cell r="C581">
            <v>58995</v>
          </cell>
          <cell r="D581">
            <v>12603</v>
          </cell>
          <cell r="E581">
            <v>14256</v>
          </cell>
        </row>
        <row r="582">
          <cell r="A582">
            <v>12767</v>
          </cell>
          <cell r="B582">
            <v>259</v>
          </cell>
          <cell r="C582">
            <v>66205</v>
          </cell>
          <cell r="D582">
            <v>13907</v>
          </cell>
          <cell r="E582">
            <v>17538</v>
          </cell>
        </row>
        <row r="583">
          <cell r="A583">
            <v>12768</v>
          </cell>
          <cell r="B583">
            <v>259</v>
          </cell>
          <cell r="C583">
            <v>66891</v>
          </cell>
          <cell r="D583">
            <v>12917</v>
          </cell>
          <cell r="E583">
            <v>14033</v>
          </cell>
        </row>
        <row r="584">
          <cell r="A584">
            <v>12823</v>
          </cell>
          <cell r="B584">
            <v>259</v>
          </cell>
          <cell r="C584">
            <v>40594</v>
          </cell>
          <cell r="D584">
            <v>10540</v>
          </cell>
          <cell r="E584">
            <v>9563</v>
          </cell>
        </row>
        <row r="585">
          <cell r="A585">
            <v>12830</v>
          </cell>
          <cell r="B585">
            <v>259</v>
          </cell>
          <cell r="C585">
            <v>35862</v>
          </cell>
          <cell r="D585">
            <v>9491</v>
          </cell>
          <cell r="E585">
            <v>8019</v>
          </cell>
        </row>
        <row r="586">
          <cell r="A586">
            <v>12833</v>
          </cell>
          <cell r="B586">
            <v>259</v>
          </cell>
          <cell r="C586">
            <v>48453</v>
          </cell>
          <cell r="D586">
            <v>7349</v>
          </cell>
          <cell r="E586">
            <v>12578</v>
          </cell>
        </row>
        <row r="587">
          <cell r="A587">
            <v>12834</v>
          </cell>
          <cell r="B587">
            <v>259</v>
          </cell>
          <cell r="C587">
            <v>45072</v>
          </cell>
          <cell r="D587">
            <v>11654</v>
          </cell>
          <cell r="E587">
            <v>10422</v>
          </cell>
        </row>
        <row r="588">
          <cell r="A588">
            <v>12836</v>
          </cell>
          <cell r="B588">
            <v>259</v>
          </cell>
          <cell r="C588">
            <v>33086</v>
          </cell>
          <cell r="D588">
            <v>5378</v>
          </cell>
          <cell r="E588">
            <v>8143</v>
          </cell>
        </row>
        <row r="589">
          <cell r="A589">
            <v>12837</v>
          </cell>
          <cell r="B589">
            <v>259</v>
          </cell>
          <cell r="C589">
            <v>90856</v>
          </cell>
          <cell r="D589">
            <v>18513</v>
          </cell>
          <cell r="E589">
            <v>21919</v>
          </cell>
        </row>
        <row r="590">
          <cell r="A590">
            <v>12838</v>
          </cell>
          <cell r="B590">
            <v>259</v>
          </cell>
          <cell r="C590">
            <v>92691</v>
          </cell>
          <cell r="D590">
            <v>17371</v>
          </cell>
          <cell r="E590">
            <v>21981</v>
          </cell>
        </row>
        <row r="591">
          <cell r="A591">
            <v>12841</v>
          </cell>
          <cell r="B591">
            <v>259</v>
          </cell>
          <cell r="C591">
            <v>38028</v>
          </cell>
          <cell r="D591">
            <v>6054</v>
          </cell>
          <cell r="E591">
            <v>9874</v>
          </cell>
        </row>
        <row r="592">
          <cell r="A592">
            <v>12929</v>
          </cell>
          <cell r="B592">
            <v>259</v>
          </cell>
          <cell r="C592">
            <v>106463</v>
          </cell>
          <cell r="D592">
            <v>17628</v>
          </cell>
          <cell r="E592">
            <v>29865</v>
          </cell>
        </row>
        <row r="593">
          <cell r="A593">
            <v>12932</v>
          </cell>
          <cell r="B593">
            <v>259</v>
          </cell>
          <cell r="C593">
            <v>116937</v>
          </cell>
          <cell r="D593">
            <v>26081</v>
          </cell>
          <cell r="E593">
            <v>23616</v>
          </cell>
        </row>
        <row r="594">
          <cell r="A594">
            <v>12935</v>
          </cell>
          <cell r="B594">
            <v>259</v>
          </cell>
          <cell r="C594">
            <v>111841</v>
          </cell>
          <cell r="D594">
            <v>17555</v>
          </cell>
          <cell r="E594">
            <v>30180</v>
          </cell>
        </row>
        <row r="595">
          <cell r="A595">
            <v>12943</v>
          </cell>
          <cell r="B595">
            <v>259</v>
          </cell>
          <cell r="C595">
            <v>112226</v>
          </cell>
          <cell r="D595">
            <v>25176</v>
          </cell>
          <cell r="E595">
            <v>22543</v>
          </cell>
        </row>
        <row r="596">
          <cell r="A596">
            <v>12944</v>
          </cell>
          <cell r="B596">
            <v>259</v>
          </cell>
          <cell r="C596">
            <v>107709</v>
          </cell>
          <cell r="D596">
            <v>24492</v>
          </cell>
          <cell r="E596">
            <v>21479</v>
          </cell>
        </row>
        <row r="597">
          <cell r="A597">
            <v>12945</v>
          </cell>
          <cell r="B597">
            <v>259</v>
          </cell>
          <cell r="C597">
            <v>110358</v>
          </cell>
          <cell r="D597">
            <v>25003</v>
          </cell>
          <cell r="E597">
            <v>21373</v>
          </cell>
        </row>
        <row r="598">
          <cell r="A598">
            <v>12946</v>
          </cell>
          <cell r="B598">
            <v>259</v>
          </cell>
          <cell r="C598">
            <v>108213</v>
          </cell>
          <cell r="D598">
            <v>24083</v>
          </cell>
          <cell r="E598">
            <v>21518</v>
          </cell>
        </row>
        <row r="599">
          <cell r="A599">
            <v>12949</v>
          </cell>
          <cell r="B599">
            <v>259</v>
          </cell>
          <cell r="C599">
            <v>120388</v>
          </cell>
          <cell r="D599">
            <v>19550</v>
          </cell>
          <cell r="E599">
            <v>33695</v>
          </cell>
        </row>
        <row r="600">
          <cell r="A600">
            <v>12950</v>
          </cell>
          <cell r="B600">
            <v>259</v>
          </cell>
          <cell r="C600">
            <v>127273</v>
          </cell>
          <cell r="D600">
            <v>28484</v>
          </cell>
          <cell r="E600">
            <v>25171</v>
          </cell>
        </row>
        <row r="601">
          <cell r="A601">
            <v>12952</v>
          </cell>
          <cell r="B601">
            <v>259</v>
          </cell>
          <cell r="C601">
            <v>110132</v>
          </cell>
          <cell r="D601">
            <v>24575</v>
          </cell>
          <cell r="E601">
            <v>21925</v>
          </cell>
        </row>
        <row r="602">
          <cell r="A602">
            <v>12955</v>
          </cell>
          <cell r="B602">
            <v>259</v>
          </cell>
          <cell r="C602">
            <v>100412</v>
          </cell>
          <cell r="D602">
            <v>16915</v>
          </cell>
          <cell r="E602">
            <v>27283</v>
          </cell>
        </row>
        <row r="603">
          <cell r="A603">
            <v>12957</v>
          </cell>
          <cell r="B603">
            <v>259</v>
          </cell>
          <cell r="C603">
            <v>105593</v>
          </cell>
          <cell r="D603">
            <v>17704</v>
          </cell>
          <cell r="E603">
            <v>30509</v>
          </cell>
        </row>
        <row r="604">
          <cell r="A604">
            <v>13034</v>
          </cell>
          <cell r="B604">
            <v>259</v>
          </cell>
          <cell r="C604">
            <v>37858</v>
          </cell>
          <cell r="D604">
            <v>9304</v>
          </cell>
          <cell r="E604">
            <v>9037</v>
          </cell>
        </row>
        <row r="605">
          <cell r="A605">
            <v>13035</v>
          </cell>
          <cell r="B605">
            <v>259</v>
          </cell>
          <cell r="C605">
            <v>65516</v>
          </cell>
          <cell r="D605">
            <v>13603</v>
          </cell>
          <cell r="E605">
            <v>17355</v>
          </cell>
        </row>
        <row r="606">
          <cell r="A606">
            <v>13036</v>
          </cell>
          <cell r="B606">
            <v>259</v>
          </cell>
          <cell r="C606">
            <v>58227</v>
          </cell>
          <cell r="D606">
            <v>12308</v>
          </cell>
          <cell r="E606">
            <v>15522</v>
          </cell>
        </row>
        <row r="607">
          <cell r="A607">
            <v>13037</v>
          </cell>
          <cell r="B607">
            <v>259</v>
          </cell>
          <cell r="C607">
            <v>63914</v>
          </cell>
          <cell r="D607">
            <v>13432</v>
          </cell>
          <cell r="E607">
            <v>15155</v>
          </cell>
        </row>
        <row r="608">
          <cell r="A608">
            <v>13046</v>
          </cell>
          <cell r="B608">
            <v>259</v>
          </cell>
          <cell r="C608">
            <v>53612</v>
          </cell>
          <cell r="D608">
            <v>10978</v>
          </cell>
          <cell r="E608">
            <v>12794</v>
          </cell>
        </row>
        <row r="609">
          <cell r="A609">
            <v>13051</v>
          </cell>
          <cell r="B609">
            <v>259</v>
          </cell>
          <cell r="C609">
            <v>60139</v>
          </cell>
          <cell r="D609">
            <v>12210</v>
          </cell>
          <cell r="E609">
            <v>14205</v>
          </cell>
        </row>
        <row r="610">
          <cell r="A610">
            <v>13052</v>
          </cell>
          <cell r="B610">
            <v>259</v>
          </cell>
          <cell r="C610">
            <v>65387</v>
          </cell>
          <cell r="D610">
            <v>14007</v>
          </cell>
          <cell r="E610">
            <v>17435</v>
          </cell>
        </row>
        <row r="611">
          <cell r="A611">
            <v>13053</v>
          </cell>
          <cell r="B611">
            <v>259</v>
          </cell>
          <cell r="C611">
            <v>27628</v>
          </cell>
          <cell r="D611">
            <v>7085</v>
          </cell>
          <cell r="E611">
            <v>6853</v>
          </cell>
        </row>
        <row r="612">
          <cell r="A612">
            <v>13056</v>
          </cell>
          <cell r="B612">
            <v>259</v>
          </cell>
          <cell r="C612">
            <v>53033</v>
          </cell>
          <cell r="D612">
            <v>11633</v>
          </cell>
          <cell r="E612">
            <v>13925</v>
          </cell>
        </row>
        <row r="613">
          <cell r="A613">
            <v>13099</v>
          </cell>
          <cell r="B613">
            <v>259</v>
          </cell>
          <cell r="C613">
            <v>88510</v>
          </cell>
          <cell r="D613">
            <v>17017</v>
          </cell>
          <cell r="E613">
            <v>22236</v>
          </cell>
        </row>
        <row r="614">
          <cell r="A614">
            <v>13100</v>
          </cell>
          <cell r="B614">
            <v>259</v>
          </cell>
          <cell r="C614">
            <v>95122</v>
          </cell>
          <cell r="D614">
            <v>20520</v>
          </cell>
          <cell r="E614">
            <v>22379</v>
          </cell>
        </row>
        <row r="615">
          <cell r="A615">
            <v>13115</v>
          </cell>
          <cell r="B615">
            <v>259</v>
          </cell>
          <cell r="C615">
            <v>39507</v>
          </cell>
          <cell r="D615">
            <v>5793</v>
          </cell>
          <cell r="E615">
            <v>11944</v>
          </cell>
        </row>
        <row r="616">
          <cell r="A616">
            <v>13116</v>
          </cell>
          <cell r="B616">
            <v>259</v>
          </cell>
          <cell r="C616">
            <v>36560</v>
          </cell>
          <cell r="D616">
            <v>5344</v>
          </cell>
          <cell r="E616">
            <v>11048</v>
          </cell>
        </row>
        <row r="617">
          <cell r="A617">
            <v>13117</v>
          </cell>
          <cell r="B617">
            <v>259</v>
          </cell>
          <cell r="C617">
            <v>47452</v>
          </cell>
          <cell r="D617">
            <v>11546</v>
          </cell>
          <cell r="E617">
            <v>9265</v>
          </cell>
        </row>
        <row r="618">
          <cell r="A618">
            <v>13118</v>
          </cell>
          <cell r="B618">
            <v>259</v>
          </cell>
          <cell r="C618">
            <v>41573</v>
          </cell>
          <cell r="D618">
            <v>10188</v>
          </cell>
          <cell r="E618">
            <v>8298</v>
          </cell>
        </row>
        <row r="619">
          <cell r="A619">
            <v>13123</v>
          </cell>
          <cell r="B619">
            <v>259</v>
          </cell>
          <cell r="C619">
            <v>39513</v>
          </cell>
          <cell r="D619">
            <v>5943</v>
          </cell>
          <cell r="E619">
            <v>11775</v>
          </cell>
        </row>
        <row r="620">
          <cell r="A620">
            <v>13124</v>
          </cell>
          <cell r="B620">
            <v>259</v>
          </cell>
          <cell r="C620">
            <v>43167</v>
          </cell>
          <cell r="D620">
            <v>10687</v>
          </cell>
          <cell r="E620">
            <v>8738</v>
          </cell>
        </row>
        <row r="621">
          <cell r="A621">
            <v>13128</v>
          </cell>
          <cell r="B621">
            <v>259</v>
          </cell>
          <cell r="C621">
            <v>36971</v>
          </cell>
          <cell r="D621">
            <v>9404</v>
          </cell>
          <cell r="E621">
            <v>7600</v>
          </cell>
        </row>
        <row r="622">
          <cell r="A622">
            <v>13135</v>
          </cell>
          <cell r="B622">
            <v>259</v>
          </cell>
          <cell r="C622">
            <v>39823</v>
          </cell>
          <cell r="D622">
            <v>10083</v>
          </cell>
          <cell r="E622">
            <v>8387</v>
          </cell>
        </row>
        <row r="623">
          <cell r="A623">
            <v>13141</v>
          </cell>
          <cell r="B623">
            <v>259</v>
          </cell>
          <cell r="C623">
            <v>29518</v>
          </cell>
          <cell r="D623">
            <v>7415</v>
          </cell>
          <cell r="E623">
            <v>6305</v>
          </cell>
        </row>
        <row r="624">
          <cell r="A624">
            <v>13149</v>
          </cell>
          <cell r="B624">
            <v>259</v>
          </cell>
          <cell r="C624">
            <v>29795</v>
          </cell>
          <cell r="D624">
            <v>7457</v>
          </cell>
          <cell r="E624">
            <v>6375</v>
          </cell>
        </row>
        <row r="625">
          <cell r="A625">
            <v>13153</v>
          </cell>
          <cell r="B625">
            <v>259</v>
          </cell>
          <cell r="C625">
            <v>24065</v>
          </cell>
          <cell r="D625">
            <v>5829</v>
          </cell>
          <cell r="E625">
            <v>4968</v>
          </cell>
        </row>
        <row r="626">
          <cell r="A626">
            <v>13263</v>
          </cell>
          <cell r="B626">
            <v>259</v>
          </cell>
          <cell r="C626">
            <v>61562</v>
          </cell>
          <cell r="D626">
            <v>13361</v>
          </cell>
          <cell r="E626">
            <v>14927</v>
          </cell>
        </row>
        <row r="627">
          <cell r="A627">
            <v>13273</v>
          </cell>
          <cell r="B627">
            <v>259</v>
          </cell>
          <cell r="C627">
            <v>88789</v>
          </cell>
          <cell r="D627">
            <v>20817</v>
          </cell>
          <cell r="E627">
            <v>16283</v>
          </cell>
        </row>
        <row r="628">
          <cell r="A628">
            <v>13274</v>
          </cell>
          <cell r="B628">
            <v>259</v>
          </cell>
          <cell r="C628">
            <v>96507</v>
          </cell>
          <cell r="D628">
            <v>22483</v>
          </cell>
          <cell r="E628">
            <v>17770</v>
          </cell>
        </row>
        <row r="629">
          <cell r="A629">
            <v>13275</v>
          </cell>
          <cell r="B629">
            <v>259</v>
          </cell>
          <cell r="C629">
            <v>95447</v>
          </cell>
          <cell r="D629">
            <v>15421</v>
          </cell>
          <cell r="E629">
            <v>27752</v>
          </cell>
        </row>
        <row r="630">
          <cell r="A630">
            <v>13277</v>
          </cell>
          <cell r="B630">
            <v>259</v>
          </cell>
          <cell r="C630">
            <v>87809</v>
          </cell>
          <cell r="D630">
            <v>14399</v>
          </cell>
          <cell r="E630">
            <v>25538</v>
          </cell>
        </row>
        <row r="631">
          <cell r="A631">
            <v>13279</v>
          </cell>
          <cell r="B631">
            <v>259</v>
          </cell>
          <cell r="C631">
            <v>99423</v>
          </cell>
          <cell r="D631">
            <v>16414</v>
          </cell>
          <cell r="E631">
            <v>28062</v>
          </cell>
        </row>
        <row r="632">
          <cell r="A632">
            <v>13281</v>
          </cell>
          <cell r="B632">
            <v>259</v>
          </cell>
          <cell r="C632">
            <v>96382</v>
          </cell>
          <cell r="D632">
            <v>21669</v>
          </cell>
          <cell r="E632">
            <v>17850</v>
          </cell>
        </row>
        <row r="633">
          <cell r="A633">
            <v>13282</v>
          </cell>
          <cell r="B633">
            <v>259</v>
          </cell>
          <cell r="C633">
            <v>99002</v>
          </cell>
          <cell r="D633">
            <v>22508</v>
          </cell>
          <cell r="E633">
            <v>19283</v>
          </cell>
        </row>
        <row r="634">
          <cell r="A634">
            <v>13438</v>
          </cell>
          <cell r="B634">
            <v>259</v>
          </cell>
          <cell r="C634">
            <v>57689</v>
          </cell>
          <cell r="D634">
            <v>10025</v>
          </cell>
          <cell r="E634">
            <v>13904</v>
          </cell>
        </row>
        <row r="635">
          <cell r="A635">
            <v>13527</v>
          </cell>
          <cell r="B635">
            <v>259</v>
          </cell>
          <cell r="C635">
            <v>114879</v>
          </cell>
          <cell r="D635">
            <v>18143</v>
          </cell>
          <cell r="E635">
            <v>33266</v>
          </cell>
        </row>
        <row r="636">
          <cell r="A636">
            <v>13579</v>
          </cell>
          <cell r="B636">
            <v>259</v>
          </cell>
          <cell r="C636">
            <v>108992</v>
          </cell>
          <cell r="D636">
            <v>17321</v>
          </cell>
          <cell r="E636">
            <v>31178</v>
          </cell>
        </row>
        <row r="637">
          <cell r="A637">
            <v>13580</v>
          </cell>
          <cell r="B637">
            <v>259</v>
          </cell>
          <cell r="C637">
            <v>108864</v>
          </cell>
          <cell r="D637">
            <v>25534</v>
          </cell>
          <cell r="E637">
            <v>20423</v>
          </cell>
        </row>
        <row r="638">
          <cell r="A638">
            <v>13581</v>
          </cell>
          <cell r="B638">
            <v>259</v>
          </cell>
          <cell r="C638">
            <v>104258</v>
          </cell>
          <cell r="D638">
            <v>16417</v>
          </cell>
          <cell r="E638">
            <v>29806</v>
          </cell>
        </row>
        <row r="639">
          <cell r="A639">
            <v>13582</v>
          </cell>
          <cell r="B639">
            <v>259</v>
          </cell>
          <cell r="C639">
            <v>104300</v>
          </cell>
          <cell r="D639">
            <v>24721</v>
          </cell>
          <cell r="E639">
            <v>19406</v>
          </cell>
        </row>
        <row r="640">
          <cell r="A640">
            <v>13585</v>
          </cell>
          <cell r="B640">
            <v>259</v>
          </cell>
          <cell r="C640">
            <v>111107</v>
          </cell>
          <cell r="D640">
            <v>26154</v>
          </cell>
          <cell r="E640">
            <v>20995</v>
          </cell>
        </row>
        <row r="641">
          <cell r="A641">
            <v>13586</v>
          </cell>
          <cell r="B641">
            <v>259</v>
          </cell>
          <cell r="C641">
            <v>111231</v>
          </cell>
          <cell r="D641">
            <v>17763</v>
          </cell>
          <cell r="E641">
            <v>31610</v>
          </cell>
        </row>
        <row r="642">
          <cell r="A642">
            <v>13588</v>
          </cell>
          <cell r="B642">
            <v>259</v>
          </cell>
          <cell r="C642">
            <v>107368</v>
          </cell>
          <cell r="D642">
            <v>17032</v>
          </cell>
          <cell r="E642">
            <v>30620</v>
          </cell>
        </row>
        <row r="643">
          <cell r="A643">
            <v>13589</v>
          </cell>
          <cell r="B643">
            <v>259</v>
          </cell>
          <cell r="C643">
            <v>106837</v>
          </cell>
          <cell r="D643">
            <v>25627</v>
          </cell>
          <cell r="E643">
            <v>19956</v>
          </cell>
        </row>
        <row r="644">
          <cell r="A644">
            <v>13590</v>
          </cell>
          <cell r="B644">
            <v>259</v>
          </cell>
          <cell r="C644">
            <v>112268</v>
          </cell>
          <cell r="D644">
            <v>27312</v>
          </cell>
          <cell r="E644">
            <v>21142</v>
          </cell>
        </row>
        <row r="645">
          <cell r="A645">
            <v>13593</v>
          </cell>
          <cell r="B645">
            <v>259</v>
          </cell>
          <cell r="C645">
            <v>114989</v>
          </cell>
          <cell r="D645">
            <v>18176</v>
          </cell>
          <cell r="E645">
            <v>33268</v>
          </cell>
        </row>
        <row r="646">
          <cell r="A646">
            <v>13594</v>
          </cell>
          <cell r="B646">
            <v>259</v>
          </cell>
          <cell r="C646">
            <v>127380</v>
          </cell>
          <cell r="D646">
            <v>30512</v>
          </cell>
          <cell r="E646">
            <v>23685</v>
          </cell>
        </row>
        <row r="647">
          <cell r="A647">
            <v>13595</v>
          </cell>
          <cell r="B647">
            <v>259</v>
          </cell>
          <cell r="C647">
            <v>129663</v>
          </cell>
          <cell r="D647">
            <v>20270</v>
          </cell>
          <cell r="E647">
            <v>37746</v>
          </cell>
        </row>
        <row r="648">
          <cell r="A648">
            <v>13597</v>
          </cell>
          <cell r="B648">
            <v>259</v>
          </cell>
          <cell r="C648">
            <v>110841</v>
          </cell>
          <cell r="D648">
            <v>26106</v>
          </cell>
          <cell r="E648">
            <v>20836</v>
          </cell>
        </row>
        <row r="649">
          <cell r="A649">
            <v>13598</v>
          </cell>
          <cell r="B649">
            <v>259</v>
          </cell>
          <cell r="C649">
            <v>103967</v>
          </cell>
          <cell r="D649">
            <v>24039</v>
          </cell>
          <cell r="E649">
            <v>19055</v>
          </cell>
        </row>
        <row r="650">
          <cell r="A650">
            <v>13599</v>
          </cell>
          <cell r="B650">
            <v>259</v>
          </cell>
          <cell r="C650">
            <v>122343</v>
          </cell>
          <cell r="D650">
            <v>18919</v>
          </cell>
          <cell r="E650">
            <v>36304</v>
          </cell>
        </row>
        <row r="651">
          <cell r="A651">
            <v>13600</v>
          </cell>
          <cell r="B651">
            <v>259</v>
          </cell>
          <cell r="C651">
            <v>114410</v>
          </cell>
          <cell r="D651">
            <v>17703</v>
          </cell>
          <cell r="E651">
            <v>32064</v>
          </cell>
        </row>
        <row r="652">
          <cell r="A652">
            <v>13637</v>
          </cell>
          <cell r="B652">
            <v>259</v>
          </cell>
          <cell r="C652">
            <v>114435</v>
          </cell>
          <cell r="D652">
            <v>17631</v>
          </cell>
          <cell r="E652">
            <v>32834</v>
          </cell>
        </row>
        <row r="653">
          <cell r="A653">
            <v>13639</v>
          </cell>
          <cell r="B653">
            <v>259</v>
          </cell>
          <cell r="C653">
            <v>103994</v>
          </cell>
          <cell r="D653">
            <v>16168</v>
          </cell>
          <cell r="E653">
            <v>30083</v>
          </cell>
        </row>
        <row r="654">
          <cell r="A654">
            <v>13640</v>
          </cell>
          <cell r="B654">
            <v>259</v>
          </cell>
          <cell r="C654">
            <v>113974</v>
          </cell>
          <cell r="D654">
            <v>17542</v>
          </cell>
          <cell r="E654">
            <v>32351</v>
          </cell>
        </row>
        <row r="655">
          <cell r="A655">
            <v>13642</v>
          </cell>
          <cell r="B655">
            <v>259</v>
          </cell>
          <cell r="C655">
            <v>120456</v>
          </cell>
          <cell r="D655">
            <v>18627</v>
          </cell>
          <cell r="E655">
            <v>33907</v>
          </cell>
        </row>
        <row r="656">
          <cell r="A656">
            <v>13646</v>
          </cell>
          <cell r="B656">
            <v>259</v>
          </cell>
          <cell r="C656">
            <v>121374</v>
          </cell>
          <cell r="D656">
            <v>28555</v>
          </cell>
          <cell r="E656">
            <v>22170</v>
          </cell>
        </row>
        <row r="657">
          <cell r="A657">
            <v>13648</v>
          </cell>
          <cell r="B657">
            <v>259</v>
          </cell>
          <cell r="C657">
            <v>107257</v>
          </cell>
          <cell r="D657">
            <v>16582</v>
          </cell>
          <cell r="E657">
            <v>31297</v>
          </cell>
        </row>
        <row r="658">
          <cell r="A658">
            <v>13649</v>
          </cell>
          <cell r="B658">
            <v>259</v>
          </cell>
          <cell r="C658">
            <v>112171</v>
          </cell>
          <cell r="D658">
            <v>26514</v>
          </cell>
          <cell r="E658">
            <v>20307</v>
          </cell>
        </row>
        <row r="659">
          <cell r="A659">
            <v>13652</v>
          </cell>
          <cell r="B659">
            <v>259</v>
          </cell>
          <cell r="C659">
            <v>108983</v>
          </cell>
          <cell r="D659">
            <v>25957</v>
          </cell>
          <cell r="E659">
            <v>20296</v>
          </cell>
        </row>
        <row r="660">
          <cell r="A660">
            <v>13653</v>
          </cell>
          <cell r="B660">
            <v>259</v>
          </cell>
          <cell r="C660">
            <v>119706</v>
          </cell>
          <cell r="D660">
            <v>27726</v>
          </cell>
          <cell r="E660">
            <v>21593</v>
          </cell>
        </row>
        <row r="661">
          <cell r="A661">
            <v>13658</v>
          </cell>
          <cell r="B661">
            <v>259</v>
          </cell>
          <cell r="C661">
            <v>104792</v>
          </cell>
          <cell r="D661">
            <v>16712</v>
          </cell>
          <cell r="E661">
            <v>31721</v>
          </cell>
        </row>
        <row r="662">
          <cell r="A662">
            <v>13661</v>
          </cell>
          <cell r="B662">
            <v>259</v>
          </cell>
          <cell r="C662">
            <v>111249</v>
          </cell>
          <cell r="D662">
            <v>27375</v>
          </cell>
          <cell r="E662">
            <v>20564</v>
          </cell>
        </row>
        <row r="663">
          <cell r="A663">
            <v>13662</v>
          </cell>
          <cell r="B663">
            <v>259</v>
          </cell>
          <cell r="C663">
            <v>119680</v>
          </cell>
          <cell r="D663">
            <v>18733</v>
          </cell>
          <cell r="E663">
            <v>34900</v>
          </cell>
        </row>
        <row r="664">
          <cell r="A664">
            <v>13664</v>
          </cell>
          <cell r="B664">
            <v>259</v>
          </cell>
          <cell r="C664">
            <v>125240</v>
          </cell>
          <cell r="D664">
            <v>29600</v>
          </cell>
          <cell r="E664">
            <v>22837</v>
          </cell>
        </row>
        <row r="665">
          <cell r="A665">
            <v>13672</v>
          </cell>
          <cell r="B665">
            <v>259</v>
          </cell>
          <cell r="C665">
            <v>111624</v>
          </cell>
          <cell r="D665">
            <v>17577</v>
          </cell>
          <cell r="E665">
            <v>33065</v>
          </cell>
        </row>
        <row r="666">
          <cell r="A666">
            <v>13673</v>
          </cell>
          <cell r="B666">
            <v>259</v>
          </cell>
          <cell r="C666">
            <v>117605</v>
          </cell>
          <cell r="D666">
            <v>28055</v>
          </cell>
          <cell r="E666">
            <v>21143</v>
          </cell>
        </row>
        <row r="667">
          <cell r="A667">
            <v>13861</v>
          </cell>
          <cell r="B667">
            <v>259</v>
          </cell>
          <cell r="C667">
            <v>108700</v>
          </cell>
          <cell r="D667">
            <v>16715</v>
          </cell>
          <cell r="E667">
            <v>31028</v>
          </cell>
        </row>
        <row r="668">
          <cell r="A668">
            <v>13869</v>
          </cell>
          <cell r="B668">
            <v>259</v>
          </cell>
          <cell r="C668">
            <v>106753</v>
          </cell>
          <cell r="D668">
            <v>16516</v>
          </cell>
          <cell r="E668">
            <v>30076</v>
          </cell>
        </row>
        <row r="669">
          <cell r="A669">
            <v>13870</v>
          </cell>
          <cell r="B669">
            <v>259</v>
          </cell>
          <cell r="C669">
            <v>109713</v>
          </cell>
          <cell r="D669">
            <v>16972</v>
          </cell>
          <cell r="E669">
            <v>30733</v>
          </cell>
        </row>
        <row r="670">
          <cell r="A670">
            <v>13974</v>
          </cell>
          <cell r="B670">
            <v>259</v>
          </cell>
          <cell r="C670">
            <v>31204</v>
          </cell>
          <cell r="D670">
            <v>6721</v>
          </cell>
          <cell r="E670">
            <v>6966</v>
          </cell>
        </row>
        <row r="671">
          <cell r="A671">
            <v>13975</v>
          </cell>
          <cell r="B671">
            <v>259</v>
          </cell>
          <cell r="C671">
            <v>26424</v>
          </cell>
          <cell r="D671">
            <v>5281</v>
          </cell>
          <cell r="E671">
            <v>6536</v>
          </cell>
        </row>
        <row r="672">
          <cell r="A672">
            <v>13991</v>
          </cell>
          <cell r="B672">
            <v>259</v>
          </cell>
          <cell r="C672">
            <v>22335</v>
          </cell>
          <cell r="D672">
            <v>4649</v>
          </cell>
          <cell r="E672">
            <v>4926</v>
          </cell>
        </row>
        <row r="673">
          <cell r="A673">
            <v>13992</v>
          </cell>
          <cell r="B673">
            <v>259</v>
          </cell>
          <cell r="C673">
            <v>27389</v>
          </cell>
          <cell r="D673">
            <v>6064</v>
          </cell>
          <cell r="E673">
            <v>6035</v>
          </cell>
        </row>
        <row r="674">
          <cell r="A674">
            <v>13993</v>
          </cell>
          <cell r="B674">
            <v>259</v>
          </cell>
          <cell r="C674">
            <v>26229</v>
          </cell>
          <cell r="D674">
            <v>5216</v>
          </cell>
          <cell r="E674">
            <v>6147</v>
          </cell>
        </row>
        <row r="675">
          <cell r="A675">
            <v>13994</v>
          </cell>
          <cell r="B675">
            <v>259</v>
          </cell>
          <cell r="C675">
            <v>32139</v>
          </cell>
          <cell r="D675">
            <v>6235</v>
          </cell>
          <cell r="E675">
            <v>7689</v>
          </cell>
        </row>
        <row r="676">
          <cell r="A676">
            <v>14022</v>
          </cell>
          <cell r="B676">
            <v>259</v>
          </cell>
          <cell r="C676">
            <v>4702</v>
          </cell>
          <cell r="D676">
            <v>716</v>
          </cell>
          <cell r="E676">
            <v>1295</v>
          </cell>
        </row>
        <row r="677">
          <cell r="A677">
            <v>14024</v>
          </cell>
          <cell r="B677">
            <v>259</v>
          </cell>
          <cell r="C677">
            <v>4702</v>
          </cell>
          <cell r="D677">
            <v>716</v>
          </cell>
          <cell r="E677">
            <v>1295</v>
          </cell>
        </row>
        <row r="678">
          <cell r="A678">
            <v>14025</v>
          </cell>
          <cell r="B678">
            <v>259</v>
          </cell>
          <cell r="C678">
            <v>4057</v>
          </cell>
          <cell r="D678">
            <v>1056</v>
          </cell>
          <cell r="E678">
            <v>896</v>
          </cell>
        </row>
        <row r="679">
          <cell r="A679">
            <v>14026</v>
          </cell>
          <cell r="B679">
            <v>259</v>
          </cell>
          <cell r="C679">
            <v>4057</v>
          </cell>
          <cell r="D679">
            <v>1056</v>
          </cell>
          <cell r="E679">
            <v>896</v>
          </cell>
        </row>
        <row r="680">
          <cell r="A680">
            <v>14142</v>
          </cell>
          <cell r="B680">
            <v>259</v>
          </cell>
          <cell r="C680">
            <v>58371</v>
          </cell>
          <cell r="D680">
            <v>15711</v>
          </cell>
          <cell r="E680">
            <v>11979</v>
          </cell>
        </row>
        <row r="681">
          <cell r="A681">
            <v>14143</v>
          </cell>
          <cell r="B681">
            <v>259</v>
          </cell>
          <cell r="C681">
            <v>56912</v>
          </cell>
          <cell r="D681">
            <v>9300</v>
          </cell>
          <cell r="E681">
            <v>17246</v>
          </cell>
        </row>
        <row r="682">
          <cell r="A682">
            <v>14144</v>
          </cell>
          <cell r="B682">
            <v>259</v>
          </cell>
          <cell r="C682">
            <v>50474</v>
          </cell>
          <cell r="D682">
            <v>13770</v>
          </cell>
          <cell r="E682">
            <v>10539</v>
          </cell>
        </row>
        <row r="683">
          <cell r="A683">
            <v>14151</v>
          </cell>
          <cell r="B683">
            <v>259</v>
          </cell>
          <cell r="C683">
            <v>49611</v>
          </cell>
          <cell r="D683">
            <v>8167</v>
          </cell>
          <cell r="E683">
            <v>15183</v>
          </cell>
        </row>
        <row r="684">
          <cell r="A684">
            <v>14153</v>
          </cell>
          <cell r="B684">
            <v>259</v>
          </cell>
          <cell r="C684">
            <v>51889</v>
          </cell>
          <cell r="D684">
            <v>8947</v>
          </cell>
          <cell r="E684">
            <v>15788</v>
          </cell>
        </row>
        <row r="685">
          <cell r="A685">
            <v>14154</v>
          </cell>
          <cell r="B685">
            <v>259</v>
          </cell>
          <cell r="C685">
            <v>52847</v>
          </cell>
          <cell r="D685">
            <v>14171</v>
          </cell>
          <cell r="E685">
            <v>11332</v>
          </cell>
        </row>
        <row r="686">
          <cell r="A686">
            <v>14155</v>
          </cell>
          <cell r="B686">
            <v>259</v>
          </cell>
          <cell r="C686">
            <v>44907</v>
          </cell>
          <cell r="D686">
            <v>12134</v>
          </cell>
          <cell r="E686">
            <v>9980</v>
          </cell>
        </row>
        <row r="687">
          <cell r="A687">
            <v>14176</v>
          </cell>
          <cell r="B687">
            <v>259</v>
          </cell>
          <cell r="C687">
            <v>53234</v>
          </cell>
          <cell r="D687">
            <v>13557</v>
          </cell>
          <cell r="E687">
            <v>12431</v>
          </cell>
        </row>
        <row r="688">
          <cell r="A688">
            <v>14192</v>
          </cell>
          <cell r="B688">
            <v>259</v>
          </cell>
          <cell r="C688">
            <v>2132</v>
          </cell>
          <cell r="D688">
            <v>0</v>
          </cell>
          <cell r="E688">
            <v>2132</v>
          </cell>
        </row>
        <row r="689">
          <cell r="A689">
            <v>14193</v>
          </cell>
          <cell r="B689">
            <v>259</v>
          </cell>
          <cell r="C689">
            <v>67293</v>
          </cell>
          <cell r="D689">
            <v>11179</v>
          </cell>
          <cell r="E689">
            <v>20624</v>
          </cell>
        </row>
        <row r="690">
          <cell r="A690">
            <v>14194</v>
          </cell>
          <cell r="B690">
            <v>259</v>
          </cell>
          <cell r="C690">
            <v>2386</v>
          </cell>
          <cell r="D690">
            <v>2386</v>
          </cell>
          <cell r="E690">
            <v>0</v>
          </cell>
        </row>
        <row r="691">
          <cell r="A691">
            <v>14199</v>
          </cell>
          <cell r="B691">
            <v>259</v>
          </cell>
          <cell r="C691">
            <v>3532</v>
          </cell>
          <cell r="D691">
            <v>0</v>
          </cell>
          <cell r="E691">
            <v>3532</v>
          </cell>
        </row>
        <row r="692">
          <cell r="A692">
            <v>14202</v>
          </cell>
          <cell r="B692">
            <v>259</v>
          </cell>
          <cell r="C692">
            <v>3532</v>
          </cell>
          <cell r="D692">
            <v>0</v>
          </cell>
          <cell r="E692">
            <v>3532</v>
          </cell>
        </row>
        <row r="693">
          <cell r="A693">
            <v>14203</v>
          </cell>
          <cell r="B693">
            <v>259</v>
          </cell>
          <cell r="C693">
            <v>2386</v>
          </cell>
          <cell r="D693">
            <v>2386</v>
          </cell>
          <cell r="E693">
            <v>0</v>
          </cell>
        </row>
        <row r="694">
          <cell r="A694">
            <v>14205</v>
          </cell>
          <cell r="B694">
            <v>259</v>
          </cell>
          <cell r="C694">
            <v>2348</v>
          </cell>
          <cell r="D694">
            <v>2348</v>
          </cell>
          <cell r="E694">
            <v>0</v>
          </cell>
        </row>
        <row r="695">
          <cell r="A695">
            <v>14211</v>
          </cell>
          <cell r="B695">
            <v>259</v>
          </cell>
          <cell r="C695">
            <v>3532</v>
          </cell>
          <cell r="D695">
            <v>0</v>
          </cell>
          <cell r="E695">
            <v>3532</v>
          </cell>
        </row>
        <row r="696">
          <cell r="A696">
            <v>14213</v>
          </cell>
          <cell r="B696">
            <v>259</v>
          </cell>
          <cell r="C696">
            <v>67293</v>
          </cell>
          <cell r="D696">
            <v>11179</v>
          </cell>
          <cell r="E696">
            <v>20624</v>
          </cell>
        </row>
        <row r="697">
          <cell r="A697">
            <v>14232</v>
          </cell>
          <cell r="B697">
            <v>259</v>
          </cell>
          <cell r="C697">
            <v>43456</v>
          </cell>
          <cell r="D697">
            <v>8032</v>
          </cell>
          <cell r="E697">
            <v>11908</v>
          </cell>
        </row>
        <row r="698">
          <cell r="A698">
            <v>14246</v>
          </cell>
          <cell r="B698">
            <v>259</v>
          </cell>
          <cell r="C698">
            <v>120836</v>
          </cell>
          <cell r="D698">
            <v>28644</v>
          </cell>
          <cell r="E698">
            <v>23062</v>
          </cell>
        </row>
        <row r="699">
          <cell r="A699">
            <v>14247</v>
          </cell>
          <cell r="B699">
            <v>259</v>
          </cell>
          <cell r="C699">
            <v>111171</v>
          </cell>
          <cell r="D699">
            <v>26713</v>
          </cell>
          <cell r="E699">
            <v>21078</v>
          </cell>
        </row>
        <row r="700">
          <cell r="A700">
            <v>14248</v>
          </cell>
          <cell r="B700">
            <v>259</v>
          </cell>
          <cell r="C700">
            <v>122533</v>
          </cell>
          <cell r="D700">
            <v>19125</v>
          </cell>
          <cell r="E700">
            <v>34598</v>
          </cell>
        </row>
        <row r="701">
          <cell r="A701">
            <v>14252</v>
          </cell>
          <cell r="B701">
            <v>259</v>
          </cell>
          <cell r="C701">
            <v>114565</v>
          </cell>
          <cell r="D701">
            <v>17636</v>
          </cell>
          <cell r="E701">
            <v>32520</v>
          </cell>
        </row>
        <row r="702">
          <cell r="A702">
            <v>14255</v>
          </cell>
          <cell r="B702">
            <v>259</v>
          </cell>
          <cell r="C702">
            <v>101570</v>
          </cell>
          <cell r="D702">
            <v>21019</v>
          </cell>
          <cell r="E702">
            <v>20180</v>
          </cell>
        </row>
        <row r="703">
          <cell r="A703">
            <v>14256</v>
          </cell>
          <cell r="B703">
            <v>259</v>
          </cell>
          <cell r="C703">
            <v>107002</v>
          </cell>
          <cell r="D703">
            <v>16328</v>
          </cell>
          <cell r="E703">
            <v>30134</v>
          </cell>
        </row>
        <row r="704">
          <cell r="A704">
            <v>14262</v>
          </cell>
          <cell r="B704">
            <v>259</v>
          </cell>
          <cell r="C704">
            <v>112551</v>
          </cell>
          <cell r="D704">
            <v>17672</v>
          </cell>
          <cell r="E704">
            <v>31597</v>
          </cell>
        </row>
        <row r="705">
          <cell r="A705">
            <v>14263</v>
          </cell>
          <cell r="B705">
            <v>259</v>
          </cell>
          <cell r="C705">
            <v>73800</v>
          </cell>
          <cell r="D705">
            <v>19458</v>
          </cell>
          <cell r="E705">
            <v>13870</v>
          </cell>
        </row>
        <row r="706">
          <cell r="A706">
            <v>14265</v>
          </cell>
          <cell r="B706">
            <v>259</v>
          </cell>
          <cell r="C706">
            <v>52673</v>
          </cell>
          <cell r="D706">
            <v>8007</v>
          </cell>
          <cell r="E706">
            <v>15961</v>
          </cell>
        </row>
        <row r="707">
          <cell r="A707">
            <v>14269</v>
          </cell>
          <cell r="B707">
            <v>259</v>
          </cell>
          <cell r="C707">
            <v>99801</v>
          </cell>
          <cell r="D707">
            <v>20534</v>
          </cell>
          <cell r="E707">
            <v>23260</v>
          </cell>
        </row>
        <row r="708">
          <cell r="A708">
            <v>14271</v>
          </cell>
          <cell r="B708">
            <v>259</v>
          </cell>
          <cell r="C708">
            <v>100531</v>
          </cell>
          <cell r="D708">
            <v>20242</v>
          </cell>
          <cell r="E708">
            <v>23863</v>
          </cell>
        </row>
        <row r="709">
          <cell r="A709">
            <v>14286</v>
          </cell>
          <cell r="B709">
            <v>259</v>
          </cell>
          <cell r="C709">
            <v>65214</v>
          </cell>
          <cell r="D709">
            <v>16095</v>
          </cell>
          <cell r="E709">
            <v>14919</v>
          </cell>
        </row>
        <row r="710">
          <cell r="A710">
            <v>14288</v>
          </cell>
          <cell r="B710">
            <v>259</v>
          </cell>
          <cell r="C710">
            <v>95857</v>
          </cell>
          <cell r="D710">
            <v>16022</v>
          </cell>
          <cell r="E710">
            <v>28171</v>
          </cell>
        </row>
        <row r="711">
          <cell r="A711">
            <v>14289</v>
          </cell>
          <cell r="B711">
            <v>259</v>
          </cell>
          <cell r="C711">
            <v>90918</v>
          </cell>
          <cell r="D711">
            <v>22850</v>
          </cell>
          <cell r="E711">
            <v>19697</v>
          </cell>
        </row>
        <row r="712">
          <cell r="A712">
            <v>14290</v>
          </cell>
          <cell r="B712">
            <v>259</v>
          </cell>
          <cell r="C712">
            <v>72457</v>
          </cell>
          <cell r="D712">
            <v>12778</v>
          </cell>
          <cell r="E712">
            <v>20418</v>
          </cell>
        </row>
        <row r="713">
          <cell r="A713">
            <v>14291</v>
          </cell>
          <cell r="B713">
            <v>259</v>
          </cell>
          <cell r="C713">
            <v>89785</v>
          </cell>
          <cell r="D713">
            <v>18699</v>
          </cell>
          <cell r="E713">
            <v>22381</v>
          </cell>
        </row>
        <row r="714">
          <cell r="A714">
            <v>14383</v>
          </cell>
          <cell r="B714">
            <v>259</v>
          </cell>
          <cell r="C714">
            <v>144684</v>
          </cell>
          <cell r="D714">
            <v>33980</v>
          </cell>
          <cell r="E714">
            <v>26498</v>
          </cell>
        </row>
        <row r="715">
          <cell r="A715">
            <v>14384</v>
          </cell>
          <cell r="B715">
            <v>259</v>
          </cell>
          <cell r="C715">
            <v>146590</v>
          </cell>
          <cell r="D715">
            <v>22812</v>
          </cell>
          <cell r="E715">
            <v>42146</v>
          </cell>
        </row>
        <row r="716">
          <cell r="A716">
            <v>14386</v>
          </cell>
          <cell r="B716">
            <v>259</v>
          </cell>
          <cell r="C716">
            <v>132677</v>
          </cell>
          <cell r="D716">
            <v>20221</v>
          </cell>
          <cell r="E716">
            <v>38670</v>
          </cell>
        </row>
        <row r="717">
          <cell r="A717">
            <v>14391</v>
          </cell>
          <cell r="B717">
            <v>259</v>
          </cell>
          <cell r="C717">
            <v>137490</v>
          </cell>
          <cell r="D717">
            <v>33537</v>
          </cell>
          <cell r="E717">
            <v>26754</v>
          </cell>
        </row>
        <row r="718">
          <cell r="A718">
            <v>14392</v>
          </cell>
          <cell r="B718">
            <v>259</v>
          </cell>
          <cell r="C718">
            <v>142643</v>
          </cell>
          <cell r="D718">
            <v>22351</v>
          </cell>
          <cell r="E718">
            <v>41323</v>
          </cell>
        </row>
        <row r="719">
          <cell r="A719">
            <v>14397</v>
          </cell>
          <cell r="B719">
            <v>259</v>
          </cell>
          <cell r="C719">
            <v>142478</v>
          </cell>
          <cell r="D719">
            <v>22858</v>
          </cell>
          <cell r="E719">
            <v>41262</v>
          </cell>
        </row>
        <row r="720">
          <cell r="A720">
            <v>14399</v>
          </cell>
          <cell r="B720">
            <v>259</v>
          </cell>
          <cell r="C720">
            <v>148736</v>
          </cell>
          <cell r="D720">
            <v>24864</v>
          </cell>
          <cell r="E720">
            <v>42659</v>
          </cell>
        </row>
        <row r="721">
          <cell r="A721">
            <v>14400</v>
          </cell>
          <cell r="B721">
            <v>259</v>
          </cell>
          <cell r="C721">
            <v>143797</v>
          </cell>
          <cell r="D721">
            <v>34258</v>
          </cell>
          <cell r="E721">
            <v>28197</v>
          </cell>
        </row>
        <row r="722">
          <cell r="A722">
            <v>14402</v>
          </cell>
          <cell r="B722">
            <v>259</v>
          </cell>
          <cell r="C722">
            <v>136612</v>
          </cell>
          <cell r="D722">
            <v>22076</v>
          </cell>
          <cell r="E722">
            <v>39756</v>
          </cell>
        </row>
        <row r="723">
          <cell r="A723">
            <v>14403</v>
          </cell>
          <cell r="B723">
            <v>259</v>
          </cell>
          <cell r="C723">
            <v>154393</v>
          </cell>
          <cell r="D723">
            <v>35562</v>
          </cell>
          <cell r="E723">
            <v>29960</v>
          </cell>
        </row>
        <row r="724">
          <cell r="A724">
            <v>14407</v>
          </cell>
          <cell r="B724">
            <v>259</v>
          </cell>
          <cell r="C724">
            <v>144853</v>
          </cell>
          <cell r="D724">
            <v>33165</v>
          </cell>
          <cell r="E724">
            <v>28918</v>
          </cell>
        </row>
        <row r="725">
          <cell r="A725">
            <v>14409</v>
          </cell>
          <cell r="B725">
            <v>259</v>
          </cell>
          <cell r="C725">
            <v>139844</v>
          </cell>
          <cell r="D725">
            <v>23958</v>
          </cell>
          <cell r="E725">
            <v>39690</v>
          </cell>
        </row>
        <row r="726">
          <cell r="A726">
            <v>14410</v>
          </cell>
          <cell r="B726">
            <v>259</v>
          </cell>
          <cell r="C726">
            <v>163128</v>
          </cell>
          <cell r="D726">
            <v>29197</v>
          </cell>
          <cell r="E726">
            <v>44634</v>
          </cell>
        </row>
        <row r="727">
          <cell r="A727">
            <v>14411</v>
          </cell>
          <cell r="B727">
            <v>259</v>
          </cell>
          <cell r="C727">
            <v>153760</v>
          </cell>
          <cell r="D727">
            <v>34785</v>
          </cell>
          <cell r="E727">
            <v>31062</v>
          </cell>
        </row>
        <row r="728">
          <cell r="A728">
            <v>14412</v>
          </cell>
          <cell r="B728">
            <v>259</v>
          </cell>
          <cell r="C728">
            <v>163948</v>
          </cell>
          <cell r="D728">
            <v>35596</v>
          </cell>
          <cell r="E728">
            <v>32232</v>
          </cell>
        </row>
        <row r="729">
          <cell r="A729">
            <v>14413</v>
          </cell>
          <cell r="B729">
            <v>259</v>
          </cell>
          <cell r="C729">
            <v>147602</v>
          </cell>
          <cell r="D729">
            <v>24760</v>
          </cell>
          <cell r="E729">
            <v>42331</v>
          </cell>
        </row>
        <row r="730">
          <cell r="A730">
            <v>14418</v>
          </cell>
          <cell r="B730">
            <v>259</v>
          </cell>
          <cell r="C730">
            <v>163979</v>
          </cell>
          <cell r="D730">
            <v>35373</v>
          </cell>
          <cell r="E730">
            <v>33570</v>
          </cell>
        </row>
        <row r="731">
          <cell r="A731">
            <v>14419</v>
          </cell>
          <cell r="B731">
            <v>259</v>
          </cell>
          <cell r="C731">
            <v>165582</v>
          </cell>
          <cell r="D731">
            <v>35616</v>
          </cell>
          <cell r="E731">
            <v>33941</v>
          </cell>
        </row>
        <row r="732">
          <cell r="A732">
            <v>14429</v>
          </cell>
          <cell r="B732">
            <v>259</v>
          </cell>
          <cell r="C732">
            <v>7140</v>
          </cell>
          <cell r="D732">
            <v>3353</v>
          </cell>
          <cell r="E732">
            <v>1473</v>
          </cell>
        </row>
        <row r="733">
          <cell r="A733">
            <v>14515</v>
          </cell>
          <cell r="B733">
            <v>259</v>
          </cell>
          <cell r="C733">
            <v>120475</v>
          </cell>
          <cell r="D733">
            <v>19700</v>
          </cell>
          <cell r="E733">
            <v>35577</v>
          </cell>
        </row>
        <row r="734">
          <cell r="A734">
            <v>14635</v>
          </cell>
          <cell r="B734">
            <v>259</v>
          </cell>
          <cell r="C734">
            <v>108983</v>
          </cell>
          <cell r="D734">
            <v>25957</v>
          </cell>
          <cell r="E734">
            <v>20296</v>
          </cell>
        </row>
        <row r="735">
          <cell r="A735">
            <v>14637</v>
          </cell>
          <cell r="B735">
            <v>259</v>
          </cell>
          <cell r="C735">
            <v>119082</v>
          </cell>
          <cell r="D735">
            <v>27039</v>
          </cell>
          <cell r="E735">
            <v>21394</v>
          </cell>
        </row>
        <row r="736">
          <cell r="A736">
            <v>14639</v>
          </cell>
          <cell r="B736">
            <v>259</v>
          </cell>
          <cell r="C736">
            <v>116122</v>
          </cell>
          <cell r="D736">
            <v>17635</v>
          </cell>
          <cell r="E736">
            <v>33170</v>
          </cell>
        </row>
        <row r="737">
          <cell r="A737">
            <v>14644</v>
          </cell>
          <cell r="B737">
            <v>259</v>
          </cell>
          <cell r="C737">
            <v>129752</v>
          </cell>
          <cell r="D737">
            <v>30576</v>
          </cell>
          <cell r="E737">
            <v>23653</v>
          </cell>
        </row>
        <row r="738">
          <cell r="A738">
            <v>14645</v>
          </cell>
          <cell r="B738">
            <v>259</v>
          </cell>
          <cell r="C738">
            <v>108983</v>
          </cell>
          <cell r="D738">
            <v>25957</v>
          </cell>
          <cell r="E738">
            <v>20296</v>
          </cell>
        </row>
        <row r="739">
          <cell r="A739">
            <v>14647</v>
          </cell>
          <cell r="B739">
            <v>259</v>
          </cell>
          <cell r="C739">
            <v>123411</v>
          </cell>
          <cell r="D739">
            <v>19512</v>
          </cell>
          <cell r="E739">
            <v>36079</v>
          </cell>
        </row>
        <row r="740">
          <cell r="A740">
            <v>14650</v>
          </cell>
          <cell r="B740">
            <v>259</v>
          </cell>
          <cell r="C740">
            <v>105962</v>
          </cell>
          <cell r="D740">
            <v>16203</v>
          </cell>
          <cell r="E740">
            <v>30445</v>
          </cell>
        </row>
        <row r="741">
          <cell r="A741">
            <v>14652</v>
          </cell>
          <cell r="B741">
            <v>259</v>
          </cell>
          <cell r="C741">
            <v>112185</v>
          </cell>
          <cell r="D741">
            <v>18613</v>
          </cell>
          <cell r="E741">
            <v>34560</v>
          </cell>
        </row>
        <row r="742">
          <cell r="A742">
            <v>14658</v>
          </cell>
          <cell r="B742">
            <v>259</v>
          </cell>
          <cell r="C742">
            <v>129010</v>
          </cell>
          <cell r="D742">
            <v>29690</v>
          </cell>
          <cell r="E742">
            <v>23544</v>
          </cell>
        </row>
        <row r="743">
          <cell r="A743">
            <v>14660</v>
          </cell>
          <cell r="B743">
            <v>259</v>
          </cell>
          <cell r="C743">
            <v>116566</v>
          </cell>
          <cell r="D743">
            <v>26801</v>
          </cell>
          <cell r="E743">
            <v>20797</v>
          </cell>
        </row>
        <row r="744">
          <cell r="A744">
            <v>14666</v>
          </cell>
          <cell r="B744">
            <v>259</v>
          </cell>
          <cell r="C744">
            <v>140129</v>
          </cell>
          <cell r="D744">
            <v>32321</v>
          </cell>
          <cell r="E744">
            <v>25678</v>
          </cell>
        </row>
        <row r="745">
          <cell r="A745">
            <v>14682</v>
          </cell>
          <cell r="B745">
            <v>259</v>
          </cell>
          <cell r="C745">
            <v>161241</v>
          </cell>
          <cell r="D745">
            <v>28926</v>
          </cell>
          <cell r="E745">
            <v>44064</v>
          </cell>
        </row>
        <row r="746">
          <cell r="A746">
            <v>14715</v>
          </cell>
          <cell r="B746">
            <v>259</v>
          </cell>
          <cell r="C746">
            <v>63818</v>
          </cell>
          <cell r="D746">
            <v>12455</v>
          </cell>
          <cell r="E746">
            <v>16394</v>
          </cell>
        </row>
        <row r="747">
          <cell r="A747">
            <v>14782</v>
          </cell>
          <cell r="B747">
            <v>259</v>
          </cell>
          <cell r="C747">
            <v>69557</v>
          </cell>
          <cell r="D747">
            <v>16820</v>
          </cell>
          <cell r="E747">
            <v>12751</v>
          </cell>
        </row>
        <row r="748">
          <cell r="A748">
            <v>14949</v>
          </cell>
          <cell r="B748">
            <v>259</v>
          </cell>
          <cell r="C748">
            <v>72869</v>
          </cell>
          <cell r="D748">
            <v>11927</v>
          </cell>
          <cell r="E748">
            <v>21265</v>
          </cell>
        </row>
        <row r="749">
          <cell r="A749">
            <v>14953</v>
          </cell>
          <cell r="B749">
            <v>259</v>
          </cell>
          <cell r="C749">
            <v>124304</v>
          </cell>
          <cell r="D749">
            <v>19981</v>
          </cell>
          <cell r="E749">
            <v>36163</v>
          </cell>
        </row>
        <row r="750">
          <cell r="A750">
            <v>15010</v>
          </cell>
          <cell r="B750">
            <v>259</v>
          </cell>
          <cell r="C750">
            <v>95084</v>
          </cell>
          <cell r="D750">
            <v>22115</v>
          </cell>
          <cell r="E750">
            <v>22273</v>
          </cell>
        </row>
        <row r="751">
          <cell r="A751">
            <v>15020</v>
          </cell>
          <cell r="B751">
            <v>259</v>
          </cell>
          <cell r="C751">
            <v>84360</v>
          </cell>
          <cell r="D751">
            <v>19616</v>
          </cell>
          <cell r="E751">
            <v>19651</v>
          </cell>
        </row>
        <row r="752">
          <cell r="A752">
            <v>15035</v>
          </cell>
          <cell r="B752">
            <v>259</v>
          </cell>
          <cell r="C752">
            <v>84088</v>
          </cell>
          <cell r="D752">
            <v>17271</v>
          </cell>
          <cell r="E752">
            <v>25208</v>
          </cell>
        </row>
        <row r="753">
          <cell r="A753">
            <v>15036</v>
          </cell>
          <cell r="B753">
            <v>259</v>
          </cell>
          <cell r="C753">
            <v>85891</v>
          </cell>
          <cell r="D753">
            <v>19870</v>
          </cell>
          <cell r="E753">
            <v>20675</v>
          </cell>
        </row>
        <row r="754">
          <cell r="A754">
            <v>15037</v>
          </cell>
          <cell r="B754">
            <v>259</v>
          </cell>
          <cell r="C754">
            <v>76739</v>
          </cell>
          <cell r="D754">
            <v>17837</v>
          </cell>
          <cell r="E754">
            <v>18432</v>
          </cell>
        </row>
        <row r="755">
          <cell r="A755">
            <v>15038</v>
          </cell>
          <cell r="B755">
            <v>259</v>
          </cell>
          <cell r="C755">
            <v>67931</v>
          </cell>
          <cell r="D755">
            <v>15595</v>
          </cell>
          <cell r="E755">
            <v>16604</v>
          </cell>
        </row>
        <row r="756">
          <cell r="A756">
            <v>15039</v>
          </cell>
          <cell r="B756">
            <v>259</v>
          </cell>
          <cell r="C756">
            <v>75992</v>
          </cell>
          <cell r="D756">
            <v>15873</v>
          </cell>
          <cell r="E756">
            <v>22711</v>
          </cell>
        </row>
        <row r="757">
          <cell r="A757">
            <v>15041</v>
          </cell>
          <cell r="B757">
            <v>259</v>
          </cell>
          <cell r="C757">
            <v>70544</v>
          </cell>
          <cell r="D757">
            <v>14991</v>
          </cell>
          <cell r="E757">
            <v>20676</v>
          </cell>
        </row>
        <row r="758">
          <cell r="A758">
            <v>15064</v>
          </cell>
          <cell r="B758">
            <v>259</v>
          </cell>
          <cell r="C758">
            <v>102820</v>
          </cell>
          <cell r="D758">
            <v>23496</v>
          </cell>
          <cell r="E758">
            <v>21510</v>
          </cell>
        </row>
        <row r="759">
          <cell r="A759">
            <v>15065</v>
          </cell>
          <cell r="B759">
            <v>259</v>
          </cell>
          <cell r="C759">
            <v>101784</v>
          </cell>
          <cell r="D759">
            <v>18105</v>
          </cell>
          <cell r="E759">
            <v>26520</v>
          </cell>
        </row>
        <row r="760">
          <cell r="A760">
            <v>15081</v>
          </cell>
          <cell r="B760">
            <v>259</v>
          </cell>
          <cell r="C760">
            <v>114825</v>
          </cell>
          <cell r="D760">
            <v>26989</v>
          </cell>
          <cell r="E760">
            <v>24207</v>
          </cell>
        </row>
        <row r="761">
          <cell r="A761">
            <v>15082</v>
          </cell>
          <cell r="B761">
            <v>259</v>
          </cell>
          <cell r="C761">
            <v>118300</v>
          </cell>
          <cell r="D761">
            <v>27649</v>
          </cell>
          <cell r="E761">
            <v>25150</v>
          </cell>
        </row>
        <row r="762">
          <cell r="A762">
            <v>15083</v>
          </cell>
          <cell r="B762">
            <v>259</v>
          </cell>
          <cell r="C762">
            <v>120195</v>
          </cell>
          <cell r="D762">
            <v>20459</v>
          </cell>
          <cell r="E762">
            <v>31284</v>
          </cell>
        </row>
        <row r="763">
          <cell r="A763">
            <v>15157</v>
          </cell>
          <cell r="B763">
            <v>259</v>
          </cell>
          <cell r="C763">
            <v>50218</v>
          </cell>
          <cell r="D763">
            <v>11658</v>
          </cell>
          <cell r="E763">
            <v>12033</v>
          </cell>
        </row>
        <row r="764">
          <cell r="A764">
            <v>15187</v>
          </cell>
          <cell r="B764">
            <v>259</v>
          </cell>
          <cell r="C764">
            <v>100962</v>
          </cell>
          <cell r="D764">
            <v>21600</v>
          </cell>
          <cell r="E764">
            <v>24634</v>
          </cell>
        </row>
        <row r="765">
          <cell r="A765">
            <v>15188</v>
          </cell>
          <cell r="B765">
            <v>259</v>
          </cell>
          <cell r="C765">
            <v>115497</v>
          </cell>
          <cell r="D765">
            <v>24252</v>
          </cell>
          <cell r="E765">
            <v>30520</v>
          </cell>
        </row>
        <row r="766">
          <cell r="A766">
            <v>15191</v>
          </cell>
          <cell r="B766">
            <v>259</v>
          </cell>
          <cell r="C766">
            <v>111595</v>
          </cell>
          <cell r="D766">
            <v>22442</v>
          </cell>
          <cell r="E766">
            <v>28131</v>
          </cell>
        </row>
        <row r="767">
          <cell r="A767">
            <v>15196</v>
          </cell>
          <cell r="B767">
            <v>259</v>
          </cell>
          <cell r="C767">
            <v>97923</v>
          </cell>
          <cell r="D767">
            <v>20770</v>
          </cell>
          <cell r="E767">
            <v>24680</v>
          </cell>
        </row>
        <row r="768">
          <cell r="A768">
            <v>15206</v>
          </cell>
          <cell r="B768">
            <v>259</v>
          </cell>
          <cell r="C768">
            <v>69042</v>
          </cell>
          <cell r="D768">
            <v>9877</v>
          </cell>
          <cell r="E768">
            <v>22359</v>
          </cell>
        </row>
        <row r="769">
          <cell r="A769">
            <v>15207</v>
          </cell>
          <cell r="B769">
            <v>259</v>
          </cell>
          <cell r="C769">
            <v>66282</v>
          </cell>
          <cell r="D769">
            <v>18026</v>
          </cell>
          <cell r="E769">
            <v>12334</v>
          </cell>
        </row>
        <row r="770">
          <cell r="A770">
            <v>15208</v>
          </cell>
          <cell r="B770">
            <v>259</v>
          </cell>
          <cell r="C770">
            <v>80340</v>
          </cell>
          <cell r="D770">
            <v>21650</v>
          </cell>
          <cell r="E770">
            <v>15542</v>
          </cell>
        </row>
        <row r="771">
          <cell r="A771">
            <v>15209</v>
          </cell>
          <cell r="B771">
            <v>259</v>
          </cell>
          <cell r="C771">
            <v>86265</v>
          </cell>
          <cell r="D771">
            <v>12786</v>
          </cell>
          <cell r="E771">
            <v>27514</v>
          </cell>
        </row>
        <row r="772">
          <cell r="A772">
            <v>15211</v>
          </cell>
          <cell r="B772">
            <v>259</v>
          </cell>
          <cell r="C772">
            <v>71506</v>
          </cell>
          <cell r="D772">
            <v>12959</v>
          </cell>
          <cell r="E772">
            <v>21427</v>
          </cell>
        </row>
        <row r="773">
          <cell r="A773">
            <v>15230</v>
          </cell>
          <cell r="B773">
            <v>259</v>
          </cell>
          <cell r="C773">
            <v>83682</v>
          </cell>
          <cell r="D773">
            <v>18144</v>
          </cell>
          <cell r="E773">
            <v>21419</v>
          </cell>
        </row>
        <row r="774">
          <cell r="A774">
            <v>15236</v>
          </cell>
          <cell r="B774">
            <v>259</v>
          </cell>
          <cell r="C774">
            <v>61862</v>
          </cell>
          <cell r="D774">
            <v>9302</v>
          </cell>
          <cell r="E774">
            <v>20362</v>
          </cell>
        </row>
        <row r="775">
          <cell r="A775">
            <v>15238</v>
          </cell>
          <cell r="B775">
            <v>259</v>
          </cell>
          <cell r="C775">
            <v>67709</v>
          </cell>
          <cell r="D775">
            <v>18931</v>
          </cell>
          <cell r="E775">
            <v>13450</v>
          </cell>
        </row>
        <row r="776">
          <cell r="A776">
            <v>15239</v>
          </cell>
          <cell r="B776">
            <v>259</v>
          </cell>
          <cell r="C776">
            <v>50983</v>
          </cell>
          <cell r="D776">
            <v>7989</v>
          </cell>
          <cell r="E776">
            <v>16729</v>
          </cell>
        </row>
        <row r="777">
          <cell r="A777">
            <v>15277</v>
          </cell>
          <cell r="B777">
            <v>259</v>
          </cell>
          <cell r="C777">
            <v>55595</v>
          </cell>
          <cell r="D777">
            <v>14736</v>
          </cell>
          <cell r="E777">
            <v>11226</v>
          </cell>
        </row>
        <row r="778">
          <cell r="A778">
            <v>15279</v>
          </cell>
          <cell r="B778">
            <v>259</v>
          </cell>
          <cell r="C778">
            <v>48363</v>
          </cell>
          <cell r="D778">
            <v>7997</v>
          </cell>
          <cell r="E778">
            <v>15438</v>
          </cell>
        </row>
        <row r="779">
          <cell r="A779">
            <v>15280</v>
          </cell>
          <cell r="B779">
            <v>259</v>
          </cell>
          <cell r="C779">
            <v>39846</v>
          </cell>
          <cell r="D779">
            <v>6305</v>
          </cell>
          <cell r="E779">
            <v>12390</v>
          </cell>
        </row>
        <row r="780">
          <cell r="A780">
            <v>15304</v>
          </cell>
          <cell r="B780">
            <v>259</v>
          </cell>
          <cell r="C780">
            <v>32784</v>
          </cell>
          <cell r="D780">
            <v>8109</v>
          </cell>
          <cell r="E780">
            <v>7382</v>
          </cell>
        </row>
        <row r="781">
          <cell r="A781">
            <v>15305</v>
          </cell>
          <cell r="B781">
            <v>259</v>
          </cell>
          <cell r="C781">
            <v>34471</v>
          </cell>
          <cell r="D781">
            <v>8553</v>
          </cell>
          <cell r="E781">
            <v>7774</v>
          </cell>
        </row>
        <row r="782">
          <cell r="A782">
            <v>15311</v>
          </cell>
          <cell r="B782">
            <v>259</v>
          </cell>
          <cell r="C782">
            <v>55425</v>
          </cell>
          <cell r="D782">
            <v>12269</v>
          </cell>
          <cell r="E782">
            <v>13729</v>
          </cell>
        </row>
        <row r="783">
          <cell r="A783">
            <v>15315</v>
          </cell>
          <cell r="B783">
            <v>259</v>
          </cell>
          <cell r="C783">
            <v>78968</v>
          </cell>
          <cell r="D783">
            <v>16613</v>
          </cell>
          <cell r="E783">
            <v>20572</v>
          </cell>
        </row>
        <row r="784">
          <cell r="A784">
            <v>15317</v>
          </cell>
          <cell r="B784">
            <v>259</v>
          </cell>
          <cell r="C784">
            <v>74521</v>
          </cell>
          <cell r="D784">
            <v>11329</v>
          </cell>
          <cell r="E784">
            <v>23837</v>
          </cell>
        </row>
        <row r="785">
          <cell r="A785">
            <v>15318</v>
          </cell>
          <cell r="B785">
            <v>259</v>
          </cell>
          <cell r="C785">
            <v>76328</v>
          </cell>
          <cell r="D785">
            <v>11612</v>
          </cell>
          <cell r="E785">
            <v>24259</v>
          </cell>
        </row>
        <row r="786">
          <cell r="A786">
            <v>15406</v>
          </cell>
          <cell r="B786">
            <v>259</v>
          </cell>
          <cell r="C786">
            <v>44637</v>
          </cell>
          <cell r="D786">
            <v>10001</v>
          </cell>
          <cell r="E786">
            <v>10676</v>
          </cell>
        </row>
        <row r="787">
          <cell r="A787">
            <v>15412</v>
          </cell>
          <cell r="B787">
            <v>259</v>
          </cell>
          <cell r="C787">
            <v>41430</v>
          </cell>
          <cell r="D787">
            <v>8494</v>
          </cell>
          <cell r="E787">
            <v>11018</v>
          </cell>
        </row>
        <row r="788">
          <cell r="A788">
            <v>15425</v>
          </cell>
          <cell r="B788">
            <v>259</v>
          </cell>
          <cell r="C788">
            <v>105881</v>
          </cell>
          <cell r="D788">
            <v>28927</v>
          </cell>
          <cell r="E788">
            <v>21403</v>
          </cell>
        </row>
        <row r="789">
          <cell r="A789">
            <v>15429</v>
          </cell>
          <cell r="B789">
            <v>259</v>
          </cell>
          <cell r="C789">
            <v>126981</v>
          </cell>
          <cell r="D789">
            <v>20413</v>
          </cell>
          <cell r="E789">
            <v>37364</v>
          </cell>
        </row>
        <row r="790">
          <cell r="A790">
            <v>15430</v>
          </cell>
          <cell r="B790">
            <v>259</v>
          </cell>
          <cell r="C790">
            <v>116396</v>
          </cell>
          <cell r="D790">
            <v>31303</v>
          </cell>
          <cell r="E790">
            <v>23395</v>
          </cell>
        </row>
        <row r="791">
          <cell r="A791">
            <v>15432</v>
          </cell>
          <cell r="B791">
            <v>259</v>
          </cell>
          <cell r="C791">
            <v>132928</v>
          </cell>
          <cell r="D791">
            <v>21579</v>
          </cell>
          <cell r="E791">
            <v>38721</v>
          </cell>
        </row>
        <row r="792">
          <cell r="A792">
            <v>15435</v>
          </cell>
          <cell r="B792">
            <v>259</v>
          </cell>
          <cell r="C792">
            <v>124304</v>
          </cell>
          <cell r="D792">
            <v>19981</v>
          </cell>
          <cell r="E792">
            <v>36163</v>
          </cell>
        </row>
        <row r="793">
          <cell r="A793">
            <v>15439</v>
          </cell>
          <cell r="B793">
            <v>259</v>
          </cell>
          <cell r="C793">
            <v>107329</v>
          </cell>
          <cell r="D793">
            <v>28922</v>
          </cell>
          <cell r="E793">
            <v>21500</v>
          </cell>
        </row>
        <row r="794">
          <cell r="A794">
            <v>15442</v>
          </cell>
          <cell r="B794">
            <v>259</v>
          </cell>
          <cell r="C794">
            <v>112786</v>
          </cell>
          <cell r="D794">
            <v>30269</v>
          </cell>
          <cell r="E794">
            <v>22639</v>
          </cell>
        </row>
        <row r="795">
          <cell r="A795">
            <v>15443</v>
          </cell>
          <cell r="B795">
            <v>259</v>
          </cell>
          <cell r="C795">
            <v>129486</v>
          </cell>
          <cell r="D795">
            <v>20766</v>
          </cell>
          <cell r="E795">
            <v>37791</v>
          </cell>
        </row>
        <row r="796">
          <cell r="A796">
            <v>15456</v>
          </cell>
          <cell r="B796">
            <v>259</v>
          </cell>
          <cell r="C796">
            <v>96144</v>
          </cell>
          <cell r="D796">
            <v>26338</v>
          </cell>
          <cell r="E796">
            <v>18780</v>
          </cell>
        </row>
        <row r="797">
          <cell r="A797">
            <v>15457</v>
          </cell>
          <cell r="B797">
            <v>259</v>
          </cell>
          <cell r="C797">
            <v>97609</v>
          </cell>
          <cell r="D797">
            <v>14370</v>
          </cell>
          <cell r="E797">
            <v>29199</v>
          </cell>
        </row>
        <row r="798">
          <cell r="A798">
            <v>15458</v>
          </cell>
          <cell r="B798">
            <v>259</v>
          </cell>
          <cell r="C798">
            <v>107282</v>
          </cell>
          <cell r="D798">
            <v>28472</v>
          </cell>
          <cell r="E798">
            <v>21106</v>
          </cell>
        </row>
        <row r="799">
          <cell r="A799">
            <v>15459</v>
          </cell>
          <cell r="B799">
            <v>259</v>
          </cell>
          <cell r="C799">
            <v>109112</v>
          </cell>
          <cell r="D799">
            <v>15931</v>
          </cell>
          <cell r="E799">
            <v>32309</v>
          </cell>
        </row>
        <row r="800">
          <cell r="A800">
            <v>15676</v>
          </cell>
          <cell r="B800">
            <v>259</v>
          </cell>
          <cell r="C800">
            <v>3142</v>
          </cell>
          <cell r="D800">
            <v>0</v>
          </cell>
          <cell r="E800">
            <v>3142</v>
          </cell>
        </row>
        <row r="801">
          <cell r="A801">
            <v>15680</v>
          </cell>
          <cell r="B801">
            <v>259</v>
          </cell>
          <cell r="C801">
            <v>2348</v>
          </cell>
          <cell r="D801">
            <v>2348</v>
          </cell>
          <cell r="E801">
            <v>0</v>
          </cell>
        </row>
        <row r="802">
          <cell r="A802">
            <v>15681</v>
          </cell>
          <cell r="B802">
            <v>259</v>
          </cell>
          <cell r="C802">
            <v>3142</v>
          </cell>
          <cell r="D802">
            <v>0</v>
          </cell>
          <cell r="E802">
            <v>3142</v>
          </cell>
        </row>
        <row r="803">
          <cell r="A803">
            <v>15682</v>
          </cell>
          <cell r="B803">
            <v>259</v>
          </cell>
          <cell r="C803">
            <v>2348</v>
          </cell>
          <cell r="D803">
            <v>2348</v>
          </cell>
          <cell r="E803">
            <v>0</v>
          </cell>
        </row>
        <row r="804">
          <cell r="A804">
            <v>15683</v>
          </cell>
          <cell r="B804">
            <v>259</v>
          </cell>
          <cell r="C804">
            <v>3142</v>
          </cell>
          <cell r="D804">
            <v>0</v>
          </cell>
          <cell r="E804">
            <v>3142</v>
          </cell>
        </row>
        <row r="805">
          <cell r="A805">
            <v>15684</v>
          </cell>
          <cell r="B805">
            <v>259</v>
          </cell>
          <cell r="C805">
            <v>69557</v>
          </cell>
          <cell r="D805">
            <v>16820</v>
          </cell>
          <cell r="E805">
            <v>12751</v>
          </cell>
        </row>
        <row r="806">
          <cell r="A806">
            <v>15688</v>
          </cell>
          <cell r="B806">
            <v>259</v>
          </cell>
          <cell r="C806">
            <v>88392</v>
          </cell>
          <cell r="D806">
            <v>18242</v>
          </cell>
          <cell r="E806">
            <v>22665</v>
          </cell>
        </row>
        <row r="807">
          <cell r="A807">
            <v>15689</v>
          </cell>
          <cell r="B807">
            <v>259</v>
          </cell>
          <cell r="C807">
            <v>63919</v>
          </cell>
          <cell r="D807">
            <v>15073</v>
          </cell>
          <cell r="E807">
            <v>13731</v>
          </cell>
        </row>
        <row r="808">
          <cell r="A808">
            <v>15690</v>
          </cell>
          <cell r="B808">
            <v>259</v>
          </cell>
          <cell r="C808">
            <v>66931</v>
          </cell>
          <cell r="D808">
            <v>12843</v>
          </cell>
          <cell r="E808">
            <v>19262</v>
          </cell>
        </row>
        <row r="809">
          <cell r="A809">
            <v>15696</v>
          </cell>
          <cell r="B809">
            <v>259</v>
          </cell>
          <cell r="C809">
            <v>90118</v>
          </cell>
          <cell r="D809">
            <v>19614</v>
          </cell>
          <cell r="E809">
            <v>20488</v>
          </cell>
        </row>
        <row r="810">
          <cell r="A810">
            <v>15699</v>
          </cell>
          <cell r="B810">
            <v>259</v>
          </cell>
          <cell r="C810">
            <v>101828</v>
          </cell>
          <cell r="D810">
            <v>20085</v>
          </cell>
          <cell r="E810">
            <v>27714</v>
          </cell>
        </row>
        <row r="811">
          <cell r="A811">
            <v>15700</v>
          </cell>
          <cell r="B811">
            <v>259</v>
          </cell>
          <cell r="C811">
            <v>110064</v>
          </cell>
          <cell r="D811">
            <v>22154</v>
          </cell>
          <cell r="E811">
            <v>29375</v>
          </cell>
        </row>
        <row r="812">
          <cell r="A812">
            <v>15703</v>
          </cell>
          <cell r="B812">
            <v>259</v>
          </cell>
          <cell r="C812">
            <v>100574</v>
          </cell>
          <cell r="D812">
            <v>21278</v>
          </cell>
          <cell r="E812">
            <v>24997</v>
          </cell>
        </row>
        <row r="813">
          <cell r="A813">
            <v>15705</v>
          </cell>
          <cell r="B813">
            <v>259</v>
          </cell>
          <cell r="C813">
            <v>85264</v>
          </cell>
          <cell r="D813">
            <v>18076</v>
          </cell>
          <cell r="E813">
            <v>21510</v>
          </cell>
        </row>
        <row r="814">
          <cell r="A814">
            <v>15709</v>
          </cell>
          <cell r="B814">
            <v>259</v>
          </cell>
          <cell r="C814">
            <v>95444</v>
          </cell>
          <cell r="D814">
            <v>19775</v>
          </cell>
          <cell r="E814">
            <v>24337</v>
          </cell>
        </row>
        <row r="815">
          <cell r="A815">
            <v>15710</v>
          </cell>
          <cell r="B815">
            <v>259</v>
          </cell>
          <cell r="C815">
            <v>101043</v>
          </cell>
          <cell r="D815">
            <v>21680</v>
          </cell>
          <cell r="E815">
            <v>25911</v>
          </cell>
        </row>
        <row r="816">
          <cell r="A816">
            <v>15714</v>
          </cell>
          <cell r="B816">
            <v>259</v>
          </cell>
          <cell r="C816">
            <v>116306</v>
          </cell>
          <cell r="D816">
            <v>24879</v>
          </cell>
          <cell r="E816">
            <v>29005</v>
          </cell>
        </row>
        <row r="817">
          <cell r="A817">
            <v>15715</v>
          </cell>
          <cell r="B817">
            <v>259</v>
          </cell>
          <cell r="C817">
            <v>100090</v>
          </cell>
          <cell r="D817">
            <v>20993</v>
          </cell>
          <cell r="E817">
            <v>25473</v>
          </cell>
        </row>
        <row r="818">
          <cell r="A818">
            <v>15720</v>
          </cell>
          <cell r="B818">
            <v>259</v>
          </cell>
          <cell r="C818">
            <v>92555</v>
          </cell>
          <cell r="D818">
            <v>20101</v>
          </cell>
          <cell r="E818">
            <v>23016</v>
          </cell>
        </row>
        <row r="819">
          <cell r="A819">
            <v>15722</v>
          </cell>
          <cell r="B819">
            <v>259</v>
          </cell>
          <cell r="C819">
            <v>82437</v>
          </cell>
          <cell r="D819">
            <v>18092</v>
          </cell>
          <cell r="E819">
            <v>21316</v>
          </cell>
        </row>
        <row r="820">
          <cell r="A820">
            <v>15767</v>
          </cell>
          <cell r="B820">
            <v>259</v>
          </cell>
          <cell r="C820">
            <v>137551</v>
          </cell>
          <cell r="D820">
            <v>24895</v>
          </cell>
          <cell r="E820">
            <v>37256</v>
          </cell>
        </row>
        <row r="821">
          <cell r="A821">
            <v>15768</v>
          </cell>
          <cell r="B821">
            <v>259</v>
          </cell>
          <cell r="C821">
            <v>113100</v>
          </cell>
          <cell r="D821">
            <v>20220</v>
          </cell>
          <cell r="E821">
            <v>30720</v>
          </cell>
        </row>
        <row r="822">
          <cell r="A822">
            <v>15775</v>
          </cell>
          <cell r="B822">
            <v>259</v>
          </cell>
          <cell r="C822">
            <v>59523</v>
          </cell>
          <cell r="D822">
            <v>10815</v>
          </cell>
          <cell r="E822">
            <v>16706</v>
          </cell>
        </row>
        <row r="823">
          <cell r="A823">
            <v>15776</v>
          </cell>
          <cell r="B823">
            <v>259</v>
          </cell>
          <cell r="C823">
            <v>129153</v>
          </cell>
          <cell r="D823">
            <v>31802</v>
          </cell>
          <cell r="E823">
            <v>28192</v>
          </cell>
        </row>
        <row r="824">
          <cell r="A824">
            <v>15849</v>
          </cell>
          <cell r="B824">
            <v>259</v>
          </cell>
          <cell r="C824">
            <v>86122</v>
          </cell>
          <cell r="D824">
            <v>11048</v>
          </cell>
          <cell r="E824">
            <v>27051</v>
          </cell>
        </row>
        <row r="825">
          <cell r="A825">
            <v>15850</v>
          </cell>
          <cell r="B825">
            <v>259</v>
          </cell>
          <cell r="C825">
            <v>92647</v>
          </cell>
          <cell r="D825">
            <v>22814</v>
          </cell>
          <cell r="E825">
            <v>14607</v>
          </cell>
        </row>
        <row r="826">
          <cell r="A826">
            <v>15851</v>
          </cell>
          <cell r="B826">
            <v>259</v>
          </cell>
          <cell r="C826">
            <v>96816</v>
          </cell>
          <cell r="D826">
            <v>12414</v>
          </cell>
          <cell r="E826">
            <v>29475</v>
          </cell>
        </row>
        <row r="827">
          <cell r="A827">
            <v>15852</v>
          </cell>
          <cell r="B827">
            <v>259</v>
          </cell>
          <cell r="C827">
            <v>84083</v>
          </cell>
          <cell r="D827">
            <v>21613</v>
          </cell>
          <cell r="E827">
            <v>13018</v>
          </cell>
        </row>
        <row r="828">
          <cell r="A828">
            <v>15853</v>
          </cell>
          <cell r="B828">
            <v>259</v>
          </cell>
          <cell r="C828">
            <v>89330</v>
          </cell>
          <cell r="D828">
            <v>11314</v>
          </cell>
          <cell r="E828">
            <v>28166</v>
          </cell>
        </row>
        <row r="829">
          <cell r="A829">
            <v>15854</v>
          </cell>
          <cell r="B829">
            <v>259</v>
          </cell>
          <cell r="C829">
            <v>86766</v>
          </cell>
          <cell r="D829">
            <v>22175</v>
          </cell>
          <cell r="E829">
            <v>13522</v>
          </cell>
        </row>
        <row r="830">
          <cell r="A830">
            <v>15855</v>
          </cell>
          <cell r="B830">
            <v>259</v>
          </cell>
          <cell r="C830">
            <v>79253</v>
          </cell>
          <cell r="D830">
            <v>9846</v>
          </cell>
          <cell r="E830">
            <v>26343</v>
          </cell>
        </row>
        <row r="831">
          <cell r="A831">
            <v>15856</v>
          </cell>
          <cell r="B831">
            <v>259</v>
          </cell>
          <cell r="C831">
            <v>77953</v>
          </cell>
          <cell r="D831">
            <v>20521</v>
          </cell>
          <cell r="E831">
            <v>11957</v>
          </cell>
        </row>
        <row r="832">
          <cell r="A832">
            <v>15857</v>
          </cell>
          <cell r="B832">
            <v>259</v>
          </cell>
          <cell r="C832">
            <v>79303</v>
          </cell>
          <cell r="D832">
            <v>20624</v>
          </cell>
          <cell r="E832">
            <v>12135</v>
          </cell>
        </row>
        <row r="833">
          <cell r="A833">
            <v>15858</v>
          </cell>
          <cell r="B833">
            <v>259</v>
          </cell>
          <cell r="C833">
            <v>80534</v>
          </cell>
          <cell r="D833">
            <v>10162</v>
          </cell>
          <cell r="E833">
            <v>26504</v>
          </cell>
        </row>
        <row r="834">
          <cell r="A834">
            <v>15859</v>
          </cell>
          <cell r="B834">
            <v>259</v>
          </cell>
          <cell r="C834">
            <v>75795</v>
          </cell>
          <cell r="D834">
            <v>9199</v>
          </cell>
          <cell r="E834">
            <v>25172</v>
          </cell>
        </row>
        <row r="835">
          <cell r="A835">
            <v>15862</v>
          </cell>
          <cell r="B835">
            <v>259</v>
          </cell>
          <cell r="C835">
            <v>74016</v>
          </cell>
          <cell r="D835">
            <v>19497</v>
          </cell>
          <cell r="E835">
            <v>10890</v>
          </cell>
        </row>
        <row r="836">
          <cell r="A836">
            <v>15863</v>
          </cell>
          <cell r="B836">
            <v>259</v>
          </cell>
          <cell r="C836">
            <v>31415</v>
          </cell>
          <cell r="D836">
            <v>9189</v>
          </cell>
          <cell r="E836">
            <v>4764</v>
          </cell>
        </row>
        <row r="837">
          <cell r="A837">
            <v>15869</v>
          </cell>
          <cell r="B837">
            <v>259</v>
          </cell>
          <cell r="C837">
            <v>3142</v>
          </cell>
          <cell r="D837">
            <v>0</v>
          </cell>
          <cell r="E837">
            <v>3142</v>
          </cell>
        </row>
        <row r="838">
          <cell r="A838">
            <v>15870</v>
          </cell>
          <cell r="B838">
            <v>259</v>
          </cell>
          <cell r="C838">
            <v>77158</v>
          </cell>
          <cell r="D838">
            <v>22514</v>
          </cell>
          <cell r="E838">
            <v>14162</v>
          </cell>
        </row>
        <row r="839">
          <cell r="A839">
            <v>15874</v>
          </cell>
          <cell r="B839">
            <v>259</v>
          </cell>
          <cell r="C839">
            <v>83923</v>
          </cell>
          <cell r="D839">
            <v>12760</v>
          </cell>
          <cell r="E839">
            <v>27228</v>
          </cell>
        </row>
        <row r="840">
          <cell r="A840">
            <v>15877</v>
          </cell>
          <cell r="B840">
            <v>259</v>
          </cell>
          <cell r="C840">
            <v>74190</v>
          </cell>
          <cell r="D840">
            <v>16665</v>
          </cell>
          <cell r="E840">
            <v>18238</v>
          </cell>
        </row>
        <row r="841">
          <cell r="A841">
            <v>15914</v>
          </cell>
          <cell r="B841">
            <v>259</v>
          </cell>
          <cell r="C841">
            <v>65251</v>
          </cell>
          <cell r="D841">
            <v>12994</v>
          </cell>
          <cell r="E841">
            <v>16225</v>
          </cell>
        </row>
        <row r="842">
          <cell r="A842">
            <v>15916</v>
          </cell>
          <cell r="B842">
            <v>259</v>
          </cell>
          <cell r="C842">
            <v>52701</v>
          </cell>
          <cell r="D842">
            <v>11776</v>
          </cell>
          <cell r="E842">
            <v>13283</v>
          </cell>
        </row>
        <row r="843">
          <cell r="A843">
            <v>15917</v>
          </cell>
          <cell r="B843">
            <v>259</v>
          </cell>
          <cell r="C843">
            <v>43390</v>
          </cell>
          <cell r="D843">
            <v>9076</v>
          </cell>
          <cell r="E843">
            <v>10451</v>
          </cell>
        </row>
        <row r="844">
          <cell r="A844">
            <v>16032</v>
          </cell>
          <cell r="B844">
            <v>259</v>
          </cell>
          <cell r="C844">
            <v>102688</v>
          </cell>
          <cell r="D844">
            <v>17863</v>
          </cell>
          <cell r="E844">
            <v>30490</v>
          </cell>
        </row>
        <row r="845">
          <cell r="A845">
            <v>16037</v>
          </cell>
          <cell r="B845">
            <v>259</v>
          </cell>
          <cell r="C845">
            <v>64478</v>
          </cell>
          <cell r="D845">
            <v>13356</v>
          </cell>
          <cell r="E845">
            <v>16278</v>
          </cell>
        </row>
        <row r="846">
          <cell r="A846">
            <v>16038</v>
          </cell>
          <cell r="B846">
            <v>259</v>
          </cell>
          <cell r="C846">
            <v>97020</v>
          </cell>
          <cell r="D846">
            <v>19404</v>
          </cell>
          <cell r="E846">
            <v>24279</v>
          </cell>
        </row>
        <row r="847">
          <cell r="A847">
            <v>16040</v>
          </cell>
          <cell r="B847">
            <v>259</v>
          </cell>
          <cell r="C847">
            <v>81133</v>
          </cell>
          <cell r="D847">
            <v>16681</v>
          </cell>
          <cell r="E847">
            <v>19580</v>
          </cell>
        </row>
        <row r="848">
          <cell r="A848">
            <v>16041</v>
          </cell>
          <cell r="B848">
            <v>259</v>
          </cell>
          <cell r="C848">
            <v>79987</v>
          </cell>
          <cell r="D848">
            <v>16105</v>
          </cell>
          <cell r="E848">
            <v>19891</v>
          </cell>
        </row>
        <row r="849">
          <cell r="A849">
            <v>16045</v>
          </cell>
          <cell r="B849">
            <v>259</v>
          </cell>
          <cell r="C849">
            <v>54982</v>
          </cell>
          <cell r="D849">
            <v>11726</v>
          </cell>
          <cell r="E849">
            <v>12797</v>
          </cell>
        </row>
        <row r="850">
          <cell r="A850">
            <v>16046</v>
          </cell>
          <cell r="B850">
            <v>259</v>
          </cell>
          <cell r="C850">
            <v>64180</v>
          </cell>
          <cell r="D850">
            <v>12171</v>
          </cell>
          <cell r="E850">
            <v>15619</v>
          </cell>
        </row>
        <row r="851">
          <cell r="A851">
            <v>16054</v>
          </cell>
          <cell r="B851">
            <v>259</v>
          </cell>
          <cell r="C851">
            <v>62100</v>
          </cell>
          <cell r="D851">
            <v>10661</v>
          </cell>
          <cell r="E851">
            <v>14462</v>
          </cell>
        </row>
        <row r="852">
          <cell r="A852">
            <v>16057</v>
          </cell>
          <cell r="B852">
            <v>259</v>
          </cell>
          <cell r="C852">
            <v>64250</v>
          </cell>
          <cell r="D852">
            <v>10898</v>
          </cell>
          <cell r="E852">
            <v>15266</v>
          </cell>
        </row>
        <row r="853">
          <cell r="A853">
            <v>16059</v>
          </cell>
          <cell r="B853">
            <v>259</v>
          </cell>
          <cell r="C853">
            <v>129153</v>
          </cell>
          <cell r="D853">
            <v>31802</v>
          </cell>
          <cell r="E853">
            <v>28192</v>
          </cell>
        </row>
        <row r="854">
          <cell r="A854">
            <v>16084</v>
          </cell>
          <cell r="B854">
            <v>259</v>
          </cell>
          <cell r="C854">
            <v>101099</v>
          </cell>
          <cell r="D854">
            <v>26649</v>
          </cell>
          <cell r="E854">
            <v>20138</v>
          </cell>
        </row>
        <row r="855">
          <cell r="A855">
            <v>16085</v>
          </cell>
          <cell r="B855">
            <v>259</v>
          </cell>
          <cell r="C855">
            <v>112278</v>
          </cell>
          <cell r="D855">
            <v>28635</v>
          </cell>
          <cell r="E855">
            <v>23911</v>
          </cell>
        </row>
        <row r="856">
          <cell r="A856">
            <v>16096</v>
          </cell>
          <cell r="B856">
            <v>259</v>
          </cell>
          <cell r="C856">
            <v>78562</v>
          </cell>
          <cell r="D856">
            <v>12366</v>
          </cell>
          <cell r="E856">
            <v>24524</v>
          </cell>
        </row>
        <row r="857">
          <cell r="A857">
            <v>16125</v>
          </cell>
          <cell r="B857">
            <v>259</v>
          </cell>
          <cell r="C857">
            <v>105068</v>
          </cell>
          <cell r="D857">
            <v>16505</v>
          </cell>
          <cell r="E857">
            <v>30291</v>
          </cell>
        </row>
        <row r="858">
          <cell r="A858">
            <v>16126</v>
          </cell>
          <cell r="B858">
            <v>259</v>
          </cell>
          <cell r="C858">
            <v>59523</v>
          </cell>
          <cell r="D858">
            <v>10815</v>
          </cell>
          <cell r="E858">
            <v>16706</v>
          </cell>
        </row>
        <row r="859">
          <cell r="A859">
            <v>16127</v>
          </cell>
          <cell r="B859">
            <v>259</v>
          </cell>
          <cell r="C859">
            <v>67224</v>
          </cell>
          <cell r="D859">
            <v>13370</v>
          </cell>
          <cell r="E859">
            <v>17197</v>
          </cell>
        </row>
        <row r="860">
          <cell r="A860">
            <v>16128</v>
          </cell>
          <cell r="B860">
            <v>259</v>
          </cell>
          <cell r="C860">
            <v>64701</v>
          </cell>
          <cell r="D860">
            <v>12992</v>
          </cell>
          <cell r="E860">
            <v>16591</v>
          </cell>
        </row>
        <row r="861">
          <cell r="A861">
            <v>16131</v>
          </cell>
          <cell r="B861">
            <v>259</v>
          </cell>
          <cell r="C861">
            <v>59992</v>
          </cell>
          <cell r="D861">
            <v>13357</v>
          </cell>
          <cell r="E861">
            <v>14734</v>
          </cell>
        </row>
        <row r="862">
          <cell r="A862">
            <v>16136</v>
          </cell>
          <cell r="B862">
            <v>259</v>
          </cell>
          <cell r="C862">
            <v>73984</v>
          </cell>
          <cell r="D862">
            <v>16147</v>
          </cell>
          <cell r="E862">
            <v>19070</v>
          </cell>
        </row>
        <row r="863">
          <cell r="A863">
            <v>16138</v>
          </cell>
          <cell r="B863">
            <v>259</v>
          </cell>
          <cell r="C863">
            <v>61562</v>
          </cell>
          <cell r="D863">
            <v>13361</v>
          </cell>
          <cell r="E863">
            <v>14927</v>
          </cell>
        </row>
        <row r="864">
          <cell r="A864">
            <v>16144</v>
          </cell>
          <cell r="B864">
            <v>259</v>
          </cell>
          <cell r="C864">
            <v>36886</v>
          </cell>
          <cell r="D864">
            <v>6680</v>
          </cell>
          <cell r="E864">
            <v>11055</v>
          </cell>
        </row>
        <row r="865">
          <cell r="A865">
            <v>16162</v>
          </cell>
          <cell r="B865">
            <v>259</v>
          </cell>
          <cell r="C865">
            <v>80428</v>
          </cell>
          <cell r="D865">
            <v>20920</v>
          </cell>
          <cell r="E865">
            <v>13152</v>
          </cell>
        </row>
        <row r="866">
          <cell r="A866">
            <v>16163</v>
          </cell>
          <cell r="B866">
            <v>259</v>
          </cell>
          <cell r="C866">
            <v>83208</v>
          </cell>
          <cell r="D866">
            <v>22071</v>
          </cell>
          <cell r="E866">
            <v>15329</v>
          </cell>
        </row>
        <row r="867">
          <cell r="A867">
            <v>16164</v>
          </cell>
          <cell r="B867">
            <v>259</v>
          </cell>
          <cell r="C867">
            <v>77976</v>
          </cell>
          <cell r="D867">
            <v>20312</v>
          </cell>
          <cell r="E867">
            <v>13152</v>
          </cell>
        </row>
        <row r="868">
          <cell r="A868">
            <v>16167</v>
          </cell>
          <cell r="B868">
            <v>259</v>
          </cell>
          <cell r="C868">
            <v>167478</v>
          </cell>
          <cell r="D868">
            <v>31191</v>
          </cell>
          <cell r="E868">
            <v>44796</v>
          </cell>
        </row>
        <row r="869">
          <cell r="A869">
            <v>16170</v>
          </cell>
          <cell r="B869">
            <v>259</v>
          </cell>
          <cell r="C869">
            <v>48574</v>
          </cell>
          <cell r="D869">
            <v>10741</v>
          </cell>
          <cell r="E869">
            <v>9531</v>
          </cell>
        </row>
        <row r="870">
          <cell r="A870">
            <v>16183</v>
          </cell>
          <cell r="B870">
            <v>259</v>
          </cell>
          <cell r="C870">
            <v>68301</v>
          </cell>
          <cell r="D870">
            <v>13740</v>
          </cell>
          <cell r="E870">
            <v>15857</v>
          </cell>
        </row>
        <row r="871">
          <cell r="A871">
            <v>16271</v>
          </cell>
          <cell r="B871">
            <v>259</v>
          </cell>
          <cell r="C871">
            <v>102638</v>
          </cell>
          <cell r="D871">
            <v>23863</v>
          </cell>
          <cell r="E871">
            <v>19090</v>
          </cell>
        </row>
        <row r="872">
          <cell r="A872">
            <v>16272</v>
          </cell>
          <cell r="B872">
            <v>259</v>
          </cell>
          <cell r="C872">
            <v>109906</v>
          </cell>
          <cell r="D872">
            <v>25102</v>
          </cell>
          <cell r="E872">
            <v>20725</v>
          </cell>
        </row>
        <row r="873">
          <cell r="A873">
            <v>16274</v>
          </cell>
          <cell r="B873">
            <v>259</v>
          </cell>
          <cell r="C873">
            <v>102390</v>
          </cell>
          <cell r="D873">
            <v>16281</v>
          </cell>
          <cell r="E873">
            <v>29248</v>
          </cell>
        </row>
        <row r="874">
          <cell r="A874">
            <v>16275</v>
          </cell>
          <cell r="B874">
            <v>259</v>
          </cell>
          <cell r="C874">
            <v>109338</v>
          </cell>
          <cell r="D874">
            <v>17178</v>
          </cell>
          <cell r="E874">
            <v>30987</v>
          </cell>
        </row>
        <row r="875">
          <cell r="A875">
            <v>16290</v>
          </cell>
          <cell r="B875">
            <v>259</v>
          </cell>
          <cell r="C875">
            <v>101769</v>
          </cell>
          <cell r="D875">
            <v>16181</v>
          </cell>
          <cell r="E875">
            <v>29073</v>
          </cell>
        </row>
        <row r="876">
          <cell r="A876">
            <v>16291</v>
          </cell>
          <cell r="B876">
            <v>259</v>
          </cell>
          <cell r="C876">
            <v>105811</v>
          </cell>
          <cell r="D876">
            <v>16992</v>
          </cell>
          <cell r="E876">
            <v>30001</v>
          </cell>
        </row>
        <row r="877">
          <cell r="A877">
            <v>16350</v>
          </cell>
          <cell r="B877">
            <v>259</v>
          </cell>
          <cell r="C877">
            <v>37412</v>
          </cell>
          <cell r="D877">
            <v>5462</v>
          </cell>
          <cell r="E877">
            <v>12455</v>
          </cell>
        </row>
        <row r="878">
          <cell r="A878">
            <v>16351</v>
          </cell>
          <cell r="B878">
            <v>259</v>
          </cell>
          <cell r="C878">
            <v>38204</v>
          </cell>
          <cell r="D878">
            <v>11361</v>
          </cell>
          <cell r="E878">
            <v>7464</v>
          </cell>
        </row>
        <row r="879">
          <cell r="A879">
            <v>16352</v>
          </cell>
          <cell r="B879">
            <v>259</v>
          </cell>
          <cell r="C879">
            <v>43341</v>
          </cell>
          <cell r="D879">
            <v>11830</v>
          </cell>
          <cell r="E879">
            <v>8803</v>
          </cell>
        </row>
        <row r="880">
          <cell r="A880">
            <v>16353</v>
          </cell>
          <cell r="B880">
            <v>259</v>
          </cell>
          <cell r="C880">
            <v>41570</v>
          </cell>
          <cell r="D880">
            <v>6724</v>
          </cell>
          <cell r="E880">
            <v>12676</v>
          </cell>
        </row>
        <row r="881">
          <cell r="A881">
            <v>16354</v>
          </cell>
          <cell r="B881">
            <v>259</v>
          </cell>
          <cell r="C881">
            <v>31535</v>
          </cell>
          <cell r="D881">
            <v>9167</v>
          </cell>
          <cell r="E881">
            <v>6406</v>
          </cell>
        </row>
        <row r="882">
          <cell r="A882">
            <v>16355</v>
          </cell>
          <cell r="B882">
            <v>259</v>
          </cell>
          <cell r="C882">
            <v>30452</v>
          </cell>
          <cell r="D882">
            <v>4946</v>
          </cell>
          <cell r="E882">
            <v>9520</v>
          </cell>
        </row>
        <row r="883">
          <cell r="A883">
            <v>16356</v>
          </cell>
          <cell r="B883">
            <v>259</v>
          </cell>
          <cell r="C883">
            <v>43214</v>
          </cell>
          <cell r="D883">
            <v>6247</v>
          </cell>
          <cell r="E883">
            <v>14350</v>
          </cell>
        </row>
        <row r="884">
          <cell r="A884">
            <v>16357</v>
          </cell>
          <cell r="B884">
            <v>259</v>
          </cell>
          <cell r="C884">
            <v>42777</v>
          </cell>
          <cell r="D884">
            <v>12762</v>
          </cell>
          <cell r="E884">
            <v>8015</v>
          </cell>
        </row>
        <row r="885">
          <cell r="A885">
            <v>16358</v>
          </cell>
          <cell r="B885">
            <v>259</v>
          </cell>
          <cell r="C885">
            <v>38204</v>
          </cell>
          <cell r="D885">
            <v>11361</v>
          </cell>
          <cell r="E885">
            <v>7464</v>
          </cell>
        </row>
        <row r="886">
          <cell r="A886">
            <v>16359</v>
          </cell>
          <cell r="B886">
            <v>259</v>
          </cell>
          <cell r="C886">
            <v>34893</v>
          </cell>
          <cell r="D886">
            <v>10721</v>
          </cell>
          <cell r="E886">
            <v>6501</v>
          </cell>
        </row>
        <row r="887">
          <cell r="A887">
            <v>16360</v>
          </cell>
          <cell r="B887">
            <v>259</v>
          </cell>
          <cell r="C887">
            <v>37412</v>
          </cell>
          <cell r="D887">
            <v>5462</v>
          </cell>
          <cell r="E887">
            <v>12455</v>
          </cell>
        </row>
        <row r="888">
          <cell r="A888">
            <v>16361</v>
          </cell>
          <cell r="B888">
            <v>259</v>
          </cell>
          <cell r="C888">
            <v>38204</v>
          </cell>
          <cell r="D888">
            <v>11361</v>
          </cell>
          <cell r="E888">
            <v>7464</v>
          </cell>
        </row>
        <row r="889">
          <cell r="A889">
            <v>16362</v>
          </cell>
          <cell r="B889">
            <v>259</v>
          </cell>
          <cell r="C889">
            <v>37412</v>
          </cell>
          <cell r="D889">
            <v>5462</v>
          </cell>
          <cell r="E889">
            <v>12455</v>
          </cell>
        </row>
        <row r="890">
          <cell r="A890">
            <v>16370</v>
          </cell>
          <cell r="B890">
            <v>259</v>
          </cell>
          <cell r="C890">
            <v>82248</v>
          </cell>
          <cell r="D890">
            <v>16214</v>
          </cell>
          <cell r="E890">
            <v>17032</v>
          </cell>
        </row>
        <row r="891">
          <cell r="A891">
            <v>16427</v>
          </cell>
          <cell r="B891">
            <v>259</v>
          </cell>
          <cell r="C891">
            <v>58226</v>
          </cell>
          <cell r="D891">
            <v>11421</v>
          </cell>
          <cell r="E891">
            <v>16053</v>
          </cell>
        </row>
        <row r="892">
          <cell r="A892">
            <v>16428</v>
          </cell>
          <cell r="B892">
            <v>259</v>
          </cell>
          <cell r="C892">
            <v>80038</v>
          </cell>
          <cell r="D892">
            <v>16824</v>
          </cell>
          <cell r="E892">
            <v>17799</v>
          </cell>
        </row>
        <row r="893">
          <cell r="A893">
            <v>16429</v>
          </cell>
          <cell r="B893">
            <v>259</v>
          </cell>
          <cell r="C893">
            <v>68509</v>
          </cell>
          <cell r="D893">
            <v>13572</v>
          </cell>
          <cell r="E893">
            <v>18397</v>
          </cell>
        </row>
        <row r="894">
          <cell r="A894">
            <v>16430</v>
          </cell>
          <cell r="B894">
            <v>259</v>
          </cell>
          <cell r="C894">
            <v>58226</v>
          </cell>
          <cell r="D894">
            <v>11421</v>
          </cell>
          <cell r="E894">
            <v>16053</v>
          </cell>
        </row>
        <row r="895">
          <cell r="A895">
            <v>16431</v>
          </cell>
          <cell r="B895">
            <v>259</v>
          </cell>
          <cell r="C895">
            <v>76446</v>
          </cell>
          <cell r="D895">
            <v>13957</v>
          </cell>
          <cell r="E895">
            <v>20291</v>
          </cell>
        </row>
        <row r="896">
          <cell r="A896">
            <v>16445</v>
          </cell>
          <cell r="B896">
            <v>259</v>
          </cell>
          <cell r="C896">
            <v>91241</v>
          </cell>
          <cell r="D896">
            <v>17948</v>
          </cell>
          <cell r="E896">
            <v>21091</v>
          </cell>
        </row>
        <row r="897">
          <cell r="A897">
            <v>16446</v>
          </cell>
          <cell r="B897">
            <v>259</v>
          </cell>
          <cell r="C897">
            <v>77860</v>
          </cell>
          <cell r="D897">
            <v>15767</v>
          </cell>
          <cell r="E897">
            <v>18365</v>
          </cell>
        </row>
        <row r="898">
          <cell r="A898">
            <v>16447</v>
          </cell>
          <cell r="B898">
            <v>259</v>
          </cell>
          <cell r="C898">
            <v>89846</v>
          </cell>
          <cell r="D898">
            <v>17464</v>
          </cell>
          <cell r="E898">
            <v>22092</v>
          </cell>
        </row>
        <row r="899">
          <cell r="A899">
            <v>16450</v>
          </cell>
          <cell r="B899">
            <v>259</v>
          </cell>
          <cell r="C899">
            <v>87007</v>
          </cell>
          <cell r="D899">
            <v>16863</v>
          </cell>
          <cell r="E899">
            <v>21195</v>
          </cell>
        </row>
        <row r="900">
          <cell r="A900">
            <v>16489</v>
          </cell>
          <cell r="B900">
            <v>259</v>
          </cell>
          <cell r="C900">
            <v>59640</v>
          </cell>
          <cell r="D900">
            <v>9899</v>
          </cell>
          <cell r="E900">
            <v>16200</v>
          </cell>
        </row>
        <row r="901">
          <cell r="A901">
            <v>16490</v>
          </cell>
          <cell r="B901">
            <v>259</v>
          </cell>
          <cell r="C901">
            <v>29053</v>
          </cell>
          <cell r="D901">
            <v>6869</v>
          </cell>
          <cell r="E901">
            <v>5919</v>
          </cell>
        </row>
        <row r="902">
          <cell r="A902">
            <v>16491</v>
          </cell>
          <cell r="B902">
            <v>259</v>
          </cell>
          <cell r="C902">
            <v>29743</v>
          </cell>
          <cell r="D902">
            <v>5555</v>
          </cell>
          <cell r="E902">
            <v>7107</v>
          </cell>
        </row>
        <row r="903">
          <cell r="A903">
            <v>16495</v>
          </cell>
          <cell r="B903">
            <v>259</v>
          </cell>
          <cell r="C903">
            <v>30999</v>
          </cell>
          <cell r="D903">
            <v>7084</v>
          </cell>
          <cell r="E903">
            <v>6569</v>
          </cell>
        </row>
        <row r="904">
          <cell r="A904">
            <v>16499</v>
          </cell>
          <cell r="B904">
            <v>259</v>
          </cell>
          <cell r="C904">
            <v>29967</v>
          </cell>
          <cell r="D904">
            <v>5584</v>
          </cell>
          <cell r="E904">
            <v>7168</v>
          </cell>
        </row>
        <row r="905">
          <cell r="A905">
            <v>16523</v>
          </cell>
          <cell r="B905">
            <v>259</v>
          </cell>
          <cell r="C905">
            <v>33771</v>
          </cell>
          <cell r="D905">
            <v>6631</v>
          </cell>
          <cell r="E905">
            <v>9739</v>
          </cell>
        </row>
        <row r="906">
          <cell r="A906">
            <v>16524</v>
          </cell>
          <cell r="B906">
            <v>259</v>
          </cell>
          <cell r="C906">
            <v>33771</v>
          </cell>
          <cell r="D906">
            <v>6631</v>
          </cell>
          <cell r="E906">
            <v>9739</v>
          </cell>
        </row>
        <row r="907">
          <cell r="A907">
            <v>16533</v>
          </cell>
          <cell r="B907">
            <v>259</v>
          </cell>
          <cell r="C907">
            <v>71969</v>
          </cell>
          <cell r="D907">
            <v>19072</v>
          </cell>
          <cell r="E907">
            <v>14137</v>
          </cell>
        </row>
        <row r="908">
          <cell r="A908">
            <v>16534</v>
          </cell>
          <cell r="B908">
            <v>259</v>
          </cell>
          <cell r="C908">
            <v>77472</v>
          </cell>
          <cell r="D908">
            <v>20328</v>
          </cell>
          <cell r="E908">
            <v>15738</v>
          </cell>
        </row>
        <row r="909">
          <cell r="A909">
            <v>16564</v>
          </cell>
          <cell r="B909">
            <v>259</v>
          </cell>
          <cell r="C909">
            <v>52311</v>
          </cell>
          <cell r="D909">
            <v>11611</v>
          </cell>
          <cell r="E909">
            <v>12558</v>
          </cell>
        </row>
        <row r="910">
          <cell r="A910">
            <v>16565</v>
          </cell>
          <cell r="B910">
            <v>259</v>
          </cell>
          <cell r="C910">
            <v>63375</v>
          </cell>
          <cell r="D910">
            <v>12216</v>
          </cell>
          <cell r="E910">
            <v>15638</v>
          </cell>
        </row>
        <row r="911">
          <cell r="A911">
            <v>16566</v>
          </cell>
          <cell r="B911">
            <v>259</v>
          </cell>
          <cell r="C911">
            <v>50608</v>
          </cell>
          <cell r="D911">
            <v>9784</v>
          </cell>
          <cell r="E911">
            <v>13092</v>
          </cell>
        </row>
        <row r="912">
          <cell r="A912">
            <v>16567</v>
          </cell>
          <cell r="B912">
            <v>259</v>
          </cell>
          <cell r="C912">
            <v>62364</v>
          </cell>
          <cell r="D912">
            <v>13242</v>
          </cell>
          <cell r="E912">
            <v>15177</v>
          </cell>
        </row>
        <row r="913">
          <cell r="A913">
            <v>16570</v>
          </cell>
          <cell r="B913">
            <v>259</v>
          </cell>
          <cell r="C913">
            <v>125467</v>
          </cell>
          <cell r="D913">
            <v>22079</v>
          </cell>
          <cell r="E913">
            <v>33362</v>
          </cell>
        </row>
        <row r="914">
          <cell r="A914">
            <v>16578</v>
          </cell>
          <cell r="B914">
            <v>259</v>
          </cell>
          <cell r="C914">
            <v>98843</v>
          </cell>
          <cell r="D914">
            <v>19156</v>
          </cell>
          <cell r="E914">
            <v>27968</v>
          </cell>
        </row>
        <row r="915">
          <cell r="A915">
            <v>16580</v>
          </cell>
          <cell r="B915">
            <v>259</v>
          </cell>
          <cell r="C915">
            <v>110412</v>
          </cell>
          <cell r="D915">
            <v>25143</v>
          </cell>
          <cell r="E915">
            <v>25162</v>
          </cell>
        </row>
        <row r="916">
          <cell r="A916">
            <v>16584</v>
          </cell>
          <cell r="B916">
            <v>259</v>
          </cell>
          <cell r="C916">
            <v>101816</v>
          </cell>
          <cell r="D916">
            <v>23964</v>
          </cell>
          <cell r="E916">
            <v>23295</v>
          </cell>
        </row>
        <row r="917">
          <cell r="A917">
            <v>16759</v>
          </cell>
          <cell r="B917">
            <v>259</v>
          </cell>
          <cell r="C917">
            <v>82321</v>
          </cell>
          <cell r="D917">
            <v>14496</v>
          </cell>
          <cell r="E917">
            <v>22533</v>
          </cell>
        </row>
        <row r="918">
          <cell r="A918">
            <v>16760</v>
          </cell>
          <cell r="B918">
            <v>259</v>
          </cell>
          <cell r="C918">
            <v>87925</v>
          </cell>
          <cell r="D918">
            <v>21198</v>
          </cell>
          <cell r="E918">
            <v>20341</v>
          </cell>
        </row>
        <row r="919">
          <cell r="A919">
            <v>16761</v>
          </cell>
          <cell r="B919">
            <v>259</v>
          </cell>
          <cell r="C919">
            <v>72268</v>
          </cell>
          <cell r="D919">
            <v>12831</v>
          </cell>
          <cell r="E919">
            <v>19535</v>
          </cell>
        </row>
        <row r="920">
          <cell r="A920">
            <v>17300</v>
          </cell>
          <cell r="B920">
            <v>259</v>
          </cell>
          <cell r="C920">
            <v>67709</v>
          </cell>
          <cell r="D920">
            <v>18931</v>
          </cell>
          <cell r="E920">
            <v>13450</v>
          </cell>
        </row>
        <row r="921">
          <cell r="A921">
            <v>18949</v>
          </cell>
          <cell r="B921">
            <v>259</v>
          </cell>
          <cell r="C921">
            <v>64534</v>
          </cell>
          <cell r="D921">
            <v>9926</v>
          </cell>
          <cell r="E921">
            <v>21140</v>
          </cell>
        </row>
        <row r="922">
          <cell r="A922">
            <v>19152</v>
          </cell>
          <cell r="B922">
            <v>259</v>
          </cell>
          <cell r="C922">
            <v>72998</v>
          </cell>
          <cell r="D922">
            <v>14426</v>
          </cell>
          <cell r="E922">
            <v>18146</v>
          </cell>
        </row>
        <row r="923">
          <cell r="A923">
            <v>19455</v>
          </cell>
          <cell r="B923">
            <v>259</v>
          </cell>
          <cell r="C923">
            <v>2132</v>
          </cell>
          <cell r="D923">
            <v>0</v>
          </cell>
          <cell r="E923">
            <v>2132</v>
          </cell>
        </row>
        <row r="924">
          <cell r="A924">
            <v>19481</v>
          </cell>
          <cell r="B924">
            <v>259</v>
          </cell>
          <cell r="C924">
            <v>53315</v>
          </cell>
          <cell r="D924">
            <v>8593</v>
          </cell>
          <cell r="E924">
            <v>17238</v>
          </cell>
        </row>
        <row r="925">
          <cell r="A925">
            <v>19564</v>
          </cell>
          <cell r="B925">
            <v>259</v>
          </cell>
          <cell r="C925">
            <v>7274</v>
          </cell>
          <cell r="D925">
            <v>1345</v>
          </cell>
          <cell r="E925">
            <v>3060</v>
          </cell>
        </row>
        <row r="926">
          <cell r="A926">
            <v>19571</v>
          </cell>
          <cell r="B926">
            <v>259</v>
          </cell>
          <cell r="C926">
            <v>70300</v>
          </cell>
          <cell r="D926">
            <v>14924</v>
          </cell>
          <cell r="E926">
            <v>15773</v>
          </cell>
        </row>
        <row r="927">
          <cell r="A927">
            <v>19605</v>
          </cell>
          <cell r="B927">
            <v>259</v>
          </cell>
          <cell r="C927">
            <v>79168</v>
          </cell>
          <cell r="D927">
            <v>15666</v>
          </cell>
          <cell r="E927">
            <v>20808</v>
          </cell>
        </row>
        <row r="928">
          <cell r="A928">
            <v>19671</v>
          </cell>
          <cell r="B928">
            <v>259</v>
          </cell>
          <cell r="C928">
            <v>99751</v>
          </cell>
          <cell r="D928">
            <v>16877</v>
          </cell>
          <cell r="E928">
            <v>27477</v>
          </cell>
        </row>
        <row r="929">
          <cell r="A929">
            <v>20457</v>
          </cell>
          <cell r="B929">
            <v>259</v>
          </cell>
          <cell r="C929">
            <v>104195</v>
          </cell>
          <cell r="D929">
            <v>26814</v>
          </cell>
          <cell r="E929">
            <v>22545</v>
          </cell>
        </row>
        <row r="930">
          <cell r="A930">
            <v>20458</v>
          </cell>
          <cell r="B930">
            <v>259</v>
          </cell>
          <cell r="C930">
            <v>86048</v>
          </cell>
          <cell r="D930">
            <v>20822</v>
          </cell>
          <cell r="E930">
            <v>19193</v>
          </cell>
        </row>
        <row r="931">
          <cell r="A931">
            <v>20463</v>
          </cell>
          <cell r="B931">
            <v>259</v>
          </cell>
          <cell r="C931">
            <v>76688</v>
          </cell>
          <cell r="D931">
            <v>14258</v>
          </cell>
          <cell r="E931">
            <v>20781</v>
          </cell>
        </row>
        <row r="932">
          <cell r="A932">
            <v>20464</v>
          </cell>
          <cell r="B932">
            <v>259</v>
          </cell>
          <cell r="C932">
            <v>59125</v>
          </cell>
          <cell r="D932">
            <v>13864</v>
          </cell>
          <cell r="E932">
            <v>10941</v>
          </cell>
        </row>
        <row r="933">
          <cell r="A933">
            <v>20465</v>
          </cell>
          <cell r="B933">
            <v>259</v>
          </cell>
          <cell r="C933">
            <v>125005</v>
          </cell>
          <cell r="D933">
            <v>31971</v>
          </cell>
          <cell r="E933">
            <v>25799</v>
          </cell>
        </row>
        <row r="934">
          <cell r="A934">
            <v>20466</v>
          </cell>
          <cell r="B934">
            <v>259</v>
          </cell>
          <cell r="C934">
            <v>85927</v>
          </cell>
          <cell r="D934">
            <v>23637</v>
          </cell>
          <cell r="E934">
            <v>16932</v>
          </cell>
        </row>
        <row r="935">
          <cell r="A935">
            <v>20467</v>
          </cell>
          <cell r="B935">
            <v>259</v>
          </cell>
          <cell r="C935">
            <v>92864</v>
          </cell>
          <cell r="D935">
            <v>25776</v>
          </cell>
          <cell r="E935">
            <v>18545</v>
          </cell>
        </row>
        <row r="936">
          <cell r="A936">
            <v>20471</v>
          </cell>
          <cell r="B936">
            <v>259</v>
          </cell>
          <cell r="C936">
            <v>85760</v>
          </cell>
          <cell r="D936">
            <v>22116</v>
          </cell>
          <cell r="E936">
            <v>18675</v>
          </cell>
        </row>
        <row r="937">
          <cell r="A937">
            <v>20472</v>
          </cell>
          <cell r="B937">
            <v>259</v>
          </cell>
          <cell r="C937">
            <v>85760</v>
          </cell>
          <cell r="D937">
            <v>22116</v>
          </cell>
          <cell r="E937">
            <v>18675</v>
          </cell>
        </row>
        <row r="938">
          <cell r="A938">
            <v>20487</v>
          </cell>
          <cell r="B938">
            <v>259</v>
          </cell>
          <cell r="C938">
            <v>114955</v>
          </cell>
          <cell r="D938">
            <v>27524</v>
          </cell>
          <cell r="E938">
            <v>23611</v>
          </cell>
        </row>
        <row r="939">
          <cell r="A939">
            <v>20529</v>
          </cell>
          <cell r="B939">
            <v>259</v>
          </cell>
          <cell r="C939">
            <v>107980</v>
          </cell>
          <cell r="D939">
            <v>24623</v>
          </cell>
          <cell r="E939">
            <v>24693</v>
          </cell>
        </row>
        <row r="940">
          <cell r="A940">
            <v>20549</v>
          </cell>
          <cell r="B940">
            <v>259</v>
          </cell>
          <cell r="C940">
            <v>83682</v>
          </cell>
          <cell r="D940">
            <v>18500</v>
          </cell>
          <cell r="E940">
            <v>20016</v>
          </cell>
        </row>
        <row r="941">
          <cell r="A941">
            <v>20588</v>
          </cell>
          <cell r="B941">
            <v>259</v>
          </cell>
          <cell r="C941">
            <v>77507</v>
          </cell>
          <cell r="D941">
            <v>17134</v>
          </cell>
          <cell r="E941">
            <v>18697</v>
          </cell>
        </row>
        <row r="942">
          <cell r="A942">
            <v>20600</v>
          </cell>
          <cell r="B942">
            <v>259</v>
          </cell>
          <cell r="C942">
            <v>68729</v>
          </cell>
          <cell r="D942">
            <v>14177</v>
          </cell>
          <cell r="E942">
            <v>16739</v>
          </cell>
        </row>
        <row r="943">
          <cell r="A943">
            <v>20639</v>
          </cell>
          <cell r="B943">
            <v>259</v>
          </cell>
          <cell r="C943">
            <v>82168</v>
          </cell>
          <cell r="D943">
            <v>17139</v>
          </cell>
          <cell r="E943">
            <v>20614</v>
          </cell>
        </row>
        <row r="944">
          <cell r="A944">
            <v>20640</v>
          </cell>
          <cell r="B944">
            <v>259</v>
          </cell>
          <cell r="C944">
            <v>89314</v>
          </cell>
          <cell r="D944">
            <v>20425</v>
          </cell>
          <cell r="E944">
            <v>21509</v>
          </cell>
        </row>
        <row r="945">
          <cell r="A945">
            <v>20654</v>
          </cell>
          <cell r="B945">
            <v>259</v>
          </cell>
          <cell r="C945">
            <v>98976</v>
          </cell>
          <cell r="D945">
            <v>21049</v>
          </cell>
          <cell r="E945">
            <v>19442</v>
          </cell>
        </row>
        <row r="946">
          <cell r="A946">
            <v>20684</v>
          </cell>
          <cell r="B946">
            <v>259</v>
          </cell>
          <cell r="C946">
            <v>90990</v>
          </cell>
          <cell r="D946">
            <v>18621</v>
          </cell>
          <cell r="E946">
            <v>24387</v>
          </cell>
        </row>
        <row r="947">
          <cell r="A947">
            <v>20685</v>
          </cell>
          <cell r="B947">
            <v>259</v>
          </cell>
          <cell r="C947">
            <v>65257</v>
          </cell>
          <cell r="D947">
            <v>13948</v>
          </cell>
          <cell r="E947">
            <v>16808</v>
          </cell>
        </row>
        <row r="948">
          <cell r="A948">
            <v>20689</v>
          </cell>
          <cell r="B948">
            <v>259</v>
          </cell>
          <cell r="C948">
            <v>96807</v>
          </cell>
          <cell r="D948">
            <v>21207</v>
          </cell>
          <cell r="E948">
            <v>24203</v>
          </cell>
        </row>
        <row r="949">
          <cell r="A949">
            <v>20693</v>
          </cell>
          <cell r="B949">
            <v>259</v>
          </cell>
          <cell r="C949">
            <v>71090</v>
          </cell>
          <cell r="D949">
            <v>14806</v>
          </cell>
          <cell r="E949">
            <v>19430</v>
          </cell>
        </row>
        <row r="950">
          <cell r="A950">
            <v>20694</v>
          </cell>
          <cell r="B950">
            <v>259</v>
          </cell>
          <cell r="C950">
            <v>77337</v>
          </cell>
          <cell r="D950">
            <v>15835</v>
          </cell>
          <cell r="E950">
            <v>21001</v>
          </cell>
        </row>
        <row r="951">
          <cell r="A951">
            <v>20696</v>
          </cell>
          <cell r="B951">
            <v>259</v>
          </cell>
          <cell r="C951">
            <v>102405</v>
          </cell>
          <cell r="D951">
            <v>19412</v>
          </cell>
          <cell r="E951">
            <v>29097</v>
          </cell>
        </row>
        <row r="952">
          <cell r="A952">
            <v>20700</v>
          </cell>
          <cell r="B952">
            <v>259</v>
          </cell>
          <cell r="C952">
            <v>86606</v>
          </cell>
          <cell r="D952">
            <v>15456</v>
          </cell>
          <cell r="E952">
            <v>25700</v>
          </cell>
        </row>
        <row r="953">
          <cell r="A953">
            <v>20701</v>
          </cell>
          <cell r="B953">
            <v>259</v>
          </cell>
          <cell r="C953">
            <v>117943</v>
          </cell>
          <cell r="D953">
            <v>19768</v>
          </cell>
          <cell r="E953">
            <v>32944</v>
          </cell>
        </row>
        <row r="954">
          <cell r="A954">
            <v>20703</v>
          </cell>
          <cell r="B954">
            <v>259</v>
          </cell>
          <cell r="C954">
            <v>138523</v>
          </cell>
          <cell r="D954">
            <v>22440</v>
          </cell>
          <cell r="E954">
            <v>38943</v>
          </cell>
        </row>
        <row r="955">
          <cell r="A955">
            <v>20705</v>
          </cell>
          <cell r="B955">
            <v>259</v>
          </cell>
          <cell r="C955">
            <v>54089</v>
          </cell>
          <cell r="D955">
            <v>9293</v>
          </cell>
          <cell r="E955">
            <v>16233</v>
          </cell>
        </row>
        <row r="956">
          <cell r="A956">
            <v>20706</v>
          </cell>
          <cell r="B956">
            <v>259</v>
          </cell>
          <cell r="C956">
            <v>87632</v>
          </cell>
          <cell r="D956">
            <v>14426</v>
          </cell>
          <cell r="E956">
            <v>26158</v>
          </cell>
        </row>
        <row r="957">
          <cell r="A957">
            <v>20709</v>
          </cell>
          <cell r="B957">
            <v>259</v>
          </cell>
          <cell r="C957">
            <v>99029</v>
          </cell>
          <cell r="D957">
            <v>16438</v>
          </cell>
          <cell r="E957">
            <v>29122</v>
          </cell>
        </row>
        <row r="958">
          <cell r="A958">
            <v>20710</v>
          </cell>
          <cell r="B958">
            <v>259</v>
          </cell>
          <cell r="C958">
            <v>78475</v>
          </cell>
          <cell r="D958">
            <v>11926</v>
          </cell>
          <cell r="E958">
            <v>24133</v>
          </cell>
        </row>
        <row r="959">
          <cell r="A959">
            <v>20711</v>
          </cell>
          <cell r="B959">
            <v>259</v>
          </cell>
          <cell r="C959">
            <v>90155</v>
          </cell>
          <cell r="D959">
            <v>12736</v>
          </cell>
          <cell r="E959">
            <v>28341</v>
          </cell>
        </row>
        <row r="960">
          <cell r="A960">
            <v>20713</v>
          </cell>
          <cell r="B960">
            <v>259</v>
          </cell>
          <cell r="C960">
            <v>87203</v>
          </cell>
          <cell r="D960">
            <v>12371</v>
          </cell>
          <cell r="E960">
            <v>26906</v>
          </cell>
        </row>
        <row r="961">
          <cell r="A961">
            <v>20717</v>
          </cell>
          <cell r="B961">
            <v>259</v>
          </cell>
          <cell r="C961">
            <v>105261</v>
          </cell>
          <cell r="D961">
            <v>16049</v>
          </cell>
          <cell r="E961">
            <v>31415</v>
          </cell>
        </row>
        <row r="962">
          <cell r="A962">
            <v>20719</v>
          </cell>
          <cell r="B962">
            <v>259</v>
          </cell>
          <cell r="C962">
            <v>79407</v>
          </cell>
          <cell r="D962">
            <v>12372</v>
          </cell>
          <cell r="E962">
            <v>24128</v>
          </cell>
        </row>
        <row r="963">
          <cell r="A963">
            <v>20725</v>
          </cell>
          <cell r="B963">
            <v>259</v>
          </cell>
          <cell r="C963">
            <v>47713</v>
          </cell>
          <cell r="D963">
            <v>7169</v>
          </cell>
          <cell r="E963">
            <v>14490</v>
          </cell>
        </row>
        <row r="964">
          <cell r="A964">
            <v>20726</v>
          </cell>
          <cell r="B964">
            <v>259</v>
          </cell>
          <cell r="C964">
            <v>42976</v>
          </cell>
          <cell r="D964">
            <v>6387</v>
          </cell>
          <cell r="E964">
            <v>13112</v>
          </cell>
        </row>
        <row r="965">
          <cell r="A965">
            <v>20727</v>
          </cell>
          <cell r="B965">
            <v>259</v>
          </cell>
          <cell r="C965">
            <v>44928</v>
          </cell>
          <cell r="D965">
            <v>11894</v>
          </cell>
          <cell r="E965">
            <v>8404</v>
          </cell>
        </row>
        <row r="966">
          <cell r="A966">
            <v>20730</v>
          </cell>
          <cell r="B966">
            <v>259</v>
          </cell>
          <cell r="C966">
            <v>81371</v>
          </cell>
          <cell r="D966">
            <v>20509</v>
          </cell>
          <cell r="E966">
            <v>17464</v>
          </cell>
        </row>
        <row r="967">
          <cell r="A967">
            <v>20731</v>
          </cell>
          <cell r="B967">
            <v>259</v>
          </cell>
          <cell r="C967">
            <v>75960</v>
          </cell>
          <cell r="D967">
            <v>20106</v>
          </cell>
          <cell r="E967">
            <v>15464</v>
          </cell>
        </row>
        <row r="968">
          <cell r="A968">
            <v>20741</v>
          </cell>
          <cell r="B968">
            <v>259</v>
          </cell>
          <cell r="C968">
            <v>114292</v>
          </cell>
          <cell r="D968">
            <v>27392</v>
          </cell>
          <cell r="E968">
            <v>23314</v>
          </cell>
        </row>
        <row r="969">
          <cell r="A969">
            <v>20743</v>
          </cell>
          <cell r="B969">
            <v>259</v>
          </cell>
          <cell r="C969">
            <v>102719</v>
          </cell>
          <cell r="D969">
            <v>25392</v>
          </cell>
          <cell r="E969">
            <v>20660</v>
          </cell>
        </row>
        <row r="970">
          <cell r="A970">
            <v>20747</v>
          </cell>
          <cell r="B970">
            <v>259</v>
          </cell>
          <cell r="C970">
            <v>107973</v>
          </cell>
          <cell r="D970">
            <v>25791</v>
          </cell>
          <cell r="E970">
            <v>20783</v>
          </cell>
        </row>
        <row r="971">
          <cell r="A971">
            <v>20749</v>
          </cell>
          <cell r="B971">
            <v>259</v>
          </cell>
          <cell r="C971">
            <v>127401</v>
          </cell>
          <cell r="D971">
            <v>34368</v>
          </cell>
          <cell r="E971">
            <v>24522</v>
          </cell>
        </row>
        <row r="972">
          <cell r="A972">
            <v>20750</v>
          </cell>
          <cell r="B972">
            <v>259</v>
          </cell>
          <cell r="C972">
            <v>88488</v>
          </cell>
          <cell r="D972">
            <v>25410</v>
          </cell>
          <cell r="E972">
            <v>16088</v>
          </cell>
        </row>
        <row r="973">
          <cell r="A973">
            <v>20755</v>
          </cell>
          <cell r="B973">
            <v>259</v>
          </cell>
          <cell r="C973">
            <v>81359</v>
          </cell>
          <cell r="D973">
            <v>23816</v>
          </cell>
          <cell r="E973">
            <v>14110</v>
          </cell>
        </row>
        <row r="974">
          <cell r="A974">
            <v>20762</v>
          </cell>
          <cell r="B974">
            <v>259</v>
          </cell>
          <cell r="C974">
            <v>83278</v>
          </cell>
          <cell r="D974">
            <v>13085</v>
          </cell>
          <cell r="E974">
            <v>23360</v>
          </cell>
        </row>
        <row r="975">
          <cell r="A975">
            <v>20781</v>
          </cell>
          <cell r="B975">
            <v>259</v>
          </cell>
          <cell r="C975">
            <v>83013</v>
          </cell>
          <cell r="D975">
            <v>20994</v>
          </cell>
          <cell r="E975">
            <v>16500</v>
          </cell>
        </row>
        <row r="976">
          <cell r="A976">
            <v>20782</v>
          </cell>
          <cell r="B976">
            <v>259</v>
          </cell>
          <cell r="C976">
            <v>83019</v>
          </cell>
          <cell r="D976">
            <v>12906</v>
          </cell>
          <cell r="E976">
            <v>26238</v>
          </cell>
        </row>
        <row r="977">
          <cell r="A977">
            <v>20787</v>
          </cell>
          <cell r="B977">
            <v>259</v>
          </cell>
          <cell r="C977">
            <v>96300</v>
          </cell>
          <cell r="D977">
            <v>13999</v>
          </cell>
          <cell r="E977">
            <v>30999</v>
          </cell>
        </row>
        <row r="978">
          <cell r="A978">
            <v>20788</v>
          </cell>
          <cell r="B978">
            <v>259</v>
          </cell>
          <cell r="C978">
            <v>111643</v>
          </cell>
          <cell r="D978">
            <v>17848</v>
          </cell>
          <cell r="E978">
            <v>29715</v>
          </cell>
        </row>
        <row r="979">
          <cell r="A979">
            <v>20789</v>
          </cell>
          <cell r="B979">
            <v>259</v>
          </cell>
          <cell r="C979">
            <v>106723</v>
          </cell>
          <cell r="D979">
            <v>18027</v>
          </cell>
          <cell r="E979">
            <v>28869</v>
          </cell>
        </row>
        <row r="980">
          <cell r="A980">
            <v>20790</v>
          </cell>
          <cell r="B980">
            <v>259</v>
          </cell>
          <cell r="C980">
            <v>118231</v>
          </cell>
          <cell r="D980">
            <v>19513</v>
          </cell>
          <cell r="E980">
            <v>31161</v>
          </cell>
        </row>
        <row r="981">
          <cell r="A981">
            <v>21781</v>
          </cell>
          <cell r="B981">
            <v>259</v>
          </cell>
          <cell r="C981">
            <v>17954</v>
          </cell>
          <cell r="D981">
            <v>3013</v>
          </cell>
          <cell r="E981">
            <v>5254</v>
          </cell>
        </row>
        <row r="982">
          <cell r="A982">
            <v>21782</v>
          </cell>
          <cell r="B982">
            <v>259</v>
          </cell>
          <cell r="C982">
            <v>57689</v>
          </cell>
          <cell r="D982">
            <v>10025</v>
          </cell>
          <cell r="E982">
            <v>13904</v>
          </cell>
        </row>
        <row r="983">
          <cell r="A983">
            <v>21822</v>
          </cell>
          <cell r="B983">
            <v>259</v>
          </cell>
          <cell r="C983">
            <v>55425</v>
          </cell>
          <cell r="D983">
            <v>12269</v>
          </cell>
          <cell r="E983">
            <v>13729</v>
          </cell>
        </row>
        <row r="984">
          <cell r="A984">
            <v>21848</v>
          </cell>
          <cell r="B984">
            <v>259</v>
          </cell>
          <cell r="C984">
            <v>57513</v>
          </cell>
          <cell r="D984">
            <v>12016</v>
          </cell>
          <cell r="E984">
            <v>13057</v>
          </cell>
        </row>
        <row r="985">
          <cell r="A985">
            <v>21849</v>
          </cell>
          <cell r="B985">
            <v>259</v>
          </cell>
          <cell r="C985">
            <v>66633</v>
          </cell>
          <cell r="D985">
            <v>13151</v>
          </cell>
          <cell r="E985">
            <v>15713</v>
          </cell>
        </row>
        <row r="986">
          <cell r="A986">
            <v>21850</v>
          </cell>
          <cell r="B986">
            <v>259</v>
          </cell>
          <cell r="C986">
            <v>16049</v>
          </cell>
          <cell r="D986">
            <v>4067</v>
          </cell>
          <cell r="E986">
            <v>3463</v>
          </cell>
        </row>
        <row r="987">
          <cell r="A987">
            <v>21860</v>
          </cell>
          <cell r="B987">
            <v>259</v>
          </cell>
          <cell r="C987">
            <v>28903</v>
          </cell>
          <cell r="D987">
            <v>4996</v>
          </cell>
          <cell r="E987">
            <v>7749</v>
          </cell>
        </row>
        <row r="988">
          <cell r="A988">
            <v>21880</v>
          </cell>
          <cell r="B988">
            <v>259</v>
          </cell>
          <cell r="C988">
            <v>27140</v>
          </cell>
          <cell r="D988">
            <v>6330</v>
          </cell>
          <cell r="E988">
            <v>6292</v>
          </cell>
        </row>
        <row r="989">
          <cell r="A989">
            <v>21940</v>
          </cell>
          <cell r="B989">
            <v>259</v>
          </cell>
          <cell r="C989">
            <v>43160</v>
          </cell>
          <cell r="D989">
            <v>9029</v>
          </cell>
          <cell r="E989">
            <v>10598</v>
          </cell>
        </row>
        <row r="990">
          <cell r="A990">
            <v>21941</v>
          </cell>
          <cell r="B990">
            <v>259</v>
          </cell>
          <cell r="C990">
            <v>33578</v>
          </cell>
          <cell r="D990">
            <v>5015</v>
          </cell>
          <cell r="E990">
            <v>8715</v>
          </cell>
        </row>
        <row r="991">
          <cell r="A991">
            <v>21942</v>
          </cell>
          <cell r="B991">
            <v>259</v>
          </cell>
          <cell r="C991">
            <v>32666</v>
          </cell>
          <cell r="D991">
            <v>7884</v>
          </cell>
          <cell r="E991">
            <v>7717</v>
          </cell>
        </row>
        <row r="992">
          <cell r="A992">
            <v>22146</v>
          </cell>
          <cell r="B992">
            <v>259</v>
          </cell>
          <cell r="C992">
            <v>82248</v>
          </cell>
          <cell r="D992">
            <v>16214</v>
          </cell>
          <cell r="E992">
            <v>17032</v>
          </cell>
        </row>
        <row r="993">
          <cell r="A993">
            <v>22157</v>
          </cell>
          <cell r="B993">
            <v>259</v>
          </cell>
          <cell r="C993">
            <v>98549</v>
          </cell>
          <cell r="D993">
            <v>16348</v>
          </cell>
          <cell r="E993">
            <v>24298</v>
          </cell>
        </row>
        <row r="994">
          <cell r="A994">
            <v>22158</v>
          </cell>
          <cell r="B994">
            <v>259</v>
          </cell>
          <cell r="C994">
            <v>98549</v>
          </cell>
          <cell r="D994">
            <v>16348</v>
          </cell>
          <cell r="E994">
            <v>24298</v>
          </cell>
        </row>
        <row r="995">
          <cell r="A995">
            <v>22275</v>
          </cell>
          <cell r="B995">
            <v>259</v>
          </cell>
          <cell r="C995">
            <v>18066</v>
          </cell>
          <cell r="D995">
            <v>6824</v>
          </cell>
          <cell r="E995">
            <v>2869</v>
          </cell>
        </row>
        <row r="996">
          <cell r="A996">
            <v>22715</v>
          </cell>
          <cell r="B996">
            <v>259</v>
          </cell>
          <cell r="C996">
            <v>81327</v>
          </cell>
          <cell r="D996">
            <v>21689</v>
          </cell>
          <cell r="E996">
            <v>15889</v>
          </cell>
        </row>
        <row r="997">
          <cell r="A997">
            <v>22716</v>
          </cell>
          <cell r="B997">
            <v>259</v>
          </cell>
          <cell r="C997">
            <v>81053</v>
          </cell>
          <cell r="D997">
            <v>14147</v>
          </cell>
          <cell r="E997">
            <v>24689</v>
          </cell>
        </row>
        <row r="998">
          <cell r="A998">
            <v>22740</v>
          </cell>
          <cell r="B998">
            <v>259</v>
          </cell>
          <cell r="C998">
            <v>73757</v>
          </cell>
          <cell r="D998">
            <v>18744</v>
          </cell>
          <cell r="E998">
            <v>16280</v>
          </cell>
        </row>
        <row r="999">
          <cell r="A999">
            <v>22743</v>
          </cell>
          <cell r="B999">
            <v>259</v>
          </cell>
          <cell r="C999">
            <v>73800</v>
          </cell>
          <cell r="D999">
            <v>15863</v>
          </cell>
          <cell r="E999">
            <v>19262</v>
          </cell>
        </row>
        <row r="1000">
          <cell r="A1000">
            <v>22756</v>
          </cell>
          <cell r="B1000">
            <v>259</v>
          </cell>
          <cell r="C1000">
            <v>74190</v>
          </cell>
          <cell r="D1000">
            <v>16665</v>
          </cell>
          <cell r="E1000">
            <v>18238</v>
          </cell>
        </row>
        <row r="1001">
          <cell r="A1001">
            <v>22757</v>
          </cell>
          <cell r="B1001">
            <v>259</v>
          </cell>
          <cell r="C1001">
            <v>43390</v>
          </cell>
          <cell r="D1001">
            <v>9076</v>
          </cell>
          <cell r="E1001">
            <v>10451</v>
          </cell>
        </row>
        <row r="1002">
          <cell r="A1002">
            <v>22761</v>
          </cell>
          <cell r="B1002">
            <v>259</v>
          </cell>
          <cell r="C1002">
            <v>64245</v>
          </cell>
          <cell r="D1002">
            <v>19780</v>
          </cell>
          <cell r="E1002">
            <v>11090</v>
          </cell>
        </row>
        <row r="1003">
          <cell r="A1003">
            <v>22937</v>
          </cell>
          <cell r="B1003">
            <v>259</v>
          </cell>
          <cell r="C1003">
            <v>55425</v>
          </cell>
          <cell r="D1003">
            <v>12269</v>
          </cell>
          <cell r="E1003">
            <v>13729</v>
          </cell>
        </row>
        <row r="1004">
          <cell r="A1004">
            <v>22953</v>
          </cell>
          <cell r="B1004">
            <v>259</v>
          </cell>
          <cell r="C1004">
            <v>77894</v>
          </cell>
          <cell r="D1004">
            <v>15890</v>
          </cell>
          <cell r="E1004">
            <v>21126</v>
          </cell>
        </row>
        <row r="1005">
          <cell r="A1005">
            <v>23000</v>
          </cell>
          <cell r="B1005">
            <v>259</v>
          </cell>
          <cell r="C1005">
            <v>57513</v>
          </cell>
          <cell r="D1005">
            <v>12016</v>
          </cell>
          <cell r="E1005">
            <v>13057</v>
          </cell>
        </row>
        <row r="1006">
          <cell r="A1006">
            <v>23044</v>
          </cell>
          <cell r="B1006">
            <v>259</v>
          </cell>
          <cell r="C1006">
            <v>24019</v>
          </cell>
          <cell r="D1006">
            <v>3783</v>
          </cell>
          <cell r="E1006">
            <v>10258</v>
          </cell>
        </row>
        <row r="1007">
          <cell r="A1007">
            <v>23053</v>
          </cell>
          <cell r="B1007">
            <v>259</v>
          </cell>
          <cell r="C1007">
            <v>24358</v>
          </cell>
          <cell r="D1007">
            <v>3123</v>
          </cell>
          <cell r="E1007">
            <v>10825</v>
          </cell>
        </row>
        <row r="1008">
          <cell r="A1008">
            <v>23128</v>
          </cell>
          <cell r="B1008">
            <v>259</v>
          </cell>
          <cell r="C1008">
            <v>21895</v>
          </cell>
          <cell r="D1008">
            <v>8652</v>
          </cell>
          <cell r="E1008">
            <v>3721</v>
          </cell>
        </row>
        <row r="1009">
          <cell r="A1009">
            <v>23142</v>
          </cell>
          <cell r="B1009">
            <v>259</v>
          </cell>
          <cell r="C1009">
            <v>23104</v>
          </cell>
          <cell r="D1009">
            <v>9406</v>
          </cell>
          <cell r="E1009">
            <v>5212</v>
          </cell>
        </row>
        <row r="1010">
          <cell r="A1010">
            <v>23435</v>
          </cell>
          <cell r="B1010">
            <v>259</v>
          </cell>
          <cell r="C1010">
            <v>20393</v>
          </cell>
          <cell r="D1010">
            <v>3638</v>
          </cell>
          <cell r="E1010">
            <v>4327</v>
          </cell>
        </row>
        <row r="1011">
          <cell r="A1011">
            <v>23851</v>
          </cell>
          <cell r="B1011">
            <v>259</v>
          </cell>
          <cell r="C1011">
            <v>83492</v>
          </cell>
          <cell r="D1011">
            <v>18432</v>
          </cell>
          <cell r="E1011">
            <v>18155</v>
          </cell>
        </row>
        <row r="1012">
          <cell r="A1012">
            <v>23867</v>
          </cell>
          <cell r="B1012">
            <v>259</v>
          </cell>
          <cell r="C1012">
            <v>41659</v>
          </cell>
          <cell r="D1012">
            <v>12898</v>
          </cell>
          <cell r="E1012">
            <v>7752</v>
          </cell>
        </row>
        <row r="1013">
          <cell r="A1013">
            <v>23885</v>
          </cell>
          <cell r="B1013">
            <v>259</v>
          </cell>
          <cell r="C1013">
            <v>31249</v>
          </cell>
          <cell r="D1013">
            <v>9812</v>
          </cell>
          <cell r="E1013">
            <v>5751</v>
          </cell>
        </row>
        <row r="1014">
          <cell r="A1014">
            <v>24091</v>
          </cell>
          <cell r="B1014">
            <v>259</v>
          </cell>
          <cell r="C1014">
            <v>62572</v>
          </cell>
          <cell r="D1014">
            <v>16363</v>
          </cell>
          <cell r="E1014">
            <v>13596</v>
          </cell>
        </row>
        <row r="1015">
          <cell r="A1015">
            <v>24140</v>
          </cell>
          <cell r="B1015">
            <v>259</v>
          </cell>
          <cell r="C1015">
            <v>80790</v>
          </cell>
          <cell r="D1015">
            <v>17623</v>
          </cell>
          <cell r="E1015">
            <v>17614</v>
          </cell>
        </row>
        <row r="1016">
          <cell r="A1016">
            <v>24143</v>
          </cell>
          <cell r="B1016">
            <v>259</v>
          </cell>
          <cell r="C1016">
            <v>79625</v>
          </cell>
          <cell r="D1016">
            <v>14561</v>
          </cell>
          <cell r="E1016">
            <v>19654</v>
          </cell>
        </row>
        <row r="1017">
          <cell r="A1017">
            <v>24158</v>
          </cell>
          <cell r="B1017">
            <v>259</v>
          </cell>
          <cell r="C1017">
            <v>61862</v>
          </cell>
          <cell r="D1017">
            <v>9302</v>
          </cell>
          <cell r="E1017">
            <v>20362</v>
          </cell>
        </row>
        <row r="1018">
          <cell r="A1018">
            <v>24173</v>
          </cell>
          <cell r="B1018">
            <v>259</v>
          </cell>
          <cell r="C1018">
            <v>3840</v>
          </cell>
          <cell r="D1018">
            <v>1390</v>
          </cell>
          <cell r="E1018">
            <v>222</v>
          </cell>
        </row>
        <row r="1019">
          <cell r="A1019">
            <v>24186</v>
          </cell>
          <cell r="B1019">
            <v>259</v>
          </cell>
          <cell r="C1019">
            <v>67709</v>
          </cell>
          <cell r="D1019">
            <v>18931</v>
          </cell>
          <cell r="E1019">
            <v>13450</v>
          </cell>
        </row>
        <row r="1020">
          <cell r="A1020">
            <v>24212</v>
          </cell>
          <cell r="B1020">
            <v>259</v>
          </cell>
          <cell r="C1020">
            <v>1833</v>
          </cell>
          <cell r="D1020">
            <v>1833</v>
          </cell>
          <cell r="E1020">
            <v>0</v>
          </cell>
        </row>
        <row r="1021">
          <cell r="A1021">
            <v>24224</v>
          </cell>
          <cell r="B1021">
            <v>259</v>
          </cell>
          <cell r="C1021">
            <v>2132</v>
          </cell>
          <cell r="D1021">
            <v>0</v>
          </cell>
          <cell r="E1021">
            <v>2132</v>
          </cell>
        </row>
        <row r="1022">
          <cell r="A1022">
            <v>24499</v>
          </cell>
          <cell r="B1022">
            <v>259</v>
          </cell>
          <cell r="C1022">
            <v>92163</v>
          </cell>
          <cell r="D1022">
            <v>20387</v>
          </cell>
          <cell r="E1022">
            <v>22278</v>
          </cell>
        </row>
        <row r="1023">
          <cell r="A1023">
            <v>24523</v>
          </cell>
          <cell r="B1023">
            <v>259</v>
          </cell>
          <cell r="C1023">
            <v>112613</v>
          </cell>
          <cell r="D1023">
            <v>22113</v>
          </cell>
          <cell r="E1023">
            <v>29152</v>
          </cell>
        </row>
        <row r="1024">
          <cell r="A1024">
            <v>24696</v>
          </cell>
          <cell r="B1024">
            <v>259</v>
          </cell>
          <cell r="C1024">
            <v>59322</v>
          </cell>
          <cell r="D1024">
            <v>12256</v>
          </cell>
          <cell r="E1024">
            <v>14668</v>
          </cell>
        </row>
        <row r="1025">
          <cell r="A1025">
            <v>24703</v>
          </cell>
          <cell r="B1025">
            <v>259</v>
          </cell>
          <cell r="C1025">
            <v>83716</v>
          </cell>
          <cell r="D1025">
            <v>15594</v>
          </cell>
          <cell r="E1025">
            <v>20828</v>
          </cell>
        </row>
        <row r="1026">
          <cell r="A1026">
            <v>24704</v>
          </cell>
          <cell r="B1026">
            <v>259</v>
          </cell>
          <cell r="C1026">
            <v>120195</v>
          </cell>
          <cell r="D1026">
            <v>20459</v>
          </cell>
          <cell r="E1026">
            <v>31284</v>
          </cell>
        </row>
        <row r="1027">
          <cell r="A1027">
            <v>24714</v>
          </cell>
          <cell r="B1027">
            <v>259</v>
          </cell>
          <cell r="C1027">
            <v>13363</v>
          </cell>
          <cell r="D1027">
            <v>3734</v>
          </cell>
          <cell r="E1027">
            <v>3061</v>
          </cell>
        </row>
        <row r="1028">
          <cell r="A1028">
            <v>24750</v>
          </cell>
          <cell r="B1028">
            <v>259</v>
          </cell>
          <cell r="C1028">
            <v>14381</v>
          </cell>
          <cell r="D1028">
            <v>4001</v>
          </cell>
          <cell r="E1028">
            <v>4527</v>
          </cell>
        </row>
        <row r="1029">
          <cell r="A1029">
            <v>24770</v>
          </cell>
          <cell r="B1029">
            <v>259</v>
          </cell>
          <cell r="C1029">
            <v>16309</v>
          </cell>
          <cell r="D1029">
            <v>3966</v>
          </cell>
          <cell r="E1029">
            <v>5287</v>
          </cell>
        </row>
        <row r="1030">
          <cell r="A1030">
            <v>25025</v>
          </cell>
          <cell r="B1030">
            <v>259</v>
          </cell>
          <cell r="C1030">
            <v>64245</v>
          </cell>
          <cell r="D1030">
            <v>19780</v>
          </cell>
          <cell r="E1030">
            <v>11090</v>
          </cell>
        </row>
        <row r="1031">
          <cell r="A1031">
            <v>25099</v>
          </cell>
          <cell r="B1031">
            <v>259</v>
          </cell>
          <cell r="C1031">
            <v>128543</v>
          </cell>
          <cell r="D1031">
            <v>20239</v>
          </cell>
          <cell r="E1031">
            <v>37626</v>
          </cell>
        </row>
        <row r="1032">
          <cell r="A1032">
            <v>25100</v>
          </cell>
          <cell r="B1032">
            <v>259</v>
          </cell>
          <cell r="C1032">
            <v>130073</v>
          </cell>
          <cell r="D1032">
            <v>30787</v>
          </cell>
          <cell r="E1032">
            <v>23415</v>
          </cell>
        </row>
        <row r="1033">
          <cell r="A1033">
            <v>25104</v>
          </cell>
          <cell r="B1033">
            <v>259</v>
          </cell>
          <cell r="C1033">
            <v>129312</v>
          </cell>
          <cell r="D1033">
            <v>30947</v>
          </cell>
          <cell r="E1033">
            <v>23856</v>
          </cell>
        </row>
        <row r="1034">
          <cell r="A1034">
            <v>25105</v>
          </cell>
          <cell r="B1034">
            <v>259</v>
          </cell>
          <cell r="C1034">
            <v>161590</v>
          </cell>
          <cell r="D1034">
            <v>34757</v>
          </cell>
          <cell r="E1034">
            <v>31950</v>
          </cell>
        </row>
        <row r="1035">
          <cell r="A1035">
            <v>25128</v>
          </cell>
          <cell r="B1035">
            <v>259</v>
          </cell>
          <cell r="C1035">
            <v>116306</v>
          </cell>
          <cell r="D1035">
            <v>24879</v>
          </cell>
          <cell r="E1035">
            <v>29005</v>
          </cell>
        </row>
        <row r="1036">
          <cell r="A1036">
            <v>25142</v>
          </cell>
          <cell r="B1036">
            <v>259</v>
          </cell>
          <cell r="C1036">
            <v>100090</v>
          </cell>
          <cell r="D1036">
            <v>20993</v>
          </cell>
          <cell r="E1036">
            <v>25473</v>
          </cell>
        </row>
        <row r="1037">
          <cell r="A1037">
            <v>25162</v>
          </cell>
          <cell r="B1037">
            <v>259</v>
          </cell>
          <cell r="C1037">
            <v>17156</v>
          </cell>
          <cell r="D1037">
            <v>3635</v>
          </cell>
          <cell r="E1037">
            <v>3446</v>
          </cell>
        </row>
        <row r="1038">
          <cell r="A1038">
            <v>25163</v>
          </cell>
          <cell r="B1038">
            <v>259</v>
          </cell>
          <cell r="C1038">
            <v>82437</v>
          </cell>
          <cell r="D1038">
            <v>18092</v>
          </cell>
          <cell r="E1038">
            <v>21316</v>
          </cell>
        </row>
        <row r="1039">
          <cell r="A1039">
            <v>25259</v>
          </cell>
          <cell r="B1039">
            <v>259</v>
          </cell>
          <cell r="C1039">
            <v>17156</v>
          </cell>
          <cell r="D1039">
            <v>3635</v>
          </cell>
          <cell r="E1039">
            <v>3446</v>
          </cell>
        </row>
        <row r="1040">
          <cell r="A1040">
            <v>25357</v>
          </cell>
          <cell r="B1040">
            <v>259</v>
          </cell>
          <cell r="C1040">
            <v>5380</v>
          </cell>
          <cell r="D1040">
            <v>888</v>
          </cell>
          <cell r="E1040">
            <v>2551</v>
          </cell>
        </row>
        <row r="1041">
          <cell r="A1041">
            <v>25364</v>
          </cell>
          <cell r="B1041">
            <v>259</v>
          </cell>
          <cell r="C1041">
            <v>4273</v>
          </cell>
          <cell r="D1041">
            <v>862</v>
          </cell>
          <cell r="E1041">
            <v>1753</v>
          </cell>
        </row>
        <row r="1042">
          <cell r="A1042">
            <v>25381</v>
          </cell>
          <cell r="B1042">
            <v>259</v>
          </cell>
          <cell r="C1042">
            <v>16034</v>
          </cell>
          <cell r="D1042">
            <v>2548</v>
          </cell>
          <cell r="E1042">
            <v>6872</v>
          </cell>
        </row>
        <row r="1043">
          <cell r="A1043">
            <v>25386</v>
          </cell>
          <cell r="B1043">
            <v>259</v>
          </cell>
          <cell r="C1043">
            <v>11354</v>
          </cell>
          <cell r="D1043">
            <v>2013</v>
          </cell>
          <cell r="E1043">
            <v>4799</v>
          </cell>
        </row>
        <row r="1044">
          <cell r="A1044">
            <v>25387</v>
          </cell>
          <cell r="B1044">
            <v>259</v>
          </cell>
          <cell r="C1044">
            <v>122212</v>
          </cell>
          <cell r="D1044">
            <v>18928</v>
          </cell>
          <cell r="E1044">
            <v>33798</v>
          </cell>
        </row>
        <row r="1045">
          <cell r="A1045">
            <v>25406</v>
          </cell>
          <cell r="B1045">
            <v>259</v>
          </cell>
          <cell r="C1045">
            <v>120741</v>
          </cell>
          <cell r="D1045">
            <v>28548</v>
          </cell>
          <cell r="E1045">
            <v>23062</v>
          </cell>
        </row>
        <row r="1046">
          <cell r="A1046">
            <v>25409</v>
          </cell>
          <cell r="B1046">
            <v>259</v>
          </cell>
          <cell r="C1046">
            <v>64558</v>
          </cell>
          <cell r="D1046">
            <v>10201</v>
          </cell>
          <cell r="E1046">
            <v>17708</v>
          </cell>
        </row>
        <row r="1047">
          <cell r="A1047">
            <v>25467</v>
          </cell>
          <cell r="B1047">
            <v>259</v>
          </cell>
          <cell r="C1047">
            <v>12324</v>
          </cell>
          <cell r="D1047">
            <v>6623</v>
          </cell>
          <cell r="E1047">
            <v>1510</v>
          </cell>
        </row>
        <row r="1048">
          <cell r="A1048">
            <v>25531</v>
          </cell>
          <cell r="B1048">
            <v>259</v>
          </cell>
          <cell r="C1048">
            <v>29731</v>
          </cell>
          <cell r="D1048">
            <v>5176</v>
          </cell>
          <cell r="E1048">
            <v>6773</v>
          </cell>
        </row>
        <row r="1049">
          <cell r="A1049">
            <v>25532</v>
          </cell>
          <cell r="B1049">
            <v>259</v>
          </cell>
          <cell r="C1049">
            <v>29731</v>
          </cell>
          <cell r="D1049">
            <v>5176</v>
          </cell>
          <cell r="E1049">
            <v>6773</v>
          </cell>
        </row>
        <row r="1050">
          <cell r="A1050">
            <v>25533</v>
          </cell>
          <cell r="B1050">
            <v>259</v>
          </cell>
          <cell r="C1050">
            <v>31675</v>
          </cell>
          <cell r="D1050">
            <v>5349</v>
          </cell>
          <cell r="E1050">
            <v>7397</v>
          </cell>
        </row>
        <row r="1051">
          <cell r="A1051">
            <v>25742</v>
          </cell>
          <cell r="B1051">
            <v>259</v>
          </cell>
          <cell r="C1051">
            <v>69842</v>
          </cell>
          <cell r="D1051">
            <v>16741</v>
          </cell>
          <cell r="E1051">
            <v>14575</v>
          </cell>
        </row>
        <row r="1052">
          <cell r="A1052">
            <v>25749</v>
          </cell>
          <cell r="B1052">
            <v>259</v>
          </cell>
          <cell r="C1052">
            <v>16420</v>
          </cell>
          <cell r="D1052">
            <v>6433</v>
          </cell>
          <cell r="E1052">
            <v>2504</v>
          </cell>
        </row>
        <row r="1053">
          <cell r="A1053">
            <v>25750</v>
          </cell>
          <cell r="B1053">
            <v>259</v>
          </cell>
          <cell r="C1053">
            <v>109382</v>
          </cell>
          <cell r="D1053">
            <v>18123</v>
          </cell>
          <cell r="E1053">
            <v>30954</v>
          </cell>
        </row>
        <row r="1054">
          <cell r="A1054">
            <v>25751</v>
          </cell>
          <cell r="B1054">
            <v>259</v>
          </cell>
          <cell r="C1054">
            <v>116673</v>
          </cell>
          <cell r="D1054">
            <v>25737</v>
          </cell>
          <cell r="E1054">
            <v>22961</v>
          </cell>
        </row>
        <row r="1055">
          <cell r="A1055">
            <v>25811</v>
          </cell>
          <cell r="B1055">
            <v>259</v>
          </cell>
          <cell r="C1055">
            <v>37415</v>
          </cell>
          <cell r="D1055">
            <v>8240</v>
          </cell>
          <cell r="E1055">
            <v>9278</v>
          </cell>
        </row>
        <row r="1056">
          <cell r="A1056">
            <v>25812</v>
          </cell>
          <cell r="B1056">
            <v>259</v>
          </cell>
          <cell r="C1056">
            <v>37415</v>
          </cell>
          <cell r="D1056">
            <v>8240</v>
          </cell>
          <cell r="E1056">
            <v>9278</v>
          </cell>
        </row>
        <row r="1057">
          <cell r="A1057">
            <v>25821</v>
          </cell>
          <cell r="B1057">
            <v>259</v>
          </cell>
          <cell r="C1057">
            <v>24260</v>
          </cell>
          <cell r="D1057">
            <v>3140</v>
          </cell>
          <cell r="E1057">
            <v>7499</v>
          </cell>
        </row>
        <row r="1058">
          <cell r="A1058">
            <v>25822</v>
          </cell>
          <cell r="B1058">
            <v>259</v>
          </cell>
          <cell r="C1058">
            <v>10019</v>
          </cell>
          <cell r="D1058">
            <v>1087</v>
          </cell>
          <cell r="E1058">
            <v>3264</v>
          </cell>
        </row>
        <row r="1059">
          <cell r="A1059">
            <v>25842</v>
          </cell>
          <cell r="B1059">
            <v>259</v>
          </cell>
          <cell r="C1059">
            <v>107368</v>
          </cell>
          <cell r="D1059">
            <v>17032</v>
          </cell>
          <cell r="E1059">
            <v>30620</v>
          </cell>
        </row>
        <row r="1060">
          <cell r="A1060">
            <v>25843</v>
          </cell>
          <cell r="B1060">
            <v>259</v>
          </cell>
          <cell r="C1060">
            <v>106837</v>
          </cell>
          <cell r="D1060">
            <v>25627</v>
          </cell>
          <cell r="E1060">
            <v>19956</v>
          </cell>
        </row>
        <row r="1061">
          <cell r="A1061">
            <v>25848</v>
          </cell>
          <cell r="B1061">
            <v>259</v>
          </cell>
          <cell r="C1061">
            <v>111962</v>
          </cell>
          <cell r="D1061">
            <v>23553</v>
          </cell>
          <cell r="E1061">
            <v>22891</v>
          </cell>
        </row>
        <row r="1062">
          <cell r="A1062">
            <v>25849</v>
          </cell>
          <cell r="B1062">
            <v>259</v>
          </cell>
          <cell r="C1062">
            <v>91522</v>
          </cell>
          <cell r="D1062">
            <v>24386</v>
          </cell>
          <cell r="E1062">
            <v>14663</v>
          </cell>
        </row>
        <row r="1063">
          <cell r="A1063">
            <v>25866</v>
          </cell>
          <cell r="B1063">
            <v>259</v>
          </cell>
          <cell r="C1063">
            <v>59647</v>
          </cell>
          <cell r="D1063">
            <v>16613</v>
          </cell>
          <cell r="E1063">
            <v>11597</v>
          </cell>
        </row>
        <row r="1064">
          <cell r="A1064">
            <v>25867</v>
          </cell>
          <cell r="B1064">
            <v>259</v>
          </cell>
          <cell r="C1064">
            <v>117232</v>
          </cell>
          <cell r="D1064">
            <v>18208</v>
          </cell>
          <cell r="E1064">
            <v>33670</v>
          </cell>
        </row>
        <row r="1065">
          <cell r="A1065">
            <v>25868</v>
          </cell>
          <cell r="B1065">
            <v>259</v>
          </cell>
          <cell r="C1065">
            <v>112551</v>
          </cell>
          <cell r="D1065">
            <v>17672</v>
          </cell>
          <cell r="E1065">
            <v>31597</v>
          </cell>
        </row>
        <row r="1066">
          <cell r="A1066">
            <v>25869</v>
          </cell>
          <cell r="B1066">
            <v>259</v>
          </cell>
          <cell r="C1066">
            <v>110988</v>
          </cell>
          <cell r="D1066">
            <v>23790</v>
          </cell>
          <cell r="E1066">
            <v>21928</v>
          </cell>
        </row>
        <row r="1067">
          <cell r="A1067">
            <v>25878</v>
          </cell>
          <cell r="B1067">
            <v>259</v>
          </cell>
          <cell r="C1067">
            <v>95857</v>
          </cell>
          <cell r="D1067">
            <v>16022</v>
          </cell>
          <cell r="E1067">
            <v>28171</v>
          </cell>
        </row>
        <row r="1068">
          <cell r="A1068">
            <v>25879</v>
          </cell>
          <cell r="B1068">
            <v>259</v>
          </cell>
          <cell r="C1068">
            <v>90918</v>
          </cell>
          <cell r="D1068">
            <v>22850</v>
          </cell>
          <cell r="E1068">
            <v>19697</v>
          </cell>
        </row>
        <row r="1069">
          <cell r="A1069">
            <v>25883</v>
          </cell>
          <cell r="B1069">
            <v>259</v>
          </cell>
          <cell r="C1069">
            <v>47817</v>
          </cell>
          <cell r="D1069">
            <v>10287</v>
          </cell>
          <cell r="E1069">
            <v>11672</v>
          </cell>
        </row>
        <row r="1070">
          <cell r="A1070">
            <v>25886</v>
          </cell>
          <cell r="B1070">
            <v>259</v>
          </cell>
          <cell r="C1070">
            <v>5861</v>
          </cell>
          <cell r="D1070">
            <v>1327</v>
          </cell>
          <cell r="E1070">
            <v>1511</v>
          </cell>
        </row>
        <row r="1071">
          <cell r="A1071">
            <v>25887</v>
          </cell>
          <cell r="B1071">
            <v>259</v>
          </cell>
          <cell r="C1071">
            <v>43456</v>
          </cell>
          <cell r="D1071">
            <v>8032</v>
          </cell>
          <cell r="E1071">
            <v>11908</v>
          </cell>
        </row>
        <row r="1072">
          <cell r="A1072">
            <v>25889</v>
          </cell>
          <cell r="B1072">
            <v>259</v>
          </cell>
          <cell r="C1072">
            <v>43456</v>
          </cell>
          <cell r="D1072">
            <v>8032</v>
          </cell>
          <cell r="E1072">
            <v>11908</v>
          </cell>
        </row>
        <row r="1073">
          <cell r="A1073">
            <v>25890</v>
          </cell>
          <cell r="B1073">
            <v>259</v>
          </cell>
          <cell r="C1073">
            <v>43160</v>
          </cell>
          <cell r="D1073">
            <v>9029</v>
          </cell>
          <cell r="E1073">
            <v>10598</v>
          </cell>
        </row>
        <row r="1074">
          <cell r="A1074">
            <v>25891</v>
          </cell>
          <cell r="B1074">
            <v>259</v>
          </cell>
          <cell r="C1074">
            <v>43160</v>
          </cell>
          <cell r="D1074">
            <v>9029</v>
          </cell>
          <cell r="E1074">
            <v>10598</v>
          </cell>
        </row>
        <row r="1075">
          <cell r="A1075">
            <v>25938</v>
          </cell>
          <cell r="B1075">
            <v>259</v>
          </cell>
          <cell r="C1075">
            <v>70359</v>
          </cell>
          <cell r="D1075">
            <v>19717</v>
          </cell>
          <cell r="E1075">
            <v>14515</v>
          </cell>
        </row>
        <row r="1076">
          <cell r="A1076">
            <v>26014</v>
          </cell>
          <cell r="B1076">
            <v>259</v>
          </cell>
          <cell r="C1076">
            <v>93455</v>
          </cell>
          <cell r="D1076">
            <v>21021</v>
          </cell>
          <cell r="E1076">
            <v>21577</v>
          </cell>
        </row>
        <row r="1077">
          <cell r="A1077">
            <v>26017</v>
          </cell>
          <cell r="B1077">
            <v>259</v>
          </cell>
          <cell r="C1077">
            <v>98228</v>
          </cell>
          <cell r="D1077">
            <v>20030</v>
          </cell>
          <cell r="E1077">
            <v>27492</v>
          </cell>
        </row>
        <row r="1078">
          <cell r="A1078">
            <v>26064</v>
          </cell>
          <cell r="B1078">
            <v>259</v>
          </cell>
          <cell r="C1078">
            <v>93455</v>
          </cell>
          <cell r="D1078">
            <v>21021</v>
          </cell>
          <cell r="E1078">
            <v>21577</v>
          </cell>
        </row>
        <row r="1079">
          <cell r="A1079">
            <v>26065</v>
          </cell>
          <cell r="B1079">
            <v>259</v>
          </cell>
          <cell r="C1079">
            <v>98228</v>
          </cell>
          <cell r="D1079">
            <v>20030</v>
          </cell>
          <cell r="E1079">
            <v>27492</v>
          </cell>
        </row>
        <row r="1080">
          <cell r="A1080">
            <v>26117</v>
          </cell>
          <cell r="B1080">
            <v>259</v>
          </cell>
          <cell r="C1080">
            <v>16751</v>
          </cell>
          <cell r="D1080">
            <v>5400</v>
          </cell>
          <cell r="E1080">
            <v>3163</v>
          </cell>
        </row>
        <row r="1081">
          <cell r="A1081">
            <v>26279</v>
          </cell>
          <cell r="B1081">
            <v>259</v>
          </cell>
          <cell r="C1081">
            <v>117232</v>
          </cell>
          <cell r="D1081">
            <v>18208</v>
          </cell>
          <cell r="E1081">
            <v>33670</v>
          </cell>
        </row>
        <row r="1082">
          <cell r="A1082">
            <v>26293</v>
          </cell>
          <cell r="B1082">
            <v>259</v>
          </cell>
          <cell r="C1082">
            <v>106707</v>
          </cell>
          <cell r="D1082">
            <v>16370</v>
          </cell>
          <cell r="E1082">
            <v>29831</v>
          </cell>
        </row>
        <row r="1083">
          <cell r="A1083">
            <v>26294</v>
          </cell>
          <cell r="B1083">
            <v>259</v>
          </cell>
          <cell r="C1083">
            <v>120814</v>
          </cell>
          <cell r="D1083">
            <v>29535</v>
          </cell>
          <cell r="E1083">
            <v>22218</v>
          </cell>
        </row>
        <row r="1084">
          <cell r="A1084">
            <v>26417</v>
          </cell>
          <cell r="B1084">
            <v>259</v>
          </cell>
          <cell r="C1084">
            <v>107846</v>
          </cell>
          <cell r="D1084">
            <v>22369</v>
          </cell>
          <cell r="E1084">
            <v>21826</v>
          </cell>
        </row>
        <row r="1085">
          <cell r="A1085">
            <v>26523</v>
          </cell>
          <cell r="B1085">
            <v>259</v>
          </cell>
          <cell r="C1085">
            <v>104258</v>
          </cell>
          <cell r="D1085">
            <v>16417</v>
          </cell>
          <cell r="E1085">
            <v>29806</v>
          </cell>
        </row>
        <row r="1086">
          <cell r="A1086">
            <v>26546</v>
          </cell>
          <cell r="B1086">
            <v>259</v>
          </cell>
          <cell r="C1086">
            <v>94034</v>
          </cell>
          <cell r="D1086">
            <v>15196</v>
          </cell>
          <cell r="E1086">
            <v>26895</v>
          </cell>
        </row>
        <row r="1087">
          <cell r="A1087">
            <v>26547</v>
          </cell>
          <cell r="B1087">
            <v>259</v>
          </cell>
          <cell r="C1087">
            <v>97768</v>
          </cell>
          <cell r="D1087">
            <v>14860</v>
          </cell>
          <cell r="E1087">
            <v>27822</v>
          </cell>
        </row>
        <row r="1088">
          <cell r="A1088">
            <v>26561</v>
          </cell>
          <cell r="B1088">
            <v>259</v>
          </cell>
          <cell r="C1088">
            <v>94503</v>
          </cell>
          <cell r="D1088">
            <v>16884</v>
          </cell>
          <cell r="E1088">
            <v>24581</v>
          </cell>
        </row>
        <row r="1089">
          <cell r="A1089">
            <v>26562</v>
          </cell>
          <cell r="B1089">
            <v>259</v>
          </cell>
          <cell r="C1089">
            <v>91335</v>
          </cell>
          <cell r="D1089">
            <v>19583</v>
          </cell>
          <cell r="E1089">
            <v>18128</v>
          </cell>
        </row>
        <row r="1090">
          <cell r="A1090">
            <v>26563</v>
          </cell>
          <cell r="B1090">
            <v>259</v>
          </cell>
          <cell r="C1090">
            <v>96409</v>
          </cell>
          <cell r="D1090">
            <v>22683</v>
          </cell>
          <cell r="E1090">
            <v>17354</v>
          </cell>
        </row>
        <row r="1091">
          <cell r="A1091">
            <v>26564</v>
          </cell>
          <cell r="B1091">
            <v>259</v>
          </cell>
          <cell r="C1091">
            <v>94018</v>
          </cell>
          <cell r="D1091">
            <v>21682</v>
          </cell>
          <cell r="E1091">
            <v>18053</v>
          </cell>
        </row>
        <row r="1092">
          <cell r="A1092">
            <v>26622</v>
          </cell>
          <cell r="B1092">
            <v>259</v>
          </cell>
          <cell r="C1092">
            <v>104300</v>
          </cell>
          <cell r="D1092">
            <v>24721</v>
          </cell>
          <cell r="E1092">
            <v>19406</v>
          </cell>
        </row>
        <row r="1093">
          <cell r="A1093">
            <v>26623</v>
          </cell>
          <cell r="B1093">
            <v>259</v>
          </cell>
          <cell r="C1093">
            <v>60881</v>
          </cell>
          <cell r="D1093">
            <v>12175</v>
          </cell>
          <cell r="E1093">
            <v>12636</v>
          </cell>
        </row>
        <row r="1094">
          <cell r="A1094">
            <v>26667</v>
          </cell>
          <cell r="B1094">
            <v>259</v>
          </cell>
          <cell r="C1094">
            <v>59673</v>
          </cell>
          <cell r="D1094">
            <v>11631</v>
          </cell>
          <cell r="E1094">
            <v>17045</v>
          </cell>
        </row>
        <row r="1095">
          <cell r="A1095">
            <v>26675</v>
          </cell>
          <cell r="B1095">
            <v>259</v>
          </cell>
          <cell r="C1095">
            <v>59371</v>
          </cell>
          <cell r="D1095">
            <v>12779</v>
          </cell>
          <cell r="E1095">
            <v>11709</v>
          </cell>
        </row>
        <row r="1096">
          <cell r="A1096">
            <v>26707</v>
          </cell>
          <cell r="B1096">
            <v>259</v>
          </cell>
          <cell r="C1096">
            <v>111304</v>
          </cell>
          <cell r="D1096">
            <v>24145</v>
          </cell>
          <cell r="E1096">
            <v>27945</v>
          </cell>
        </row>
        <row r="1097">
          <cell r="A1097">
            <v>26708</v>
          </cell>
          <cell r="B1097">
            <v>259</v>
          </cell>
          <cell r="C1097">
            <v>100921</v>
          </cell>
          <cell r="D1097">
            <v>22106</v>
          </cell>
          <cell r="E1097">
            <v>25625</v>
          </cell>
        </row>
        <row r="1098">
          <cell r="A1098">
            <v>26722</v>
          </cell>
          <cell r="B1098">
            <v>259</v>
          </cell>
          <cell r="C1098">
            <v>114334</v>
          </cell>
          <cell r="D1098">
            <v>24225</v>
          </cell>
          <cell r="E1098">
            <v>28193</v>
          </cell>
        </row>
        <row r="1099">
          <cell r="A1099">
            <v>26788</v>
          </cell>
          <cell r="B1099">
            <v>259</v>
          </cell>
          <cell r="C1099">
            <v>99801</v>
          </cell>
          <cell r="D1099">
            <v>20534</v>
          </cell>
          <cell r="E1099">
            <v>23260</v>
          </cell>
        </row>
        <row r="1100">
          <cell r="A1100">
            <v>26791</v>
          </cell>
          <cell r="B1100">
            <v>259</v>
          </cell>
          <cell r="C1100">
            <v>100531</v>
          </cell>
          <cell r="D1100">
            <v>20242</v>
          </cell>
          <cell r="E1100">
            <v>23863</v>
          </cell>
        </row>
        <row r="1101">
          <cell r="A1101">
            <v>26870</v>
          </cell>
          <cell r="B1101">
            <v>259</v>
          </cell>
          <cell r="C1101">
            <v>112419</v>
          </cell>
          <cell r="D1101">
            <v>18570</v>
          </cell>
          <cell r="E1101">
            <v>32233</v>
          </cell>
        </row>
        <row r="1102">
          <cell r="A1102">
            <v>26879</v>
          </cell>
          <cell r="B1102">
            <v>259</v>
          </cell>
          <cell r="C1102">
            <v>120679</v>
          </cell>
          <cell r="D1102">
            <v>27703</v>
          </cell>
          <cell r="E1102">
            <v>23465</v>
          </cell>
        </row>
        <row r="1103">
          <cell r="A1103">
            <v>26911</v>
          </cell>
          <cell r="B1103">
            <v>259</v>
          </cell>
          <cell r="C1103">
            <v>58226</v>
          </cell>
          <cell r="D1103">
            <v>11421</v>
          </cell>
          <cell r="E1103">
            <v>16053</v>
          </cell>
        </row>
        <row r="1104">
          <cell r="A1104">
            <v>27014</v>
          </cell>
          <cell r="B1104">
            <v>259</v>
          </cell>
          <cell r="C1104">
            <v>34292</v>
          </cell>
          <cell r="D1104">
            <v>7949</v>
          </cell>
          <cell r="E1104">
            <v>8282</v>
          </cell>
        </row>
        <row r="1105">
          <cell r="A1105">
            <v>27015</v>
          </cell>
          <cell r="B1105">
            <v>259</v>
          </cell>
          <cell r="C1105">
            <v>18895</v>
          </cell>
          <cell r="D1105">
            <v>3905</v>
          </cell>
          <cell r="E1105">
            <v>5336</v>
          </cell>
        </row>
        <row r="1106">
          <cell r="A1106">
            <v>27131</v>
          </cell>
          <cell r="B1106">
            <v>259</v>
          </cell>
          <cell r="C1106">
            <v>114708</v>
          </cell>
          <cell r="D1106">
            <v>18463</v>
          </cell>
          <cell r="E1106">
            <v>33970</v>
          </cell>
        </row>
        <row r="1107">
          <cell r="A1107">
            <v>27154</v>
          </cell>
          <cell r="B1107">
            <v>259</v>
          </cell>
          <cell r="C1107">
            <v>14362</v>
          </cell>
          <cell r="D1107">
            <v>3351</v>
          </cell>
          <cell r="E1107">
            <v>1557</v>
          </cell>
        </row>
        <row r="1108">
          <cell r="A1108">
            <v>27155</v>
          </cell>
          <cell r="B1108">
            <v>259</v>
          </cell>
          <cell r="C1108">
            <v>13695</v>
          </cell>
          <cell r="D1108">
            <v>1000</v>
          </cell>
          <cell r="E1108">
            <v>4635</v>
          </cell>
        </row>
        <row r="1109">
          <cell r="A1109">
            <v>27157</v>
          </cell>
          <cell r="B1109">
            <v>259</v>
          </cell>
          <cell r="C1109">
            <v>28572</v>
          </cell>
          <cell r="D1109">
            <v>4803</v>
          </cell>
          <cell r="E1109">
            <v>8265</v>
          </cell>
        </row>
        <row r="1110">
          <cell r="A1110">
            <v>27161</v>
          </cell>
          <cell r="B1110">
            <v>259</v>
          </cell>
          <cell r="C1110">
            <v>16339</v>
          </cell>
          <cell r="D1110">
            <v>4320</v>
          </cell>
          <cell r="E1110">
            <v>4668</v>
          </cell>
        </row>
        <row r="1111">
          <cell r="A1111">
            <v>27162</v>
          </cell>
          <cell r="B1111">
            <v>259</v>
          </cell>
          <cell r="C1111">
            <v>30762</v>
          </cell>
          <cell r="D1111">
            <v>6436</v>
          </cell>
          <cell r="E1111">
            <v>6374</v>
          </cell>
        </row>
        <row r="1112">
          <cell r="A1112">
            <v>27165</v>
          </cell>
          <cell r="B1112">
            <v>259</v>
          </cell>
          <cell r="C1112">
            <v>59277</v>
          </cell>
          <cell r="D1112">
            <v>9002</v>
          </cell>
          <cell r="E1112">
            <v>18254</v>
          </cell>
        </row>
        <row r="1113">
          <cell r="A1113">
            <v>27166</v>
          </cell>
          <cell r="B1113">
            <v>259</v>
          </cell>
          <cell r="C1113">
            <v>64011</v>
          </cell>
          <cell r="D1113">
            <v>10833</v>
          </cell>
          <cell r="E1113">
            <v>19443</v>
          </cell>
        </row>
        <row r="1114">
          <cell r="A1114">
            <v>27167</v>
          </cell>
          <cell r="B1114">
            <v>259</v>
          </cell>
          <cell r="C1114">
            <v>66200</v>
          </cell>
          <cell r="D1114">
            <v>15765</v>
          </cell>
          <cell r="E1114">
            <v>12107</v>
          </cell>
        </row>
        <row r="1115">
          <cell r="A1115">
            <v>27168</v>
          </cell>
          <cell r="B1115">
            <v>259</v>
          </cell>
          <cell r="C1115">
            <v>69557</v>
          </cell>
          <cell r="D1115">
            <v>16820</v>
          </cell>
          <cell r="E1115">
            <v>12751</v>
          </cell>
        </row>
        <row r="1116">
          <cell r="A1116">
            <v>27169</v>
          </cell>
          <cell r="B1116">
            <v>259</v>
          </cell>
          <cell r="C1116">
            <v>66962</v>
          </cell>
          <cell r="D1116">
            <v>12454</v>
          </cell>
          <cell r="E1116">
            <v>19567</v>
          </cell>
        </row>
        <row r="1117">
          <cell r="A1117">
            <v>27170</v>
          </cell>
          <cell r="B1117">
            <v>259</v>
          </cell>
          <cell r="C1117">
            <v>61811</v>
          </cell>
          <cell r="D1117">
            <v>11043</v>
          </cell>
          <cell r="E1117">
            <v>18515</v>
          </cell>
        </row>
        <row r="1118">
          <cell r="A1118">
            <v>27171</v>
          </cell>
          <cell r="B1118">
            <v>259</v>
          </cell>
          <cell r="C1118">
            <v>66437</v>
          </cell>
          <cell r="D1118">
            <v>14740</v>
          </cell>
          <cell r="E1118">
            <v>13091</v>
          </cell>
        </row>
        <row r="1119">
          <cell r="A1119">
            <v>27172</v>
          </cell>
          <cell r="B1119">
            <v>259</v>
          </cell>
          <cell r="C1119">
            <v>66794</v>
          </cell>
          <cell r="D1119">
            <v>14790</v>
          </cell>
          <cell r="E1119">
            <v>13219</v>
          </cell>
        </row>
        <row r="1120">
          <cell r="A1120">
            <v>27173</v>
          </cell>
          <cell r="B1120">
            <v>259</v>
          </cell>
          <cell r="C1120">
            <v>63361</v>
          </cell>
          <cell r="D1120">
            <v>14486</v>
          </cell>
          <cell r="E1120">
            <v>11854</v>
          </cell>
        </row>
        <row r="1121">
          <cell r="A1121">
            <v>27174</v>
          </cell>
          <cell r="B1121">
            <v>259</v>
          </cell>
          <cell r="C1121">
            <v>59673</v>
          </cell>
          <cell r="D1121">
            <v>11631</v>
          </cell>
          <cell r="E1121">
            <v>17045</v>
          </cell>
        </row>
        <row r="1122">
          <cell r="A1122">
            <v>27175</v>
          </cell>
          <cell r="B1122">
            <v>259</v>
          </cell>
          <cell r="C1122">
            <v>59371</v>
          </cell>
          <cell r="D1122">
            <v>12779</v>
          </cell>
          <cell r="E1122">
            <v>11709</v>
          </cell>
        </row>
        <row r="1123">
          <cell r="A1123">
            <v>27177</v>
          </cell>
          <cell r="B1123">
            <v>259</v>
          </cell>
          <cell r="C1123">
            <v>63134</v>
          </cell>
          <cell r="D1123">
            <v>12498</v>
          </cell>
          <cell r="E1123">
            <v>12808</v>
          </cell>
        </row>
        <row r="1124">
          <cell r="A1124">
            <v>27178</v>
          </cell>
          <cell r="B1124">
            <v>259</v>
          </cell>
          <cell r="C1124">
            <v>62478</v>
          </cell>
          <cell r="D1124">
            <v>12797</v>
          </cell>
          <cell r="E1124">
            <v>16859</v>
          </cell>
        </row>
        <row r="1125">
          <cell r="A1125">
            <v>27179</v>
          </cell>
          <cell r="B1125">
            <v>259</v>
          </cell>
          <cell r="C1125">
            <v>65974</v>
          </cell>
          <cell r="D1125">
            <v>12523</v>
          </cell>
          <cell r="E1125">
            <v>19116</v>
          </cell>
        </row>
        <row r="1126">
          <cell r="A1126">
            <v>27180</v>
          </cell>
          <cell r="B1126">
            <v>259</v>
          </cell>
          <cell r="C1126">
            <v>67971</v>
          </cell>
          <cell r="D1126">
            <v>15201</v>
          </cell>
          <cell r="E1126">
            <v>13402</v>
          </cell>
        </row>
        <row r="1127">
          <cell r="A1127">
            <v>27181</v>
          </cell>
          <cell r="B1127">
            <v>259</v>
          </cell>
          <cell r="C1127">
            <v>67293</v>
          </cell>
          <cell r="D1127">
            <v>11179</v>
          </cell>
          <cell r="E1127">
            <v>20624</v>
          </cell>
        </row>
        <row r="1128">
          <cell r="A1128">
            <v>27182</v>
          </cell>
          <cell r="B1128">
            <v>259</v>
          </cell>
          <cell r="C1128">
            <v>63368</v>
          </cell>
          <cell r="D1128">
            <v>15895</v>
          </cell>
          <cell r="E1128">
            <v>10845</v>
          </cell>
        </row>
        <row r="1129">
          <cell r="A1129">
            <v>27183</v>
          </cell>
          <cell r="B1129">
            <v>259</v>
          </cell>
          <cell r="C1129">
            <v>62436</v>
          </cell>
          <cell r="D1129">
            <v>9725</v>
          </cell>
          <cell r="E1129">
            <v>19460</v>
          </cell>
        </row>
        <row r="1130">
          <cell r="A1130">
            <v>27184</v>
          </cell>
          <cell r="B1130">
            <v>259</v>
          </cell>
          <cell r="C1130">
            <v>61765</v>
          </cell>
          <cell r="D1130">
            <v>15525</v>
          </cell>
          <cell r="E1130">
            <v>10460</v>
          </cell>
        </row>
        <row r="1131">
          <cell r="A1131">
            <v>27187</v>
          </cell>
          <cell r="B1131">
            <v>259</v>
          </cell>
          <cell r="C1131">
            <v>64313</v>
          </cell>
          <cell r="D1131">
            <v>9508</v>
          </cell>
          <cell r="E1131">
            <v>20122</v>
          </cell>
        </row>
        <row r="1132">
          <cell r="A1132">
            <v>27188</v>
          </cell>
          <cell r="B1132">
            <v>259</v>
          </cell>
          <cell r="C1132">
            <v>62274</v>
          </cell>
          <cell r="D1132">
            <v>14763</v>
          </cell>
          <cell r="E1132">
            <v>11509</v>
          </cell>
        </row>
        <row r="1133">
          <cell r="A1133">
            <v>27189</v>
          </cell>
          <cell r="B1133">
            <v>259</v>
          </cell>
          <cell r="C1133">
            <v>68156</v>
          </cell>
          <cell r="D1133">
            <v>13829</v>
          </cell>
          <cell r="E1133">
            <v>13843</v>
          </cell>
        </row>
        <row r="1134">
          <cell r="A1134">
            <v>27190</v>
          </cell>
          <cell r="B1134">
            <v>259</v>
          </cell>
          <cell r="C1134">
            <v>68156</v>
          </cell>
          <cell r="D1134">
            <v>13829</v>
          </cell>
          <cell r="E1134">
            <v>13843</v>
          </cell>
        </row>
        <row r="1135">
          <cell r="A1135">
            <v>27191</v>
          </cell>
          <cell r="B1135">
            <v>259</v>
          </cell>
          <cell r="C1135">
            <v>67284</v>
          </cell>
          <cell r="D1135">
            <v>13522</v>
          </cell>
          <cell r="E1135">
            <v>18376</v>
          </cell>
        </row>
        <row r="1136">
          <cell r="A1136">
            <v>27192</v>
          </cell>
          <cell r="B1136">
            <v>259</v>
          </cell>
          <cell r="C1136">
            <v>67284</v>
          </cell>
          <cell r="D1136">
            <v>13522</v>
          </cell>
          <cell r="E1136">
            <v>18376</v>
          </cell>
        </row>
        <row r="1137">
          <cell r="A1137">
            <v>27193</v>
          </cell>
          <cell r="B1137">
            <v>259</v>
          </cell>
          <cell r="C1137">
            <v>67284</v>
          </cell>
          <cell r="D1137">
            <v>13522</v>
          </cell>
          <cell r="E1137">
            <v>18376</v>
          </cell>
        </row>
        <row r="1138">
          <cell r="A1138">
            <v>27194</v>
          </cell>
          <cell r="B1138">
            <v>259</v>
          </cell>
          <cell r="C1138">
            <v>68156</v>
          </cell>
          <cell r="D1138">
            <v>13829</v>
          </cell>
          <cell r="E1138">
            <v>13843</v>
          </cell>
        </row>
        <row r="1139">
          <cell r="A1139">
            <v>27195</v>
          </cell>
          <cell r="B1139">
            <v>259</v>
          </cell>
          <cell r="C1139">
            <v>66051</v>
          </cell>
          <cell r="D1139">
            <v>13838</v>
          </cell>
          <cell r="E1139">
            <v>17526</v>
          </cell>
        </row>
        <row r="1140">
          <cell r="A1140">
            <v>27196</v>
          </cell>
          <cell r="B1140">
            <v>259</v>
          </cell>
          <cell r="C1140">
            <v>66720</v>
          </cell>
          <cell r="D1140">
            <v>12907</v>
          </cell>
          <cell r="E1140">
            <v>13971</v>
          </cell>
        </row>
        <row r="1141">
          <cell r="A1141">
            <v>27204</v>
          </cell>
          <cell r="B1141">
            <v>259</v>
          </cell>
          <cell r="C1141">
            <v>5818</v>
          </cell>
          <cell r="D1141">
            <v>819</v>
          </cell>
          <cell r="E1141">
            <v>1782</v>
          </cell>
        </row>
        <row r="1142">
          <cell r="A1142">
            <v>27205</v>
          </cell>
          <cell r="B1142">
            <v>259</v>
          </cell>
          <cell r="C1142">
            <v>7312</v>
          </cell>
          <cell r="D1142">
            <v>1887</v>
          </cell>
          <cell r="E1142">
            <v>926</v>
          </cell>
        </row>
        <row r="1143">
          <cell r="A1143">
            <v>27206</v>
          </cell>
          <cell r="B1143">
            <v>259</v>
          </cell>
          <cell r="C1143">
            <v>7452</v>
          </cell>
          <cell r="D1143">
            <v>941</v>
          </cell>
          <cell r="E1143">
            <v>2323</v>
          </cell>
        </row>
        <row r="1144">
          <cell r="A1144">
            <v>27207</v>
          </cell>
          <cell r="B1144">
            <v>259</v>
          </cell>
          <cell r="C1144">
            <v>6301</v>
          </cell>
          <cell r="D1144">
            <v>783</v>
          </cell>
          <cell r="E1144">
            <v>1995</v>
          </cell>
        </row>
        <row r="1145">
          <cell r="A1145">
            <v>27208</v>
          </cell>
          <cell r="B1145">
            <v>259</v>
          </cell>
          <cell r="C1145">
            <v>5616</v>
          </cell>
          <cell r="D1145">
            <v>746</v>
          </cell>
          <cell r="E1145">
            <v>1765</v>
          </cell>
        </row>
        <row r="1146">
          <cell r="A1146">
            <v>27209</v>
          </cell>
          <cell r="B1146">
            <v>259</v>
          </cell>
          <cell r="C1146">
            <v>6857</v>
          </cell>
          <cell r="D1146">
            <v>1844</v>
          </cell>
          <cell r="E1146">
            <v>804</v>
          </cell>
        </row>
        <row r="1147">
          <cell r="A1147">
            <v>27210</v>
          </cell>
          <cell r="B1147">
            <v>259</v>
          </cell>
          <cell r="C1147">
            <v>7005</v>
          </cell>
          <cell r="D1147">
            <v>835</v>
          </cell>
          <cell r="E1147">
            <v>2231</v>
          </cell>
        </row>
        <row r="1148">
          <cell r="A1148">
            <v>27211</v>
          </cell>
          <cell r="B1148">
            <v>259</v>
          </cell>
          <cell r="C1148">
            <v>6113</v>
          </cell>
          <cell r="D1148">
            <v>1660</v>
          </cell>
          <cell r="E1148">
            <v>680</v>
          </cell>
        </row>
        <row r="1149">
          <cell r="A1149">
            <v>27212</v>
          </cell>
          <cell r="B1149">
            <v>259</v>
          </cell>
          <cell r="C1149">
            <v>5460</v>
          </cell>
          <cell r="D1149">
            <v>1474</v>
          </cell>
          <cell r="E1149">
            <v>578</v>
          </cell>
        </row>
        <row r="1150">
          <cell r="A1150">
            <v>27213</v>
          </cell>
          <cell r="B1150">
            <v>259</v>
          </cell>
          <cell r="C1150">
            <v>5644</v>
          </cell>
          <cell r="D1150">
            <v>1523</v>
          </cell>
          <cell r="E1150">
            <v>644</v>
          </cell>
        </row>
        <row r="1151">
          <cell r="A1151">
            <v>27214</v>
          </cell>
          <cell r="B1151">
            <v>259</v>
          </cell>
          <cell r="C1151">
            <v>5645</v>
          </cell>
          <cell r="D1151">
            <v>1523</v>
          </cell>
          <cell r="E1151">
            <v>644</v>
          </cell>
        </row>
        <row r="1152">
          <cell r="A1152">
            <v>27218</v>
          </cell>
          <cell r="B1152">
            <v>259</v>
          </cell>
          <cell r="C1152">
            <v>48550</v>
          </cell>
          <cell r="D1152">
            <v>9428</v>
          </cell>
          <cell r="E1152">
            <v>12329</v>
          </cell>
        </row>
        <row r="1153">
          <cell r="A1153">
            <v>27223</v>
          </cell>
          <cell r="B1153">
            <v>259</v>
          </cell>
          <cell r="C1153">
            <v>45144</v>
          </cell>
          <cell r="D1153">
            <v>11023</v>
          </cell>
          <cell r="E1153">
            <v>8977</v>
          </cell>
        </row>
        <row r="1154">
          <cell r="A1154">
            <v>27224</v>
          </cell>
          <cell r="B1154">
            <v>259</v>
          </cell>
          <cell r="C1154">
            <v>41066</v>
          </cell>
          <cell r="D1154">
            <v>10051</v>
          </cell>
          <cell r="E1154">
            <v>8169</v>
          </cell>
        </row>
        <row r="1155">
          <cell r="A1155">
            <v>27229</v>
          </cell>
          <cell r="B1155">
            <v>259</v>
          </cell>
          <cell r="C1155">
            <v>48543</v>
          </cell>
          <cell r="D1155">
            <v>7625</v>
          </cell>
          <cell r="E1155">
            <v>14643</v>
          </cell>
        </row>
        <row r="1156">
          <cell r="A1156">
            <v>27230</v>
          </cell>
          <cell r="B1156">
            <v>259</v>
          </cell>
          <cell r="C1156">
            <v>42075</v>
          </cell>
          <cell r="D1156">
            <v>6391</v>
          </cell>
          <cell r="E1156">
            <v>12656</v>
          </cell>
        </row>
        <row r="1157">
          <cell r="A1157">
            <v>27235</v>
          </cell>
          <cell r="B1157">
            <v>259</v>
          </cell>
          <cell r="C1157">
            <v>47817</v>
          </cell>
          <cell r="D1157">
            <v>10287</v>
          </cell>
          <cell r="E1157">
            <v>11672</v>
          </cell>
        </row>
        <row r="1158">
          <cell r="A1158">
            <v>27236</v>
          </cell>
          <cell r="B1158">
            <v>259</v>
          </cell>
          <cell r="C1158">
            <v>41044</v>
          </cell>
          <cell r="D1158">
            <v>6676</v>
          </cell>
          <cell r="E1158">
            <v>12346</v>
          </cell>
        </row>
        <row r="1159">
          <cell r="A1159">
            <v>27237</v>
          </cell>
          <cell r="B1159">
            <v>259</v>
          </cell>
          <cell r="C1159">
            <v>39485</v>
          </cell>
          <cell r="D1159">
            <v>10066</v>
          </cell>
          <cell r="E1159">
            <v>7631</v>
          </cell>
        </row>
        <row r="1160">
          <cell r="A1160">
            <v>27238</v>
          </cell>
          <cell r="B1160">
            <v>259</v>
          </cell>
          <cell r="C1160">
            <v>41615</v>
          </cell>
          <cell r="D1160">
            <v>10459</v>
          </cell>
          <cell r="E1160">
            <v>8109</v>
          </cell>
        </row>
        <row r="1161">
          <cell r="A1161">
            <v>27241</v>
          </cell>
          <cell r="B1161">
            <v>259</v>
          </cell>
          <cell r="C1161">
            <v>46574</v>
          </cell>
          <cell r="D1161">
            <v>11187</v>
          </cell>
          <cell r="E1161">
            <v>9371</v>
          </cell>
        </row>
        <row r="1162">
          <cell r="A1162">
            <v>27245</v>
          </cell>
          <cell r="B1162">
            <v>259</v>
          </cell>
          <cell r="C1162">
            <v>51086</v>
          </cell>
          <cell r="D1162">
            <v>9014</v>
          </cell>
          <cell r="E1162">
            <v>14241</v>
          </cell>
        </row>
        <row r="1163">
          <cell r="A1163">
            <v>27247</v>
          </cell>
          <cell r="B1163">
            <v>259</v>
          </cell>
          <cell r="C1163">
            <v>59231</v>
          </cell>
          <cell r="D1163">
            <v>12385</v>
          </cell>
          <cell r="E1163">
            <v>13014</v>
          </cell>
        </row>
        <row r="1164">
          <cell r="A1164">
            <v>27248</v>
          </cell>
          <cell r="B1164">
            <v>259</v>
          </cell>
          <cell r="C1164">
            <v>52739</v>
          </cell>
          <cell r="D1164">
            <v>10826</v>
          </cell>
          <cell r="E1164">
            <v>13370</v>
          </cell>
        </row>
        <row r="1165">
          <cell r="A1165">
            <v>27262</v>
          </cell>
          <cell r="B1165">
            <v>259</v>
          </cell>
          <cell r="C1165">
            <v>88001</v>
          </cell>
          <cell r="D1165">
            <v>24052</v>
          </cell>
          <cell r="E1165">
            <v>18005</v>
          </cell>
        </row>
        <row r="1166">
          <cell r="A1166">
            <v>27335</v>
          </cell>
          <cell r="B1166">
            <v>259</v>
          </cell>
          <cell r="C1166">
            <v>5820</v>
          </cell>
          <cell r="D1166">
            <v>819</v>
          </cell>
          <cell r="E1166">
            <v>1783</v>
          </cell>
        </row>
        <row r="1167">
          <cell r="A1167">
            <v>27351</v>
          </cell>
          <cell r="B1167">
            <v>259</v>
          </cell>
          <cell r="C1167">
            <v>71249</v>
          </cell>
          <cell r="D1167">
            <v>16712</v>
          </cell>
          <cell r="E1167">
            <v>13442</v>
          </cell>
        </row>
        <row r="1168">
          <cell r="A1168">
            <v>27352</v>
          </cell>
          <cell r="B1168">
            <v>259</v>
          </cell>
          <cell r="C1168">
            <v>69256</v>
          </cell>
          <cell r="D1168">
            <v>12137</v>
          </cell>
          <cell r="E1168">
            <v>20758</v>
          </cell>
        </row>
        <row r="1169">
          <cell r="A1169">
            <v>27412</v>
          </cell>
          <cell r="B1169">
            <v>259</v>
          </cell>
          <cell r="C1169">
            <v>27052</v>
          </cell>
          <cell r="D1169">
            <v>3110</v>
          </cell>
          <cell r="E1169">
            <v>9624</v>
          </cell>
        </row>
        <row r="1170">
          <cell r="A1170">
            <v>27504</v>
          </cell>
          <cell r="B1170">
            <v>259</v>
          </cell>
          <cell r="C1170">
            <v>39604</v>
          </cell>
          <cell r="D1170">
            <v>12415</v>
          </cell>
          <cell r="E1170">
            <v>7045</v>
          </cell>
        </row>
        <row r="1171">
          <cell r="A1171">
            <v>27505</v>
          </cell>
          <cell r="B1171">
            <v>259</v>
          </cell>
          <cell r="C1171">
            <v>40539</v>
          </cell>
          <cell r="D1171">
            <v>5300</v>
          </cell>
          <cell r="E1171">
            <v>14268</v>
          </cell>
        </row>
        <row r="1172">
          <cell r="A1172">
            <v>27507</v>
          </cell>
          <cell r="B1172">
            <v>259</v>
          </cell>
          <cell r="C1172">
            <v>43149</v>
          </cell>
          <cell r="D1172">
            <v>5820</v>
          </cell>
          <cell r="E1172">
            <v>14933</v>
          </cell>
        </row>
        <row r="1173">
          <cell r="A1173">
            <v>27511</v>
          </cell>
          <cell r="B1173">
            <v>259</v>
          </cell>
          <cell r="C1173">
            <v>25034</v>
          </cell>
          <cell r="D1173">
            <v>4824</v>
          </cell>
          <cell r="E1173">
            <v>7241</v>
          </cell>
        </row>
        <row r="1174">
          <cell r="A1174">
            <v>27512</v>
          </cell>
          <cell r="B1174">
            <v>259</v>
          </cell>
          <cell r="C1174">
            <v>34631</v>
          </cell>
          <cell r="D1174">
            <v>7927</v>
          </cell>
          <cell r="E1174">
            <v>8533</v>
          </cell>
        </row>
        <row r="1175">
          <cell r="A1175">
            <v>27517</v>
          </cell>
          <cell r="B1175">
            <v>259</v>
          </cell>
          <cell r="C1175">
            <v>59504</v>
          </cell>
          <cell r="D1175">
            <v>11756</v>
          </cell>
          <cell r="E1175">
            <v>12295</v>
          </cell>
        </row>
        <row r="1176">
          <cell r="A1176">
            <v>27518</v>
          </cell>
          <cell r="B1176">
            <v>259</v>
          </cell>
          <cell r="C1176">
            <v>58112</v>
          </cell>
          <cell r="D1176">
            <v>12345</v>
          </cell>
          <cell r="E1176">
            <v>14101</v>
          </cell>
        </row>
        <row r="1177">
          <cell r="A1177">
            <v>27519</v>
          </cell>
          <cell r="B1177">
            <v>259</v>
          </cell>
          <cell r="C1177">
            <v>60092</v>
          </cell>
          <cell r="D1177">
            <v>12460</v>
          </cell>
          <cell r="E1177">
            <v>14826</v>
          </cell>
        </row>
        <row r="1178">
          <cell r="A1178">
            <v>27520</v>
          </cell>
          <cell r="B1178">
            <v>259</v>
          </cell>
          <cell r="C1178">
            <v>61575</v>
          </cell>
          <cell r="D1178">
            <v>12291</v>
          </cell>
          <cell r="E1178">
            <v>12768</v>
          </cell>
        </row>
        <row r="1179">
          <cell r="A1179">
            <v>27521</v>
          </cell>
          <cell r="B1179">
            <v>259</v>
          </cell>
          <cell r="C1179">
            <v>61575</v>
          </cell>
          <cell r="D1179">
            <v>12291</v>
          </cell>
          <cell r="E1179">
            <v>12768</v>
          </cell>
        </row>
        <row r="1180">
          <cell r="A1180">
            <v>27522</v>
          </cell>
          <cell r="B1180">
            <v>259</v>
          </cell>
          <cell r="C1180">
            <v>60091</v>
          </cell>
          <cell r="D1180">
            <v>12460</v>
          </cell>
          <cell r="E1180">
            <v>14825</v>
          </cell>
        </row>
        <row r="1181">
          <cell r="A1181">
            <v>27534</v>
          </cell>
          <cell r="B1181">
            <v>259</v>
          </cell>
          <cell r="C1181">
            <v>8783</v>
          </cell>
          <cell r="D1181">
            <v>2264</v>
          </cell>
          <cell r="E1181">
            <v>1176</v>
          </cell>
        </row>
        <row r="1182">
          <cell r="A1182">
            <v>27535</v>
          </cell>
          <cell r="B1182">
            <v>259</v>
          </cell>
          <cell r="C1182">
            <v>7091</v>
          </cell>
          <cell r="D1182">
            <v>842</v>
          </cell>
          <cell r="E1182">
            <v>2261</v>
          </cell>
        </row>
        <row r="1183">
          <cell r="A1183">
            <v>27536</v>
          </cell>
          <cell r="B1183">
            <v>259</v>
          </cell>
          <cell r="C1183">
            <v>6951</v>
          </cell>
          <cell r="D1183">
            <v>1895</v>
          </cell>
          <cell r="E1183">
            <v>809</v>
          </cell>
        </row>
        <row r="1184">
          <cell r="A1184">
            <v>27537</v>
          </cell>
          <cell r="B1184">
            <v>259</v>
          </cell>
          <cell r="C1184">
            <v>6313</v>
          </cell>
          <cell r="D1184">
            <v>785</v>
          </cell>
          <cell r="E1184">
            <v>2001</v>
          </cell>
        </row>
        <row r="1185">
          <cell r="A1185">
            <v>27538</v>
          </cell>
          <cell r="B1185">
            <v>259</v>
          </cell>
          <cell r="C1185">
            <v>6124</v>
          </cell>
          <cell r="D1185">
            <v>1662</v>
          </cell>
          <cell r="E1185">
            <v>682</v>
          </cell>
        </row>
        <row r="1186">
          <cell r="A1186">
            <v>27539</v>
          </cell>
          <cell r="B1186">
            <v>259</v>
          </cell>
          <cell r="C1186">
            <v>6123</v>
          </cell>
          <cell r="D1186">
            <v>844</v>
          </cell>
          <cell r="E1186">
            <v>1890</v>
          </cell>
        </row>
        <row r="1187">
          <cell r="A1187">
            <v>27540</v>
          </cell>
          <cell r="B1187">
            <v>259</v>
          </cell>
          <cell r="C1187">
            <v>5950</v>
          </cell>
          <cell r="D1187">
            <v>1587</v>
          </cell>
          <cell r="E1187">
            <v>688</v>
          </cell>
        </row>
        <row r="1188">
          <cell r="A1188">
            <v>27541</v>
          </cell>
          <cell r="B1188">
            <v>259</v>
          </cell>
          <cell r="C1188">
            <v>5645</v>
          </cell>
          <cell r="D1188">
            <v>1523</v>
          </cell>
          <cell r="E1188">
            <v>644</v>
          </cell>
        </row>
        <row r="1189">
          <cell r="A1189">
            <v>27542</v>
          </cell>
          <cell r="B1189">
            <v>259</v>
          </cell>
          <cell r="C1189">
            <v>5820</v>
          </cell>
          <cell r="D1189">
            <v>819</v>
          </cell>
          <cell r="E1189">
            <v>1783</v>
          </cell>
        </row>
        <row r="1190">
          <cell r="A1190">
            <v>27543</v>
          </cell>
          <cell r="B1190">
            <v>259</v>
          </cell>
          <cell r="C1190">
            <v>57883</v>
          </cell>
          <cell r="D1190">
            <v>12916</v>
          </cell>
          <cell r="E1190">
            <v>12449</v>
          </cell>
        </row>
        <row r="1191">
          <cell r="A1191">
            <v>27544</v>
          </cell>
          <cell r="B1191">
            <v>259</v>
          </cell>
          <cell r="C1191">
            <v>58163</v>
          </cell>
          <cell r="D1191">
            <v>10086</v>
          </cell>
          <cell r="E1191">
            <v>15918</v>
          </cell>
        </row>
        <row r="1192">
          <cell r="A1192">
            <v>27545</v>
          </cell>
          <cell r="B1192">
            <v>259</v>
          </cell>
          <cell r="C1192">
            <v>58712</v>
          </cell>
          <cell r="D1192">
            <v>11790</v>
          </cell>
          <cell r="E1192">
            <v>14251</v>
          </cell>
        </row>
        <row r="1193">
          <cell r="A1193">
            <v>27551</v>
          </cell>
          <cell r="B1193">
            <v>259</v>
          </cell>
          <cell r="C1193">
            <v>90769</v>
          </cell>
          <cell r="D1193">
            <v>17104</v>
          </cell>
          <cell r="E1193">
            <v>24846</v>
          </cell>
        </row>
        <row r="1194">
          <cell r="A1194">
            <v>27552</v>
          </cell>
          <cell r="B1194">
            <v>259</v>
          </cell>
          <cell r="C1194">
            <v>59803</v>
          </cell>
          <cell r="D1194">
            <v>12574</v>
          </cell>
          <cell r="E1194">
            <v>15047</v>
          </cell>
        </row>
        <row r="1195">
          <cell r="A1195">
            <v>27554</v>
          </cell>
          <cell r="B1195">
            <v>259</v>
          </cell>
          <cell r="C1195">
            <v>101393</v>
          </cell>
          <cell r="D1195">
            <v>23851</v>
          </cell>
          <cell r="E1195">
            <v>25100</v>
          </cell>
        </row>
        <row r="1196">
          <cell r="A1196">
            <v>27555</v>
          </cell>
          <cell r="B1196">
            <v>259</v>
          </cell>
          <cell r="C1196">
            <v>97924</v>
          </cell>
          <cell r="D1196">
            <v>18109</v>
          </cell>
          <cell r="E1196">
            <v>28003</v>
          </cell>
        </row>
        <row r="1197">
          <cell r="A1197">
            <v>27577</v>
          </cell>
          <cell r="B1197">
            <v>259</v>
          </cell>
          <cell r="C1197">
            <v>87052</v>
          </cell>
          <cell r="D1197">
            <v>15840</v>
          </cell>
          <cell r="E1197">
            <v>23960</v>
          </cell>
        </row>
        <row r="1198">
          <cell r="A1198">
            <v>27578</v>
          </cell>
          <cell r="B1198">
            <v>259</v>
          </cell>
          <cell r="C1198">
            <v>95060</v>
          </cell>
          <cell r="D1198">
            <v>23085</v>
          </cell>
          <cell r="E1198">
            <v>20849</v>
          </cell>
        </row>
        <row r="1199">
          <cell r="A1199">
            <v>27589</v>
          </cell>
          <cell r="B1199">
            <v>259</v>
          </cell>
          <cell r="C1199">
            <v>71157</v>
          </cell>
          <cell r="D1199">
            <v>19073</v>
          </cell>
          <cell r="E1199">
            <v>13981</v>
          </cell>
        </row>
        <row r="1200">
          <cell r="A1200">
            <v>27594</v>
          </cell>
          <cell r="B1200">
            <v>259</v>
          </cell>
          <cell r="C1200">
            <v>79306</v>
          </cell>
          <cell r="D1200">
            <v>17769</v>
          </cell>
          <cell r="E1200">
            <v>14460</v>
          </cell>
        </row>
        <row r="1201">
          <cell r="A1201">
            <v>27597</v>
          </cell>
          <cell r="B1201">
            <v>259</v>
          </cell>
          <cell r="C1201">
            <v>60091</v>
          </cell>
          <cell r="D1201">
            <v>12460</v>
          </cell>
          <cell r="E1201">
            <v>14825</v>
          </cell>
        </row>
        <row r="1202">
          <cell r="A1202">
            <v>27598</v>
          </cell>
          <cell r="B1202">
            <v>259</v>
          </cell>
          <cell r="C1202">
            <v>61689</v>
          </cell>
          <cell r="D1202">
            <v>12291</v>
          </cell>
          <cell r="E1202">
            <v>12883</v>
          </cell>
        </row>
        <row r="1203">
          <cell r="A1203">
            <v>27599</v>
          </cell>
          <cell r="B1203">
            <v>259</v>
          </cell>
          <cell r="C1203">
            <v>60881</v>
          </cell>
          <cell r="D1203">
            <v>12175</v>
          </cell>
          <cell r="E1203">
            <v>12636</v>
          </cell>
        </row>
        <row r="1204">
          <cell r="A1204">
            <v>27600</v>
          </cell>
          <cell r="B1204">
            <v>259</v>
          </cell>
          <cell r="C1204">
            <v>86994</v>
          </cell>
          <cell r="D1204">
            <v>19958</v>
          </cell>
          <cell r="E1204">
            <v>21886</v>
          </cell>
        </row>
        <row r="1205">
          <cell r="A1205">
            <v>27601</v>
          </cell>
          <cell r="B1205">
            <v>259</v>
          </cell>
          <cell r="C1205">
            <v>62409</v>
          </cell>
          <cell r="D1205">
            <v>14042</v>
          </cell>
          <cell r="E1205">
            <v>16480</v>
          </cell>
        </row>
        <row r="1206">
          <cell r="A1206">
            <v>27602</v>
          </cell>
          <cell r="B1206">
            <v>259</v>
          </cell>
          <cell r="C1206">
            <v>76442</v>
          </cell>
          <cell r="D1206">
            <v>15195</v>
          </cell>
          <cell r="E1206">
            <v>20113</v>
          </cell>
        </row>
        <row r="1207">
          <cell r="A1207">
            <v>27603</v>
          </cell>
          <cell r="B1207">
            <v>259</v>
          </cell>
          <cell r="C1207">
            <v>94279</v>
          </cell>
          <cell r="D1207">
            <v>17778</v>
          </cell>
          <cell r="E1207">
            <v>25749</v>
          </cell>
        </row>
        <row r="1208">
          <cell r="A1208">
            <v>27605</v>
          </cell>
          <cell r="B1208">
            <v>259</v>
          </cell>
          <cell r="C1208">
            <v>97924</v>
          </cell>
          <cell r="D1208">
            <v>18109</v>
          </cell>
          <cell r="E1208">
            <v>28003</v>
          </cell>
        </row>
        <row r="1209">
          <cell r="A1209">
            <v>27606</v>
          </cell>
          <cell r="B1209">
            <v>259</v>
          </cell>
          <cell r="C1209">
            <v>62090</v>
          </cell>
          <cell r="D1209">
            <v>9716</v>
          </cell>
          <cell r="E1209">
            <v>20696</v>
          </cell>
        </row>
        <row r="1210">
          <cell r="A1210">
            <v>27607</v>
          </cell>
          <cell r="B1210">
            <v>259</v>
          </cell>
          <cell r="C1210">
            <v>62702</v>
          </cell>
          <cell r="D1210">
            <v>9437</v>
          </cell>
          <cell r="E1210">
            <v>20526</v>
          </cell>
        </row>
        <row r="1211">
          <cell r="A1211">
            <v>27613</v>
          </cell>
          <cell r="B1211">
            <v>259</v>
          </cell>
          <cell r="C1211">
            <v>70796</v>
          </cell>
          <cell r="D1211">
            <v>17883</v>
          </cell>
          <cell r="E1211">
            <v>11854</v>
          </cell>
        </row>
        <row r="1212">
          <cell r="A1212">
            <v>27614</v>
          </cell>
          <cell r="B1212">
            <v>259</v>
          </cell>
          <cell r="C1212">
            <v>91522</v>
          </cell>
          <cell r="D1212">
            <v>24386</v>
          </cell>
          <cell r="E1212">
            <v>14663</v>
          </cell>
        </row>
        <row r="1213">
          <cell r="A1213">
            <v>27615</v>
          </cell>
          <cell r="B1213">
            <v>259</v>
          </cell>
          <cell r="C1213">
            <v>3532</v>
          </cell>
          <cell r="D1213">
            <v>0</v>
          </cell>
          <cell r="E1213">
            <v>3532</v>
          </cell>
        </row>
        <row r="1214">
          <cell r="A1214">
            <v>27658</v>
          </cell>
          <cell r="B1214">
            <v>259</v>
          </cell>
          <cell r="C1214">
            <v>65507</v>
          </cell>
          <cell r="D1214">
            <v>12268</v>
          </cell>
          <cell r="E1214">
            <v>19067</v>
          </cell>
        </row>
        <row r="1215">
          <cell r="A1215">
            <v>27659</v>
          </cell>
          <cell r="B1215">
            <v>259</v>
          </cell>
          <cell r="C1215">
            <v>65893</v>
          </cell>
          <cell r="D1215">
            <v>12491</v>
          </cell>
          <cell r="E1215">
            <v>19105</v>
          </cell>
        </row>
        <row r="1216">
          <cell r="A1216">
            <v>27694</v>
          </cell>
          <cell r="B1216">
            <v>259</v>
          </cell>
          <cell r="C1216">
            <v>15859</v>
          </cell>
          <cell r="D1216">
            <v>4018</v>
          </cell>
          <cell r="E1216">
            <v>1613</v>
          </cell>
        </row>
        <row r="1217">
          <cell r="A1217">
            <v>27706</v>
          </cell>
          <cell r="B1217">
            <v>259</v>
          </cell>
          <cell r="C1217">
            <v>31204</v>
          </cell>
          <cell r="D1217">
            <v>7672</v>
          </cell>
          <cell r="E1217">
            <v>3374</v>
          </cell>
        </row>
        <row r="1218">
          <cell r="A1218">
            <v>27716</v>
          </cell>
          <cell r="B1218">
            <v>259</v>
          </cell>
          <cell r="C1218">
            <v>35054</v>
          </cell>
          <cell r="D1218">
            <v>6349</v>
          </cell>
          <cell r="E1218">
            <v>7444</v>
          </cell>
        </row>
        <row r="1219">
          <cell r="A1219">
            <v>27717</v>
          </cell>
          <cell r="B1219">
            <v>259</v>
          </cell>
          <cell r="C1219">
            <v>37210</v>
          </cell>
          <cell r="D1219">
            <v>6703</v>
          </cell>
          <cell r="E1219">
            <v>7984</v>
          </cell>
        </row>
        <row r="1220">
          <cell r="A1220">
            <v>27718</v>
          </cell>
          <cell r="B1220">
            <v>259</v>
          </cell>
          <cell r="C1220">
            <v>44409</v>
          </cell>
          <cell r="D1220">
            <v>8569</v>
          </cell>
          <cell r="E1220">
            <v>8755</v>
          </cell>
        </row>
        <row r="1221">
          <cell r="A1221">
            <v>27719</v>
          </cell>
          <cell r="B1221">
            <v>259</v>
          </cell>
          <cell r="C1221">
            <v>41949</v>
          </cell>
          <cell r="D1221">
            <v>7241</v>
          </cell>
          <cell r="E1221">
            <v>9274</v>
          </cell>
        </row>
        <row r="1222">
          <cell r="A1222">
            <v>27720</v>
          </cell>
          <cell r="B1222">
            <v>259</v>
          </cell>
          <cell r="C1222">
            <v>38324</v>
          </cell>
          <cell r="D1222">
            <v>6775</v>
          </cell>
          <cell r="E1222">
            <v>8331</v>
          </cell>
        </row>
        <row r="1223">
          <cell r="A1223">
            <v>27721</v>
          </cell>
          <cell r="B1223">
            <v>259</v>
          </cell>
          <cell r="C1223">
            <v>36242</v>
          </cell>
          <cell r="D1223">
            <v>6627</v>
          </cell>
          <cell r="E1223">
            <v>7535</v>
          </cell>
        </row>
        <row r="1224">
          <cell r="A1224">
            <v>27722</v>
          </cell>
          <cell r="B1224">
            <v>259</v>
          </cell>
          <cell r="C1224">
            <v>27667</v>
          </cell>
          <cell r="D1224">
            <v>3696</v>
          </cell>
          <cell r="E1224">
            <v>7042</v>
          </cell>
        </row>
        <row r="1225">
          <cell r="A1225">
            <v>27724</v>
          </cell>
          <cell r="B1225">
            <v>259</v>
          </cell>
          <cell r="C1225">
            <v>31236</v>
          </cell>
          <cell r="D1225">
            <v>6047</v>
          </cell>
          <cell r="E1225">
            <v>6020</v>
          </cell>
        </row>
        <row r="1226">
          <cell r="A1226">
            <v>27737</v>
          </cell>
          <cell r="B1226">
            <v>259</v>
          </cell>
          <cell r="C1226">
            <v>44409</v>
          </cell>
          <cell r="D1226">
            <v>8569</v>
          </cell>
          <cell r="E1226">
            <v>8755</v>
          </cell>
        </row>
        <row r="1227">
          <cell r="A1227">
            <v>27738</v>
          </cell>
          <cell r="B1227">
            <v>259</v>
          </cell>
          <cell r="C1227">
            <v>43920</v>
          </cell>
          <cell r="D1227">
            <v>8455</v>
          </cell>
          <cell r="E1227">
            <v>8662</v>
          </cell>
        </row>
        <row r="1228">
          <cell r="A1228">
            <v>27739</v>
          </cell>
          <cell r="B1228">
            <v>259</v>
          </cell>
          <cell r="C1228">
            <v>44409</v>
          </cell>
          <cell r="D1228">
            <v>8569</v>
          </cell>
          <cell r="E1228">
            <v>8755</v>
          </cell>
        </row>
        <row r="1229">
          <cell r="A1229">
            <v>27740</v>
          </cell>
          <cell r="B1229">
            <v>259</v>
          </cell>
          <cell r="C1229">
            <v>41949</v>
          </cell>
          <cell r="D1229">
            <v>7241</v>
          </cell>
          <cell r="E1229">
            <v>9274</v>
          </cell>
        </row>
        <row r="1230">
          <cell r="A1230">
            <v>27741</v>
          </cell>
          <cell r="B1230">
            <v>259</v>
          </cell>
          <cell r="C1230">
            <v>41949</v>
          </cell>
          <cell r="D1230">
            <v>7241</v>
          </cell>
          <cell r="E1230">
            <v>9274</v>
          </cell>
        </row>
        <row r="1231">
          <cell r="A1231">
            <v>27742</v>
          </cell>
          <cell r="B1231">
            <v>259</v>
          </cell>
          <cell r="C1231">
            <v>41392</v>
          </cell>
          <cell r="D1231">
            <v>7157</v>
          </cell>
          <cell r="E1231">
            <v>9143</v>
          </cell>
        </row>
        <row r="1232">
          <cell r="A1232">
            <v>27743</v>
          </cell>
          <cell r="B1232">
            <v>259</v>
          </cell>
          <cell r="C1232">
            <v>11319</v>
          </cell>
          <cell r="D1232">
            <v>529</v>
          </cell>
          <cell r="E1232">
            <v>4079</v>
          </cell>
        </row>
        <row r="1233">
          <cell r="A1233">
            <v>27744</v>
          </cell>
          <cell r="B1233">
            <v>259</v>
          </cell>
          <cell r="C1233">
            <v>40127</v>
          </cell>
          <cell r="D1233">
            <v>8634</v>
          </cell>
          <cell r="E1233">
            <v>9454</v>
          </cell>
        </row>
        <row r="1234">
          <cell r="A1234">
            <v>27766</v>
          </cell>
          <cell r="B1234">
            <v>259</v>
          </cell>
          <cell r="C1234">
            <v>42308</v>
          </cell>
          <cell r="D1234">
            <v>10381</v>
          </cell>
          <cell r="E1234">
            <v>9259</v>
          </cell>
        </row>
        <row r="1235">
          <cell r="A1235">
            <v>27774</v>
          </cell>
          <cell r="B1235">
            <v>259</v>
          </cell>
          <cell r="C1235">
            <v>25771</v>
          </cell>
          <cell r="D1235">
            <v>5791</v>
          </cell>
          <cell r="E1235">
            <v>5622</v>
          </cell>
        </row>
        <row r="1236">
          <cell r="A1236">
            <v>27781</v>
          </cell>
          <cell r="B1236">
            <v>259</v>
          </cell>
          <cell r="C1236">
            <v>77371</v>
          </cell>
          <cell r="D1236">
            <v>10811</v>
          </cell>
          <cell r="E1236">
            <v>23871</v>
          </cell>
        </row>
        <row r="1237">
          <cell r="A1237">
            <v>27789</v>
          </cell>
          <cell r="B1237">
            <v>259</v>
          </cell>
          <cell r="C1237">
            <v>83953</v>
          </cell>
          <cell r="D1237">
            <v>22902</v>
          </cell>
          <cell r="E1237">
            <v>17220</v>
          </cell>
        </row>
        <row r="1238">
          <cell r="A1238">
            <v>27790</v>
          </cell>
          <cell r="B1238">
            <v>259</v>
          </cell>
          <cell r="C1238">
            <v>99593</v>
          </cell>
          <cell r="D1238">
            <v>15808</v>
          </cell>
          <cell r="E1238">
            <v>29477</v>
          </cell>
        </row>
        <row r="1239">
          <cell r="A1239">
            <v>27791</v>
          </cell>
          <cell r="B1239">
            <v>259</v>
          </cell>
          <cell r="C1239">
            <v>104645</v>
          </cell>
          <cell r="D1239">
            <v>16855</v>
          </cell>
          <cell r="E1239">
            <v>30553</v>
          </cell>
        </row>
        <row r="1240">
          <cell r="A1240">
            <v>27792</v>
          </cell>
          <cell r="B1240">
            <v>259</v>
          </cell>
          <cell r="C1240">
            <v>106062</v>
          </cell>
          <cell r="D1240">
            <v>27418</v>
          </cell>
          <cell r="E1240">
            <v>22891</v>
          </cell>
        </row>
        <row r="1241">
          <cell r="A1241">
            <v>27795</v>
          </cell>
          <cell r="B1241">
            <v>259</v>
          </cell>
          <cell r="C1241">
            <v>96038</v>
          </cell>
          <cell r="D1241">
            <v>15712</v>
          </cell>
          <cell r="E1241">
            <v>28183</v>
          </cell>
        </row>
        <row r="1242">
          <cell r="A1242">
            <v>27796</v>
          </cell>
          <cell r="B1242">
            <v>259</v>
          </cell>
          <cell r="C1242">
            <v>93653</v>
          </cell>
          <cell r="D1242">
            <v>24513</v>
          </cell>
          <cell r="E1242">
            <v>20200</v>
          </cell>
        </row>
        <row r="1243">
          <cell r="A1243">
            <v>27806</v>
          </cell>
          <cell r="B1243">
            <v>259</v>
          </cell>
          <cell r="C1243">
            <v>104721</v>
          </cell>
          <cell r="D1243">
            <v>17452</v>
          </cell>
          <cell r="E1243">
            <v>30725</v>
          </cell>
        </row>
        <row r="1244">
          <cell r="A1244">
            <v>27807</v>
          </cell>
          <cell r="B1244">
            <v>259</v>
          </cell>
          <cell r="C1244">
            <v>103520</v>
          </cell>
          <cell r="D1244">
            <v>26824</v>
          </cell>
          <cell r="E1244">
            <v>22453</v>
          </cell>
        </row>
        <row r="1245">
          <cell r="A1245">
            <v>27820</v>
          </cell>
          <cell r="B1245">
            <v>259</v>
          </cell>
          <cell r="C1245">
            <v>132319</v>
          </cell>
          <cell r="D1245">
            <v>33367</v>
          </cell>
          <cell r="E1245">
            <v>25685</v>
          </cell>
        </row>
        <row r="1246">
          <cell r="A1246">
            <v>27824</v>
          </cell>
          <cell r="B1246">
            <v>259</v>
          </cell>
          <cell r="C1246">
            <v>101473</v>
          </cell>
          <cell r="D1246">
            <v>15949</v>
          </cell>
          <cell r="E1246">
            <v>30446</v>
          </cell>
        </row>
        <row r="1247">
          <cell r="A1247">
            <v>27825</v>
          </cell>
          <cell r="B1247">
            <v>259</v>
          </cell>
          <cell r="C1247">
            <v>150059</v>
          </cell>
          <cell r="D1247">
            <v>37294</v>
          </cell>
          <cell r="E1247">
            <v>29775</v>
          </cell>
        </row>
        <row r="1248">
          <cell r="A1248">
            <v>27832</v>
          </cell>
          <cell r="B1248">
            <v>259</v>
          </cell>
          <cell r="C1248">
            <v>123565</v>
          </cell>
          <cell r="D1248">
            <v>31243</v>
          </cell>
          <cell r="E1248">
            <v>24814</v>
          </cell>
        </row>
        <row r="1249">
          <cell r="A1249">
            <v>27834</v>
          </cell>
          <cell r="B1249">
            <v>259</v>
          </cell>
          <cell r="C1249">
            <v>108470</v>
          </cell>
          <cell r="D1249">
            <v>17759</v>
          </cell>
          <cell r="E1249">
            <v>32269</v>
          </cell>
        </row>
        <row r="1250">
          <cell r="A1250">
            <v>27843</v>
          </cell>
          <cell r="B1250">
            <v>259</v>
          </cell>
          <cell r="C1250">
            <v>52919</v>
          </cell>
          <cell r="D1250">
            <v>7318</v>
          </cell>
          <cell r="E1250">
            <v>15911</v>
          </cell>
        </row>
        <row r="1251">
          <cell r="A1251">
            <v>27844</v>
          </cell>
          <cell r="B1251">
            <v>259</v>
          </cell>
          <cell r="C1251">
            <v>52601</v>
          </cell>
          <cell r="D1251">
            <v>7273</v>
          </cell>
          <cell r="E1251">
            <v>15836</v>
          </cell>
        </row>
        <row r="1252">
          <cell r="A1252">
            <v>27845</v>
          </cell>
          <cell r="B1252">
            <v>259</v>
          </cell>
          <cell r="C1252">
            <v>69021</v>
          </cell>
          <cell r="D1252">
            <v>9773</v>
          </cell>
          <cell r="E1252">
            <v>19959</v>
          </cell>
        </row>
        <row r="1253">
          <cell r="A1253">
            <v>27853</v>
          </cell>
          <cell r="B1253">
            <v>259</v>
          </cell>
          <cell r="C1253">
            <v>22107</v>
          </cell>
          <cell r="D1253">
            <v>4396</v>
          </cell>
          <cell r="E1253">
            <v>5595</v>
          </cell>
        </row>
        <row r="1254">
          <cell r="A1254">
            <v>27855</v>
          </cell>
          <cell r="B1254">
            <v>259</v>
          </cell>
          <cell r="C1254">
            <v>26462</v>
          </cell>
          <cell r="D1254">
            <v>5194</v>
          </cell>
          <cell r="E1254">
            <v>6923</v>
          </cell>
        </row>
        <row r="1255">
          <cell r="A1255">
            <v>27856</v>
          </cell>
          <cell r="B1255">
            <v>259</v>
          </cell>
          <cell r="C1255">
            <v>26540</v>
          </cell>
          <cell r="D1255">
            <v>5989</v>
          </cell>
          <cell r="E1255">
            <v>5773</v>
          </cell>
        </row>
        <row r="1256">
          <cell r="A1256">
            <v>27857</v>
          </cell>
          <cell r="B1256">
            <v>259</v>
          </cell>
          <cell r="C1256">
            <v>5683</v>
          </cell>
          <cell r="D1256">
            <v>1565</v>
          </cell>
          <cell r="E1256">
            <v>1220</v>
          </cell>
        </row>
        <row r="1257">
          <cell r="A1257">
            <v>27858</v>
          </cell>
          <cell r="B1257">
            <v>259</v>
          </cell>
          <cell r="C1257">
            <v>5652</v>
          </cell>
          <cell r="D1257">
            <v>1550</v>
          </cell>
          <cell r="E1257">
            <v>1219</v>
          </cell>
        </row>
        <row r="1258">
          <cell r="A1258">
            <v>27860</v>
          </cell>
          <cell r="B1258">
            <v>259</v>
          </cell>
          <cell r="C1258">
            <v>25637</v>
          </cell>
          <cell r="D1258">
            <v>3033</v>
          </cell>
          <cell r="E1258">
            <v>7481</v>
          </cell>
        </row>
        <row r="1259">
          <cell r="A1259">
            <v>27862</v>
          </cell>
          <cell r="B1259">
            <v>259</v>
          </cell>
          <cell r="C1259">
            <v>6677</v>
          </cell>
          <cell r="D1259">
            <v>1528</v>
          </cell>
          <cell r="E1259">
            <v>1638</v>
          </cell>
        </row>
        <row r="1260">
          <cell r="A1260">
            <v>27864</v>
          </cell>
          <cell r="B1260">
            <v>259</v>
          </cell>
          <cell r="C1260">
            <v>24982</v>
          </cell>
          <cell r="D1260">
            <v>2947</v>
          </cell>
          <cell r="E1260">
            <v>7319</v>
          </cell>
        </row>
        <row r="1261">
          <cell r="A1261">
            <v>27866</v>
          </cell>
          <cell r="B1261">
            <v>259</v>
          </cell>
          <cell r="C1261">
            <v>7612</v>
          </cell>
          <cell r="D1261">
            <v>2149</v>
          </cell>
          <cell r="E1261">
            <v>1550</v>
          </cell>
        </row>
        <row r="1262">
          <cell r="A1262">
            <v>27868</v>
          </cell>
          <cell r="B1262">
            <v>259</v>
          </cell>
          <cell r="C1262">
            <v>6664</v>
          </cell>
          <cell r="D1262">
            <v>1527</v>
          </cell>
          <cell r="E1262">
            <v>1635</v>
          </cell>
        </row>
        <row r="1263">
          <cell r="A1263">
            <v>27869</v>
          </cell>
          <cell r="B1263">
            <v>259</v>
          </cell>
          <cell r="C1263">
            <v>12348</v>
          </cell>
          <cell r="D1263">
            <v>2143</v>
          </cell>
          <cell r="E1263">
            <v>3907</v>
          </cell>
        </row>
        <row r="1264">
          <cell r="A1264">
            <v>27870</v>
          </cell>
          <cell r="B1264">
            <v>259</v>
          </cell>
          <cell r="C1264">
            <v>8266</v>
          </cell>
          <cell r="D1264">
            <v>2236</v>
          </cell>
          <cell r="E1264">
            <v>1713</v>
          </cell>
        </row>
        <row r="1265">
          <cell r="A1265">
            <v>27875</v>
          </cell>
          <cell r="B1265">
            <v>259</v>
          </cell>
          <cell r="C1265">
            <v>29363</v>
          </cell>
          <cell r="D1265">
            <v>6342</v>
          </cell>
          <cell r="E1265">
            <v>5280</v>
          </cell>
        </row>
        <row r="1266">
          <cell r="A1266">
            <v>27877</v>
          </cell>
          <cell r="B1266">
            <v>259</v>
          </cell>
          <cell r="C1266">
            <v>31322</v>
          </cell>
          <cell r="D1266">
            <v>6941</v>
          </cell>
          <cell r="E1266">
            <v>5611</v>
          </cell>
        </row>
        <row r="1267">
          <cell r="A1267">
            <v>27878</v>
          </cell>
          <cell r="B1267">
            <v>259</v>
          </cell>
          <cell r="C1267">
            <v>24970</v>
          </cell>
          <cell r="D1267">
            <v>2946</v>
          </cell>
          <cell r="E1267">
            <v>7316</v>
          </cell>
        </row>
        <row r="1268">
          <cell r="A1268">
            <v>27880</v>
          </cell>
          <cell r="B1268">
            <v>259</v>
          </cell>
          <cell r="C1268">
            <v>30210</v>
          </cell>
          <cell r="D1268">
            <v>6559</v>
          </cell>
          <cell r="E1268">
            <v>5408</v>
          </cell>
        </row>
        <row r="1269">
          <cell r="A1269">
            <v>27883</v>
          </cell>
          <cell r="B1269">
            <v>259</v>
          </cell>
          <cell r="C1269">
            <v>23091</v>
          </cell>
          <cell r="D1269">
            <v>4590</v>
          </cell>
          <cell r="E1269">
            <v>3960</v>
          </cell>
        </row>
        <row r="1270">
          <cell r="A1270">
            <v>27884</v>
          </cell>
          <cell r="B1270">
            <v>259</v>
          </cell>
          <cell r="C1270">
            <v>24563</v>
          </cell>
          <cell r="D1270">
            <v>4866</v>
          </cell>
          <cell r="E1270">
            <v>4201</v>
          </cell>
        </row>
        <row r="1271">
          <cell r="A1271">
            <v>27887</v>
          </cell>
          <cell r="B1271">
            <v>259</v>
          </cell>
          <cell r="C1271">
            <v>18384</v>
          </cell>
          <cell r="D1271">
            <v>1677</v>
          </cell>
          <cell r="E1271">
            <v>5665</v>
          </cell>
        </row>
        <row r="1272">
          <cell r="A1272">
            <v>27888</v>
          </cell>
          <cell r="B1272">
            <v>259</v>
          </cell>
          <cell r="C1272">
            <v>19010</v>
          </cell>
          <cell r="D1272">
            <v>1712</v>
          </cell>
          <cell r="E1272">
            <v>5896</v>
          </cell>
        </row>
        <row r="1273">
          <cell r="A1273">
            <v>27893</v>
          </cell>
          <cell r="B1273">
            <v>259</v>
          </cell>
          <cell r="C1273">
            <v>52002</v>
          </cell>
          <cell r="D1273">
            <v>11604</v>
          </cell>
          <cell r="E1273">
            <v>9874</v>
          </cell>
        </row>
        <row r="1274">
          <cell r="A1274">
            <v>27894</v>
          </cell>
          <cell r="B1274">
            <v>259</v>
          </cell>
          <cell r="C1274">
            <v>47817</v>
          </cell>
          <cell r="D1274">
            <v>10750</v>
          </cell>
          <cell r="E1274">
            <v>8781</v>
          </cell>
        </row>
        <row r="1275">
          <cell r="A1275">
            <v>27898</v>
          </cell>
          <cell r="B1275">
            <v>259</v>
          </cell>
          <cell r="C1275">
            <v>51433</v>
          </cell>
          <cell r="D1275">
            <v>7190</v>
          </cell>
          <cell r="E1275">
            <v>15291</v>
          </cell>
        </row>
        <row r="1276">
          <cell r="A1276">
            <v>27901</v>
          </cell>
          <cell r="B1276">
            <v>259</v>
          </cell>
          <cell r="C1276">
            <v>58745</v>
          </cell>
          <cell r="D1276">
            <v>8097</v>
          </cell>
          <cell r="E1276">
            <v>17494</v>
          </cell>
        </row>
        <row r="1277">
          <cell r="A1277">
            <v>27902</v>
          </cell>
          <cell r="B1277">
            <v>259</v>
          </cell>
          <cell r="C1277">
            <v>46849</v>
          </cell>
          <cell r="D1277">
            <v>6134</v>
          </cell>
          <cell r="E1277">
            <v>14233</v>
          </cell>
        </row>
        <row r="1278">
          <cell r="A1278">
            <v>27903</v>
          </cell>
          <cell r="B1278">
            <v>259</v>
          </cell>
          <cell r="C1278">
            <v>50832</v>
          </cell>
          <cell r="D1278">
            <v>12100</v>
          </cell>
          <cell r="E1278">
            <v>9076</v>
          </cell>
        </row>
        <row r="1279">
          <cell r="A1279">
            <v>27914</v>
          </cell>
          <cell r="B1279">
            <v>259</v>
          </cell>
          <cell r="C1279">
            <v>79257</v>
          </cell>
          <cell r="D1279">
            <v>18737</v>
          </cell>
          <cell r="E1279">
            <v>14996</v>
          </cell>
        </row>
        <row r="1280">
          <cell r="A1280">
            <v>27915</v>
          </cell>
          <cell r="B1280">
            <v>259</v>
          </cell>
          <cell r="C1280">
            <v>67697</v>
          </cell>
          <cell r="D1280">
            <v>9623</v>
          </cell>
          <cell r="E1280">
            <v>19608</v>
          </cell>
        </row>
        <row r="1281">
          <cell r="A1281">
            <v>27916</v>
          </cell>
          <cell r="B1281">
            <v>259</v>
          </cell>
          <cell r="C1281">
            <v>77484</v>
          </cell>
          <cell r="D1281">
            <v>18332</v>
          </cell>
          <cell r="E1281">
            <v>14709</v>
          </cell>
        </row>
        <row r="1282">
          <cell r="A1282">
            <v>27918</v>
          </cell>
          <cell r="B1282">
            <v>259</v>
          </cell>
          <cell r="C1282">
            <v>74469</v>
          </cell>
          <cell r="D1282">
            <v>10893</v>
          </cell>
          <cell r="E1282">
            <v>21494</v>
          </cell>
        </row>
        <row r="1283">
          <cell r="A1283">
            <v>27919</v>
          </cell>
          <cell r="B1283">
            <v>259</v>
          </cell>
          <cell r="C1283">
            <v>84075</v>
          </cell>
          <cell r="D1283">
            <v>19866</v>
          </cell>
          <cell r="E1283">
            <v>16232</v>
          </cell>
        </row>
        <row r="1284">
          <cell r="A1284">
            <v>27921</v>
          </cell>
          <cell r="B1284">
            <v>259</v>
          </cell>
          <cell r="C1284">
            <v>77398</v>
          </cell>
          <cell r="D1284">
            <v>18588</v>
          </cell>
          <cell r="E1284">
            <v>14911</v>
          </cell>
        </row>
        <row r="1285">
          <cell r="A1285">
            <v>27923</v>
          </cell>
          <cell r="B1285">
            <v>259</v>
          </cell>
          <cell r="C1285">
            <v>69035</v>
          </cell>
          <cell r="D1285">
            <v>10357</v>
          </cell>
          <cell r="E1285">
            <v>20095</v>
          </cell>
        </row>
        <row r="1286">
          <cell r="A1286">
            <v>27924</v>
          </cell>
          <cell r="B1286">
            <v>259</v>
          </cell>
          <cell r="C1286">
            <v>78752</v>
          </cell>
          <cell r="D1286">
            <v>12019</v>
          </cell>
          <cell r="E1286">
            <v>22710</v>
          </cell>
        </row>
        <row r="1287">
          <cell r="A1287">
            <v>27925</v>
          </cell>
          <cell r="B1287">
            <v>259</v>
          </cell>
          <cell r="C1287">
            <v>88544</v>
          </cell>
          <cell r="D1287">
            <v>21360</v>
          </cell>
          <cell r="E1287">
            <v>17528</v>
          </cell>
        </row>
        <row r="1288">
          <cell r="A1288">
            <v>27928</v>
          </cell>
          <cell r="B1288">
            <v>259</v>
          </cell>
          <cell r="C1288">
            <v>75915</v>
          </cell>
          <cell r="D1288">
            <v>11516</v>
          </cell>
          <cell r="E1288">
            <v>22040</v>
          </cell>
        </row>
        <row r="1289">
          <cell r="A1289">
            <v>27929</v>
          </cell>
          <cell r="B1289">
            <v>259</v>
          </cell>
          <cell r="C1289">
            <v>83028</v>
          </cell>
          <cell r="D1289">
            <v>20118</v>
          </cell>
          <cell r="E1289">
            <v>16258</v>
          </cell>
        </row>
        <row r="1290">
          <cell r="A1290">
            <v>27930</v>
          </cell>
          <cell r="B1290">
            <v>259</v>
          </cell>
          <cell r="C1290">
            <v>84678</v>
          </cell>
          <cell r="D1290">
            <v>13223</v>
          </cell>
          <cell r="E1290">
            <v>24717</v>
          </cell>
        </row>
        <row r="1291">
          <cell r="A1291">
            <v>27931</v>
          </cell>
          <cell r="B1291">
            <v>259</v>
          </cell>
          <cell r="C1291">
            <v>96267</v>
          </cell>
          <cell r="D1291">
            <v>23341</v>
          </cell>
          <cell r="E1291">
            <v>19390</v>
          </cell>
        </row>
        <row r="1292">
          <cell r="A1292">
            <v>27933</v>
          </cell>
          <cell r="B1292">
            <v>259</v>
          </cell>
          <cell r="C1292">
            <v>90391</v>
          </cell>
          <cell r="D1292">
            <v>22197</v>
          </cell>
          <cell r="E1292">
            <v>18149</v>
          </cell>
        </row>
        <row r="1293">
          <cell r="A1293">
            <v>27934</v>
          </cell>
          <cell r="B1293">
            <v>259</v>
          </cell>
          <cell r="C1293">
            <v>78881</v>
          </cell>
          <cell r="D1293">
            <v>12630</v>
          </cell>
          <cell r="E1293">
            <v>22992</v>
          </cell>
        </row>
        <row r="1294">
          <cell r="A1294">
            <v>27936</v>
          </cell>
          <cell r="B1294">
            <v>259</v>
          </cell>
          <cell r="C1294">
            <v>98404</v>
          </cell>
          <cell r="D1294">
            <v>24668</v>
          </cell>
          <cell r="E1294">
            <v>19787</v>
          </cell>
        </row>
        <row r="1295">
          <cell r="A1295">
            <v>27937</v>
          </cell>
          <cell r="B1295">
            <v>259</v>
          </cell>
          <cell r="C1295">
            <v>86552</v>
          </cell>
          <cell r="D1295">
            <v>14043</v>
          </cell>
          <cell r="E1295">
            <v>25223</v>
          </cell>
        </row>
        <row r="1296">
          <cell r="A1296">
            <v>27940</v>
          </cell>
          <cell r="B1296">
            <v>259</v>
          </cell>
          <cell r="C1296">
            <v>81333</v>
          </cell>
          <cell r="D1296">
            <v>13233</v>
          </cell>
          <cell r="E1296">
            <v>23828</v>
          </cell>
        </row>
        <row r="1297">
          <cell r="A1297">
            <v>27941</v>
          </cell>
          <cell r="B1297">
            <v>259</v>
          </cell>
          <cell r="C1297">
            <v>92980</v>
          </cell>
          <cell r="D1297">
            <v>23368</v>
          </cell>
          <cell r="E1297">
            <v>18692</v>
          </cell>
        </row>
        <row r="1298">
          <cell r="A1298">
            <v>27942</v>
          </cell>
          <cell r="B1298">
            <v>259</v>
          </cell>
          <cell r="C1298">
            <v>91017</v>
          </cell>
          <cell r="D1298">
            <v>15002</v>
          </cell>
          <cell r="E1298">
            <v>26568</v>
          </cell>
        </row>
        <row r="1299">
          <cell r="A1299">
            <v>27943</v>
          </cell>
          <cell r="B1299">
            <v>259</v>
          </cell>
          <cell r="C1299">
            <v>102504</v>
          </cell>
          <cell r="D1299">
            <v>25005</v>
          </cell>
          <cell r="E1299">
            <v>21177</v>
          </cell>
        </row>
        <row r="1300">
          <cell r="A1300">
            <v>27945</v>
          </cell>
          <cell r="B1300">
            <v>259</v>
          </cell>
          <cell r="C1300">
            <v>90904</v>
          </cell>
          <cell r="D1300">
            <v>14997</v>
          </cell>
          <cell r="E1300">
            <v>26530</v>
          </cell>
        </row>
        <row r="1301">
          <cell r="A1301">
            <v>27946</v>
          </cell>
          <cell r="B1301">
            <v>259</v>
          </cell>
          <cell r="C1301">
            <v>97153</v>
          </cell>
          <cell r="D1301">
            <v>23909</v>
          </cell>
          <cell r="E1301">
            <v>19975</v>
          </cell>
        </row>
        <row r="1302">
          <cell r="A1302">
            <v>27948</v>
          </cell>
          <cell r="B1302">
            <v>259</v>
          </cell>
          <cell r="C1302">
            <v>78778</v>
          </cell>
          <cell r="D1302">
            <v>19951</v>
          </cell>
          <cell r="E1302">
            <v>14998</v>
          </cell>
        </row>
        <row r="1303">
          <cell r="A1303">
            <v>27951</v>
          </cell>
          <cell r="B1303">
            <v>259</v>
          </cell>
          <cell r="C1303">
            <v>70914</v>
          </cell>
          <cell r="D1303">
            <v>10199</v>
          </cell>
          <cell r="E1303">
            <v>21680</v>
          </cell>
        </row>
        <row r="1304">
          <cell r="A1304">
            <v>27952</v>
          </cell>
          <cell r="B1304">
            <v>259</v>
          </cell>
          <cell r="C1304">
            <v>87816</v>
          </cell>
          <cell r="D1304">
            <v>14559</v>
          </cell>
          <cell r="E1304">
            <v>25748</v>
          </cell>
        </row>
        <row r="1305">
          <cell r="A1305">
            <v>27956</v>
          </cell>
          <cell r="B1305">
            <v>259</v>
          </cell>
          <cell r="C1305">
            <v>43198</v>
          </cell>
          <cell r="D1305">
            <v>12513</v>
          </cell>
          <cell r="E1305">
            <v>9112</v>
          </cell>
        </row>
        <row r="1306">
          <cell r="A1306">
            <v>27957</v>
          </cell>
          <cell r="B1306">
            <v>259</v>
          </cell>
          <cell r="C1306">
            <v>52246</v>
          </cell>
          <cell r="D1306">
            <v>14293</v>
          </cell>
          <cell r="E1306">
            <v>11158</v>
          </cell>
        </row>
        <row r="1307">
          <cell r="A1307">
            <v>27959</v>
          </cell>
          <cell r="B1307">
            <v>259</v>
          </cell>
          <cell r="C1307">
            <v>55203</v>
          </cell>
          <cell r="D1307">
            <v>9170</v>
          </cell>
          <cell r="E1307">
            <v>16217</v>
          </cell>
        </row>
        <row r="1308">
          <cell r="A1308">
            <v>27962</v>
          </cell>
          <cell r="B1308">
            <v>259</v>
          </cell>
          <cell r="C1308">
            <v>43869</v>
          </cell>
          <cell r="D1308">
            <v>12610</v>
          </cell>
          <cell r="E1308">
            <v>9177</v>
          </cell>
        </row>
        <row r="1309">
          <cell r="A1309">
            <v>27963</v>
          </cell>
          <cell r="B1309">
            <v>259</v>
          </cell>
          <cell r="C1309">
            <v>61195</v>
          </cell>
          <cell r="D1309">
            <v>10440</v>
          </cell>
          <cell r="E1309">
            <v>18013</v>
          </cell>
        </row>
        <row r="1310">
          <cell r="A1310">
            <v>27964</v>
          </cell>
          <cell r="B1310">
            <v>259</v>
          </cell>
          <cell r="C1310">
            <v>53872</v>
          </cell>
          <cell r="D1310">
            <v>14600</v>
          </cell>
          <cell r="E1310">
            <v>11520</v>
          </cell>
        </row>
        <row r="1311">
          <cell r="A1311">
            <v>27972</v>
          </cell>
          <cell r="B1311">
            <v>259</v>
          </cell>
          <cell r="C1311">
            <v>41203</v>
          </cell>
          <cell r="D1311">
            <v>11958</v>
          </cell>
          <cell r="E1311">
            <v>8820</v>
          </cell>
        </row>
        <row r="1312">
          <cell r="A1312">
            <v>27974</v>
          </cell>
          <cell r="B1312">
            <v>259</v>
          </cell>
          <cell r="C1312">
            <v>31453</v>
          </cell>
          <cell r="D1312">
            <v>4977</v>
          </cell>
          <cell r="E1312">
            <v>10128</v>
          </cell>
        </row>
        <row r="1313">
          <cell r="A1313">
            <v>27976</v>
          </cell>
          <cell r="B1313">
            <v>259</v>
          </cell>
          <cell r="C1313">
            <v>40015</v>
          </cell>
          <cell r="D1313">
            <v>6092</v>
          </cell>
          <cell r="E1313">
            <v>13350</v>
          </cell>
        </row>
        <row r="1314">
          <cell r="A1314">
            <v>27979</v>
          </cell>
          <cell r="B1314">
            <v>259</v>
          </cell>
          <cell r="C1314">
            <v>31188</v>
          </cell>
          <cell r="D1314">
            <v>9959</v>
          </cell>
          <cell r="E1314">
            <v>6765</v>
          </cell>
        </row>
        <row r="1315">
          <cell r="A1315">
            <v>27980</v>
          </cell>
          <cell r="B1315">
            <v>259</v>
          </cell>
          <cell r="C1315">
            <v>71147</v>
          </cell>
          <cell r="D1315">
            <v>19489</v>
          </cell>
          <cell r="E1315">
            <v>13766</v>
          </cell>
        </row>
        <row r="1316">
          <cell r="A1316">
            <v>27981</v>
          </cell>
          <cell r="B1316">
            <v>259</v>
          </cell>
          <cell r="C1316">
            <v>76405</v>
          </cell>
          <cell r="D1316">
            <v>20443</v>
          </cell>
          <cell r="E1316">
            <v>15059</v>
          </cell>
        </row>
        <row r="1317">
          <cell r="A1317">
            <v>27985</v>
          </cell>
          <cell r="B1317">
            <v>259</v>
          </cell>
          <cell r="C1317">
            <v>66923</v>
          </cell>
          <cell r="D1317">
            <v>17910</v>
          </cell>
          <cell r="E1317">
            <v>12870</v>
          </cell>
        </row>
        <row r="1318">
          <cell r="A1318">
            <v>27987</v>
          </cell>
          <cell r="B1318">
            <v>259</v>
          </cell>
          <cell r="C1318">
            <v>75308</v>
          </cell>
          <cell r="D1318">
            <v>19286</v>
          </cell>
          <cell r="E1318">
            <v>14732</v>
          </cell>
        </row>
        <row r="1319">
          <cell r="A1319">
            <v>27988</v>
          </cell>
          <cell r="B1319">
            <v>259</v>
          </cell>
          <cell r="C1319">
            <v>69472</v>
          </cell>
          <cell r="D1319">
            <v>17813</v>
          </cell>
          <cell r="E1319">
            <v>13509</v>
          </cell>
        </row>
        <row r="1320">
          <cell r="A1320">
            <v>27989</v>
          </cell>
          <cell r="B1320">
            <v>259</v>
          </cell>
          <cell r="C1320">
            <v>66064</v>
          </cell>
          <cell r="D1320">
            <v>9928</v>
          </cell>
          <cell r="E1320">
            <v>21268</v>
          </cell>
        </row>
        <row r="1321">
          <cell r="A1321">
            <v>27993</v>
          </cell>
          <cell r="B1321">
            <v>259</v>
          </cell>
          <cell r="C1321">
            <v>59957</v>
          </cell>
          <cell r="D1321">
            <v>8834</v>
          </cell>
          <cell r="E1321">
            <v>19474</v>
          </cell>
        </row>
        <row r="1322">
          <cell r="A1322">
            <v>27998</v>
          </cell>
          <cell r="B1322">
            <v>259</v>
          </cell>
          <cell r="C1322">
            <v>76180</v>
          </cell>
          <cell r="D1322">
            <v>18855</v>
          </cell>
          <cell r="E1322">
            <v>15012</v>
          </cell>
        </row>
        <row r="1323">
          <cell r="A1323">
            <v>28000</v>
          </cell>
          <cell r="B1323">
            <v>259</v>
          </cell>
          <cell r="C1323">
            <v>72308</v>
          </cell>
          <cell r="D1323">
            <v>17770</v>
          </cell>
          <cell r="E1323">
            <v>14162</v>
          </cell>
        </row>
        <row r="1324">
          <cell r="A1324">
            <v>28002</v>
          </cell>
          <cell r="B1324">
            <v>259</v>
          </cell>
          <cell r="C1324">
            <v>72485</v>
          </cell>
          <cell r="D1324">
            <v>10601</v>
          </cell>
          <cell r="E1324">
            <v>21998</v>
          </cell>
        </row>
        <row r="1325">
          <cell r="A1325">
            <v>28007</v>
          </cell>
          <cell r="B1325">
            <v>259</v>
          </cell>
          <cell r="C1325">
            <v>67062</v>
          </cell>
          <cell r="D1325">
            <v>16199</v>
          </cell>
          <cell r="E1325">
            <v>12968</v>
          </cell>
        </row>
        <row r="1326">
          <cell r="A1326">
            <v>28011</v>
          </cell>
          <cell r="B1326">
            <v>259</v>
          </cell>
          <cell r="C1326">
            <v>75181</v>
          </cell>
          <cell r="D1326">
            <v>17243</v>
          </cell>
          <cell r="E1326">
            <v>14925</v>
          </cell>
        </row>
        <row r="1327">
          <cell r="A1327">
            <v>28012</v>
          </cell>
          <cell r="B1327">
            <v>259</v>
          </cell>
          <cell r="C1327">
            <v>74248</v>
          </cell>
          <cell r="D1327">
            <v>10985</v>
          </cell>
          <cell r="E1327">
            <v>21517</v>
          </cell>
        </row>
        <row r="1328">
          <cell r="A1328">
            <v>28013</v>
          </cell>
          <cell r="B1328">
            <v>259</v>
          </cell>
          <cell r="C1328">
            <v>74248</v>
          </cell>
          <cell r="D1328">
            <v>10985</v>
          </cell>
          <cell r="E1328">
            <v>21517</v>
          </cell>
        </row>
        <row r="1329">
          <cell r="A1329">
            <v>28016</v>
          </cell>
          <cell r="B1329">
            <v>259</v>
          </cell>
          <cell r="C1329">
            <v>64208</v>
          </cell>
          <cell r="D1329">
            <v>14895</v>
          </cell>
          <cell r="E1329">
            <v>13190</v>
          </cell>
        </row>
        <row r="1330">
          <cell r="A1330">
            <v>28073</v>
          </cell>
          <cell r="B1330">
            <v>259</v>
          </cell>
          <cell r="C1330">
            <v>33273</v>
          </cell>
          <cell r="D1330">
            <v>7035</v>
          </cell>
          <cell r="E1330">
            <v>9149</v>
          </cell>
        </row>
        <row r="1331">
          <cell r="A1331">
            <v>28084</v>
          </cell>
          <cell r="B1331">
            <v>259</v>
          </cell>
          <cell r="C1331">
            <v>41363</v>
          </cell>
          <cell r="D1331">
            <v>9966</v>
          </cell>
          <cell r="E1331">
            <v>9597</v>
          </cell>
        </row>
        <row r="1332">
          <cell r="A1332">
            <v>28085</v>
          </cell>
          <cell r="B1332">
            <v>259</v>
          </cell>
          <cell r="C1332">
            <v>47431</v>
          </cell>
          <cell r="D1332">
            <v>9564</v>
          </cell>
          <cell r="E1332">
            <v>12594</v>
          </cell>
        </row>
        <row r="1333">
          <cell r="A1333">
            <v>28086</v>
          </cell>
          <cell r="B1333">
            <v>259</v>
          </cell>
          <cell r="C1333">
            <v>49127</v>
          </cell>
          <cell r="D1333">
            <v>11340</v>
          </cell>
          <cell r="E1333">
            <v>11277</v>
          </cell>
        </row>
        <row r="1334">
          <cell r="A1334">
            <v>28087</v>
          </cell>
          <cell r="B1334">
            <v>259</v>
          </cell>
          <cell r="C1334">
            <v>32003</v>
          </cell>
          <cell r="D1334">
            <v>7412</v>
          </cell>
          <cell r="E1334">
            <v>7688</v>
          </cell>
        </row>
        <row r="1335">
          <cell r="A1335">
            <v>28093</v>
          </cell>
          <cell r="B1335">
            <v>259</v>
          </cell>
          <cell r="C1335">
            <v>57227</v>
          </cell>
          <cell r="D1335">
            <v>8917</v>
          </cell>
          <cell r="E1335">
            <v>19458</v>
          </cell>
        </row>
        <row r="1336">
          <cell r="A1336">
            <v>28096</v>
          </cell>
          <cell r="B1336">
            <v>259</v>
          </cell>
          <cell r="C1336">
            <v>84067</v>
          </cell>
          <cell r="D1336">
            <v>13323</v>
          </cell>
          <cell r="E1336">
            <v>27963</v>
          </cell>
        </row>
        <row r="1337">
          <cell r="A1337">
            <v>28106</v>
          </cell>
          <cell r="B1337">
            <v>259</v>
          </cell>
          <cell r="C1337">
            <v>72546</v>
          </cell>
          <cell r="D1337">
            <v>10502</v>
          </cell>
          <cell r="E1337">
            <v>23466</v>
          </cell>
        </row>
        <row r="1338">
          <cell r="A1338">
            <v>28118</v>
          </cell>
          <cell r="B1338">
            <v>259</v>
          </cell>
          <cell r="C1338">
            <v>86852</v>
          </cell>
          <cell r="D1338">
            <v>22996</v>
          </cell>
          <cell r="E1338">
            <v>17132</v>
          </cell>
        </row>
        <row r="1339">
          <cell r="A1339">
            <v>28119</v>
          </cell>
          <cell r="B1339">
            <v>259</v>
          </cell>
          <cell r="C1339">
            <v>99264</v>
          </cell>
          <cell r="D1339">
            <v>14664</v>
          </cell>
          <cell r="E1339">
            <v>29357</v>
          </cell>
        </row>
        <row r="1340">
          <cell r="A1340">
            <v>28120</v>
          </cell>
          <cell r="B1340">
            <v>259</v>
          </cell>
          <cell r="C1340">
            <v>92703</v>
          </cell>
          <cell r="D1340">
            <v>23769</v>
          </cell>
          <cell r="E1340">
            <v>18623</v>
          </cell>
        </row>
        <row r="1341">
          <cell r="A1341">
            <v>28123</v>
          </cell>
          <cell r="B1341">
            <v>259</v>
          </cell>
          <cell r="C1341">
            <v>88305</v>
          </cell>
          <cell r="D1341">
            <v>13469</v>
          </cell>
          <cell r="E1341">
            <v>25768</v>
          </cell>
        </row>
        <row r="1342">
          <cell r="A1342">
            <v>28124</v>
          </cell>
          <cell r="B1342">
            <v>259</v>
          </cell>
          <cell r="C1342">
            <v>84632</v>
          </cell>
          <cell r="D1342">
            <v>22002</v>
          </cell>
          <cell r="E1342">
            <v>17153</v>
          </cell>
        </row>
        <row r="1343">
          <cell r="A1343">
            <v>28126</v>
          </cell>
          <cell r="B1343">
            <v>259</v>
          </cell>
          <cell r="C1343">
            <v>87206</v>
          </cell>
          <cell r="D1343">
            <v>22296</v>
          </cell>
          <cell r="E1343">
            <v>17556</v>
          </cell>
        </row>
        <row r="1344">
          <cell r="A1344">
            <v>28127</v>
          </cell>
          <cell r="B1344">
            <v>259</v>
          </cell>
          <cell r="C1344">
            <v>93608</v>
          </cell>
          <cell r="D1344">
            <v>14622</v>
          </cell>
          <cell r="E1344">
            <v>27636</v>
          </cell>
        </row>
        <row r="1345">
          <cell r="A1345">
            <v>28143</v>
          </cell>
          <cell r="B1345">
            <v>259</v>
          </cell>
          <cell r="C1345">
            <v>88131</v>
          </cell>
          <cell r="D1345">
            <v>13567</v>
          </cell>
          <cell r="E1345">
            <v>25959</v>
          </cell>
        </row>
        <row r="1346">
          <cell r="A1346">
            <v>28144</v>
          </cell>
          <cell r="B1346">
            <v>259</v>
          </cell>
          <cell r="C1346">
            <v>86424</v>
          </cell>
          <cell r="D1346">
            <v>22132</v>
          </cell>
          <cell r="E1346">
            <v>17506</v>
          </cell>
        </row>
        <row r="1347">
          <cell r="A1347">
            <v>28167</v>
          </cell>
          <cell r="B1347">
            <v>259</v>
          </cell>
          <cell r="C1347">
            <v>37010</v>
          </cell>
          <cell r="D1347">
            <v>7537</v>
          </cell>
          <cell r="E1347">
            <v>7961</v>
          </cell>
        </row>
        <row r="1348">
          <cell r="A1348">
            <v>28178</v>
          </cell>
          <cell r="B1348">
            <v>259</v>
          </cell>
          <cell r="C1348">
            <v>67544</v>
          </cell>
          <cell r="D1348">
            <v>15437</v>
          </cell>
          <cell r="E1348">
            <v>11979</v>
          </cell>
        </row>
        <row r="1349">
          <cell r="A1349">
            <v>28179</v>
          </cell>
          <cell r="B1349">
            <v>259</v>
          </cell>
          <cell r="C1349">
            <v>58936</v>
          </cell>
          <cell r="D1349">
            <v>8726</v>
          </cell>
          <cell r="E1349">
            <v>17782</v>
          </cell>
        </row>
        <row r="1350">
          <cell r="A1350">
            <v>28182</v>
          </cell>
          <cell r="B1350">
            <v>259</v>
          </cell>
          <cell r="C1350">
            <v>56676</v>
          </cell>
          <cell r="D1350">
            <v>13223</v>
          </cell>
          <cell r="E1350">
            <v>9956</v>
          </cell>
        </row>
        <row r="1351">
          <cell r="A1351">
            <v>28184</v>
          </cell>
          <cell r="B1351">
            <v>259</v>
          </cell>
          <cell r="C1351">
            <v>48769</v>
          </cell>
          <cell r="D1351">
            <v>6846</v>
          </cell>
          <cell r="E1351">
            <v>14839</v>
          </cell>
        </row>
        <row r="1352">
          <cell r="A1352">
            <v>28186</v>
          </cell>
          <cell r="B1352">
            <v>259</v>
          </cell>
          <cell r="C1352">
            <v>51316</v>
          </cell>
          <cell r="D1352">
            <v>7273</v>
          </cell>
          <cell r="E1352">
            <v>15580</v>
          </cell>
        </row>
        <row r="1353">
          <cell r="A1353">
            <v>28188</v>
          </cell>
          <cell r="B1353">
            <v>259</v>
          </cell>
          <cell r="C1353">
            <v>59207</v>
          </cell>
          <cell r="D1353">
            <v>13717</v>
          </cell>
          <cell r="E1353">
            <v>10480</v>
          </cell>
        </row>
        <row r="1354">
          <cell r="A1354">
            <v>28191</v>
          </cell>
          <cell r="B1354">
            <v>259</v>
          </cell>
          <cell r="C1354">
            <v>38726</v>
          </cell>
          <cell r="D1354">
            <v>5244</v>
          </cell>
          <cell r="E1354">
            <v>12353</v>
          </cell>
        </row>
        <row r="1355">
          <cell r="A1355">
            <v>28193</v>
          </cell>
          <cell r="B1355">
            <v>259</v>
          </cell>
          <cell r="C1355">
            <v>41378</v>
          </cell>
          <cell r="D1355">
            <v>10895</v>
          </cell>
          <cell r="E1355">
            <v>7820</v>
          </cell>
        </row>
        <row r="1356">
          <cell r="A1356">
            <v>28195</v>
          </cell>
          <cell r="B1356">
            <v>259</v>
          </cell>
          <cell r="C1356">
            <v>47221</v>
          </cell>
          <cell r="D1356">
            <v>11936</v>
          </cell>
          <cell r="E1356">
            <v>9112</v>
          </cell>
        </row>
        <row r="1357">
          <cell r="A1357">
            <v>28197</v>
          </cell>
          <cell r="B1357">
            <v>259</v>
          </cell>
          <cell r="C1357">
            <v>47221</v>
          </cell>
          <cell r="D1357">
            <v>11936</v>
          </cell>
          <cell r="E1357">
            <v>9112</v>
          </cell>
        </row>
        <row r="1358">
          <cell r="A1358">
            <v>28199</v>
          </cell>
          <cell r="B1358">
            <v>259</v>
          </cell>
          <cell r="C1358">
            <v>43857</v>
          </cell>
          <cell r="D1358">
            <v>6113</v>
          </cell>
          <cell r="E1358">
            <v>13632</v>
          </cell>
        </row>
        <row r="1359">
          <cell r="A1359">
            <v>28200</v>
          </cell>
          <cell r="B1359">
            <v>259</v>
          </cell>
          <cell r="C1359">
            <v>37881</v>
          </cell>
          <cell r="D1359">
            <v>9778</v>
          </cell>
          <cell r="E1359">
            <v>7211</v>
          </cell>
        </row>
        <row r="1360">
          <cell r="A1360">
            <v>28203</v>
          </cell>
          <cell r="B1360">
            <v>259</v>
          </cell>
          <cell r="C1360">
            <v>28771</v>
          </cell>
          <cell r="D1360">
            <v>3992</v>
          </cell>
          <cell r="E1360">
            <v>9155</v>
          </cell>
        </row>
        <row r="1361">
          <cell r="A1361">
            <v>28205</v>
          </cell>
          <cell r="B1361">
            <v>259</v>
          </cell>
          <cell r="C1361">
            <v>26483</v>
          </cell>
          <cell r="D1361">
            <v>7382</v>
          </cell>
          <cell r="E1361">
            <v>5084</v>
          </cell>
        </row>
        <row r="1362">
          <cell r="A1362">
            <v>28206</v>
          </cell>
          <cell r="B1362">
            <v>259</v>
          </cell>
          <cell r="C1362">
            <v>31382</v>
          </cell>
          <cell r="D1362">
            <v>8459</v>
          </cell>
          <cell r="E1362">
            <v>5921</v>
          </cell>
        </row>
        <row r="1363">
          <cell r="A1363">
            <v>28208</v>
          </cell>
          <cell r="B1363">
            <v>259</v>
          </cell>
          <cell r="C1363">
            <v>29866</v>
          </cell>
          <cell r="D1363">
            <v>4125</v>
          </cell>
          <cell r="E1363">
            <v>9508</v>
          </cell>
        </row>
        <row r="1364">
          <cell r="A1364">
            <v>28209</v>
          </cell>
          <cell r="B1364">
            <v>259</v>
          </cell>
          <cell r="C1364">
            <v>23192</v>
          </cell>
          <cell r="D1364">
            <v>3034</v>
          </cell>
          <cell r="E1364">
            <v>7698</v>
          </cell>
        </row>
        <row r="1365">
          <cell r="A1365">
            <v>28211</v>
          </cell>
          <cell r="B1365">
            <v>259</v>
          </cell>
          <cell r="C1365">
            <v>23953</v>
          </cell>
          <cell r="D1365">
            <v>6462</v>
          </cell>
          <cell r="E1365">
            <v>4396</v>
          </cell>
        </row>
        <row r="1366">
          <cell r="A1366">
            <v>28214</v>
          </cell>
          <cell r="B1366">
            <v>259</v>
          </cell>
          <cell r="C1366">
            <v>28136</v>
          </cell>
          <cell r="D1366">
            <v>3793</v>
          </cell>
          <cell r="E1366">
            <v>8969</v>
          </cell>
        </row>
        <row r="1367">
          <cell r="A1367">
            <v>28215</v>
          </cell>
          <cell r="B1367">
            <v>259</v>
          </cell>
          <cell r="C1367">
            <v>28533</v>
          </cell>
          <cell r="D1367">
            <v>7557</v>
          </cell>
          <cell r="E1367">
            <v>5323</v>
          </cell>
        </row>
        <row r="1368">
          <cell r="A1368">
            <v>28216</v>
          </cell>
          <cell r="B1368">
            <v>259</v>
          </cell>
          <cell r="C1368">
            <v>28317</v>
          </cell>
          <cell r="D1368">
            <v>3819</v>
          </cell>
          <cell r="E1368">
            <v>9018</v>
          </cell>
        </row>
        <row r="1369">
          <cell r="A1369">
            <v>28219</v>
          </cell>
          <cell r="B1369">
            <v>259</v>
          </cell>
          <cell r="C1369">
            <v>24441</v>
          </cell>
          <cell r="D1369">
            <v>6296</v>
          </cell>
          <cell r="E1369">
            <v>4491</v>
          </cell>
        </row>
        <row r="1370">
          <cell r="A1370">
            <v>28222</v>
          </cell>
          <cell r="B1370">
            <v>259</v>
          </cell>
          <cell r="C1370">
            <v>24260</v>
          </cell>
          <cell r="D1370">
            <v>3140</v>
          </cell>
          <cell r="E1370">
            <v>7499</v>
          </cell>
        </row>
        <row r="1371">
          <cell r="A1371">
            <v>28223</v>
          </cell>
          <cell r="B1371">
            <v>259</v>
          </cell>
          <cell r="C1371">
            <v>25156</v>
          </cell>
          <cell r="D1371">
            <v>6412</v>
          </cell>
          <cell r="E1371">
            <v>4670</v>
          </cell>
        </row>
        <row r="1372">
          <cell r="A1372">
            <v>28227</v>
          </cell>
          <cell r="B1372">
            <v>259</v>
          </cell>
          <cell r="C1372">
            <v>15908</v>
          </cell>
          <cell r="D1372">
            <v>2082</v>
          </cell>
          <cell r="E1372">
            <v>4876</v>
          </cell>
        </row>
        <row r="1373">
          <cell r="A1373">
            <v>28229</v>
          </cell>
          <cell r="B1373">
            <v>259</v>
          </cell>
          <cell r="C1373">
            <v>16071</v>
          </cell>
          <cell r="D1373">
            <v>3815</v>
          </cell>
          <cell r="E1373">
            <v>2923</v>
          </cell>
        </row>
        <row r="1374">
          <cell r="A1374">
            <v>28231</v>
          </cell>
          <cell r="B1374">
            <v>259</v>
          </cell>
          <cell r="C1374">
            <v>16530</v>
          </cell>
          <cell r="D1374">
            <v>3924</v>
          </cell>
          <cell r="E1374">
            <v>3008</v>
          </cell>
        </row>
        <row r="1375">
          <cell r="A1375">
            <v>28232</v>
          </cell>
          <cell r="B1375">
            <v>259</v>
          </cell>
          <cell r="C1375">
            <v>16331</v>
          </cell>
          <cell r="D1375">
            <v>2131</v>
          </cell>
          <cell r="E1375">
            <v>5022</v>
          </cell>
        </row>
        <row r="1376">
          <cell r="A1376">
            <v>28235</v>
          </cell>
          <cell r="B1376">
            <v>259</v>
          </cell>
          <cell r="C1376">
            <v>12406</v>
          </cell>
          <cell r="D1376">
            <v>1261</v>
          </cell>
          <cell r="E1376">
            <v>4109</v>
          </cell>
        </row>
        <row r="1377">
          <cell r="A1377">
            <v>28237</v>
          </cell>
          <cell r="B1377">
            <v>259</v>
          </cell>
          <cell r="C1377">
            <v>12464</v>
          </cell>
          <cell r="D1377">
            <v>3239</v>
          </cell>
          <cell r="E1377">
            <v>1744</v>
          </cell>
        </row>
        <row r="1378">
          <cell r="A1378">
            <v>28239</v>
          </cell>
          <cell r="B1378">
            <v>259</v>
          </cell>
          <cell r="C1378">
            <v>13022</v>
          </cell>
          <cell r="D1378">
            <v>3395</v>
          </cell>
          <cell r="E1378">
            <v>1845</v>
          </cell>
        </row>
        <row r="1379">
          <cell r="A1379">
            <v>28240</v>
          </cell>
          <cell r="B1379">
            <v>259</v>
          </cell>
          <cell r="C1379">
            <v>13007</v>
          </cell>
          <cell r="D1379">
            <v>1339</v>
          </cell>
          <cell r="E1379">
            <v>4300</v>
          </cell>
        </row>
        <row r="1380">
          <cell r="A1380">
            <v>28244</v>
          </cell>
          <cell r="B1380">
            <v>259</v>
          </cell>
          <cell r="C1380">
            <v>13019</v>
          </cell>
          <cell r="D1380">
            <v>3395</v>
          </cell>
          <cell r="E1380">
            <v>1842</v>
          </cell>
        </row>
        <row r="1381">
          <cell r="A1381">
            <v>28245</v>
          </cell>
          <cell r="B1381">
            <v>259</v>
          </cell>
          <cell r="C1381">
            <v>12985</v>
          </cell>
          <cell r="D1381">
            <v>1332</v>
          </cell>
          <cell r="E1381">
            <v>4291</v>
          </cell>
        </row>
        <row r="1382">
          <cell r="A1382">
            <v>28246</v>
          </cell>
          <cell r="B1382">
            <v>259</v>
          </cell>
          <cell r="C1382">
            <v>14220</v>
          </cell>
          <cell r="D1382">
            <v>3739</v>
          </cell>
          <cell r="E1382">
            <v>2044</v>
          </cell>
        </row>
        <row r="1383">
          <cell r="A1383">
            <v>28247</v>
          </cell>
          <cell r="B1383">
            <v>259</v>
          </cell>
          <cell r="C1383">
            <v>14194</v>
          </cell>
          <cell r="D1383">
            <v>1429</v>
          </cell>
          <cell r="E1383">
            <v>4737</v>
          </cell>
        </row>
        <row r="1384">
          <cell r="A1384">
            <v>28250</v>
          </cell>
          <cell r="B1384">
            <v>259</v>
          </cell>
          <cell r="C1384">
            <v>9805</v>
          </cell>
          <cell r="D1384">
            <v>2603</v>
          </cell>
          <cell r="E1384">
            <v>1288</v>
          </cell>
        </row>
        <row r="1385">
          <cell r="A1385">
            <v>28253</v>
          </cell>
          <cell r="B1385">
            <v>259</v>
          </cell>
          <cell r="C1385">
            <v>9914</v>
          </cell>
          <cell r="D1385">
            <v>1043</v>
          </cell>
          <cell r="E1385">
            <v>3248</v>
          </cell>
        </row>
        <row r="1386">
          <cell r="A1386">
            <v>28254</v>
          </cell>
          <cell r="B1386">
            <v>259</v>
          </cell>
          <cell r="C1386">
            <v>9915</v>
          </cell>
          <cell r="D1386">
            <v>2616</v>
          </cell>
          <cell r="E1386">
            <v>1320</v>
          </cell>
        </row>
        <row r="1387">
          <cell r="A1387">
            <v>28257</v>
          </cell>
          <cell r="B1387">
            <v>259</v>
          </cell>
          <cell r="C1387">
            <v>8847</v>
          </cell>
          <cell r="D1387">
            <v>2308</v>
          </cell>
          <cell r="E1387">
            <v>1158</v>
          </cell>
        </row>
        <row r="1388">
          <cell r="A1388">
            <v>28258</v>
          </cell>
          <cell r="B1388">
            <v>259</v>
          </cell>
          <cell r="C1388">
            <v>8959</v>
          </cell>
          <cell r="D1388">
            <v>1026</v>
          </cell>
          <cell r="E1388">
            <v>2881</v>
          </cell>
        </row>
        <row r="1389">
          <cell r="A1389">
            <v>28260</v>
          </cell>
          <cell r="B1389">
            <v>259</v>
          </cell>
          <cell r="C1389">
            <v>8968</v>
          </cell>
          <cell r="D1389">
            <v>2334</v>
          </cell>
          <cell r="E1389">
            <v>1180</v>
          </cell>
        </row>
        <row r="1390">
          <cell r="A1390">
            <v>28261</v>
          </cell>
          <cell r="B1390">
            <v>259</v>
          </cell>
          <cell r="C1390">
            <v>9220</v>
          </cell>
          <cell r="D1390">
            <v>1094</v>
          </cell>
          <cell r="E1390">
            <v>2935</v>
          </cell>
        </row>
        <row r="1391">
          <cell r="A1391">
            <v>28264</v>
          </cell>
          <cell r="B1391">
            <v>259</v>
          </cell>
          <cell r="C1391">
            <v>8994</v>
          </cell>
          <cell r="D1391">
            <v>1092</v>
          </cell>
          <cell r="E1391">
            <v>2853</v>
          </cell>
        </row>
        <row r="1392">
          <cell r="A1392">
            <v>28265</v>
          </cell>
          <cell r="B1392">
            <v>259</v>
          </cell>
          <cell r="C1392">
            <v>8907</v>
          </cell>
          <cell r="D1392">
            <v>1068</v>
          </cell>
          <cell r="E1392">
            <v>2831</v>
          </cell>
        </row>
        <row r="1393">
          <cell r="A1393">
            <v>28267</v>
          </cell>
          <cell r="B1393">
            <v>259</v>
          </cell>
          <cell r="C1393">
            <v>8651</v>
          </cell>
          <cell r="D1393">
            <v>2234</v>
          </cell>
          <cell r="E1393">
            <v>1140</v>
          </cell>
        </row>
        <row r="1394">
          <cell r="A1394">
            <v>28269</v>
          </cell>
          <cell r="B1394">
            <v>259</v>
          </cell>
          <cell r="C1394">
            <v>7502</v>
          </cell>
          <cell r="D1394">
            <v>946</v>
          </cell>
          <cell r="E1394">
            <v>2341</v>
          </cell>
        </row>
        <row r="1395">
          <cell r="A1395">
            <v>28270</v>
          </cell>
          <cell r="B1395">
            <v>259</v>
          </cell>
          <cell r="C1395">
            <v>7361</v>
          </cell>
          <cell r="D1395">
            <v>1910</v>
          </cell>
          <cell r="E1395">
            <v>933</v>
          </cell>
        </row>
        <row r="1396">
          <cell r="A1396">
            <v>28276</v>
          </cell>
          <cell r="B1396">
            <v>259</v>
          </cell>
          <cell r="C1396">
            <v>31713</v>
          </cell>
          <cell r="D1396">
            <v>6644</v>
          </cell>
          <cell r="E1396">
            <v>9761</v>
          </cell>
        </row>
        <row r="1397">
          <cell r="A1397">
            <v>28279</v>
          </cell>
          <cell r="B1397">
            <v>259</v>
          </cell>
          <cell r="C1397">
            <v>36293</v>
          </cell>
          <cell r="D1397">
            <v>9234</v>
          </cell>
          <cell r="E1397">
            <v>8464</v>
          </cell>
        </row>
        <row r="1398">
          <cell r="A1398">
            <v>28280</v>
          </cell>
          <cell r="B1398">
            <v>259</v>
          </cell>
          <cell r="C1398">
            <v>42654</v>
          </cell>
          <cell r="D1398">
            <v>10466</v>
          </cell>
          <cell r="E1398">
            <v>10214</v>
          </cell>
        </row>
        <row r="1399">
          <cell r="A1399">
            <v>28281</v>
          </cell>
          <cell r="B1399">
            <v>259</v>
          </cell>
          <cell r="C1399">
            <v>39388</v>
          </cell>
          <cell r="D1399">
            <v>9093</v>
          </cell>
          <cell r="E1399">
            <v>11442</v>
          </cell>
        </row>
        <row r="1400">
          <cell r="A1400">
            <v>28284</v>
          </cell>
          <cell r="B1400">
            <v>259</v>
          </cell>
          <cell r="C1400">
            <v>35147</v>
          </cell>
          <cell r="D1400">
            <v>8231</v>
          </cell>
          <cell r="E1400">
            <v>10166</v>
          </cell>
        </row>
        <row r="1401">
          <cell r="A1401">
            <v>28292</v>
          </cell>
          <cell r="B1401">
            <v>259</v>
          </cell>
          <cell r="C1401">
            <v>31249</v>
          </cell>
          <cell r="D1401">
            <v>9812</v>
          </cell>
          <cell r="E1401">
            <v>5751</v>
          </cell>
        </row>
        <row r="1402">
          <cell r="A1402">
            <v>28379</v>
          </cell>
          <cell r="B1402">
            <v>259</v>
          </cell>
          <cell r="C1402">
            <v>43088</v>
          </cell>
          <cell r="D1402">
            <v>11196</v>
          </cell>
          <cell r="E1402">
            <v>8177</v>
          </cell>
        </row>
        <row r="1403">
          <cell r="A1403">
            <v>28380</v>
          </cell>
          <cell r="B1403">
            <v>259</v>
          </cell>
          <cell r="C1403">
            <v>40954</v>
          </cell>
          <cell r="D1403">
            <v>5573</v>
          </cell>
          <cell r="E1403">
            <v>12877</v>
          </cell>
        </row>
        <row r="1404">
          <cell r="A1404">
            <v>28381</v>
          </cell>
          <cell r="B1404">
            <v>259</v>
          </cell>
          <cell r="C1404">
            <v>40954</v>
          </cell>
          <cell r="D1404">
            <v>5573</v>
          </cell>
          <cell r="E1404">
            <v>12877</v>
          </cell>
        </row>
        <row r="1405">
          <cell r="A1405">
            <v>28390</v>
          </cell>
          <cell r="B1405">
            <v>259</v>
          </cell>
          <cell r="C1405">
            <v>82455</v>
          </cell>
          <cell r="D1405">
            <v>12734</v>
          </cell>
          <cell r="E1405">
            <v>24318</v>
          </cell>
        </row>
        <row r="1406">
          <cell r="A1406">
            <v>28396</v>
          </cell>
          <cell r="B1406">
            <v>259</v>
          </cell>
          <cell r="C1406">
            <v>52259</v>
          </cell>
          <cell r="D1406">
            <v>14008</v>
          </cell>
          <cell r="E1406">
            <v>10487</v>
          </cell>
        </row>
        <row r="1407">
          <cell r="A1407">
            <v>28397</v>
          </cell>
          <cell r="B1407">
            <v>259</v>
          </cell>
          <cell r="C1407">
            <v>78894</v>
          </cell>
          <cell r="D1407">
            <v>20759</v>
          </cell>
          <cell r="E1407">
            <v>15777</v>
          </cell>
        </row>
        <row r="1408">
          <cell r="A1408">
            <v>28417</v>
          </cell>
          <cell r="B1408">
            <v>259</v>
          </cell>
          <cell r="C1408">
            <v>66731</v>
          </cell>
          <cell r="D1408">
            <v>14669</v>
          </cell>
          <cell r="E1408">
            <v>16488</v>
          </cell>
        </row>
        <row r="1409">
          <cell r="A1409">
            <v>28418</v>
          </cell>
          <cell r="B1409">
            <v>259</v>
          </cell>
          <cell r="C1409">
            <v>66731</v>
          </cell>
          <cell r="D1409">
            <v>14669</v>
          </cell>
          <cell r="E1409">
            <v>16488</v>
          </cell>
        </row>
        <row r="1410">
          <cell r="A1410">
            <v>28453</v>
          </cell>
          <cell r="B1410">
            <v>259</v>
          </cell>
          <cell r="C1410">
            <v>35622</v>
          </cell>
          <cell r="D1410">
            <v>7201</v>
          </cell>
          <cell r="E1410">
            <v>9497</v>
          </cell>
        </row>
        <row r="1411">
          <cell r="A1411">
            <v>28455</v>
          </cell>
          <cell r="B1411">
            <v>259</v>
          </cell>
          <cell r="C1411">
            <v>25831</v>
          </cell>
          <cell r="D1411">
            <v>7108</v>
          </cell>
          <cell r="E1411">
            <v>6271</v>
          </cell>
        </row>
        <row r="1412">
          <cell r="A1412">
            <v>28465</v>
          </cell>
          <cell r="B1412">
            <v>259</v>
          </cell>
          <cell r="C1412">
            <v>39965</v>
          </cell>
          <cell r="D1412">
            <v>8043</v>
          </cell>
          <cell r="E1412">
            <v>12215</v>
          </cell>
        </row>
        <row r="1413">
          <cell r="A1413">
            <v>28466</v>
          </cell>
          <cell r="B1413">
            <v>259</v>
          </cell>
          <cell r="C1413">
            <v>32580</v>
          </cell>
          <cell r="D1413">
            <v>6948</v>
          </cell>
          <cell r="E1413">
            <v>10616</v>
          </cell>
        </row>
        <row r="1414">
          <cell r="A1414">
            <v>28472</v>
          </cell>
          <cell r="B1414">
            <v>259</v>
          </cell>
          <cell r="C1414">
            <v>17153</v>
          </cell>
          <cell r="D1414">
            <v>4788</v>
          </cell>
          <cell r="E1414">
            <v>3893</v>
          </cell>
        </row>
        <row r="1415">
          <cell r="A1415">
            <v>28473</v>
          </cell>
          <cell r="B1415">
            <v>259</v>
          </cell>
          <cell r="C1415">
            <v>45897</v>
          </cell>
          <cell r="D1415">
            <v>11736</v>
          </cell>
          <cell r="E1415">
            <v>10919</v>
          </cell>
        </row>
        <row r="1416">
          <cell r="A1416">
            <v>28477</v>
          </cell>
          <cell r="B1416">
            <v>259</v>
          </cell>
          <cell r="C1416">
            <v>16309</v>
          </cell>
          <cell r="D1416">
            <v>3966</v>
          </cell>
          <cell r="E1416">
            <v>5287</v>
          </cell>
        </row>
        <row r="1417">
          <cell r="A1417">
            <v>28479</v>
          </cell>
          <cell r="B1417">
            <v>259</v>
          </cell>
          <cell r="C1417">
            <v>100531</v>
          </cell>
          <cell r="D1417">
            <v>20242</v>
          </cell>
          <cell r="E1417">
            <v>23863</v>
          </cell>
        </row>
        <row r="1418">
          <cell r="A1418">
            <v>28486</v>
          </cell>
          <cell r="B1418">
            <v>259</v>
          </cell>
          <cell r="C1418">
            <v>59322</v>
          </cell>
          <cell r="D1418">
            <v>12256</v>
          </cell>
          <cell r="E1418">
            <v>14668</v>
          </cell>
        </row>
        <row r="1419">
          <cell r="A1419">
            <v>28490</v>
          </cell>
          <cell r="B1419">
            <v>259</v>
          </cell>
          <cell r="C1419">
            <v>85351</v>
          </cell>
          <cell r="D1419">
            <v>18040</v>
          </cell>
          <cell r="E1419">
            <v>17526</v>
          </cell>
        </row>
        <row r="1420">
          <cell r="A1420">
            <v>28492</v>
          </cell>
          <cell r="B1420">
            <v>259</v>
          </cell>
          <cell r="C1420">
            <v>89716</v>
          </cell>
          <cell r="D1420">
            <v>18869</v>
          </cell>
          <cell r="E1420">
            <v>18158</v>
          </cell>
        </row>
        <row r="1421">
          <cell r="A1421">
            <v>28493</v>
          </cell>
          <cell r="B1421">
            <v>259</v>
          </cell>
          <cell r="C1421">
            <v>83034</v>
          </cell>
          <cell r="D1421">
            <v>17493</v>
          </cell>
          <cell r="E1421">
            <v>17017</v>
          </cell>
        </row>
        <row r="1422">
          <cell r="A1422">
            <v>28495</v>
          </cell>
          <cell r="B1422">
            <v>259</v>
          </cell>
          <cell r="C1422">
            <v>77826</v>
          </cell>
          <cell r="D1422">
            <v>14343</v>
          </cell>
          <cell r="E1422">
            <v>20097</v>
          </cell>
        </row>
        <row r="1423">
          <cell r="A1423">
            <v>28511</v>
          </cell>
          <cell r="B1423">
            <v>259</v>
          </cell>
          <cell r="C1423">
            <v>79325</v>
          </cell>
          <cell r="D1423">
            <v>14626</v>
          </cell>
          <cell r="E1423">
            <v>20436</v>
          </cell>
        </row>
        <row r="1424">
          <cell r="A1424">
            <v>28512</v>
          </cell>
          <cell r="B1424">
            <v>259</v>
          </cell>
          <cell r="C1424">
            <v>69812</v>
          </cell>
          <cell r="D1424">
            <v>13332</v>
          </cell>
          <cell r="E1424">
            <v>17297</v>
          </cell>
        </row>
        <row r="1425">
          <cell r="A1425">
            <v>28515</v>
          </cell>
          <cell r="B1425">
            <v>259</v>
          </cell>
          <cell r="C1425">
            <v>72888</v>
          </cell>
          <cell r="D1425">
            <v>14702</v>
          </cell>
          <cell r="E1425">
            <v>14962</v>
          </cell>
        </row>
        <row r="1426">
          <cell r="A1426">
            <v>28534</v>
          </cell>
          <cell r="B1426">
            <v>259</v>
          </cell>
          <cell r="C1426">
            <v>52769</v>
          </cell>
          <cell r="D1426">
            <v>12024</v>
          </cell>
          <cell r="E1426">
            <v>11072</v>
          </cell>
        </row>
        <row r="1427">
          <cell r="A1427">
            <v>28535</v>
          </cell>
          <cell r="B1427">
            <v>259</v>
          </cell>
          <cell r="C1427">
            <v>54062</v>
          </cell>
          <cell r="D1427">
            <v>9239</v>
          </cell>
          <cell r="E1427">
            <v>14657</v>
          </cell>
        </row>
        <row r="1428">
          <cell r="A1428">
            <v>28540</v>
          </cell>
          <cell r="B1428">
            <v>259</v>
          </cell>
          <cell r="C1428">
            <v>51804</v>
          </cell>
          <cell r="D1428">
            <v>11856</v>
          </cell>
          <cell r="E1428">
            <v>11398</v>
          </cell>
        </row>
        <row r="1429">
          <cell r="A1429">
            <v>28564</v>
          </cell>
          <cell r="B1429">
            <v>259</v>
          </cell>
          <cell r="C1429">
            <v>66699</v>
          </cell>
          <cell r="D1429">
            <v>12900</v>
          </cell>
          <cell r="E1429">
            <v>13967</v>
          </cell>
        </row>
        <row r="1430">
          <cell r="A1430">
            <v>28565</v>
          </cell>
          <cell r="B1430">
            <v>259</v>
          </cell>
          <cell r="C1430">
            <v>66005</v>
          </cell>
          <cell r="D1430">
            <v>13833</v>
          </cell>
          <cell r="E1430">
            <v>17512</v>
          </cell>
        </row>
        <row r="1431">
          <cell r="A1431">
            <v>28568</v>
          </cell>
          <cell r="B1431">
            <v>259</v>
          </cell>
          <cell r="C1431">
            <v>65747</v>
          </cell>
          <cell r="D1431">
            <v>9622</v>
          </cell>
          <cell r="E1431">
            <v>20590</v>
          </cell>
        </row>
        <row r="1432">
          <cell r="A1432">
            <v>28569</v>
          </cell>
          <cell r="B1432">
            <v>259</v>
          </cell>
          <cell r="C1432">
            <v>63139</v>
          </cell>
          <cell r="D1432">
            <v>15810</v>
          </cell>
          <cell r="E1432">
            <v>10468</v>
          </cell>
        </row>
        <row r="1433">
          <cell r="A1433">
            <v>28587</v>
          </cell>
          <cell r="B1433">
            <v>259</v>
          </cell>
          <cell r="C1433">
            <v>107564</v>
          </cell>
          <cell r="D1433">
            <v>24586</v>
          </cell>
          <cell r="E1433">
            <v>21740</v>
          </cell>
        </row>
        <row r="1434">
          <cell r="A1434">
            <v>28588</v>
          </cell>
          <cell r="B1434">
            <v>259</v>
          </cell>
          <cell r="C1434">
            <v>98831</v>
          </cell>
          <cell r="D1434">
            <v>16070</v>
          </cell>
          <cell r="E1434">
            <v>28062</v>
          </cell>
        </row>
        <row r="1435">
          <cell r="A1435">
            <v>28601</v>
          </cell>
          <cell r="B1435">
            <v>259</v>
          </cell>
          <cell r="C1435">
            <v>25404</v>
          </cell>
          <cell r="D1435">
            <v>4548</v>
          </cell>
          <cell r="E1435">
            <v>7072</v>
          </cell>
        </row>
        <row r="1436">
          <cell r="A1436">
            <v>28611</v>
          </cell>
          <cell r="B1436">
            <v>259</v>
          </cell>
          <cell r="C1436">
            <v>34551</v>
          </cell>
          <cell r="D1436">
            <v>5218</v>
          </cell>
          <cell r="E1436">
            <v>10283</v>
          </cell>
        </row>
        <row r="1437">
          <cell r="A1437">
            <v>28613</v>
          </cell>
          <cell r="B1437">
            <v>259</v>
          </cell>
          <cell r="C1437">
            <v>36580</v>
          </cell>
          <cell r="D1437">
            <v>5896</v>
          </cell>
          <cell r="E1437">
            <v>10820</v>
          </cell>
        </row>
        <row r="1438">
          <cell r="A1438">
            <v>28615</v>
          </cell>
          <cell r="B1438">
            <v>259</v>
          </cell>
          <cell r="C1438">
            <v>28013</v>
          </cell>
          <cell r="D1438">
            <v>4546</v>
          </cell>
          <cell r="E1438">
            <v>8413</v>
          </cell>
        </row>
        <row r="1439">
          <cell r="A1439">
            <v>28619</v>
          </cell>
          <cell r="B1439">
            <v>259</v>
          </cell>
          <cell r="C1439">
            <v>29328</v>
          </cell>
          <cell r="D1439">
            <v>4854</v>
          </cell>
          <cell r="E1439">
            <v>8669</v>
          </cell>
        </row>
        <row r="1440">
          <cell r="A1440">
            <v>28623</v>
          </cell>
          <cell r="B1440">
            <v>259</v>
          </cell>
          <cell r="C1440">
            <v>26907</v>
          </cell>
          <cell r="D1440">
            <v>4468</v>
          </cell>
          <cell r="E1440">
            <v>7686</v>
          </cell>
        </row>
        <row r="1441">
          <cell r="A1441">
            <v>28634</v>
          </cell>
          <cell r="B1441">
            <v>259</v>
          </cell>
          <cell r="C1441">
            <v>43088</v>
          </cell>
          <cell r="D1441">
            <v>11196</v>
          </cell>
          <cell r="E1441">
            <v>8177</v>
          </cell>
        </row>
        <row r="1442">
          <cell r="A1442">
            <v>28635</v>
          </cell>
          <cell r="B1442">
            <v>259</v>
          </cell>
          <cell r="C1442">
            <v>34945</v>
          </cell>
          <cell r="D1442">
            <v>4742</v>
          </cell>
          <cell r="E1442">
            <v>11031</v>
          </cell>
        </row>
        <row r="1443">
          <cell r="A1443">
            <v>28636</v>
          </cell>
          <cell r="B1443">
            <v>259</v>
          </cell>
          <cell r="C1443">
            <v>37014</v>
          </cell>
          <cell r="D1443">
            <v>5126</v>
          </cell>
          <cell r="E1443">
            <v>11544</v>
          </cell>
        </row>
        <row r="1444">
          <cell r="A1444">
            <v>28637</v>
          </cell>
          <cell r="B1444">
            <v>259</v>
          </cell>
          <cell r="C1444">
            <v>39458</v>
          </cell>
          <cell r="D1444">
            <v>10122</v>
          </cell>
          <cell r="E1444">
            <v>7496</v>
          </cell>
        </row>
        <row r="1445">
          <cell r="A1445">
            <v>28638</v>
          </cell>
          <cell r="B1445">
            <v>259</v>
          </cell>
          <cell r="C1445">
            <v>30274</v>
          </cell>
          <cell r="D1445">
            <v>8236</v>
          </cell>
          <cell r="E1445">
            <v>5684</v>
          </cell>
        </row>
        <row r="1446">
          <cell r="A1446">
            <v>28673</v>
          </cell>
          <cell r="B1446">
            <v>259</v>
          </cell>
          <cell r="C1446">
            <v>82248</v>
          </cell>
          <cell r="D1446">
            <v>16214</v>
          </cell>
          <cell r="E1446">
            <v>17032</v>
          </cell>
        </row>
        <row r="1447">
          <cell r="A1447">
            <v>28675</v>
          </cell>
          <cell r="B1447">
            <v>259</v>
          </cell>
          <cell r="C1447">
            <v>52448</v>
          </cell>
          <cell r="D1447">
            <v>14702</v>
          </cell>
          <cell r="E1447">
            <v>10398</v>
          </cell>
        </row>
        <row r="1448">
          <cell r="A1448">
            <v>28676</v>
          </cell>
          <cell r="B1448">
            <v>259</v>
          </cell>
          <cell r="C1448">
            <v>58859</v>
          </cell>
          <cell r="D1448">
            <v>9444</v>
          </cell>
          <cell r="E1448">
            <v>18195</v>
          </cell>
        </row>
        <row r="1449">
          <cell r="A1449">
            <v>28677</v>
          </cell>
          <cell r="B1449">
            <v>259</v>
          </cell>
          <cell r="C1449">
            <v>59647</v>
          </cell>
          <cell r="D1449">
            <v>16613</v>
          </cell>
          <cell r="E1449">
            <v>11597</v>
          </cell>
        </row>
        <row r="1450">
          <cell r="A1450">
            <v>28678</v>
          </cell>
          <cell r="B1450">
            <v>259</v>
          </cell>
          <cell r="C1450">
            <v>51167</v>
          </cell>
          <cell r="D1450">
            <v>8393</v>
          </cell>
          <cell r="E1450">
            <v>15688</v>
          </cell>
        </row>
        <row r="1451">
          <cell r="A1451">
            <v>28695</v>
          </cell>
          <cell r="B1451">
            <v>259</v>
          </cell>
          <cell r="C1451">
            <v>105738</v>
          </cell>
          <cell r="D1451">
            <v>28021</v>
          </cell>
          <cell r="E1451">
            <v>20626</v>
          </cell>
        </row>
        <row r="1452">
          <cell r="A1452">
            <v>28696</v>
          </cell>
          <cell r="B1452">
            <v>259</v>
          </cell>
          <cell r="C1452">
            <v>112815</v>
          </cell>
          <cell r="D1452">
            <v>29961</v>
          </cell>
          <cell r="E1452">
            <v>21929</v>
          </cell>
        </row>
        <row r="1453">
          <cell r="A1453">
            <v>28698</v>
          </cell>
          <cell r="B1453">
            <v>259</v>
          </cell>
          <cell r="C1453">
            <v>88799</v>
          </cell>
          <cell r="D1453">
            <v>22438</v>
          </cell>
          <cell r="E1453">
            <v>17195</v>
          </cell>
        </row>
        <row r="1454">
          <cell r="A1454">
            <v>28700</v>
          </cell>
          <cell r="B1454">
            <v>259</v>
          </cell>
          <cell r="C1454">
            <v>78495</v>
          </cell>
          <cell r="D1454">
            <v>11463</v>
          </cell>
          <cell r="E1454">
            <v>23907</v>
          </cell>
        </row>
        <row r="1455">
          <cell r="A1455">
            <v>28701</v>
          </cell>
          <cell r="B1455">
            <v>259</v>
          </cell>
          <cell r="C1455">
            <v>102000</v>
          </cell>
          <cell r="D1455">
            <v>14728</v>
          </cell>
          <cell r="E1455">
            <v>31114</v>
          </cell>
        </row>
        <row r="1456">
          <cell r="A1456">
            <v>28705</v>
          </cell>
          <cell r="B1456">
            <v>259</v>
          </cell>
          <cell r="C1456">
            <v>98825</v>
          </cell>
          <cell r="D1456">
            <v>14441</v>
          </cell>
          <cell r="E1456">
            <v>30240</v>
          </cell>
        </row>
        <row r="1457">
          <cell r="A1457">
            <v>28706</v>
          </cell>
          <cell r="B1457">
            <v>259</v>
          </cell>
          <cell r="C1457">
            <v>92488</v>
          </cell>
          <cell r="D1457">
            <v>13285</v>
          </cell>
          <cell r="E1457">
            <v>28558</v>
          </cell>
        </row>
        <row r="1458">
          <cell r="A1458">
            <v>28708</v>
          </cell>
          <cell r="B1458">
            <v>259</v>
          </cell>
          <cell r="C1458">
            <v>113000</v>
          </cell>
          <cell r="D1458">
            <v>29293</v>
          </cell>
          <cell r="E1458">
            <v>22407</v>
          </cell>
        </row>
        <row r="1459">
          <cell r="A1459">
            <v>28710</v>
          </cell>
          <cell r="B1459">
            <v>259</v>
          </cell>
          <cell r="C1459">
            <v>102606</v>
          </cell>
          <cell r="D1459">
            <v>26395</v>
          </cell>
          <cell r="E1459">
            <v>20665</v>
          </cell>
        </row>
        <row r="1460">
          <cell r="A1460">
            <v>28716</v>
          </cell>
          <cell r="B1460">
            <v>259</v>
          </cell>
          <cell r="C1460">
            <v>94899</v>
          </cell>
          <cell r="D1460">
            <v>13913</v>
          </cell>
          <cell r="E1460">
            <v>28745</v>
          </cell>
        </row>
        <row r="1461">
          <cell r="A1461">
            <v>28717</v>
          </cell>
          <cell r="B1461">
            <v>259</v>
          </cell>
          <cell r="C1461">
            <v>99742</v>
          </cell>
          <cell r="D1461">
            <v>15000</v>
          </cell>
          <cell r="E1461">
            <v>29607</v>
          </cell>
        </row>
        <row r="1462">
          <cell r="A1462">
            <v>28718</v>
          </cell>
          <cell r="B1462">
            <v>259</v>
          </cell>
          <cell r="C1462">
            <v>97408</v>
          </cell>
          <cell r="D1462">
            <v>25060</v>
          </cell>
          <cell r="E1462">
            <v>19611</v>
          </cell>
        </row>
        <row r="1463">
          <cell r="A1463">
            <v>28722</v>
          </cell>
          <cell r="B1463">
            <v>259</v>
          </cell>
          <cell r="C1463">
            <v>96586</v>
          </cell>
          <cell r="D1463">
            <v>14483</v>
          </cell>
          <cell r="E1463">
            <v>28874</v>
          </cell>
        </row>
        <row r="1464">
          <cell r="A1464">
            <v>28725</v>
          </cell>
          <cell r="B1464">
            <v>259</v>
          </cell>
          <cell r="C1464">
            <v>105726</v>
          </cell>
          <cell r="D1464">
            <v>26281</v>
          </cell>
          <cell r="E1464">
            <v>21909</v>
          </cell>
        </row>
        <row r="1465">
          <cell r="A1465">
            <v>28726</v>
          </cell>
          <cell r="B1465">
            <v>259</v>
          </cell>
          <cell r="C1465">
            <v>110551</v>
          </cell>
          <cell r="D1465">
            <v>17003</v>
          </cell>
          <cell r="E1465">
            <v>32660</v>
          </cell>
        </row>
        <row r="1466">
          <cell r="A1466">
            <v>28727</v>
          </cell>
          <cell r="B1466">
            <v>259</v>
          </cell>
          <cell r="C1466">
            <v>120224</v>
          </cell>
          <cell r="D1466">
            <v>29074</v>
          </cell>
          <cell r="E1466">
            <v>25567</v>
          </cell>
        </row>
        <row r="1467">
          <cell r="A1467">
            <v>28730</v>
          </cell>
          <cell r="B1467">
            <v>259</v>
          </cell>
          <cell r="C1467">
            <v>114374</v>
          </cell>
          <cell r="D1467">
            <v>28152</v>
          </cell>
          <cell r="E1467">
            <v>24072</v>
          </cell>
        </row>
        <row r="1468">
          <cell r="A1468">
            <v>28735</v>
          </cell>
          <cell r="B1468">
            <v>259</v>
          </cell>
          <cell r="C1468">
            <v>97829</v>
          </cell>
          <cell r="D1468">
            <v>26848</v>
          </cell>
          <cell r="E1468">
            <v>19600</v>
          </cell>
        </row>
        <row r="1469">
          <cell r="A1469">
            <v>28736</v>
          </cell>
          <cell r="B1469">
            <v>259</v>
          </cell>
          <cell r="C1469">
            <v>95176</v>
          </cell>
          <cell r="D1469">
            <v>13580</v>
          </cell>
          <cell r="E1469">
            <v>29373</v>
          </cell>
        </row>
        <row r="1470">
          <cell r="A1470">
            <v>28745</v>
          </cell>
          <cell r="B1470">
            <v>259</v>
          </cell>
          <cell r="C1470">
            <v>101948</v>
          </cell>
          <cell r="D1470">
            <v>15083</v>
          </cell>
          <cell r="E1470">
            <v>31339</v>
          </cell>
        </row>
        <row r="1471">
          <cell r="A1471">
            <v>28746</v>
          </cell>
          <cell r="B1471">
            <v>259</v>
          </cell>
          <cell r="C1471">
            <v>102154</v>
          </cell>
          <cell r="D1471">
            <v>27192</v>
          </cell>
          <cell r="E1471">
            <v>21023</v>
          </cell>
        </row>
        <row r="1472">
          <cell r="A1472">
            <v>28747</v>
          </cell>
          <cell r="B1472">
            <v>259</v>
          </cell>
          <cell r="C1472">
            <v>107010</v>
          </cell>
          <cell r="D1472">
            <v>28805</v>
          </cell>
          <cell r="E1472">
            <v>22115</v>
          </cell>
        </row>
        <row r="1473">
          <cell r="A1473">
            <v>28752</v>
          </cell>
          <cell r="B1473">
            <v>259</v>
          </cell>
          <cell r="C1473">
            <v>47143</v>
          </cell>
          <cell r="D1473">
            <v>7700</v>
          </cell>
          <cell r="E1473">
            <v>14322</v>
          </cell>
        </row>
        <row r="1474">
          <cell r="A1474">
            <v>28779</v>
          </cell>
          <cell r="B1474">
            <v>259</v>
          </cell>
          <cell r="C1474">
            <v>7563</v>
          </cell>
          <cell r="D1474">
            <v>1308</v>
          </cell>
          <cell r="E1474">
            <v>2385</v>
          </cell>
        </row>
        <row r="1475">
          <cell r="A1475">
            <v>28781</v>
          </cell>
          <cell r="B1475">
            <v>259</v>
          </cell>
          <cell r="C1475">
            <v>12324</v>
          </cell>
          <cell r="D1475">
            <v>6623</v>
          </cell>
          <cell r="E1475">
            <v>1510</v>
          </cell>
        </row>
        <row r="1476">
          <cell r="A1476">
            <v>28787</v>
          </cell>
          <cell r="B1476">
            <v>259</v>
          </cell>
          <cell r="C1476">
            <v>45816</v>
          </cell>
          <cell r="D1476">
            <v>17100</v>
          </cell>
          <cell r="E1476">
            <v>7782</v>
          </cell>
        </row>
        <row r="1477">
          <cell r="A1477">
            <v>28789</v>
          </cell>
          <cell r="B1477">
            <v>259</v>
          </cell>
          <cell r="C1477">
            <v>43369</v>
          </cell>
          <cell r="D1477">
            <v>5598</v>
          </cell>
          <cell r="E1477">
            <v>14601</v>
          </cell>
        </row>
        <row r="1478">
          <cell r="A1478">
            <v>28790</v>
          </cell>
          <cell r="B1478">
            <v>259</v>
          </cell>
          <cell r="C1478">
            <v>32959</v>
          </cell>
          <cell r="D1478">
            <v>4088</v>
          </cell>
          <cell r="E1478">
            <v>11549</v>
          </cell>
        </row>
        <row r="1479">
          <cell r="A1479">
            <v>28791</v>
          </cell>
          <cell r="B1479">
            <v>259</v>
          </cell>
          <cell r="C1479">
            <v>35256</v>
          </cell>
          <cell r="D1479">
            <v>14444</v>
          </cell>
          <cell r="E1479">
            <v>5791</v>
          </cell>
        </row>
        <row r="1480">
          <cell r="A1480">
            <v>28792</v>
          </cell>
          <cell r="B1480">
            <v>259</v>
          </cell>
          <cell r="C1480">
            <v>45825</v>
          </cell>
          <cell r="D1480">
            <v>16662</v>
          </cell>
          <cell r="E1480">
            <v>8442</v>
          </cell>
        </row>
        <row r="1481">
          <cell r="A1481">
            <v>28793</v>
          </cell>
          <cell r="B1481">
            <v>259</v>
          </cell>
          <cell r="C1481">
            <v>62413</v>
          </cell>
          <cell r="D1481">
            <v>13048</v>
          </cell>
          <cell r="E1481">
            <v>12397</v>
          </cell>
        </row>
        <row r="1482">
          <cell r="A1482">
            <v>28794</v>
          </cell>
          <cell r="B1482">
            <v>259</v>
          </cell>
          <cell r="C1482">
            <v>25207</v>
          </cell>
          <cell r="D1482">
            <v>3608</v>
          </cell>
          <cell r="E1482">
            <v>8600</v>
          </cell>
        </row>
        <row r="1483">
          <cell r="A1483">
            <v>28795</v>
          </cell>
          <cell r="B1483">
            <v>259</v>
          </cell>
          <cell r="C1483">
            <v>43927</v>
          </cell>
          <cell r="D1483">
            <v>6492</v>
          </cell>
          <cell r="E1483">
            <v>14252</v>
          </cell>
        </row>
        <row r="1484">
          <cell r="A1484">
            <v>28796</v>
          </cell>
          <cell r="B1484">
            <v>259</v>
          </cell>
          <cell r="C1484">
            <v>64558</v>
          </cell>
          <cell r="D1484">
            <v>10201</v>
          </cell>
          <cell r="E1484">
            <v>17708</v>
          </cell>
        </row>
        <row r="1485">
          <cell r="A1485">
            <v>28797</v>
          </cell>
          <cell r="B1485">
            <v>259</v>
          </cell>
          <cell r="C1485">
            <v>18719</v>
          </cell>
          <cell r="D1485">
            <v>2884</v>
          </cell>
          <cell r="E1485">
            <v>5652</v>
          </cell>
        </row>
        <row r="1486">
          <cell r="A1486">
            <v>28798</v>
          </cell>
          <cell r="B1486">
            <v>259</v>
          </cell>
          <cell r="C1486">
            <v>70088</v>
          </cell>
          <cell r="D1486">
            <v>16987</v>
          </cell>
          <cell r="E1486">
            <v>14575</v>
          </cell>
        </row>
        <row r="1487">
          <cell r="A1487">
            <v>28805</v>
          </cell>
          <cell r="B1487">
            <v>259</v>
          </cell>
          <cell r="C1487">
            <v>86002</v>
          </cell>
          <cell r="D1487">
            <v>16903</v>
          </cell>
          <cell r="E1487">
            <v>21398</v>
          </cell>
        </row>
        <row r="1488">
          <cell r="A1488">
            <v>28806</v>
          </cell>
          <cell r="B1488">
            <v>259</v>
          </cell>
          <cell r="C1488">
            <v>70005</v>
          </cell>
          <cell r="D1488">
            <v>11607</v>
          </cell>
          <cell r="E1488">
            <v>19195</v>
          </cell>
        </row>
        <row r="1489">
          <cell r="A1489">
            <v>28809</v>
          </cell>
          <cell r="B1489">
            <v>259</v>
          </cell>
          <cell r="C1489">
            <v>129138</v>
          </cell>
          <cell r="D1489">
            <v>30905</v>
          </cell>
          <cell r="E1489">
            <v>23847</v>
          </cell>
        </row>
        <row r="1490">
          <cell r="A1490">
            <v>28810</v>
          </cell>
          <cell r="B1490">
            <v>259</v>
          </cell>
          <cell r="C1490">
            <v>128233</v>
          </cell>
          <cell r="D1490">
            <v>20219</v>
          </cell>
          <cell r="E1490">
            <v>37519</v>
          </cell>
        </row>
        <row r="1491">
          <cell r="A1491">
            <v>28839</v>
          </cell>
          <cell r="B1491">
            <v>259</v>
          </cell>
          <cell r="C1491">
            <v>65289</v>
          </cell>
          <cell r="D1491">
            <v>13174</v>
          </cell>
          <cell r="E1491">
            <v>14556</v>
          </cell>
        </row>
        <row r="1492">
          <cell r="A1492">
            <v>28849</v>
          </cell>
          <cell r="B1492">
            <v>259</v>
          </cell>
          <cell r="C1492">
            <v>58454</v>
          </cell>
          <cell r="D1492">
            <v>12104</v>
          </cell>
          <cell r="E1492">
            <v>14548</v>
          </cell>
        </row>
        <row r="1493">
          <cell r="A1493">
            <v>28850</v>
          </cell>
          <cell r="B1493">
            <v>259</v>
          </cell>
          <cell r="C1493">
            <v>58712</v>
          </cell>
          <cell r="D1493">
            <v>11790</v>
          </cell>
          <cell r="E1493">
            <v>14251</v>
          </cell>
        </row>
        <row r="1494">
          <cell r="A1494">
            <v>28868</v>
          </cell>
          <cell r="B1494">
            <v>259</v>
          </cell>
          <cell r="C1494">
            <v>35408</v>
          </cell>
          <cell r="D1494">
            <v>8429</v>
          </cell>
          <cell r="E1494">
            <v>8118</v>
          </cell>
        </row>
        <row r="1495">
          <cell r="A1495">
            <v>28899</v>
          </cell>
          <cell r="B1495">
            <v>259</v>
          </cell>
          <cell r="C1495">
            <v>82168</v>
          </cell>
          <cell r="D1495">
            <v>17852</v>
          </cell>
          <cell r="E1495">
            <v>19648</v>
          </cell>
        </row>
        <row r="1496">
          <cell r="A1496">
            <v>28902</v>
          </cell>
          <cell r="B1496">
            <v>259</v>
          </cell>
          <cell r="C1496">
            <v>28970</v>
          </cell>
          <cell r="D1496">
            <v>4307</v>
          </cell>
          <cell r="E1496">
            <v>9798</v>
          </cell>
        </row>
        <row r="1497">
          <cell r="A1497">
            <v>28904</v>
          </cell>
          <cell r="B1497">
            <v>259</v>
          </cell>
          <cell r="C1497">
            <v>38907</v>
          </cell>
          <cell r="D1497">
            <v>5481</v>
          </cell>
          <cell r="E1497">
            <v>13053</v>
          </cell>
        </row>
        <row r="1498">
          <cell r="A1498">
            <v>28916</v>
          </cell>
          <cell r="B1498">
            <v>259</v>
          </cell>
          <cell r="C1498">
            <v>39767</v>
          </cell>
          <cell r="D1498">
            <v>10139</v>
          </cell>
          <cell r="E1498">
            <v>7828</v>
          </cell>
        </row>
        <row r="1499">
          <cell r="A1499">
            <v>28920</v>
          </cell>
          <cell r="B1499">
            <v>259</v>
          </cell>
          <cell r="C1499">
            <v>17708</v>
          </cell>
          <cell r="D1499">
            <v>3643</v>
          </cell>
          <cell r="E1499">
            <v>4599</v>
          </cell>
        </row>
        <row r="1500">
          <cell r="A1500">
            <v>28923</v>
          </cell>
          <cell r="B1500">
            <v>259</v>
          </cell>
          <cell r="C1500">
            <v>18377</v>
          </cell>
          <cell r="D1500">
            <v>3173</v>
          </cell>
          <cell r="E1500">
            <v>5068</v>
          </cell>
        </row>
        <row r="1501">
          <cell r="A1501">
            <v>28924</v>
          </cell>
          <cell r="B1501">
            <v>259</v>
          </cell>
          <cell r="C1501">
            <v>37415</v>
          </cell>
          <cell r="D1501">
            <v>8240</v>
          </cell>
          <cell r="E1501">
            <v>9278</v>
          </cell>
        </row>
        <row r="1502">
          <cell r="A1502">
            <v>28925</v>
          </cell>
          <cell r="B1502">
            <v>259</v>
          </cell>
          <cell r="C1502">
            <v>19557</v>
          </cell>
          <cell r="D1502">
            <v>3963</v>
          </cell>
          <cell r="E1502">
            <v>4880</v>
          </cell>
        </row>
        <row r="1503">
          <cell r="A1503">
            <v>28929</v>
          </cell>
          <cell r="B1503">
            <v>259</v>
          </cell>
          <cell r="C1503">
            <v>51668</v>
          </cell>
          <cell r="D1503">
            <v>13706</v>
          </cell>
          <cell r="E1503">
            <v>10302</v>
          </cell>
        </row>
        <row r="1504">
          <cell r="A1504">
            <v>28938</v>
          </cell>
          <cell r="B1504">
            <v>259</v>
          </cell>
          <cell r="C1504">
            <v>38173</v>
          </cell>
          <cell r="D1504">
            <v>7599</v>
          </cell>
          <cell r="E1504">
            <v>10119</v>
          </cell>
        </row>
        <row r="1505">
          <cell r="A1505">
            <v>28939</v>
          </cell>
          <cell r="B1505">
            <v>259</v>
          </cell>
          <cell r="C1505">
            <v>40127</v>
          </cell>
          <cell r="D1505">
            <v>9120</v>
          </cell>
          <cell r="E1505">
            <v>9570</v>
          </cell>
        </row>
        <row r="1506">
          <cell r="A1506">
            <v>28940</v>
          </cell>
          <cell r="B1506">
            <v>259</v>
          </cell>
          <cell r="C1506">
            <v>43566</v>
          </cell>
          <cell r="D1506">
            <v>9655</v>
          </cell>
          <cell r="E1506">
            <v>10619</v>
          </cell>
        </row>
        <row r="1507">
          <cell r="A1507">
            <v>28941</v>
          </cell>
          <cell r="B1507">
            <v>259</v>
          </cell>
          <cell r="C1507">
            <v>40896</v>
          </cell>
          <cell r="D1507">
            <v>8232</v>
          </cell>
          <cell r="E1507">
            <v>10970</v>
          </cell>
        </row>
        <row r="1508">
          <cell r="A1508">
            <v>28945</v>
          </cell>
          <cell r="B1508">
            <v>259</v>
          </cell>
          <cell r="C1508">
            <v>26136</v>
          </cell>
          <cell r="D1508">
            <v>5821</v>
          </cell>
          <cell r="E1508">
            <v>6658</v>
          </cell>
        </row>
        <row r="1509">
          <cell r="A1509">
            <v>28948</v>
          </cell>
          <cell r="B1509">
            <v>259</v>
          </cell>
          <cell r="C1509">
            <v>26136</v>
          </cell>
          <cell r="D1509">
            <v>5821</v>
          </cell>
          <cell r="E1509">
            <v>6658</v>
          </cell>
        </row>
        <row r="1510">
          <cell r="A1510">
            <v>28949</v>
          </cell>
          <cell r="B1510">
            <v>259</v>
          </cell>
          <cell r="C1510">
            <v>18895</v>
          </cell>
          <cell r="D1510">
            <v>3905</v>
          </cell>
          <cell r="E1510">
            <v>5336</v>
          </cell>
        </row>
        <row r="1511">
          <cell r="A1511">
            <v>28950</v>
          </cell>
          <cell r="B1511">
            <v>259</v>
          </cell>
          <cell r="C1511">
            <v>28074</v>
          </cell>
          <cell r="D1511">
            <v>5655</v>
          </cell>
          <cell r="E1511">
            <v>7928</v>
          </cell>
        </row>
        <row r="1512">
          <cell r="A1512">
            <v>29016</v>
          </cell>
          <cell r="B1512">
            <v>259</v>
          </cell>
          <cell r="C1512">
            <v>76007</v>
          </cell>
          <cell r="D1512">
            <v>20483</v>
          </cell>
          <cell r="E1512">
            <v>14890</v>
          </cell>
        </row>
        <row r="1513">
          <cell r="A1513">
            <v>29018</v>
          </cell>
          <cell r="B1513">
            <v>259</v>
          </cell>
          <cell r="C1513">
            <v>89992</v>
          </cell>
          <cell r="D1513">
            <v>23252</v>
          </cell>
          <cell r="E1513">
            <v>17108</v>
          </cell>
        </row>
        <row r="1514">
          <cell r="A1514">
            <v>29019</v>
          </cell>
          <cell r="B1514">
            <v>259</v>
          </cell>
          <cell r="C1514">
            <v>91139</v>
          </cell>
          <cell r="D1514">
            <v>13790</v>
          </cell>
          <cell r="E1514">
            <v>28447</v>
          </cell>
        </row>
        <row r="1515">
          <cell r="A1515">
            <v>29023</v>
          </cell>
          <cell r="B1515">
            <v>259</v>
          </cell>
          <cell r="C1515">
            <v>87825</v>
          </cell>
          <cell r="D1515">
            <v>13138</v>
          </cell>
          <cell r="E1515">
            <v>27641</v>
          </cell>
        </row>
        <row r="1516">
          <cell r="A1516">
            <v>29024</v>
          </cell>
          <cell r="B1516">
            <v>259</v>
          </cell>
          <cell r="C1516">
            <v>85179</v>
          </cell>
          <cell r="D1516">
            <v>22423</v>
          </cell>
          <cell r="E1516">
            <v>15886</v>
          </cell>
        </row>
        <row r="1517">
          <cell r="A1517">
            <v>29025</v>
          </cell>
          <cell r="B1517">
            <v>259</v>
          </cell>
          <cell r="C1517">
            <v>78622</v>
          </cell>
          <cell r="D1517">
            <v>11931</v>
          </cell>
          <cell r="E1517">
            <v>24958</v>
          </cell>
        </row>
        <row r="1518">
          <cell r="A1518">
            <v>29027</v>
          </cell>
          <cell r="B1518">
            <v>259</v>
          </cell>
          <cell r="C1518">
            <v>92882</v>
          </cell>
          <cell r="D1518">
            <v>14032</v>
          </cell>
          <cell r="E1518">
            <v>29449</v>
          </cell>
        </row>
        <row r="1519">
          <cell r="A1519">
            <v>29028</v>
          </cell>
          <cell r="B1519">
            <v>259</v>
          </cell>
          <cell r="C1519">
            <v>88120</v>
          </cell>
          <cell r="D1519">
            <v>23899</v>
          </cell>
          <cell r="E1519">
            <v>16457</v>
          </cell>
        </row>
        <row r="1520">
          <cell r="A1520">
            <v>29033</v>
          </cell>
          <cell r="B1520">
            <v>259</v>
          </cell>
          <cell r="C1520">
            <v>83244</v>
          </cell>
          <cell r="D1520">
            <v>23030</v>
          </cell>
          <cell r="E1520">
            <v>15250</v>
          </cell>
        </row>
        <row r="1521">
          <cell r="A1521">
            <v>29035</v>
          </cell>
          <cell r="B1521">
            <v>259</v>
          </cell>
          <cell r="C1521">
            <v>88887</v>
          </cell>
          <cell r="D1521">
            <v>13278</v>
          </cell>
          <cell r="E1521">
            <v>28573</v>
          </cell>
        </row>
        <row r="1522">
          <cell r="A1522">
            <v>29037</v>
          </cell>
          <cell r="B1522">
            <v>259</v>
          </cell>
          <cell r="C1522">
            <v>86107</v>
          </cell>
          <cell r="D1522">
            <v>24527</v>
          </cell>
          <cell r="E1522">
            <v>16420</v>
          </cell>
        </row>
        <row r="1523">
          <cell r="A1523">
            <v>29039</v>
          </cell>
          <cell r="B1523">
            <v>259</v>
          </cell>
          <cell r="C1523">
            <v>104906</v>
          </cell>
          <cell r="D1523">
            <v>15829</v>
          </cell>
          <cell r="E1523">
            <v>32728</v>
          </cell>
        </row>
        <row r="1524">
          <cell r="A1524">
            <v>29041</v>
          </cell>
          <cell r="B1524">
            <v>259</v>
          </cell>
          <cell r="C1524">
            <v>96741</v>
          </cell>
          <cell r="D1524">
            <v>26206</v>
          </cell>
          <cell r="E1524">
            <v>17878</v>
          </cell>
        </row>
        <row r="1525">
          <cell r="A1525">
            <v>29042</v>
          </cell>
          <cell r="B1525">
            <v>259</v>
          </cell>
          <cell r="C1525">
            <v>102955</v>
          </cell>
          <cell r="D1525">
            <v>27868</v>
          </cell>
          <cell r="E1525">
            <v>19073</v>
          </cell>
        </row>
        <row r="1526">
          <cell r="A1526">
            <v>29045</v>
          </cell>
          <cell r="B1526">
            <v>259</v>
          </cell>
          <cell r="C1526">
            <v>101065</v>
          </cell>
          <cell r="D1526">
            <v>14807</v>
          </cell>
          <cell r="E1526">
            <v>31730</v>
          </cell>
        </row>
        <row r="1527">
          <cell r="A1527">
            <v>29046</v>
          </cell>
          <cell r="B1527">
            <v>259</v>
          </cell>
          <cell r="C1527">
            <v>64245</v>
          </cell>
          <cell r="D1527">
            <v>19780</v>
          </cell>
          <cell r="E1527">
            <v>11090</v>
          </cell>
        </row>
        <row r="1528">
          <cell r="A1528">
            <v>29047</v>
          </cell>
          <cell r="B1528">
            <v>259</v>
          </cell>
          <cell r="C1528">
            <v>58754</v>
          </cell>
          <cell r="D1528">
            <v>7177</v>
          </cell>
          <cell r="E1528">
            <v>20246</v>
          </cell>
        </row>
        <row r="1529">
          <cell r="A1529">
            <v>29049</v>
          </cell>
          <cell r="B1529">
            <v>259</v>
          </cell>
          <cell r="C1529">
            <v>83740</v>
          </cell>
          <cell r="D1529">
            <v>22485</v>
          </cell>
          <cell r="E1529">
            <v>13187</v>
          </cell>
        </row>
        <row r="1530">
          <cell r="A1530">
            <v>29050</v>
          </cell>
          <cell r="B1530">
            <v>259</v>
          </cell>
          <cell r="C1530">
            <v>81808</v>
          </cell>
          <cell r="D1530">
            <v>9906</v>
          </cell>
          <cell r="E1530">
            <v>26886</v>
          </cell>
        </row>
        <row r="1531">
          <cell r="A1531">
            <v>29051</v>
          </cell>
          <cell r="B1531">
            <v>259</v>
          </cell>
          <cell r="C1531">
            <v>77192</v>
          </cell>
          <cell r="D1531">
            <v>20713</v>
          </cell>
          <cell r="E1531">
            <v>12148</v>
          </cell>
        </row>
        <row r="1532">
          <cell r="A1532">
            <v>29052</v>
          </cell>
          <cell r="B1532">
            <v>259</v>
          </cell>
          <cell r="C1532">
            <v>66534</v>
          </cell>
          <cell r="D1532">
            <v>7733</v>
          </cell>
          <cell r="E1532">
            <v>21850</v>
          </cell>
        </row>
        <row r="1533">
          <cell r="A1533">
            <v>29080</v>
          </cell>
          <cell r="B1533">
            <v>259</v>
          </cell>
          <cell r="C1533">
            <v>101393</v>
          </cell>
          <cell r="D1533">
            <v>23851</v>
          </cell>
          <cell r="E1533">
            <v>25100</v>
          </cell>
        </row>
        <row r="1534">
          <cell r="A1534">
            <v>29082</v>
          </cell>
          <cell r="B1534">
            <v>259</v>
          </cell>
          <cell r="C1534">
            <v>94964</v>
          </cell>
          <cell r="D1534">
            <v>22108</v>
          </cell>
          <cell r="E1534">
            <v>23511</v>
          </cell>
        </row>
        <row r="1535">
          <cell r="A1535">
            <v>29086</v>
          </cell>
          <cell r="B1535">
            <v>259</v>
          </cell>
          <cell r="C1535">
            <v>92991</v>
          </cell>
          <cell r="D1535">
            <v>21598</v>
          </cell>
          <cell r="E1535">
            <v>23059</v>
          </cell>
        </row>
        <row r="1536">
          <cell r="A1536">
            <v>29088</v>
          </cell>
          <cell r="B1536">
            <v>259</v>
          </cell>
          <cell r="C1536">
            <v>97924</v>
          </cell>
          <cell r="D1536">
            <v>18109</v>
          </cell>
          <cell r="E1536">
            <v>28003</v>
          </cell>
        </row>
        <row r="1537">
          <cell r="A1537">
            <v>29089</v>
          </cell>
          <cell r="B1537">
            <v>259</v>
          </cell>
          <cell r="C1537">
            <v>89243</v>
          </cell>
          <cell r="D1537">
            <v>16309</v>
          </cell>
          <cell r="E1537">
            <v>25712</v>
          </cell>
        </row>
        <row r="1538">
          <cell r="A1538">
            <v>29090</v>
          </cell>
          <cell r="B1538">
            <v>259</v>
          </cell>
          <cell r="C1538">
            <v>101393</v>
          </cell>
          <cell r="D1538">
            <v>23851</v>
          </cell>
          <cell r="E1538">
            <v>25100</v>
          </cell>
        </row>
        <row r="1539">
          <cell r="A1539">
            <v>29095</v>
          </cell>
          <cell r="B1539">
            <v>259</v>
          </cell>
          <cell r="C1539">
            <v>92218</v>
          </cell>
          <cell r="D1539">
            <v>23044</v>
          </cell>
          <cell r="E1539">
            <v>21737</v>
          </cell>
        </row>
        <row r="1540">
          <cell r="A1540">
            <v>29097</v>
          </cell>
          <cell r="B1540">
            <v>259</v>
          </cell>
          <cell r="C1540">
            <v>54368</v>
          </cell>
          <cell r="D1540">
            <v>14638</v>
          </cell>
          <cell r="E1540">
            <v>11999</v>
          </cell>
        </row>
        <row r="1541">
          <cell r="A1541">
            <v>29105</v>
          </cell>
          <cell r="B1541">
            <v>259</v>
          </cell>
          <cell r="C1541">
            <v>92792</v>
          </cell>
          <cell r="D1541">
            <v>13128</v>
          </cell>
          <cell r="E1541">
            <v>30671</v>
          </cell>
        </row>
        <row r="1542">
          <cell r="A1542">
            <v>29108</v>
          </cell>
          <cell r="B1542">
            <v>259</v>
          </cell>
          <cell r="C1542">
            <v>102482</v>
          </cell>
          <cell r="D1542">
            <v>15402</v>
          </cell>
          <cell r="E1542">
            <v>33232</v>
          </cell>
        </row>
        <row r="1543">
          <cell r="A1543">
            <v>29109</v>
          </cell>
          <cell r="B1543">
            <v>259</v>
          </cell>
          <cell r="C1543">
            <v>73450</v>
          </cell>
          <cell r="D1543">
            <v>11974</v>
          </cell>
          <cell r="E1543">
            <v>20609</v>
          </cell>
        </row>
        <row r="1544">
          <cell r="A1544">
            <v>29111</v>
          </cell>
          <cell r="B1544">
            <v>259</v>
          </cell>
          <cell r="C1544">
            <v>75172</v>
          </cell>
          <cell r="D1544">
            <v>12161</v>
          </cell>
          <cell r="E1544">
            <v>21198</v>
          </cell>
        </row>
        <row r="1545">
          <cell r="A1545">
            <v>29129</v>
          </cell>
          <cell r="B1545">
            <v>259</v>
          </cell>
          <cell r="C1545">
            <v>25225</v>
          </cell>
          <cell r="D1545">
            <v>8716</v>
          </cell>
          <cell r="E1545">
            <v>4338</v>
          </cell>
        </row>
        <row r="1546">
          <cell r="A1546">
            <v>29130</v>
          </cell>
          <cell r="B1546">
            <v>259</v>
          </cell>
          <cell r="C1546">
            <v>20600</v>
          </cell>
          <cell r="D1546">
            <v>7945</v>
          </cell>
          <cell r="E1546">
            <v>4103</v>
          </cell>
        </row>
        <row r="1547">
          <cell r="A1547">
            <v>29146</v>
          </cell>
          <cell r="B1547">
            <v>259</v>
          </cell>
          <cell r="C1547">
            <v>3840</v>
          </cell>
          <cell r="D1547">
            <v>1390</v>
          </cell>
          <cell r="E1547">
            <v>222</v>
          </cell>
        </row>
        <row r="1548">
          <cell r="A1548">
            <v>29148</v>
          </cell>
          <cell r="B1548">
            <v>259</v>
          </cell>
          <cell r="C1548">
            <v>3840</v>
          </cell>
          <cell r="D1548">
            <v>1390</v>
          </cell>
          <cell r="E1548">
            <v>222</v>
          </cell>
        </row>
        <row r="1549">
          <cell r="A1549">
            <v>29150</v>
          </cell>
          <cell r="B1549">
            <v>259</v>
          </cell>
          <cell r="C1549">
            <v>5359</v>
          </cell>
          <cell r="D1549">
            <v>886</v>
          </cell>
          <cell r="E1549">
            <v>2543</v>
          </cell>
        </row>
        <row r="1550">
          <cell r="A1550">
            <v>29157</v>
          </cell>
          <cell r="B1550">
            <v>259</v>
          </cell>
          <cell r="C1550">
            <v>26737</v>
          </cell>
          <cell r="D1550">
            <v>5456</v>
          </cell>
          <cell r="E1550">
            <v>3494</v>
          </cell>
        </row>
        <row r="1551">
          <cell r="A1551">
            <v>29158</v>
          </cell>
          <cell r="B1551">
            <v>259</v>
          </cell>
          <cell r="C1551">
            <v>25876</v>
          </cell>
          <cell r="D1551">
            <v>5161</v>
          </cell>
          <cell r="E1551">
            <v>3476</v>
          </cell>
        </row>
        <row r="1552">
          <cell r="A1552">
            <v>29159</v>
          </cell>
          <cell r="B1552">
            <v>259</v>
          </cell>
          <cell r="C1552">
            <v>31236</v>
          </cell>
          <cell r="D1552">
            <v>6047</v>
          </cell>
          <cell r="E1552">
            <v>6020</v>
          </cell>
        </row>
        <row r="1553">
          <cell r="A1553">
            <v>29160</v>
          </cell>
          <cell r="B1553">
            <v>259</v>
          </cell>
          <cell r="C1553">
            <v>27667</v>
          </cell>
          <cell r="D1553">
            <v>3696</v>
          </cell>
          <cell r="E1553">
            <v>7042</v>
          </cell>
        </row>
        <row r="1554">
          <cell r="A1554">
            <v>29161</v>
          </cell>
          <cell r="B1554">
            <v>259</v>
          </cell>
          <cell r="C1554">
            <v>27667</v>
          </cell>
          <cell r="D1554">
            <v>3696</v>
          </cell>
          <cell r="E1554">
            <v>7042</v>
          </cell>
        </row>
        <row r="1555">
          <cell r="A1555">
            <v>29167</v>
          </cell>
          <cell r="B1555">
            <v>259</v>
          </cell>
          <cell r="C1555">
            <v>36469</v>
          </cell>
          <cell r="D1555">
            <v>11641</v>
          </cell>
          <cell r="E1555">
            <v>6398</v>
          </cell>
        </row>
        <row r="1556">
          <cell r="A1556">
            <v>29168</v>
          </cell>
          <cell r="B1556">
            <v>259</v>
          </cell>
          <cell r="C1556">
            <v>36311</v>
          </cell>
          <cell r="D1556">
            <v>4845</v>
          </cell>
          <cell r="E1556">
            <v>12753</v>
          </cell>
        </row>
        <row r="1557">
          <cell r="A1557">
            <v>29169</v>
          </cell>
          <cell r="B1557">
            <v>259</v>
          </cell>
          <cell r="C1557">
            <v>34653</v>
          </cell>
          <cell r="D1557">
            <v>4664</v>
          </cell>
          <cell r="E1557">
            <v>11765</v>
          </cell>
        </row>
        <row r="1558">
          <cell r="A1558">
            <v>29170</v>
          </cell>
          <cell r="B1558">
            <v>259</v>
          </cell>
          <cell r="C1558">
            <v>31991</v>
          </cell>
          <cell r="D1558">
            <v>4616</v>
          </cell>
          <cell r="E1558">
            <v>10500</v>
          </cell>
        </row>
        <row r="1559">
          <cell r="A1559">
            <v>29171</v>
          </cell>
          <cell r="B1559">
            <v>259</v>
          </cell>
          <cell r="C1559">
            <v>33818</v>
          </cell>
          <cell r="D1559">
            <v>9698</v>
          </cell>
          <cell r="E1559">
            <v>6463</v>
          </cell>
        </row>
        <row r="1560">
          <cell r="A1560">
            <v>29172</v>
          </cell>
          <cell r="B1560">
            <v>259</v>
          </cell>
          <cell r="C1560">
            <v>33818</v>
          </cell>
          <cell r="D1560">
            <v>9698</v>
          </cell>
          <cell r="E1560">
            <v>6463</v>
          </cell>
        </row>
        <row r="1561">
          <cell r="A1561">
            <v>29173</v>
          </cell>
          <cell r="B1561">
            <v>259</v>
          </cell>
          <cell r="C1561">
            <v>31991</v>
          </cell>
          <cell r="D1561">
            <v>4616</v>
          </cell>
          <cell r="E1561">
            <v>10500</v>
          </cell>
        </row>
        <row r="1562">
          <cell r="A1562">
            <v>29182</v>
          </cell>
          <cell r="B1562">
            <v>259</v>
          </cell>
          <cell r="C1562">
            <v>68449</v>
          </cell>
          <cell r="D1562">
            <v>14933</v>
          </cell>
          <cell r="E1562">
            <v>15062</v>
          </cell>
        </row>
        <row r="1563">
          <cell r="A1563">
            <v>29183</v>
          </cell>
          <cell r="B1563">
            <v>259</v>
          </cell>
          <cell r="C1563">
            <v>69112</v>
          </cell>
          <cell r="D1563">
            <v>12743</v>
          </cell>
          <cell r="E1563">
            <v>18377</v>
          </cell>
        </row>
        <row r="1564">
          <cell r="A1564">
            <v>29215</v>
          </cell>
          <cell r="B1564">
            <v>259</v>
          </cell>
          <cell r="C1564">
            <v>10019</v>
          </cell>
          <cell r="D1564">
            <v>1087</v>
          </cell>
          <cell r="E1564">
            <v>3264</v>
          </cell>
        </row>
        <row r="1565">
          <cell r="A1565">
            <v>29224</v>
          </cell>
          <cell r="B1565">
            <v>259</v>
          </cell>
          <cell r="C1565">
            <v>85330</v>
          </cell>
          <cell r="D1565">
            <v>21283</v>
          </cell>
          <cell r="E1565">
            <v>18096</v>
          </cell>
        </row>
        <row r="1566">
          <cell r="A1566">
            <v>29232</v>
          </cell>
          <cell r="B1566">
            <v>259</v>
          </cell>
          <cell r="C1566">
            <v>98777</v>
          </cell>
          <cell r="D1566">
            <v>24799</v>
          </cell>
          <cell r="E1566">
            <v>19996</v>
          </cell>
        </row>
        <row r="1567">
          <cell r="A1567">
            <v>29368</v>
          </cell>
          <cell r="B1567">
            <v>259</v>
          </cell>
          <cell r="C1567">
            <v>16517</v>
          </cell>
          <cell r="D1567">
            <v>2339</v>
          </cell>
          <cell r="E1567">
            <v>6418</v>
          </cell>
        </row>
        <row r="1568">
          <cell r="A1568">
            <v>29409</v>
          </cell>
          <cell r="B1568">
            <v>259</v>
          </cell>
          <cell r="C1568">
            <v>18454</v>
          </cell>
          <cell r="D1568">
            <v>7074</v>
          </cell>
          <cell r="E1568">
            <v>3469</v>
          </cell>
        </row>
        <row r="1569">
          <cell r="A1569">
            <v>29410</v>
          </cell>
          <cell r="B1569">
            <v>259</v>
          </cell>
          <cell r="C1569">
            <v>18218</v>
          </cell>
          <cell r="D1569">
            <v>2253</v>
          </cell>
          <cell r="E1569">
            <v>8591</v>
          </cell>
        </row>
        <row r="1570">
          <cell r="A1570">
            <v>29415</v>
          </cell>
          <cell r="B1570">
            <v>259</v>
          </cell>
          <cell r="C1570">
            <v>20715</v>
          </cell>
          <cell r="D1570">
            <v>8790</v>
          </cell>
          <cell r="E1570">
            <v>3593</v>
          </cell>
        </row>
        <row r="1571">
          <cell r="A1571">
            <v>29442</v>
          </cell>
          <cell r="B1571">
            <v>259</v>
          </cell>
          <cell r="C1571">
            <v>18565</v>
          </cell>
          <cell r="D1571">
            <v>7352</v>
          </cell>
          <cell r="E1571">
            <v>2358</v>
          </cell>
        </row>
        <row r="1572">
          <cell r="A1572">
            <v>29488</v>
          </cell>
          <cell r="B1572">
            <v>259</v>
          </cell>
          <cell r="C1572">
            <v>11652</v>
          </cell>
          <cell r="D1572">
            <v>2884</v>
          </cell>
          <cell r="E1572">
            <v>3653</v>
          </cell>
        </row>
        <row r="1573">
          <cell r="A1573">
            <v>29490</v>
          </cell>
          <cell r="B1573">
            <v>259</v>
          </cell>
          <cell r="C1573">
            <v>15635</v>
          </cell>
          <cell r="D1573">
            <v>2548</v>
          </cell>
          <cell r="E1573">
            <v>6473</v>
          </cell>
        </row>
        <row r="1574">
          <cell r="A1574">
            <v>29492</v>
          </cell>
          <cell r="B1574">
            <v>259</v>
          </cell>
          <cell r="C1574">
            <v>16034</v>
          </cell>
          <cell r="D1574">
            <v>2548</v>
          </cell>
          <cell r="E1574">
            <v>6872</v>
          </cell>
        </row>
        <row r="1575">
          <cell r="A1575">
            <v>29533</v>
          </cell>
          <cell r="B1575">
            <v>259</v>
          </cell>
          <cell r="C1575">
            <v>11793</v>
          </cell>
          <cell r="D1575">
            <v>3071</v>
          </cell>
          <cell r="E1575">
            <v>3283</v>
          </cell>
        </row>
        <row r="1576">
          <cell r="A1576">
            <v>29547</v>
          </cell>
          <cell r="B1576">
            <v>259</v>
          </cell>
          <cell r="C1576">
            <v>11354</v>
          </cell>
          <cell r="D1576">
            <v>2013</v>
          </cell>
          <cell r="E1576">
            <v>4799</v>
          </cell>
        </row>
        <row r="1577">
          <cell r="A1577">
            <v>29548</v>
          </cell>
          <cell r="B1577">
            <v>259</v>
          </cell>
          <cell r="C1577">
            <v>10867</v>
          </cell>
          <cell r="D1577">
            <v>2904</v>
          </cell>
          <cell r="E1577">
            <v>2676</v>
          </cell>
        </row>
        <row r="1578">
          <cell r="A1578">
            <v>29550</v>
          </cell>
          <cell r="B1578">
            <v>259</v>
          </cell>
          <cell r="C1578">
            <v>13609</v>
          </cell>
          <cell r="D1578">
            <v>3980</v>
          </cell>
          <cell r="E1578">
            <v>3061</v>
          </cell>
        </row>
        <row r="1579">
          <cell r="A1579">
            <v>29551</v>
          </cell>
          <cell r="B1579">
            <v>259</v>
          </cell>
          <cell r="C1579">
            <v>13609</v>
          </cell>
          <cell r="D1579">
            <v>3980</v>
          </cell>
          <cell r="E1579">
            <v>3061</v>
          </cell>
        </row>
        <row r="1580">
          <cell r="A1580">
            <v>29553</v>
          </cell>
          <cell r="B1580">
            <v>259</v>
          </cell>
          <cell r="C1580">
            <v>11354</v>
          </cell>
          <cell r="D1580">
            <v>2013</v>
          </cell>
          <cell r="E1580">
            <v>4799</v>
          </cell>
        </row>
        <row r="1581">
          <cell r="A1581">
            <v>29559</v>
          </cell>
          <cell r="B1581">
            <v>259</v>
          </cell>
          <cell r="C1581">
            <v>13609</v>
          </cell>
          <cell r="D1581">
            <v>3980</v>
          </cell>
          <cell r="E1581">
            <v>3061</v>
          </cell>
        </row>
        <row r="1582">
          <cell r="A1582">
            <v>29565</v>
          </cell>
          <cell r="B1582">
            <v>259</v>
          </cell>
          <cell r="C1582">
            <v>16034</v>
          </cell>
          <cell r="D1582">
            <v>2548</v>
          </cell>
          <cell r="E1582">
            <v>6872</v>
          </cell>
        </row>
        <row r="1583">
          <cell r="A1583">
            <v>29570</v>
          </cell>
          <cell r="B1583">
            <v>259</v>
          </cell>
          <cell r="C1583">
            <v>16751</v>
          </cell>
          <cell r="D1583">
            <v>5400</v>
          </cell>
          <cell r="E1583">
            <v>3163</v>
          </cell>
        </row>
        <row r="1584">
          <cell r="A1584">
            <v>29571</v>
          </cell>
          <cell r="B1584">
            <v>259</v>
          </cell>
          <cell r="C1584">
            <v>16034</v>
          </cell>
          <cell r="D1584">
            <v>2548</v>
          </cell>
          <cell r="E1584">
            <v>6872</v>
          </cell>
        </row>
        <row r="1585">
          <cell r="A1585">
            <v>29573</v>
          </cell>
          <cell r="B1585">
            <v>259</v>
          </cell>
          <cell r="C1585">
            <v>16751</v>
          </cell>
          <cell r="D1585">
            <v>5400</v>
          </cell>
          <cell r="E1585">
            <v>3163</v>
          </cell>
        </row>
        <row r="1586">
          <cell r="A1586">
            <v>29575</v>
          </cell>
          <cell r="B1586">
            <v>259</v>
          </cell>
          <cell r="C1586">
            <v>16751</v>
          </cell>
          <cell r="D1586">
            <v>5400</v>
          </cell>
          <cell r="E1586">
            <v>3163</v>
          </cell>
        </row>
        <row r="1587">
          <cell r="A1587">
            <v>29577</v>
          </cell>
          <cell r="B1587">
            <v>259</v>
          </cell>
          <cell r="C1587">
            <v>16751</v>
          </cell>
          <cell r="D1587">
            <v>5400</v>
          </cell>
          <cell r="E1587">
            <v>3163</v>
          </cell>
        </row>
        <row r="1588">
          <cell r="A1588">
            <v>29587</v>
          </cell>
          <cell r="B1588">
            <v>259</v>
          </cell>
          <cell r="C1588">
            <v>16846</v>
          </cell>
          <cell r="D1588">
            <v>5495</v>
          </cell>
          <cell r="E1588">
            <v>3163</v>
          </cell>
        </row>
        <row r="1589">
          <cell r="A1589">
            <v>29716</v>
          </cell>
          <cell r="B1589">
            <v>259</v>
          </cell>
          <cell r="C1589">
            <v>14535</v>
          </cell>
          <cell r="D1589">
            <v>2651</v>
          </cell>
          <cell r="E1589">
            <v>5885</v>
          </cell>
        </row>
        <row r="1590">
          <cell r="A1590">
            <v>29750</v>
          </cell>
          <cell r="B1590">
            <v>259</v>
          </cell>
          <cell r="C1590">
            <v>14381</v>
          </cell>
          <cell r="D1590">
            <v>4001</v>
          </cell>
          <cell r="E1590">
            <v>4527</v>
          </cell>
        </row>
        <row r="1591">
          <cell r="A1591">
            <v>29752</v>
          </cell>
          <cell r="B1591">
            <v>259</v>
          </cell>
          <cell r="C1591">
            <v>16309</v>
          </cell>
          <cell r="D1591">
            <v>3966</v>
          </cell>
          <cell r="E1591">
            <v>5287</v>
          </cell>
        </row>
        <row r="1592">
          <cell r="A1592">
            <v>29753</v>
          </cell>
          <cell r="B1592">
            <v>259</v>
          </cell>
          <cell r="C1592">
            <v>14381</v>
          </cell>
          <cell r="D1592">
            <v>4001</v>
          </cell>
          <cell r="E1592">
            <v>4527</v>
          </cell>
        </row>
        <row r="1593">
          <cell r="A1593">
            <v>29756</v>
          </cell>
          <cell r="B1593">
            <v>259</v>
          </cell>
          <cell r="C1593">
            <v>85330</v>
          </cell>
          <cell r="D1593">
            <v>21283</v>
          </cell>
          <cell r="E1593">
            <v>18096</v>
          </cell>
        </row>
        <row r="1594">
          <cell r="A1594">
            <v>29761</v>
          </cell>
          <cell r="B1594">
            <v>259</v>
          </cell>
          <cell r="C1594">
            <v>29731</v>
          </cell>
          <cell r="D1594">
            <v>5176</v>
          </cell>
          <cell r="E1594">
            <v>6773</v>
          </cell>
        </row>
        <row r="1595">
          <cell r="A1595">
            <v>29772</v>
          </cell>
          <cell r="B1595">
            <v>259</v>
          </cell>
          <cell r="C1595">
            <v>31675</v>
          </cell>
          <cell r="D1595">
            <v>5349</v>
          </cell>
          <cell r="E1595">
            <v>7397</v>
          </cell>
        </row>
        <row r="1596">
          <cell r="A1596">
            <v>29816</v>
          </cell>
          <cell r="B1596">
            <v>259</v>
          </cell>
          <cell r="C1596">
            <v>109338</v>
          </cell>
          <cell r="D1596">
            <v>17178</v>
          </cell>
          <cell r="E1596">
            <v>30987</v>
          </cell>
        </row>
        <row r="1597">
          <cell r="A1597">
            <v>30080</v>
          </cell>
          <cell r="B1597">
            <v>259</v>
          </cell>
          <cell r="C1597">
            <v>80212</v>
          </cell>
          <cell r="D1597">
            <v>15905</v>
          </cell>
          <cell r="E1597">
            <v>19845</v>
          </cell>
        </row>
        <row r="1598">
          <cell r="A1598">
            <v>30706</v>
          </cell>
          <cell r="B1598">
            <v>259</v>
          </cell>
          <cell r="C1598">
            <v>111304</v>
          </cell>
          <cell r="D1598">
            <v>24145</v>
          </cell>
          <cell r="E1598">
            <v>27945</v>
          </cell>
        </row>
        <row r="1599">
          <cell r="A1599">
            <v>30776</v>
          </cell>
          <cell r="B1599">
            <v>259</v>
          </cell>
          <cell r="C1599">
            <v>110988</v>
          </cell>
          <cell r="D1599">
            <v>23790</v>
          </cell>
          <cell r="E1599">
            <v>21928</v>
          </cell>
        </row>
        <row r="1600">
          <cell r="A1600">
            <v>30782</v>
          </cell>
          <cell r="B1600">
            <v>259</v>
          </cell>
          <cell r="C1600">
            <v>9845</v>
          </cell>
          <cell r="D1600">
            <v>1614</v>
          </cell>
          <cell r="E1600">
            <v>4391</v>
          </cell>
        </row>
        <row r="1601">
          <cell r="A1601">
            <v>30784</v>
          </cell>
          <cell r="B1601">
            <v>259</v>
          </cell>
          <cell r="C1601">
            <v>22562</v>
          </cell>
          <cell r="D1601">
            <v>6440</v>
          </cell>
          <cell r="E1601">
            <v>6531</v>
          </cell>
        </row>
        <row r="1602">
          <cell r="A1602">
            <v>30791</v>
          </cell>
          <cell r="B1602">
            <v>259</v>
          </cell>
          <cell r="C1602">
            <v>70300</v>
          </cell>
          <cell r="D1602">
            <v>14924</v>
          </cell>
          <cell r="E1602">
            <v>15773</v>
          </cell>
        </row>
        <row r="1603">
          <cell r="A1603">
            <v>30792</v>
          </cell>
          <cell r="B1603">
            <v>259</v>
          </cell>
          <cell r="C1603">
            <v>72806</v>
          </cell>
          <cell r="D1603">
            <v>15273</v>
          </cell>
          <cell r="E1603">
            <v>17210</v>
          </cell>
        </row>
        <row r="1604">
          <cell r="A1604">
            <v>30805</v>
          </cell>
          <cell r="B1604">
            <v>259</v>
          </cell>
          <cell r="C1604">
            <v>16034</v>
          </cell>
          <cell r="D1604">
            <v>2548</v>
          </cell>
          <cell r="E1604">
            <v>6872</v>
          </cell>
        </row>
        <row r="1605">
          <cell r="A1605">
            <v>30813</v>
          </cell>
          <cell r="B1605">
            <v>259</v>
          </cell>
          <cell r="C1605">
            <v>88266</v>
          </cell>
          <cell r="D1605">
            <v>18457</v>
          </cell>
          <cell r="E1605">
            <v>21209</v>
          </cell>
        </row>
        <row r="1606">
          <cell r="A1606">
            <v>30814</v>
          </cell>
          <cell r="B1606">
            <v>259</v>
          </cell>
          <cell r="C1606">
            <v>88266</v>
          </cell>
          <cell r="D1606">
            <v>18457</v>
          </cell>
          <cell r="E1606">
            <v>21209</v>
          </cell>
        </row>
        <row r="1607">
          <cell r="A1607">
            <v>30815</v>
          </cell>
          <cell r="B1607">
            <v>259</v>
          </cell>
          <cell r="C1607">
            <v>114334</v>
          </cell>
          <cell r="D1607">
            <v>24225</v>
          </cell>
          <cell r="E1607">
            <v>28193</v>
          </cell>
        </row>
        <row r="1608">
          <cell r="A1608">
            <v>30816</v>
          </cell>
          <cell r="B1608">
            <v>259</v>
          </cell>
          <cell r="C1608">
            <v>105554</v>
          </cell>
          <cell r="D1608">
            <v>22329</v>
          </cell>
          <cell r="E1608">
            <v>27562</v>
          </cell>
        </row>
        <row r="1609">
          <cell r="A1609">
            <v>30817</v>
          </cell>
          <cell r="B1609">
            <v>259</v>
          </cell>
          <cell r="C1609">
            <v>89004</v>
          </cell>
          <cell r="D1609">
            <v>19521</v>
          </cell>
          <cell r="E1609">
            <v>22654</v>
          </cell>
        </row>
        <row r="1610">
          <cell r="A1610">
            <v>30818</v>
          </cell>
          <cell r="B1610">
            <v>259</v>
          </cell>
          <cell r="C1610">
            <v>94419</v>
          </cell>
          <cell r="D1610">
            <v>20159</v>
          </cell>
          <cell r="E1610">
            <v>24249</v>
          </cell>
        </row>
        <row r="1611">
          <cell r="A1611">
            <v>30820</v>
          </cell>
          <cell r="B1611">
            <v>259</v>
          </cell>
          <cell r="C1611">
            <v>47431</v>
          </cell>
          <cell r="D1611">
            <v>9564</v>
          </cell>
          <cell r="E1611">
            <v>12594</v>
          </cell>
        </row>
        <row r="1612">
          <cell r="A1612">
            <v>30841</v>
          </cell>
          <cell r="B1612">
            <v>259</v>
          </cell>
          <cell r="C1612">
            <v>93653</v>
          </cell>
          <cell r="D1612">
            <v>24513</v>
          </cell>
          <cell r="E1612">
            <v>20200</v>
          </cell>
        </row>
        <row r="1613">
          <cell r="A1613">
            <v>30842</v>
          </cell>
          <cell r="B1613">
            <v>259</v>
          </cell>
          <cell r="C1613">
            <v>99593</v>
          </cell>
          <cell r="D1613">
            <v>15808</v>
          </cell>
          <cell r="E1613">
            <v>29477</v>
          </cell>
        </row>
        <row r="1614">
          <cell r="A1614">
            <v>30860</v>
          </cell>
          <cell r="B1614">
            <v>259</v>
          </cell>
          <cell r="C1614">
            <v>83953</v>
          </cell>
          <cell r="D1614">
            <v>22902</v>
          </cell>
          <cell r="E1614">
            <v>17220</v>
          </cell>
        </row>
        <row r="1615">
          <cell r="A1615">
            <v>30862</v>
          </cell>
          <cell r="B1615">
            <v>259</v>
          </cell>
          <cell r="C1615">
            <v>132319</v>
          </cell>
          <cell r="D1615">
            <v>33367</v>
          </cell>
          <cell r="E1615">
            <v>25685</v>
          </cell>
        </row>
        <row r="1616">
          <cell r="A1616">
            <v>30863</v>
          </cell>
          <cell r="B1616">
            <v>259</v>
          </cell>
          <cell r="C1616">
            <v>150059</v>
          </cell>
          <cell r="D1616">
            <v>37294</v>
          </cell>
          <cell r="E1616">
            <v>29775</v>
          </cell>
        </row>
        <row r="1617">
          <cell r="A1617">
            <v>30864</v>
          </cell>
          <cell r="B1617">
            <v>259</v>
          </cell>
          <cell r="C1617">
            <v>101816</v>
          </cell>
          <cell r="D1617">
            <v>23964</v>
          </cell>
          <cell r="E1617">
            <v>23295</v>
          </cell>
        </row>
        <row r="1618">
          <cell r="A1618">
            <v>30865</v>
          </cell>
          <cell r="B1618">
            <v>259</v>
          </cell>
          <cell r="C1618">
            <v>78475</v>
          </cell>
          <cell r="D1618">
            <v>11926</v>
          </cell>
          <cell r="E1618">
            <v>24133</v>
          </cell>
        </row>
        <row r="1619">
          <cell r="A1619">
            <v>30903</v>
          </cell>
          <cell r="B1619">
            <v>259</v>
          </cell>
          <cell r="C1619">
            <v>66284</v>
          </cell>
          <cell r="D1619">
            <v>11652</v>
          </cell>
          <cell r="E1619">
            <v>15420</v>
          </cell>
        </row>
        <row r="1620">
          <cell r="A1620">
            <v>30904</v>
          </cell>
          <cell r="B1620">
            <v>259</v>
          </cell>
          <cell r="C1620">
            <v>75795</v>
          </cell>
          <cell r="D1620">
            <v>9199</v>
          </cell>
          <cell r="E1620">
            <v>25172</v>
          </cell>
        </row>
        <row r="1621">
          <cell r="A1621">
            <v>30981</v>
          </cell>
          <cell r="B1621">
            <v>259</v>
          </cell>
          <cell r="C1621">
            <v>5380</v>
          </cell>
          <cell r="D1621">
            <v>888</v>
          </cell>
          <cell r="E1621">
            <v>2551</v>
          </cell>
        </row>
        <row r="1622">
          <cell r="A1622">
            <v>31013</v>
          </cell>
          <cell r="B1622">
            <v>259</v>
          </cell>
          <cell r="C1622">
            <v>4702</v>
          </cell>
          <cell r="D1622">
            <v>716</v>
          </cell>
          <cell r="E1622">
            <v>1295</v>
          </cell>
        </row>
        <row r="1623">
          <cell r="A1623">
            <v>31014</v>
          </cell>
          <cell r="B1623">
            <v>259</v>
          </cell>
          <cell r="C1623">
            <v>4057</v>
          </cell>
          <cell r="D1623">
            <v>1056</v>
          </cell>
          <cell r="E1623">
            <v>896</v>
          </cell>
        </row>
        <row r="1624">
          <cell r="A1624">
            <v>31105</v>
          </cell>
          <cell r="B1624">
            <v>259</v>
          </cell>
          <cell r="C1624">
            <v>28903</v>
          </cell>
          <cell r="D1624">
            <v>4996</v>
          </cell>
          <cell r="E1624">
            <v>7749</v>
          </cell>
        </row>
        <row r="1625">
          <cell r="A1625">
            <v>31108</v>
          </cell>
          <cell r="B1625">
            <v>259</v>
          </cell>
          <cell r="C1625">
            <v>27140</v>
          </cell>
          <cell r="D1625">
            <v>6330</v>
          </cell>
          <cell r="E1625">
            <v>6292</v>
          </cell>
        </row>
        <row r="1626">
          <cell r="A1626">
            <v>31144</v>
          </cell>
          <cell r="B1626">
            <v>259</v>
          </cell>
          <cell r="C1626">
            <v>13924</v>
          </cell>
          <cell r="D1626">
            <v>5340</v>
          </cell>
          <cell r="E1626">
            <v>3564</v>
          </cell>
        </row>
        <row r="1627">
          <cell r="A1627">
            <v>31167</v>
          </cell>
          <cell r="B1627">
            <v>259</v>
          </cell>
          <cell r="C1627">
            <v>9267</v>
          </cell>
          <cell r="D1627">
            <v>1766</v>
          </cell>
          <cell r="E1627">
            <v>3670</v>
          </cell>
        </row>
        <row r="1628">
          <cell r="A1628">
            <v>31171</v>
          </cell>
          <cell r="B1628">
            <v>259</v>
          </cell>
          <cell r="C1628">
            <v>58426</v>
          </cell>
          <cell r="D1628">
            <v>13235</v>
          </cell>
          <cell r="E1628">
            <v>12669</v>
          </cell>
        </row>
        <row r="1629">
          <cell r="A1629">
            <v>31172</v>
          </cell>
          <cell r="B1629">
            <v>259</v>
          </cell>
          <cell r="C1629">
            <v>61474</v>
          </cell>
          <cell r="D1629">
            <v>10807</v>
          </cell>
          <cell r="E1629">
            <v>17246</v>
          </cell>
        </row>
        <row r="1630">
          <cell r="A1630">
            <v>31183</v>
          </cell>
          <cell r="B1630">
            <v>259</v>
          </cell>
          <cell r="C1630">
            <v>101828</v>
          </cell>
          <cell r="D1630">
            <v>20085</v>
          </cell>
          <cell r="E1630">
            <v>27714</v>
          </cell>
        </row>
        <row r="1631">
          <cell r="A1631">
            <v>31184</v>
          </cell>
          <cell r="B1631">
            <v>259</v>
          </cell>
          <cell r="C1631">
            <v>90118</v>
          </cell>
          <cell r="D1631">
            <v>19614</v>
          </cell>
          <cell r="E1631">
            <v>20488</v>
          </cell>
        </row>
        <row r="1632">
          <cell r="A1632">
            <v>31192</v>
          </cell>
          <cell r="B1632">
            <v>259</v>
          </cell>
          <cell r="C1632">
            <v>45942</v>
          </cell>
          <cell r="D1632">
            <v>7028</v>
          </cell>
          <cell r="E1632">
            <v>12929</v>
          </cell>
        </row>
        <row r="1633">
          <cell r="A1633">
            <v>31193</v>
          </cell>
          <cell r="B1633">
            <v>259</v>
          </cell>
          <cell r="C1633">
            <v>74110</v>
          </cell>
          <cell r="D1633">
            <v>19466</v>
          </cell>
          <cell r="E1633">
            <v>12705</v>
          </cell>
        </row>
        <row r="1634">
          <cell r="A1634">
            <v>31198</v>
          </cell>
          <cell r="B1634">
            <v>259</v>
          </cell>
          <cell r="C1634">
            <v>83278</v>
          </cell>
          <cell r="D1634">
            <v>13085</v>
          </cell>
          <cell r="E1634">
            <v>23360</v>
          </cell>
        </row>
        <row r="1635">
          <cell r="A1635">
            <v>31204</v>
          </cell>
          <cell r="B1635">
            <v>259</v>
          </cell>
          <cell r="C1635">
            <v>21207</v>
          </cell>
          <cell r="D1635">
            <v>8543</v>
          </cell>
          <cell r="E1635">
            <v>3854</v>
          </cell>
        </row>
        <row r="1636">
          <cell r="A1636">
            <v>31205</v>
          </cell>
          <cell r="B1636">
            <v>259</v>
          </cell>
          <cell r="C1636">
            <v>117375</v>
          </cell>
          <cell r="D1636">
            <v>18265</v>
          </cell>
          <cell r="E1636">
            <v>33986</v>
          </cell>
        </row>
        <row r="1637">
          <cell r="A1637">
            <v>31206</v>
          </cell>
          <cell r="B1637">
            <v>259</v>
          </cell>
          <cell r="C1637">
            <v>120456</v>
          </cell>
          <cell r="D1637">
            <v>18627</v>
          </cell>
          <cell r="E1637">
            <v>33907</v>
          </cell>
        </row>
        <row r="1638">
          <cell r="A1638">
            <v>31207</v>
          </cell>
          <cell r="B1638">
            <v>259</v>
          </cell>
          <cell r="C1638">
            <v>120028</v>
          </cell>
          <cell r="D1638">
            <v>27500</v>
          </cell>
          <cell r="E1638">
            <v>21689</v>
          </cell>
        </row>
        <row r="1639">
          <cell r="A1639">
            <v>31208</v>
          </cell>
          <cell r="B1639">
            <v>259</v>
          </cell>
          <cell r="C1639">
            <v>108108</v>
          </cell>
          <cell r="D1639">
            <v>25657</v>
          </cell>
          <cell r="E1639">
            <v>19580</v>
          </cell>
        </row>
        <row r="1640">
          <cell r="A1640">
            <v>31210</v>
          </cell>
          <cell r="B1640">
            <v>259</v>
          </cell>
          <cell r="C1640">
            <v>93432</v>
          </cell>
          <cell r="D1640">
            <v>12095</v>
          </cell>
          <cell r="E1640">
            <v>29205</v>
          </cell>
        </row>
        <row r="1641">
          <cell r="A1641">
            <v>31211</v>
          </cell>
          <cell r="B1641">
            <v>259</v>
          </cell>
          <cell r="C1641">
            <v>31415</v>
          </cell>
          <cell r="D1641">
            <v>9189</v>
          </cell>
          <cell r="E1641">
            <v>4764</v>
          </cell>
        </row>
        <row r="1642">
          <cell r="A1642">
            <v>31212</v>
          </cell>
          <cell r="B1642">
            <v>259</v>
          </cell>
          <cell r="C1642">
            <v>89330</v>
          </cell>
          <cell r="D1642">
            <v>11314</v>
          </cell>
          <cell r="E1642">
            <v>28166</v>
          </cell>
        </row>
        <row r="1643">
          <cell r="A1643">
            <v>31213</v>
          </cell>
          <cell r="B1643">
            <v>259</v>
          </cell>
          <cell r="C1643">
            <v>86766</v>
          </cell>
          <cell r="D1643">
            <v>22175</v>
          </cell>
          <cell r="E1643">
            <v>13522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sql2014a8.sandag.org ws flow2015day" connectionId="2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name="socioeca8.sandag.org ws_abm2_f4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hwycov_id" tableColumnId="1"/>
      <queryTableField id="2" name="scenario_id" tableColumnId="2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6" name="ws" displayName="ws" ref="A1:P652" totalsRowShown="0">
  <autoFilter ref="A1:P652"/>
  <sortState ref="A2:P652">
    <sortCondition descending="1" ref="O2:O652"/>
    <sortCondition ref="P2:P652"/>
  </sortState>
  <tableColumns count="16">
    <tableColumn id="1" name="corridor" dataDxfId="665"/>
    <tableColumn id="2" name="dir" dataDxfId="664"/>
    <tableColumn id="3" name="hwycov_id" dataDxfId="663"/>
    <tableColumn id="4" name="ifc" dataDxfId="662"/>
    <tableColumn id="5" name="ihov" dataDxfId="661"/>
    <tableColumn id="6" name="name" dataDxfId="660"/>
    <tableColumn id="7" name="Miles" dataDxfId="659"/>
    <tableColumn id="8" name="length" dataDxfId="658"/>
    <tableColumn id="9" name="from" dataDxfId="657"/>
    <tableColumn id="10" name="to" dataDxfId="656"/>
    <tableColumn id="11" name="count" dataDxfId="655">
      <calculatedColumnFormula>VLOOKUP(ws[[#This Row],[hwycov_id]],count[],4,FALSE)</calculatedColumnFormula>
    </tableColumn>
    <tableColumn id="14" name="flow" dataDxfId="654">
      <calculatedColumnFormula>VLOOKUP(ws[[#This Row],[hwycov_id]],flow0[],5,FALSE)</calculatedColumnFormula>
    </tableColumn>
    <tableColumn id="17" name="gap" dataDxfId="653" dataCellStyle="Percent">
      <calculatedColumnFormula>ws[[#This Row],[flow]]/ws[[#This Row],[count]]-1</calculatedColumnFormula>
    </tableColumn>
    <tableColumn id="18" name="x2" dataDxfId="652">
      <calculatedColumnFormula>POWER((ws[[#This Row],[flow]]-ws[[#This Row],[count]]),2)</calculatedColumnFormula>
    </tableColumn>
    <tableColumn id="12" name="flag" dataDxfId="651">
      <calculatedColumnFormula>VLOOKUP(ws[[#This Row],[hwycov_id]],count!$A$630:$E$652,5,FALSE)</calculatedColumnFormula>
    </tableColumn>
    <tableColumn id="13" name="Column1" dataDxfId="65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flow0" displayName="flow0" ref="K1:O1643" tableType="queryTable" totalsRowShown="0">
  <autoFilter ref="K1:O1643"/>
  <tableColumns count="5">
    <tableColumn id="2" uniqueName="2" name="hwycov_id" queryTableFieldId="2"/>
    <tableColumn id="1" uniqueName="1" name="scenario_id" queryTableFieldId="1"/>
    <tableColumn id="3" uniqueName="3" name="flow_day" queryTableFieldId="3"/>
    <tableColumn id="4" uniqueName="4" name="flow_am" queryTableFieldId="4"/>
    <tableColumn id="5" uniqueName="5" name="flow_pm" queryTableFieldId="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able_socioeca8.sandag.org_ws_abm2_f4" displayName="Table_socioeca8.sandag.org_ws_abm2_f4" ref="E1:I1643" tableType="queryTable" totalsRowShown="0">
  <autoFilter ref="E1:I1643"/>
  <tableColumns count="5">
    <tableColumn id="1" uniqueName="1" name="hwycov_id" queryTableFieldId="1"/>
    <tableColumn id="2" uniqueName="2" name="scenario_id" queryTableFieldId="2"/>
    <tableColumn id="3" uniqueName="3" name="flow_day" queryTableFieldId="3"/>
    <tableColumn id="4" uniqueName="4" name="flow_am" queryTableFieldId="4"/>
    <tableColumn id="5" uniqueName="5" name="flow_pm" queryTableFieldId="5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c_1" displayName="c_1" ref="A1:L74" totalsRowShown="0" dataDxfId="629">
  <autoFilter ref="A1:L74"/>
  <sortState ref="A2:L75">
    <sortCondition descending="1" ref="L2:L75"/>
    <sortCondition ref="D2:D75"/>
  </sortState>
  <tableColumns count="12">
    <tableColumn id="1" name="corridor" dataDxfId="628"/>
    <tableColumn id="12" name="name" dataDxfId="627"/>
    <tableColumn id="2" name="hwycov_id" dataDxfId="626"/>
    <tableColumn id="3" name="Miles" dataDxfId="625"/>
    <tableColumn id="4" name="Length" dataDxfId="624"/>
    <tableColumn id="5" name="from_rd" dataDxfId="623"/>
    <tableColumn id="6" name="to_rd" dataDxfId="622"/>
    <tableColumn id="7" name="count" dataDxfId="621"/>
    <tableColumn id="8" name="flow" dataDxfId="620">
      <calculatedColumnFormula>VLOOKUP(c_1[[#This Row],[hwycov_id]],flow0[],5,FALSE)</calculatedColumnFormula>
    </tableColumn>
    <tableColumn id="9" name="gap" dataDxfId="619">
      <calculatedColumnFormula>I2/H2-1</calculatedColumnFormula>
    </tableColumn>
    <tableColumn id="11" name="x2" dataDxfId="618">
      <calculatedColumnFormula>POWER((I2-H2),2)</calculatedColumnFormula>
    </tableColumn>
    <tableColumn id="10" name="x3" dataDxfId="617">
      <calculatedColumnFormula>VLOOKUP(c_1[[#This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id="7" name="c_2" displayName="c_2" ref="A1:L55" totalsRowShown="0" tableBorderDxfId="612">
  <autoFilter ref="A1:L55"/>
  <sortState ref="A2:L60">
    <sortCondition descending="1" ref="L2:L60"/>
    <sortCondition ref="D2:D60"/>
  </sortState>
  <tableColumns count="12">
    <tableColumn id="1" name="corridor" dataDxfId="611"/>
    <tableColumn id="2" name="name" dataDxfId="610"/>
    <tableColumn id="3" name="hwycov_id" dataDxfId="609"/>
    <tableColumn id="4" name="Miles" dataDxfId="608"/>
    <tableColumn id="5" name="Length" dataDxfId="607"/>
    <tableColumn id="6" name="from_rd" dataDxfId="606"/>
    <tableColumn id="7" name="to_rd" dataDxfId="605"/>
    <tableColumn id="8" name="count" dataDxfId="604"/>
    <tableColumn id="9" name="flow" dataDxfId="603">
      <calculatedColumnFormula>VLOOKUP(I_15_NB!$C2,#REF!,3,FALSE)</calculatedColumnFormula>
    </tableColumn>
    <tableColumn id="10" name="gap" dataDxfId="602">
      <calculatedColumnFormula>I2/H2-1</calculatedColumnFormula>
    </tableColumn>
    <tableColumn id="11" name="x2" dataDxfId="601">
      <calculatedColumnFormula>POWER((I2-H2),2)</calculatedColumnFormula>
    </tableColumn>
    <tableColumn id="12" name="x3" dataDxfId="600">
      <calculatedColumnFormula>VLOOKUP(c_2[[#This Row],[hwycov_id]],count!$A$630:$E$652,5,FALSE)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id="8" name="c_3" displayName="c_3" ref="A1:L28" totalsRowShown="0" headerRowDxfId="595" dataDxfId="594">
  <autoFilter ref="A1:L28"/>
  <sortState ref="A2:L30">
    <sortCondition descending="1" ref="L2:L30"/>
    <sortCondition ref="D2:D30"/>
  </sortState>
  <tableColumns count="12">
    <tableColumn id="1" name="corridor" dataDxfId="593"/>
    <tableColumn id="2" name="name" dataDxfId="592"/>
    <tableColumn id="3" name="hwycov_id" dataDxfId="591"/>
    <tableColumn id="4" name="Miles" dataDxfId="590"/>
    <tableColumn id="5" name="Length" dataDxfId="589"/>
    <tableColumn id="6" name="from_rd" dataDxfId="588"/>
    <tableColumn id="7" name="to_rd" dataDxfId="587"/>
    <tableColumn id="8" name="count" dataDxfId="586"/>
    <tableColumn id="9" name="flow" dataDxfId="585">
      <calculatedColumnFormula>VLOOKUP(c_3[hwycov_id],flow0[],5,FALSE)</calculatedColumnFormula>
    </tableColumn>
    <tableColumn id="10" name="gap" dataDxfId="584">
      <calculatedColumnFormula>I2/H2-1</calculatedColumnFormula>
    </tableColumn>
    <tableColumn id="12" name="x2" dataDxfId="583">
      <calculatedColumnFormula>POWER((I2-H2),2)</calculatedColumnFormula>
    </tableColumn>
    <tableColumn id="11" name="x3" dataDxfId="582">
      <calculatedColumnFormula>VLOOKUP(c_3[[#This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id="9" name="c_4" displayName="c_4" ref="A1:L10" totalsRowShown="0" headerRowDxfId="577">
  <autoFilter ref="A1:L10"/>
  <sortState ref="A2:L11">
    <sortCondition descending="1" ref="L2:L11"/>
    <sortCondition ref="D2:D11"/>
  </sortState>
  <tableColumns count="12">
    <tableColumn id="1" name="corridor"/>
    <tableColumn id="2" name="name" dataDxfId="576"/>
    <tableColumn id="3" name="hwycov_id" dataDxfId="575"/>
    <tableColumn id="4" name="Miles" dataDxfId="574"/>
    <tableColumn id="5" name="Length" dataDxfId="573"/>
    <tableColumn id="6" name="from_rd" dataDxfId="572"/>
    <tableColumn id="7" name="to_rd" dataDxfId="571"/>
    <tableColumn id="8" name="count" dataDxfId="570"/>
    <tableColumn id="9" name="flow" dataDxfId="569">
      <calculatedColumnFormula>VLOOKUP(c_4[[#This Row],[hwycov_id]],#REF!,3,FALSE)</calculatedColumnFormula>
    </tableColumn>
    <tableColumn id="10" name="gap" dataDxfId="568">
      <calculatedColumnFormula>I2/H2-1</calculatedColumnFormula>
    </tableColumn>
    <tableColumn id="12" name="x2" dataDxfId="567">
      <calculatedColumnFormula>POWER((I2-H2),2)</calculatedColumnFormula>
    </tableColumn>
    <tableColumn id="11" name="x3" dataDxfId="566">
      <calculatedColumnFormula>VLOOKUP(c_4[[#This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id="10" name="c_5" displayName="c_5" ref="A1:L18" totalsRowShown="0" headerRowDxfId="559" dataDxfId="558">
  <autoFilter ref="A1:L18"/>
  <tableColumns count="12">
    <tableColumn id="1" name="corridor" dataDxfId="557"/>
    <tableColumn id="2" name="name" dataDxfId="556"/>
    <tableColumn id="3" name="hwycov_id" dataDxfId="555"/>
    <tableColumn id="4" name="Miles" dataDxfId="554"/>
    <tableColumn id="5" name="Length" dataDxfId="553"/>
    <tableColumn id="6" name="from_rd" dataDxfId="552"/>
    <tableColumn id="7" name="to_rd" dataDxfId="551"/>
    <tableColumn id="8" name="count" dataDxfId="550"/>
    <tableColumn id="9" name="flow" dataDxfId="549">
      <calculatedColumnFormula>VLOOKUP(c_5[[#This Row],[hwycov_id]],#REF!,3,FALSE)</calculatedColumnFormula>
    </tableColumn>
    <tableColumn id="10" name="gap" dataDxfId="548">
      <calculatedColumnFormula>I2/H2-1</calculatedColumnFormula>
    </tableColumn>
    <tableColumn id="12" name="x2" dataDxfId="547">
      <calculatedColumnFormula>POWER((I2-H2),2)</calculatedColumnFormula>
    </tableColumn>
    <tableColumn id="11" name="x3" dataDxfId="546">
      <calculatedColumnFormula>VLOOKUP(c_5[[#This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id="11" name="c_6" displayName="c_6" ref="A1:L4" totalsRowShown="0" headerRowDxfId="539">
  <autoFilter ref="A1:L4"/>
  <tableColumns count="12">
    <tableColumn id="1" name="corridor"/>
    <tableColumn id="2" name="name" dataDxfId="538"/>
    <tableColumn id="3" name="hwycov_id" dataDxfId="537"/>
    <tableColumn id="4" name="Miles" dataDxfId="536"/>
    <tableColumn id="5" name="Length" dataDxfId="535"/>
    <tableColumn id="6" name="from_rd" dataDxfId="534"/>
    <tableColumn id="7" name="to_rd" dataDxfId="533"/>
    <tableColumn id="8" name="count" dataDxfId="532"/>
    <tableColumn id="9" name="flow" dataDxfId="531">
      <calculatedColumnFormula>VLOOKUP(c_6[[#This Row],[hwycov_id]],flow0[],5,FALSE)</calculatedColumnFormula>
    </tableColumn>
    <tableColumn id="10" name="gap" dataDxfId="530">
      <calculatedColumnFormula>I2/H2-1</calculatedColumnFormula>
    </tableColumn>
    <tableColumn id="12" name="x2" dataDxfId="529">
      <calculatedColumnFormula>POWER((I2-H2),2)</calculatedColumnFormula>
    </tableColumn>
    <tableColumn id="11" name="x3" dataDxfId="528">
      <calculatedColumnFormula>VLOOKUP(c_6[[#This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id="12" name="c_7" displayName="c_7" ref="A1:L2" totalsRowShown="0" headerRowDxfId="523">
  <autoFilter ref="A1:L2"/>
  <tableColumns count="12">
    <tableColumn id="1" name="corridor"/>
    <tableColumn id="2" name="name" dataDxfId="522"/>
    <tableColumn id="3" name="hwycov_id" dataDxfId="521"/>
    <tableColumn id="4" name="Miles" dataDxfId="520"/>
    <tableColumn id="5" name="Length" dataDxfId="519"/>
    <tableColumn id="6" name="from_rd" dataDxfId="518"/>
    <tableColumn id="7" name="to_rd" dataDxfId="517"/>
    <tableColumn id="8" name="count" dataDxfId="516"/>
    <tableColumn id="9" name="flow" dataDxfId="515">
      <calculatedColumnFormula>VLOOKUP(c_7[[#This Row],[hwycov_id]],flow0[],5,FALSE)</calculatedColumnFormula>
    </tableColumn>
    <tableColumn id="10" name="gap" dataDxfId="514">
      <calculatedColumnFormula>I2/H2-1</calculatedColumnFormula>
    </tableColumn>
    <tableColumn id="12" name="x2" dataDxfId="513">
      <calculatedColumnFormula>POWER((I2-H2),2)</calculatedColumnFormula>
    </tableColumn>
    <tableColumn id="11" name="x3" dataDxfId="512">
      <calculatedColumnFormula>VLOOKUP(c_7[[#This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id="34" name="c_29" displayName="c_29" ref="A1:L14" totalsRowShown="0" headerRowDxfId="505" dataDxfId="504" headerRowCellStyle="20% - Accent1 10 2 2 2 2" dataCellStyle="20% - Accent1 10 2 2 2 2">
  <autoFilter ref="A1:L14"/>
  <tableColumns count="12">
    <tableColumn id="1" name="corridor" dataDxfId="503"/>
    <tableColumn id="2" name="name" dataDxfId="502"/>
    <tableColumn id="3" name="hwycov_id" dataDxfId="501"/>
    <tableColumn id="4" name="Miles" dataDxfId="500"/>
    <tableColumn id="5" name="Length" dataDxfId="499"/>
    <tableColumn id="6" name="from_rd" dataDxfId="498"/>
    <tableColumn id="7" name="to_rd" dataDxfId="497"/>
    <tableColumn id="8" name="count" dataDxfId="496"/>
    <tableColumn id="9" name="flow" dataDxfId="495">
      <calculatedColumnFormula>VLOOKUP(c_29[[#This Row],[hwycov_id]],#REF!,3,FALSE)</calculatedColumnFormula>
    </tableColumn>
    <tableColumn id="10" name="gap" dataDxfId="494">
      <calculatedColumnFormula>I2/H2-1</calculatedColumnFormula>
    </tableColumn>
    <tableColumn id="12" name="x2" dataDxfId="493">
      <calculatedColumnFormula>POWER((I2-H2),2)</calculatedColumnFormula>
    </tableColumn>
    <tableColumn id="11" name="x3" dataDxfId="492" dataCellStyle="20% - Accent1 10 2 2 2 2">
      <calculatedColumnFormula>VLOOKUP(c_29[[#This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id="5" name="c_31" displayName="c_31" ref="A1:L4" totalsRowShown="0" dataDxfId="485">
  <autoFilter ref="A1:L4"/>
  <tableColumns count="12">
    <tableColumn id="1" name="corridor" dataDxfId="484"/>
    <tableColumn id="12" name="name"/>
    <tableColumn id="2" name="hwycov_id" dataDxfId="483"/>
    <tableColumn id="3" name="Miles" dataDxfId="482"/>
    <tableColumn id="4" name="Length" dataDxfId="481"/>
    <tableColumn id="5" name="from_rd" dataDxfId="480"/>
    <tableColumn id="6" name="to_rd" dataDxfId="479"/>
    <tableColumn id="7" name="count" dataDxfId="478"/>
    <tableColumn id="8" name="flow" dataDxfId="477">
      <calculatedColumnFormula>VLOOKUP(c_31[[#This Row],[hwycov_id]],#REF!,3,FALSE)</calculatedColumnFormula>
    </tableColumn>
    <tableColumn id="9" name="gap" dataDxfId="476">
      <calculatedColumnFormula>I2/H2-1</calculatedColumnFormula>
    </tableColumn>
    <tableColumn id="11" name="x2" dataDxfId="475">
      <calculatedColumnFormula>POWER((I2-H2),2)</calculatedColumnFormula>
    </tableColumn>
    <tableColumn id="10" name="x3" dataDxfId="474">
      <calculatedColumnFormula>VLOOKUP(c_31[[#This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id="13" name="c_8" displayName="c_8" ref="A1:L68" totalsRowShown="0" headerRowDxfId="467" dataDxfId="466">
  <autoFilter ref="A1:L68"/>
  <sortState ref="A2:L73">
    <sortCondition descending="1" ref="L2:L73"/>
    <sortCondition ref="D2:D73"/>
  </sortState>
  <tableColumns count="12">
    <tableColumn id="1" name="corridor" dataDxfId="465"/>
    <tableColumn id="2" name="name" dataDxfId="464"/>
    <tableColumn id="3" name="hwycov_id" dataDxfId="463"/>
    <tableColumn id="4" name="Miles" dataDxfId="462"/>
    <tableColumn id="5" name="Length" dataDxfId="461"/>
    <tableColumn id="6" name="from_rd" dataDxfId="460"/>
    <tableColumn id="7" name="to_rd" dataDxfId="459"/>
    <tableColumn id="8" name="count" dataDxfId="458"/>
    <tableColumn id="9" name="flow" dataDxfId="457">
      <calculatedColumnFormula>VLOOKUP(c_8[[#This Row],[hwycov_id]],#REF!,3,FALSE)</calculatedColumnFormula>
    </tableColumn>
    <tableColumn id="10" name="gap" dataDxfId="456">
      <calculatedColumnFormula>I2/H2-1</calculatedColumnFormula>
    </tableColumn>
    <tableColumn id="12" name="x2" dataDxfId="455">
      <calculatedColumnFormula>POWER((I2-H2),2)</calculatedColumnFormula>
    </tableColumn>
    <tableColumn id="11" name="x3" dataDxfId="454">
      <calculatedColumnFormula>VLOOKUP(c_8[[#This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id="14" name="c_9" displayName="c_9" ref="A1:L58" totalsRowShown="0" headerRowDxfId="445" dataDxfId="444">
  <autoFilter ref="A1:L58"/>
  <tableColumns count="12">
    <tableColumn id="1" name="corridor" dataDxfId="443"/>
    <tableColumn id="2" name="name" dataDxfId="442"/>
    <tableColumn id="3" name="hwycov_id" dataDxfId="441"/>
    <tableColumn id="4" name="Miles" dataDxfId="440"/>
    <tableColumn id="5" name="Length" dataDxfId="439"/>
    <tableColumn id="6" name="from_rd" dataDxfId="438"/>
    <tableColumn id="7" name="to_rd" dataDxfId="437"/>
    <tableColumn id="8" name="count" dataDxfId="436"/>
    <tableColumn id="9" name="flow" dataDxfId="435">
      <calculatedColumnFormula>VLOOKUP(c_9[[#This Row],[hwycov_id]],flow0[],5,FALSE)</calculatedColumnFormula>
    </tableColumn>
    <tableColumn id="10" name="gap" dataDxfId="434">
      <calculatedColumnFormula>I2/H2-1</calculatedColumnFormula>
    </tableColumn>
    <tableColumn id="12" name="x2" dataDxfId="433">
      <calculatedColumnFormula>POWER((I2-H2),2)</calculatedColumnFormula>
    </tableColumn>
    <tableColumn id="11" name="x3" dataDxfId="432">
      <calculatedColumnFormula>VLOOKUP(c_9[[#This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id="15" name="c_10" displayName="c_10" ref="A1:L35" totalsRowShown="0" headerRowDxfId="425" dataDxfId="424">
  <autoFilter ref="A1:L35"/>
  <tableColumns count="12">
    <tableColumn id="1" name="corridor" dataDxfId="423"/>
    <tableColumn id="2" name="name" dataDxfId="422"/>
    <tableColumn id="3" name="hwycov_id" dataDxfId="421"/>
    <tableColumn id="4" name="Miles" dataDxfId="420"/>
    <tableColumn id="5" name="Length" dataDxfId="419"/>
    <tableColumn id="6" name="from_rd" dataDxfId="418"/>
    <tableColumn id="7" name="to_rd" dataDxfId="417"/>
    <tableColumn id="8" name="count" dataDxfId="416"/>
    <tableColumn id="9" name="flow" dataDxfId="415">
      <calculatedColumnFormula>VLOOKUP(c_10[[#This Row],[hwycov_id]],#REF!,3,FALSE)</calculatedColumnFormula>
    </tableColumn>
    <tableColumn id="10" name="gap" dataDxfId="414">
      <calculatedColumnFormula>I2/H2-1</calculatedColumnFormula>
    </tableColumn>
    <tableColumn id="12" name="x2" dataDxfId="413">
      <calculatedColumnFormula>POWER((I2-H2),2)</calculatedColumnFormula>
    </tableColumn>
    <tableColumn id="11" name="x3" dataDxfId="412">
      <calculatedColumnFormula>VLOOKUP(c_10[[#This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id="16" name="c_11" displayName="c_11" ref="A1:L11" totalsRowShown="0" headerRowDxfId="405" dataDxfId="404">
  <autoFilter ref="A1:L11"/>
  <tableColumns count="12">
    <tableColumn id="1" name="corridor" dataDxfId="403"/>
    <tableColumn id="2" name="name" dataDxfId="402"/>
    <tableColumn id="3" name="hwycov_id" dataDxfId="401"/>
    <tableColumn id="4" name="Miles" dataDxfId="400"/>
    <tableColumn id="5" name="Length" dataDxfId="399"/>
    <tableColumn id="6" name="from_rd" dataDxfId="398"/>
    <tableColumn id="7" name="to_rd" dataDxfId="397"/>
    <tableColumn id="8" name="count" dataDxfId="396"/>
    <tableColumn id="9" name="flow" dataDxfId="395">
      <calculatedColumnFormula>VLOOKUP(c_11[[#This Row],[hwycov_id]],#REF!,3,FALSE)</calculatedColumnFormula>
    </tableColumn>
    <tableColumn id="10" name="gap" dataDxfId="394">
      <calculatedColumnFormula>I2/H2-1</calculatedColumnFormula>
    </tableColumn>
    <tableColumn id="12" name="x2" dataDxfId="393">
      <calculatedColumnFormula>POWER((I2-H2),2)</calculatedColumnFormula>
    </tableColumn>
    <tableColumn id="11" name="x3" dataDxfId="392">
      <calculatedColumnFormula>VLOOKUP(c_11[[#This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id="17" name="c_12" displayName="c_12" ref="A1:L18" totalsRowShown="0" headerRowDxfId="385" dataDxfId="384">
  <autoFilter ref="A1:L18"/>
  <tableColumns count="12">
    <tableColumn id="1" name="corridor" dataDxfId="383"/>
    <tableColumn id="2" name="name" dataDxfId="382"/>
    <tableColumn id="3" name="hwycov_id" dataDxfId="381"/>
    <tableColumn id="4" name="Miles" dataDxfId="380"/>
    <tableColumn id="5" name="Length" dataDxfId="379"/>
    <tableColumn id="6" name="from_rd" dataDxfId="378"/>
    <tableColumn id="7" name="to_rd" dataDxfId="377"/>
    <tableColumn id="8" name="count" dataDxfId="376"/>
    <tableColumn id="9" name="flow" dataDxfId="375">
      <calculatedColumnFormula>VLOOKUP(c_12[[#This Row],[hwycov_id]],#REF!,3,FALSE)</calculatedColumnFormula>
    </tableColumn>
    <tableColumn id="10" name="gap" dataDxfId="374">
      <calculatedColumnFormula>I2/H2-1</calculatedColumnFormula>
    </tableColumn>
    <tableColumn id="12" name="x2" dataDxfId="373">
      <calculatedColumnFormula>POWER((I2-H2),2)</calculatedColumnFormula>
    </tableColumn>
    <tableColumn id="11" name="x3" dataDxfId="372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id="18" name="c_13" displayName="c_13" ref="A1:L3" totalsRowShown="0" headerRowDxfId="363" dataDxfId="362">
  <autoFilter ref="A1:L3"/>
  <tableColumns count="12">
    <tableColumn id="1" name="corridor" dataDxfId="361"/>
    <tableColumn id="2" name="name" dataDxfId="360"/>
    <tableColumn id="3" name="hwycov_id" dataDxfId="359"/>
    <tableColumn id="4" name="Miles" dataDxfId="358"/>
    <tableColumn id="5" name="Length" dataDxfId="357"/>
    <tableColumn id="6" name="from_rd" dataDxfId="356"/>
    <tableColumn id="7" name="to_rd" dataDxfId="355"/>
    <tableColumn id="8" name="count" dataDxfId="354"/>
    <tableColumn id="9" name="flow" dataDxfId="353">
      <calculatedColumnFormula>VLOOKUP(c_13[[#This Row],[hwycov_id]],flow0[],5,FALSE)</calculatedColumnFormula>
    </tableColumn>
    <tableColumn id="10" name="gap" dataDxfId="352">
      <calculatedColumnFormula>I2/H2-1</calculatedColumnFormula>
    </tableColumn>
    <tableColumn id="12" name="x2" dataDxfId="351">
      <calculatedColumnFormula>POWER((I2-H2),2)</calculatedColumnFormula>
    </tableColumn>
    <tableColumn id="11" name="x3" dataDxfId="350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id="19" name="c_14" displayName="c_14" ref="A1:L2" totalsRowShown="0" headerRowDxfId="343" dataDxfId="342">
  <autoFilter ref="A1:L2"/>
  <tableColumns count="12">
    <tableColumn id="1" name="corridor" dataDxfId="341"/>
    <tableColumn id="2" name="name" dataDxfId="340"/>
    <tableColumn id="3" name="hwycov_id" dataDxfId="339"/>
    <tableColumn id="4" name="Miles" dataDxfId="338"/>
    <tableColumn id="5" name="Length" dataDxfId="337"/>
    <tableColumn id="6" name="from_rd" dataDxfId="336"/>
    <tableColumn id="7" name="to_rd" dataDxfId="335"/>
    <tableColumn id="8" name="count" dataDxfId="334"/>
    <tableColumn id="9" name="flow" dataDxfId="333">
      <calculatedColumnFormula>VLOOKUP(c_14[[#This Row],[hwycov_id]],flow0[],5,FALSE)</calculatedColumnFormula>
    </tableColumn>
    <tableColumn id="10" name="gap" dataDxfId="332">
      <calculatedColumnFormula>I2/H2-1</calculatedColumnFormula>
    </tableColumn>
    <tableColumn id="12" name="x2" dataDxfId="331">
      <calculatedColumnFormula>POWER((I2-H2),2)</calculatedColumnFormula>
    </tableColumn>
    <tableColumn id="11" name="x3" dataDxfId="330">
      <calculatedColumnFormula>VLOOKUP(c_12[[#This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id="35" name="c_30" displayName="c_30" ref="A1:L11" totalsRowShown="0" headerRowDxfId="323" dataDxfId="322">
  <autoFilter ref="A1:L11"/>
  <tableColumns count="12">
    <tableColumn id="1" name="corridor" dataDxfId="321"/>
    <tableColumn id="2" name="name" dataDxfId="320"/>
    <tableColumn id="3" name="hwycov_id" dataDxfId="319"/>
    <tableColumn id="4" name="Miles" dataDxfId="318"/>
    <tableColumn id="5" name="Length" dataDxfId="317"/>
    <tableColumn id="6" name="from_rd" dataDxfId="316"/>
    <tableColumn id="7" name="to_rd" dataDxfId="315"/>
    <tableColumn id="8" name="count" dataDxfId="314"/>
    <tableColumn id="9" name="flow" dataDxfId="313">
      <calculatedColumnFormula>VLOOKUP(c_30[[#This Row],[hwycov_id]],#REF!,3,FALSE)</calculatedColumnFormula>
    </tableColumn>
    <tableColumn id="10" name="gap" dataDxfId="312">
      <calculatedColumnFormula>I2/H2-1</calculatedColumnFormula>
    </tableColumn>
    <tableColumn id="12" name="x2" dataDxfId="311">
      <calculatedColumnFormula>POWER((I2-H2),2)</calculatedColumnFormula>
    </tableColumn>
    <tableColumn id="11" name="x3" dataDxfId="310">
      <calculatedColumnFormula>VLOOKUP(c_30[[#This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id="36" name="c_32" displayName="c_32" ref="A1:L2" totalsRowShown="0" headerRowDxfId="303" dataDxfId="302">
  <autoFilter ref="A1:L2"/>
  <sortState ref="A2:L4">
    <sortCondition descending="1" ref="L2:L4"/>
    <sortCondition ref="D2:D4"/>
  </sortState>
  <tableColumns count="12">
    <tableColumn id="1" name="corridor" dataDxfId="301"/>
    <tableColumn id="2" name="name" dataDxfId="300"/>
    <tableColumn id="3" name="hwycov_id" dataDxfId="299"/>
    <tableColumn id="4" name="Miles" dataDxfId="298"/>
    <tableColumn id="5" name="Length" dataDxfId="297"/>
    <tableColumn id="6" name="from_rd" dataDxfId="296"/>
    <tableColumn id="7" name="to_rd" dataDxfId="295"/>
    <tableColumn id="8" name="count" dataDxfId="294"/>
    <tableColumn id="9" name="flow" dataDxfId="293">
      <calculatedColumnFormula>VLOOKUP(c_32[[#This Row],[hwycov_id]],#REF!,3,FALSE)</calculatedColumnFormula>
    </tableColumn>
    <tableColumn id="10" name="gap" dataDxfId="292">
      <calculatedColumnFormula>I2/H2-1</calculatedColumnFormula>
    </tableColumn>
    <tableColumn id="12" name="x2" dataDxfId="291">
      <calculatedColumnFormula>POWER((I2-H2),2)</calculatedColumnFormula>
    </tableColumn>
    <tableColumn id="11" name="x3" dataDxfId="290">
      <calculatedColumnFormula>VLOOKUP(c_32[[#This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id="20" name="c_15" displayName="c_15" ref="A1:L43" totalsRowShown="0" headerRowDxfId="285" dataDxfId="284">
  <autoFilter ref="A1:L43"/>
  <tableColumns count="12">
    <tableColumn id="1" name="corridor" dataDxfId="283"/>
    <tableColumn id="2" name="name" dataDxfId="282"/>
    <tableColumn id="3" name="hwycov_id" dataDxfId="281"/>
    <tableColumn id="4" name="Miles" dataDxfId="280"/>
    <tableColumn id="5" name="Length" dataDxfId="279"/>
    <tableColumn id="6" name="from_rd" dataDxfId="278"/>
    <tableColumn id="7" name="to_rd" dataDxfId="277"/>
    <tableColumn id="8" name="count" dataDxfId="276"/>
    <tableColumn id="9" name="flow" dataDxfId="275">
      <calculatedColumnFormula>VLOOKUP(c_15[[#This Row],[hwycov_id]],#REF!,3,FALSE)</calculatedColumnFormula>
    </tableColumn>
    <tableColumn id="10" name="gap" dataDxfId="274">
      <calculatedColumnFormula>I2/H2-1</calculatedColumnFormula>
    </tableColumn>
    <tableColumn id="12" name="x2" dataDxfId="273">
      <calculatedColumnFormula>POWER((I2-H2),2)</calculatedColumnFormula>
    </tableColumn>
    <tableColumn id="11" name="x3" dataDxfId="272">
      <calculatedColumnFormula>VLOOKUP(c_15[[#This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id="21" name="c_16" displayName="c_16" ref="A1:L25" totalsRowShown="0" headerRowDxfId="265" dataDxfId="264">
  <autoFilter ref="A1:L25"/>
  <sortState ref="A2:L26">
    <sortCondition descending="1" ref="L2:L26"/>
    <sortCondition ref="D2:D26"/>
  </sortState>
  <tableColumns count="12">
    <tableColumn id="1" name="corridor" dataDxfId="263"/>
    <tableColumn id="2" name="name" dataDxfId="262"/>
    <tableColumn id="3" name="hwycov_id" dataDxfId="261"/>
    <tableColumn id="4" name="Miles" dataDxfId="260"/>
    <tableColumn id="5" name="Length" dataDxfId="259"/>
    <tableColumn id="6" name="from_rd" dataDxfId="258"/>
    <tableColumn id="7" name="to_rd" dataDxfId="257"/>
    <tableColumn id="8" name="count" dataDxfId="256"/>
    <tableColumn id="9" name="flow" dataDxfId="255">
      <calculatedColumnFormula>VLOOKUP(c_16[[#This Row],[hwycov_id]],#REF!,3,FALSE)</calculatedColumnFormula>
    </tableColumn>
    <tableColumn id="10" name="gap" dataDxfId="254">
      <calculatedColumnFormula>I2/H2-1</calculatedColumnFormula>
    </tableColumn>
    <tableColumn id="12" name="x2" dataDxfId="253">
      <calculatedColumnFormula>POWER((I2-H2),2)</calculatedColumnFormula>
    </tableColumn>
    <tableColumn id="11" name="x3" dataDxfId="252">
      <calculatedColumnFormula>VLOOKUP(c_16[[#This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id="22" name="c_17" displayName="c_17" ref="A1:L17" totalsRowShown="0" headerRowDxfId="247" dataDxfId="246">
  <autoFilter ref="A1:L17"/>
  <sortState ref="A2:L18">
    <sortCondition descending="1" ref="L2:L18"/>
    <sortCondition ref="D2:D18"/>
  </sortState>
  <tableColumns count="12">
    <tableColumn id="1" name="corridor" dataDxfId="245"/>
    <tableColumn id="2" name="name" dataDxfId="244"/>
    <tableColumn id="3" name="hwycov_id" dataDxfId="243"/>
    <tableColumn id="4" name="Miles" dataDxfId="242"/>
    <tableColumn id="5" name="Length" dataDxfId="241"/>
    <tableColumn id="6" name="from_rd" dataDxfId="240"/>
    <tableColumn id="7" name="to_rd" dataDxfId="239"/>
    <tableColumn id="8" name="count" dataDxfId="238"/>
    <tableColumn id="9" name="flow" dataDxfId="237">
      <calculatedColumnFormula>VLOOKUP(c_17[[#This Row],[hwycov_id]],#REF!,3,FALSE)</calculatedColumnFormula>
    </tableColumn>
    <tableColumn id="10" name="gap" dataDxfId="236">
      <calculatedColumnFormula>I2/H2-1</calculatedColumnFormula>
    </tableColumn>
    <tableColumn id="12" name="x2" dataDxfId="235">
      <calculatedColumnFormula>POWER((I2-H2),2)</calculatedColumnFormula>
    </tableColumn>
    <tableColumn id="11" name="x3" dataDxfId="234">
      <calculatedColumnFormula>VLOOKUP(c_17[[#This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id="23" name="c_18" displayName="c_18" ref="A1:L7" totalsRowShown="0" headerRowDxfId="225" dataDxfId="224">
  <autoFilter ref="A1:L7"/>
  <tableColumns count="12">
    <tableColumn id="1" name="corridor" dataDxfId="223"/>
    <tableColumn id="2" name="name" dataDxfId="222"/>
    <tableColumn id="3" name="hwycov_id" dataDxfId="221"/>
    <tableColumn id="4" name="Miles" dataDxfId="220"/>
    <tableColumn id="5" name="Length" dataDxfId="219"/>
    <tableColumn id="6" name="from_rd" dataDxfId="218"/>
    <tableColumn id="7" name="to_rd" dataDxfId="217"/>
    <tableColumn id="8" name="count" dataDxfId="216"/>
    <tableColumn id="9" name="flow" dataDxfId="215">
      <calculatedColumnFormula>VLOOKUP(c_18[[#This Row],[hwycov_id]],flow0[],5,FALSE)</calculatedColumnFormula>
    </tableColumn>
    <tableColumn id="10" name="gap" dataDxfId="214">
      <calculatedColumnFormula>I2/H2-1</calculatedColumnFormula>
    </tableColumn>
    <tableColumn id="12" name="x2" dataDxfId="213">
      <calculatedColumnFormula>POWER((I2-H2),2)</calculatedColumnFormula>
    </tableColumn>
    <tableColumn id="11" name="x3" dataDxfId="212">
      <calculatedColumnFormula>VLOOKUP(c_18[[#This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id="24" name="c_19" displayName="c_19" ref="A1:L13" totalsRowShown="0" headerRowDxfId="205" dataDxfId="204">
  <autoFilter ref="A1:L13"/>
  <tableColumns count="12">
    <tableColumn id="1" name="corridor" dataDxfId="203"/>
    <tableColumn id="2" name="name" dataDxfId="202"/>
    <tableColumn id="3" name="hwycov_id" dataDxfId="201"/>
    <tableColumn id="4" name="Miles" dataDxfId="200"/>
    <tableColumn id="5" name="Length" dataDxfId="199"/>
    <tableColumn id="6" name="from_rd" dataDxfId="198"/>
    <tableColumn id="7" name="to_rd" dataDxfId="197"/>
    <tableColumn id="8" name="count" dataDxfId="196"/>
    <tableColumn id="9" name="flow" dataDxfId="195">
      <calculatedColumnFormula>VLOOKUP(c_19[[#This Row],[hwycov_id]],#REF!,3,FALSE)</calculatedColumnFormula>
    </tableColumn>
    <tableColumn id="10" name="gap" dataDxfId="194">
      <calculatedColumnFormula>I2/H2-1</calculatedColumnFormula>
    </tableColumn>
    <tableColumn id="12" name="x2" dataDxfId="193">
      <calculatedColumnFormula>POWER((I2-H2),2)</calculatedColumnFormula>
    </tableColumn>
    <tableColumn id="11" name="x3" dataDxfId="192">
      <calculatedColumnFormula>VLOOKUP(c_19[[#This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id="25" name="c_20" displayName="c_20" ref="A1:L6" totalsRowShown="0" headerRowDxfId="183" dataDxfId="182">
  <autoFilter ref="A1:L6"/>
  <tableColumns count="12">
    <tableColumn id="1" name="corridor" dataDxfId="181"/>
    <tableColumn id="2" name="name" dataDxfId="180"/>
    <tableColumn id="3" name="hwycov_id" dataDxfId="179"/>
    <tableColumn id="4" name="Miles" dataDxfId="178"/>
    <tableColumn id="5" name="Length" dataDxfId="177"/>
    <tableColumn id="6" name="from_rd" dataDxfId="176"/>
    <tableColumn id="7" name="to_rd" dataDxfId="175"/>
    <tableColumn id="8" name="count" dataDxfId="174"/>
    <tableColumn id="9" name="flow" dataDxfId="173">
      <calculatedColumnFormula>VLOOKUP(c_20[[#This Row],[hwycov_id]],flow0[],5,FALSE)</calculatedColumnFormula>
    </tableColumn>
    <tableColumn id="10" name="gap" dataDxfId="172">
      <calculatedColumnFormula>I2/H2-1</calculatedColumnFormula>
    </tableColumn>
    <tableColumn id="12" name="x2" dataDxfId="171">
      <calculatedColumnFormula>POWER((I2-H2),2)</calculatedColumnFormula>
    </tableColumn>
    <tableColumn id="11" name="x3" dataDxfId="170">
      <calculatedColumnFormula>VLOOKUP(c_20[[#This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id="26" name="c_21" displayName="c_21" ref="A1:L21" totalsRowShown="0" headerRowDxfId="163" dataDxfId="162">
  <autoFilter ref="A1:L21"/>
  <tableColumns count="12">
    <tableColumn id="1" name="corridor" dataDxfId="161"/>
    <tableColumn id="2" name="name" dataDxfId="160"/>
    <tableColumn id="3" name="hwycov_id" dataDxfId="159"/>
    <tableColumn id="4" name="Miles" dataDxfId="158"/>
    <tableColumn id="5" name="Length" dataDxfId="157"/>
    <tableColumn id="6" name="from_rd" dataDxfId="156"/>
    <tableColumn id="7" name="to_rd" dataDxfId="155"/>
    <tableColumn id="8" name="count" dataDxfId="154"/>
    <tableColumn id="9" name="flow" dataDxfId="153">
      <calculatedColumnFormula>VLOOKUP(c_21[[#This Row],[hwycov_id]],#REF!,3,FALSE)</calculatedColumnFormula>
    </tableColumn>
    <tableColumn id="10" name="gap" dataDxfId="152">
      <calculatedColumnFormula>I2/H2-1</calculatedColumnFormula>
    </tableColumn>
    <tableColumn id="12" name="x2" dataDxfId="151">
      <calculatedColumnFormula>POWER((I2-H2),2)</calculatedColumnFormula>
    </tableColumn>
    <tableColumn id="11" name="x3" dataDxfId="150">
      <calculatedColumnFormula>VLOOKUP(c_21[[#This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id="27" name="c_22" displayName="c_22" ref="A1:L38" totalsRowShown="0" headerRowDxfId="143" dataDxfId="142">
  <autoFilter ref="A1:L38"/>
  <sortState ref="A2:L40">
    <sortCondition descending="1" ref="L2:L40"/>
    <sortCondition ref="D2:D40"/>
  </sortState>
  <tableColumns count="12">
    <tableColumn id="1" name="corridor" dataDxfId="141"/>
    <tableColumn id="2" name="name" dataDxfId="140"/>
    <tableColumn id="3" name="hwycov_id" dataDxfId="139"/>
    <tableColumn id="4" name="Miles" dataDxfId="138"/>
    <tableColumn id="5" name="Length" dataDxfId="137"/>
    <tableColumn id="6" name="from_rd" dataDxfId="136"/>
    <tableColumn id="7" name="to_rd" dataDxfId="135"/>
    <tableColumn id="8" name="count" dataDxfId="134"/>
    <tableColumn id="9" name="flow" dataDxfId="133">
      <calculatedColumnFormula>VLOOKUP(c_22[[#This Row],[hwycov_id]],#REF!,3,FALSE)</calculatedColumnFormula>
    </tableColumn>
    <tableColumn id="10" name="gap" dataDxfId="132">
      <calculatedColumnFormula>I2/H2-1</calculatedColumnFormula>
    </tableColumn>
    <tableColumn id="12" name="x2" dataDxfId="131">
      <calculatedColumnFormula>POWER((I2-H2),2)</calculatedColumnFormula>
    </tableColumn>
    <tableColumn id="11" name="x3" dataDxfId="130">
      <calculatedColumnFormula>VLOOKUP(c_22[[#This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id="28" name="c_23" displayName="c_23" ref="A1:L22" totalsRowShown="0" headerRowDxfId="123" dataDxfId="122">
  <autoFilter ref="A1:L22"/>
  <tableColumns count="12">
    <tableColumn id="1" name="corridor" dataDxfId="121"/>
    <tableColumn id="2" name="name" dataDxfId="120"/>
    <tableColumn id="3" name="hwycov_id" dataDxfId="119"/>
    <tableColumn id="4" name="Miles" dataDxfId="118"/>
    <tableColumn id="5" name="Length" dataDxfId="117"/>
    <tableColumn id="6" name="from_rd" dataDxfId="116"/>
    <tableColumn id="7" name="to_rd" dataDxfId="115"/>
    <tableColumn id="8" name="count" dataDxfId="114"/>
    <tableColumn id="9" name="flow" dataDxfId="113">
      <calculatedColumnFormula>VLOOKUP(c_23[[#This Row],[hwycov_id]],flow0[],5,FALSE)</calculatedColumnFormula>
    </tableColumn>
    <tableColumn id="10" name="gap" dataDxfId="112">
      <calculatedColumnFormula>I2/H2-1</calculatedColumnFormula>
    </tableColumn>
    <tableColumn id="12" name="x2" dataDxfId="111">
      <calculatedColumnFormula>POWER((I2-H2),2)</calculatedColumnFormula>
    </tableColumn>
    <tableColumn id="11" name="x3" dataDxfId="110">
      <calculatedColumnFormula>VLOOKUP(c_23[[#This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id="29" name="c_24" displayName="c_24" ref="A1:L14" totalsRowShown="0" headerRowDxfId="103" dataDxfId="102">
  <autoFilter ref="A1:L14"/>
  <tableColumns count="12">
    <tableColumn id="1" name="corridor" dataDxfId="101"/>
    <tableColumn id="2" name="name" dataDxfId="100"/>
    <tableColumn id="3" name="hwycov_id" dataDxfId="99"/>
    <tableColumn id="4" name="Miles" dataDxfId="98"/>
    <tableColumn id="5" name="Length" dataDxfId="97"/>
    <tableColumn id="6" name="from_rd" dataDxfId="96"/>
    <tableColumn id="7" name="to_rd" dataDxfId="95"/>
    <tableColumn id="8" name="count" dataDxfId="94"/>
    <tableColumn id="9" name="flow" dataDxfId="93">
      <calculatedColumnFormula>VLOOKUP(c_24[[#This Row],[hwycov_id]],flow0[],5,FALSE)</calculatedColumnFormula>
    </tableColumn>
    <tableColumn id="10" name="gap" dataDxfId="92">
      <calculatedColumnFormula>I2/H2-1</calculatedColumnFormula>
    </tableColumn>
    <tableColumn id="12" name="x2" dataDxfId="91">
      <calculatedColumnFormula>POWER((I2-H2),2)</calculatedColumnFormula>
    </tableColumn>
    <tableColumn id="11" name="x3" dataDxfId="90">
      <calculatedColumnFormula>VLOOKUP(c_24[[#This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id="30" name="c_25" displayName="c_25" ref="A1:L7" totalsRowShown="0" headerRowDxfId="81" dataDxfId="80">
  <autoFilter ref="A1:L7"/>
  <tableColumns count="12">
    <tableColumn id="1" name="corridor" dataDxfId="79"/>
    <tableColumn id="2" name="name" dataDxfId="78"/>
    <tableColumn id="3" name="hwycov_id" dataDxfId="77"/>
    <tableColumn id="4" name="Miles" dataDxfId="76"/>
    <tableColumn id="5" name="Length" dataDxfId="75"/>
    <tableColumn id="6" name="from_rd" dataDxfId="74"/>
    <tableColumn id="7" name="to_rd" dataDxfId="73"/>
    <tableColumn id="8" name="count" dataDxfId="72"/>
    <tableColumn id="9" name="flow" dataDxfId="71">
      <calculatedColumnFormula>VLOOKUP(c_25[[#This Row],[hwycov_id]],flow0[],5,FALSE)</calculatedColumnFormula>
    </tableColumn>
    <tableColumn id="10" name="gap" dataDxfId="70">
      <calculatedColumnFormula>I2/H2-1</calculatedColumnFormula>
    </tableColumn>
    <tableColumn id="12" name="x2" dataDxfId="69">
      <calculatedColumnFormula>POWER((I2-H2),2)</calculatedColumnFormula>
    </tableColumn>
    <tableColumn id="11" name="x3" dataDxfId="68">
      <calculatedColumnFormula>VLOOKUP(c_25[[#This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id="31" name="c_26" displayName="c_26" ref="A1:L9" totalsRowShown="0" headerRowDxfId="59" dataDxfId="58">
  <autoFilter ref="A1:L9"/>
  <sortState ref="A2:L10">
    <sortCondition descending="1" ref="L2:L10"/>
    <sortCondition ref="D2:D10"/>
  </sortState>
  <tableColumns count="12">
    <tableColumn id="1" name="corridor" dataDxfId="57"/>
    <tableColumn id="2" name="name" dataDxfId="56"/>
    <tableColumn id="3" name="hwycov_id" dataDxfId="55"/>
    <tableColumn id="4" name="Miles" dataDxfId="54"/>
    <tableColumn id="5" name="Length" dataDxfId="53"/>
    <tableColumn id="6" name="from_rd" dataDxfId="52"/>
    <tableColumn id="7" name="to_rd" dataDxfId="51"/>
    <tableColumn id="8" name="count" dataDxfId="50"/>
    <tableColumn id="9" name="flow" dataDxfId="49">
      <calculatedColumnFormula>VLOOKUP(c_26[[#This Row],[hwycov_id]],#REF!,3,FALSE)</calculatedColumnFormula>
    </tableColumn>
    <tableColumn id="10" name="gap" dataDxfId="48">
      <calculatedColumnFormula>I2/H2-1</calculatedColumnFormula>
    </tableColumn>
    <tableColumn id="12" name="x2" dataDxfId="47">
      <calculatedColumnFormula>POWER((I2-H2),2)</calculatedColumnFormula>
    </tableColumn>
    <tableColumn id="11" name="x3" dataDxfId="46">
      <calculatedColumnFormula>VLOOKUP(c_26[[#This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id="32" name="c_27" displayName="c_27" ref="A1:L6" totalsRowShown="0" headerRowDxfId="39" dataDxfId="38">
  <autoFilter ref="A1:L6"/>
  <tableColumns count="12">
    <tableColumn id="1" name="corridor" dataDxfId="37"/>
    <tableColumn id="2" name="name" dataDxfId="36"/>
    <tableColumn id="3" name="hwycov_id" dataDxfId="35"/>
    <tableColumn id="4" name="Miles" dataDxfId="34"/>
    <tableColumn id="5" name="Length" dataDxfId="33"/>
    <tableColumn id="6" name="from_rd" dataDxfId="32"/>
    <tableColumn id="7" name="to_rd" dataDxfId="31"/>
    <tableColumn id="8" name="count" dataDxfId="30"/>
    <tableColumn id="9" name="flow" dataDxfId="29">
      <calculatedColumnFormula>VLOOKUP(c_27[[#This Row],[hwycov_id]],flow0[],5,FALSE)</calculatedColumnFormula>
    </tableColumn>
    <tableColumn id="10" name="gap" dataDxfId="28">
      <calculatedColumnFormula>I2/H2-1</calculatedColumnFormula>
    </tableColumn>
    <tableColumn id="12" name="x2" dataDxfId="27">
      <calculatedColumnFormula>POWER((I2-H2),2)</calculatedColumnFormula>
    </tableColumn>
    <tableColumn id="11" name="x3" dataDxfId="26">
      <calculatedColumnFormula>VLOOKUP(c_27[[#This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id="33" name="c_28" displayName="c_28" ref="A1:L15" totalsRowShown="0" headerRowDxfId="17" dataDxfId="16">
  <autoFilter ref="A1:L15"/>
  <tableColumns count="12">
    <tableColumn id="1" name="corridor" dataDxfId="15"/>
    <tableColumn id="2" name="name" dataDxfId="14"/>
    <tableColumn id="3" name="hwycov_id" dataDxfId="13"/>
    <tableColumn id="4" name="Miles" dataDxfId="12"/>
    <tableColumn id="5" name="Length" dataDxfId="11"/>
    <tableColumn id="6" name="from_rd" dataDxfId="10"/>
    <tableColumn id="7" name="to_rd" dataDxfId="9"/>
    <tableColumn id="8" name="count" dataDxfId="8"/>
    <tableColumn id="9" name="flow" dataDxfId="7">
      <calculatedColumnFormula>VLOOKUP(c_28[[#This Row],[hwycov_id]],flow0[],5,FALSE)</calculatedColumnFormula>
    </tableColumn>
    <tableColumn id="10" name="gap" dataDxfId="6">
      <calculatedColumnFormula>I2/H2-1</calculatedColumnFormula>
    </tableColumn>
    <tableColumn id="12" name="x2" dataDxfId="5">
      <calculatedColumnFormula>POWER((I2-H2),2)</calculatedColumnFormula>
    </tableColumn>
    <tableColumn id="11" name="x3" dataDxfId="4">
      <calculatedColumnFormula>VLOOKUP(c_28[[#This Row],[hwycov_id]],count!$A$630:$E$652,5,FALSE)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id="4" name="count" displayName="count" ref="A1:E652" totalsRowShown="0">
  <autoFilter ref="A1:E652"/>
  <sortState ref="A2:E652">
    <sortCondition descending="1" ref="E2:E652"/>
    <sortCondition ref="A2:A652"/>
  </sortState>
  <tableColumns count="5">
    <tableColumn id="1" name="hwycov_id"/>
    <tableColumn id="2" name="count_day" dataDxfId="3"/>
    <tableColumn id="3" name="count_am" dataDxfId="2"/>
    <tableColumn id="4" name="count_pm" dataDxfId="1"/>
    <tableColumn id="5" name="flag" dataDxfId="0">
      <calculatedColumnFormula>VLOOKUP(count[[#This Row],[hwycov_id]],check!$A$2:$P$26,16,FALSE)</calculatedColumnFormula>
    </tableColumn>
  </tableColumns>
  <tableStyleInfo name="TableStyleLight8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hyperlink" Target="mailto:yma@sandag.or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1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652"/>
  <sheetViews>
    <sheetView showGridLines="0" workbookViewId="0">
      <pane ySplit="1" topLeftCell="A2" activePane="bottomLeft" state="frozen"/>
      <selection activeCell="P34" sqref="P34"/>
      <selection pane="bottomLeft" activeCell="K19" sqref="K19"/>
    </sheetView>
  </sheetViews>
  <sheetFormatPr defaultRowHeight="15" x14ac:dyDescent="0.25"/>
  <cols>
    <col min="1" max="1" width="10.140625" style="80" customWidth="1"/>
    <col min="2" max="2" width="10.140625" style="6" customWidth="1"/>
    <col min="3" max="3" width="12.5703125" style="80" customWidth="1"/>
    <col min="4" max="4" width="5.28515625" style="80" customWidth="1"/>
    <col min="5" max="5" width="7.140625" style="80" bestFit="1" customWidth="1"/>
    <col min="6" max="6" width="11.7109375" style="80" bestFit="1" customWidth="1"/>
    <col min="7" max="7" width="8.140625" style="79" customWidth="1"/>
    <col min="8" max="8" width="9.7109375" style="80" customWidth="1"/>
    <col min="9" max="10" width="23.7109375" style="80" customWidth="1"/>
    <col min="11" max="11" width="12.42578125" style="83" bestFit="1" customWidth="1"/>
    <col min="12" max="12" width="11.42578125" style="115" bestFit="1" customWidth="1"/>
    <col min="13" max="13" width="9.140625" style="297"/>
    <col min="14" max="14" width="12" style="298" customWidth="1"/>
    <col min="15" max="16384" width="9.140625" style="80"/>
  </cols>
  <sheetData>
    <row r="1" spans="1:16" x14ac:dyDescent="0.25">
      <c r="A1" s="292" t="s">
        <v>253</v>
      </c>
      <c r="B1" s="349" t="s">
        <v>274</v>
      </c>
      <c r="C1" s="292" t="s">
        <v>209</v>
      </c>
      <c r="D1" s="292" t="s">
        <v>277</v>
      </c>
      <c r="E1" s="292" t="s">
        <v>276</v>
      </c>
      <c r="F1" s="292" t="s">
        <v>279</v>
      </c>
      <c r="G1" s="293" t="s">
        <v>278</v>
      </c>
      <c r="H1" s="292" t="s">
        <v>275</v>
      </c>
      <c r="I1" s="292" t="s">
        <v>287</v>
      </c>
      <c r="J1" s="292" t="s">
        <v>288</v>
      </c>
      <c r="K1" s="314" t="s">
        <v>299</v>
      </c>
      <c r="L1" s="299" t="s">
        <v>42</v>
      </c>
      <c r="M1" s="300" t="s">
        <v>206</v>
      </c>
      <c r="N1" s="291" t="s">
        <v>261</v>
      </c>
      <c r="O1" s="80" t="s">
        <v>422</v>
      </c>
      <c r="P1" s="80" t="s">
        <v>501</v>
      </c>
    </row>
    <row r="2" spans="1:16" x14ac:dyDescent="0.25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323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Row],[hwycov_id]],count[],4,FALSE)</f>
        <v>3216</v>
      </c>
      <c r="L2" s="115">
        <f>VLOOKUP(ws[[#This Row],[hwycov_id]],flow0[],5,FALSE)</f>
        <v>1613</v>
      </c>
      <c r="M2" s="295">
        <f>ws[[#This Row],[flow]]/ws[[#This Row],[count]]-1</f>
        <v>-0.49844527363184077</v>
      </c>
      <c r="N2" s="296">
        <f>POWER((ws[[#This Row],[flow]]-ws[[#This Row],[count]]),2)</f>
        <v>2569609</v>
      </c>
      <c r="O2" s="80" t="e">
        <f>VLOOKUP(ws[[#This Row],[hwycov_id]],count!$A$630:$E$652,5,FALSE)</f>
        <v>#N/A</v>
      </c>
      <c r="P2" s="80">
        <v>1</v>
      </c>
    </row>
    <row r="3" spans="1:16" x14ac:dyDescent="0.25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323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Row],[hwycov_id]],count[],4,FALSE)</f>
        <v>5003</v>
      </c>
      <c r="L3" s="115">
        <f>VLOOKUP(ws[[#This Row],[hwycov_id]],flow0[],5,FALSE)</f>
        <v>4201</v>
      </c>
      <c r="M3" s="295">
        <f>ws[[#This Row],[flow]]/ws[[#This Row],[count]]-1</f>
        <v>-0.16030381770937441</v>
      </c>
      <c r="N3" s="296">
        <f>POWER((ws[[#This Row],[flow]]-ws[[#This Row],[count]]),2)</f>
        <v>643204</v>
      </c>
      <c r="O3" s="80" t="e">
        <f>VLOOKUP(ws[[#This Row],[hwycov_id]],count!$A$630:$E$652,5,FALSE)</f>
        <v>#N/A</v>
      </c>
      <c r="P3" s="80">
        <v>2</v>
      </c>
    </row>
    <row r="4" spans="1:16" x14ac:dyDescent="0.25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323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Row],[hwycov_id]],count[],4,FALSE)</f>
        <v>6405</v>
      </c>
      <c r="L4" s="115">
        <f>VLOOKUP(ws[[#This Row],[hwycov_id]],flow0[],5,FALSE)</f>
        <v>5408</v>
      </c>
      <c r="M4" s="295">
        <f>ws[[#This Row],[flow]]/ws[[#This Row],[count]]-1</f>
        <v>-0.15565964090554252</v>
      </c>
      <c r="N4" s="296">
        <f>POWER((ws[[#This Row],[flow]]-ws[[#This Row],[count]]),2)</f>
        <v>994009</v>
      </c>
      <c r="O4" s="80" t="e">
        <f>VLOOKUP(ws[[#This Row],[hwycov_id]],count!$A$630:$E$652,5,FALSE)</f>
        <v>#N/A</v>
      </c>
      <c r="P4" s="80">
        <v>3</v>
      </c>
    </row>
    <row r="5" spans="1:16" x14ac:dyDescent="0.25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323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Row],[hwycov_id]],count[],4,FALSE)</f>
        <v>6468</v>
      </c>
      <c r="L5" s="115">
        <f>VLOOKUP(ws[[#This Row],[hwycov_id]],flow0[],5,FALSE)</f>
        <v>5611</v>
      </c>
      <c r="M5" s="295">
        <f>ws[[#This Row],[flow]]/ws[[#This Row],[count]]-1</f>
        <v>-0.13249845392702531</v>
      </c>
      <c r="N5" s="296">
        <f>POWER((ws[[#This Row],[flow]]-ws[[#This Row],[count]]),2)</f>
        <v>734449</v>
      </c>
      <c r="O5" s="80" t="e">
        <f>VLOOKUP(ws[[#This Row],[hwycov_id]],count!$A$630:$E$652,5,FALSE)</f>
        <v>#N/A</v>
      </c>
      <c r="P5" s="80">
        <v>4</v>
      </c>
    </row>
    <row r="6" spans="1:16" x14ac:dyDescent="0.25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323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Row],[hwycov_id]],count[],4,FALSE)</f>
        <v>13346</v>
      </c>
      <c r="L6" s="115">
        <f>VLOOKUP(ws[[#This Row],[hwycov_id]],flow0[],5,FALSE)</f>
        <v>10941</v>
      </c>
      <c r="M6" s="295">
        <f>ws[[#This Row],[flow]]/ws[[#This Row],[count]]-1</f>
        <v>-0.18020380638393529</v>
      </c>
      <c r="N6" s="296">
        <f>POWER((ws[[#This Row],[flow]]-ws[[#This Row],[count]]),2)</f>
        <v>5784025</v>
      </c>
      <c r="O6" s="80" t="e">
        <f>VLOOKUP(ws[[#This Row],[hwycov_id]],count!$A$630:$E$652,5,FALSE)</f>
        <v>#N/A</v>
      </c>
      <c r="P6" s="80">
        <v>5</v>
      </c>
    </row>
    <row r="7" spans="1:16" x14ac:dyDescent="0.25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323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Row],[hwycov_id]],count[],4,FALSE)</f>
        <v>9513</v>
      </c>
      <c r="L7" s="115">
        <f>VLOOKUP(ws[[#This Row],[hwycov_id]],flow0[],5,FALSE)</f>
        <v>9076</v>
      </c>
      <c r="M7" s="295">
        <f>ws[[#This Row],[flow]]/ws[[#This Row],[count]]-1</f>
        <v>-4.5937138652370479E-2</v>
      </c>
      <c r="N7" s="296">
        <f>POWER((ws[[#This Row],[flow]]-ws[[#This Row],[count]]),2)</f>
        <v>190969</v>
      </c>
      <c r="O7" s="80" t="e">
        <f>VLOOKUP(ws[[#This Row],[hwycov_id]],count!$A$630:$E$652,5,FALSE)</f>
        <v>#N/A</v>
      </c>
      <c r="P7" s="80">
        <v>6</v>
      </c>
    </row>
    <row r="8" spans="1:16" x14ac:dyDescent="0.25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323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Row],[hwycov_id]],count[],4,FALSE)</f>
        <v>15901</v>
      </c>
      <c r="L8" s="115">
        <f>VLOOKUP(ws[[#This Row],[hwycov_id]],flow0[],5,FALSE)</f>
        <v>14996</v>
      </c>
      <c r="M8" s="295">
        <f>ws[[#This Row],[flow]]/ws[[#This Row],[count]]-1</f>
        <v>-5.6914659455380212E-2</v>
      </c>
      <c r="N8" s="296">
        <f>POWER((ws[[#This Row],[flow]]-ws[[#This Row],[count]]),2)</f>
        <v>819025</v>
      </c>
      <c r="O8" s="80" t="e">
        <f>VLOOKUP(ws[[#This Row],[hwycov_id]],count!$A$630:$E$652,5,FALSE)</f>
        <v>#N/A</v>
      </c>
      <c r="P8" s="80">
        <v>7</v>
      </c>
    </row>
    <row r="9" spans="1:16" x14ac:dyDescent="0.25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323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Row],[hwycov_id]],count[],4,FALSE)</f>
        <v>14924</v>
      </c>
      <c r="L9" s="115">
        <f>VLOOKUP(ws[[#This Row],[hwycov_id]],flow0[],5,FALSE)</f>
        <v>14709</v>
      </c>
      <c r="M9" s="295">
        <f>ws[[#This Row],[flow]]/ws[[#This Row],[count]]-1</f>
        <v>-1.4406325381935092E-2</v>
      </c>
      <c r="N9" s="296">
        <f>POWER((ws[[#This Row],[flow]]-ws[[#This Row],[count]]),2)</f>
        <v>46225</v>
      </c>
      <c r="O9" s="80" t="e">
        <f>VLOOKUP(ws[[#This Row],[hwycov_id]],count!$A$630:$E$652,5,FALSE)</f>
        <v>#N/A</v>
      </c>
      <c r="P9" s="80">
        <v>8</v>
      </c>
    </row>
    <row r="10" spans="1:16" x14ac:dyDescent="0.25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323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Row],[hwycov_id]],count[],4,FALSE)</f>
        <v>13241</v>
      </c>
      <c r="L10" s="115">
        <f>VLOOKUP(ws[[#This Row],[hwycov_id]],flow0[],5,FALSE)</f>
        <v>14911</v>
      </c>
      <c r="M10" s="295">
        <f>ws[[#This Row],[flow]]/ws[[#This Row],[count]]-1</f>
        <v>0.12612340457669369</v>
      </c>
      <c r="N10" s="296">
        <f>POWER((ws[[#This Row],[flow]]-ws[[#This Row],[count]]),2)</f>
        <v>2788900</v>
      </c>
      <c r="O10" s="80" t="e">
        <f>VLOOKUP(ws[[#This Row],[hwycov_id]],count!$A$630:$E$652,5,FALSE)</f>
        <v>#N/A</v>
      </c>
      <c r="P10" s="80">
        <v>9</v>
      </c>
    </row>
    <row r="11" spans="1:16" x14ac:dyDescent="0.25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323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Row],[hwycov_id]],count[],4,FALSE)</f>
        <v>15899</v>
      </c>
      <c r="L11" s="115">
        <f>VLOOKUP(ws[[#This Row],[hwycov_id]],flow0[],5,FALSE)</f>
        <v>17528</v>
      </c>
      <c r="M11" s="295">
        <f>ws[[#This Row],[flow]]/ws[[#This Row],[count]]-1</f>
        <v>0.10245927416818668</v>
      </c>
      <c r="N11" s="296">
        <f>POWER((ws[[#This Row],[flow]]-ws[[#This Row],[count]]),2)</f>
        <v>2653641</v>
      </c>
      <c r="O11" s="80" t="e">
        <f>VLOOKUP(ws[[#This Row],[hwycov_id]],count!$A$630:$E$652,5,FALSE)</f>
        <v>#N/A</v>
      </c>
      <c r="P11" s="80">
        <v>10</v>
      </c>
    </row>
    <row r="12" spans="1:16" x14ac:dyDescent="0.25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323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Row],[hwycov_id]],count[],4,FALSE)</f>
        <v>13748</v>
      </c>
      <c r="L12" s="115">
        <f>VLOOKUP(ws[[#This Row],[hwycov_id]],flow0[],5,FALSE)</f>
        <v>16258</v>
      </c>
      <c r="M12" s="295">
        <f>ws[[#This Row],[flow]]/ws[[#This Row],[count]]-1</f>
        <v>0.18257201047425076</v>
      </c>
      <c r="N12" s="296">
        <f>POWER((ws[[#This Row],[flow]]-ws[[#This Row],[count]]),2)</f>
        <v>6300100</v>
      </c>
      <c r="O12" s="80" t="e">
        <f>VLOOKUP(ws[[#This Row],[hwycov_id]],count!$A$630:$E$652,5,FALSE)</f>
        <v>#N/A</v>
      </c>
      <c r="P12" s="80">
        <v>11</v>
      </c>
    </row>
    <row r="13" spans="1:16" x14ac:dyDescent="0.25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323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Row],[hwycov_id]],count[],4,FALSE)</f>
        <v>15736</v>
      </c>
      <c r="L13" s="115">
        <f>VLOOKUP(ws[[#This Row],[hwycov_id]],flow0[],5,FALSE)</f>
        <v>18149</v>
      </c>
      <c r="M13" s="295">
        <f>ws[[#This Row],[flow]]/ws[[#This Row],[count]]-1</f>
        <v>0.15334265378749357</v>
      </c>
      <c r="N13" s="296">
        <f>POWER((ws[[#This Row],[flow]]-ws[[#This Row],[count]]),2)</f>
        <v>5822569</v>
      </c>
      <c r="O13" s="80" t="e">
        <f>VLOOKUP(ws[[#This Row],[hwycov_id]],count!$A$630:$E$652,5,FALSE)</f>
        <v>#N/A</v>
      </c>
      <c r="P13" s="80">
        <v>12</v>
      </c>
    </row>
    <row r="14" spans="1:16" x14ac:dyDescent="0.25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323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Row],[hwycov_id]],count[],4,FALSE)</f>
        <v>16284</v>
      </c>
      <c r="L14" s="115">
        <f>VLOOKUP(ws[[#This Row],[hwycov_id]],flow0[],5,FALSE)</f>
        <v>18692</v>
      </c>
      <c r="M14" s="295">
        <f>ws[[#This Row],[flow]]/ws[[#This Row],[count]]-1</f>
        <v>0.14787521493490541</v>
      </c>
      <c r="N14" s="296">
        <f>POWER((ws[[#This Row],[flow]]-ws[[#This Row],[count]]),2)</f>
        <v>5798464</v>
      </c>
      <c r="O14" s="80" t="e">
        <f>VLOOKUP(ws[[#This Row],[hwycov_id]],count!$A$630:$E$652,5,FALSE)</f>
        <v>#N/A</v>
      </c>
      <c r="P14" s="80">
        <v>13</v>
      </c>
    </row>
    <row r="15" spans="1:16" x14ac:dyDescent="0.25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323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Row],[hwycov_id]],count[],4,FALSE)</f>
        <v>16433</v>
      </c>
      <c r="L15" s="115">
        <f>VLOOKUP(ws[[#This Row],[hwycov_id]],flow0[],5,FALSE)</f>
        <v>19975</v>
      </c>
      <c r="M15" s="295">
        <f>ws[[#This Row],[flow]]/ws[[#This Row],[count]]-1</f>
        <v>0.21554189740156993</v>
      </c>
      <c r="N15" s="296">
        <f>POWER((ws[[#This Row],[flow]]-ws[[#This Row],[count]]),2)</f>
        <v>12545764</v>
      </c>
      <c r="O15" s="80" t="e">
        <f>VLOOKUP(ws[[#This Row],[hwycov_id]],count!$A$630:$E$652,5,FALSE)</f>
        <v>#N/A</v>
      </c>
      <c r="P15" s="80">
        <v>14</v>
      </c>
    </row>
    <row r="16" spans="1:16" x14ac:dyDescent="0.25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323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Row],[hwycov_id]],count[],4,FALSE)</f>
        <v>13768</v>
      </c>
      <c r="L16" s="115">
        <f>VLOOKUP(ws[[#This Row],[hwycov_id]],flow0[],5,FALSE)</f>
        <v>20626</v>
      </c>
      <c r="M16" s="295">
        <f>ws[[#This Row],[flow]]/ws[[#This Row],[count]]-1</f>
        <v>0.49811156304474147</v>
      </c>
      <c r="N16" s="296">
        <f>POWER((ws[[#This Row],[flow]]-ws[[#This Row],[count]]),2)</f>
        <v>47032164</v>
      </c>
      <c r="O16" s="80" t="e">
        <f>VLOOKUP(ws[[#This Row],[hwycov_id]],count!$A$630:$E$652,5,FALSE)</f>
        <v>#N/A</v>
      </c>
      <c r="P16" s="80">
        <v>15</v>
      </c>
    </row>
    <row r="17" spans="1:16" x14ac:dyDescent="0.25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323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Row],[hwycov_id]],count[],4,FALSE)</f>
        <v>15172</v>
      </c>
      <c r="L17" s="115">
        <f>VLOOKUP(ws[[#This Row],[hwycov_id]],flow0[],5,FALSE)</f>
        <v>19611</v>
      </c>
      <c r="M17" s="295">
        <f>ws[[#This Row],[flow]]/ws[[#This Row],[count]]-1</f>
        <v>0.29257843395728966</v>
      </c>
      <c r="N17" s="296">
        <f>POWER((ws[[#This Row],[flow]]-ws[[#This Row],[count]]),2)</f>
        <v>19704721</v>
      </c>
      <c r="O17" s="80" t="e">
        <f>VLOOKUP(ws[[#This Row],[hwycov_id]],count!$A$630:$E$652,5,FALSE)</f>
        <v>#N/A</v>
      </c>
      <c r="P17" s="80">
        <v>16</v>
      </c>
    </row>
    <row r="18" spans="1:16" x14ac:dyDescent="0.25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323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Row],[hwycov_id]],count[],4,FALSE)</f>
        <v>18512</v>
      </c>
      <c r="L18" s="115">
        <f>VLOOKUP(ws[[#This Row],[hwycov_id]],flow0[],5,FALSE)</f>
        <v>25567</v>
      </c>
      <c r="M18" s="295">
        <f>ws[[#This Row],[flow]]/ws[[#This Row],[count]]-1</f>
        <v>0.38110414866032838</v>
      </c>
      <c r="N18" s="296">
        <f>POWER((ws[[#This Row],[flow]]-ws[[#This Row],[count]]),2)</f>
        <v>49773025</v>
      </c>
      <c r="O18" s="80" t="e">
        <f>VLOOKUP(ws[[#This Row],[hwycov_id]],count!$A$630:$E$652,5,FALSE)</f>
        <v>#N/A</v>
      </c>
      <c r="P18" s="80">
        <v>17</v>
      </c>
    </row>
    <row r="19" spans="1:16" x14ac:dyDescent="0.25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323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Row],[hwycov_id]],count[],4,FALSE)</f>
        <v>19154</v>
      </c>
      <c r="L19" s="115">
        <f>VLOOKUP(ws[[#This Row],[hwycov_id]],flow0[],5,FALSE)</f>
        <v>24072</v>
      </c>
      <c r="M19" s="295">
        <f>ws[[#This Row],[flow]]/ws[[#This Row],[count]]-1</f>
        <v>0.25676098987156726</v>
      </c>
      <c r="N19" s="296">
        <f>POWER((ws[[#This Row],[flow]]-ws[[#This Row],[count]]),2)</f>
        <v>24186724</v>
      </c>
      <c r="O19" s="80" t="e">
        <f>VLOOKUP(ws[[#This Row],[hwycov_id]],count!$A$630:$E$652,5,FALSE)</f>
        <v>#N/A</v>
      </c>
      <c r="P19" s="80">
        <v>18</v>
      </c>
    </row>
    <row r="20" spans="1:16" x14ac:dyDescent="0.25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323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Row],[hwycov_id]],count[],4,FALSE)</f>
        <v>13885</v>
      </c>
      <c r="L20" s="115">
        <f>VLOOKUP(ws[[#This Row],[hwycov_id]],flow0[],5,FALSE)</f>
        <v>16932</v>
      </c>
      <c r="M20" s="295">
        <f>ws[[#This Row],[flow]]/ws[[#This Row],[count]]-1</f>
        <v>0.21944544472452288</v>
      </c>
      <c r="N20" s="296">
        <f>POWER((ws[[#This Row],[flow]]-ws[[#This Row],[count]]),2)</f>
        <v>9284209</v>
      </c>
      <c r="O20" s="80" t="e">
        <f>VLOOKUP(ws[[#This Row],[hwycov_id]],count!$A$630:$E$652,5,FALSE)</f>
        <v>#N/A</v>
      </c>
      <c r="P20" s="80">
        <v>19</v>
      </c>
    </row>
    <row r="21" spans="1:16" x14ac:dyDescent="0.25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323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Row],[hwycov_id]],count[],4,FALSE)</f>
        <v>14788</v>
      </c>
      <c r="L21" s="115">
        <f>VLOOKUP(ws[[#This Row],[hwycov_id]],flow0[],5,FALSE)</f>
        <v>19600</v>
      </c>
      <c r="M21" s="295">
        <f>ws[[#This Row],[flow]]/ws[[#This Row],[count]]-1</f>
        <v>0.3253989721395727</v>
      </c>
      <c r="N21" s="296">
        <f>POWER((ws[[#This Row],[flow]]-ws[[#This Row],[count]]),2)</f>
        <v>23155344</v>
      </c>
      <c r="O21" s="80" t="e">
        <f>VLOOKUP(ws[[#This Row],[hwycov_id]],count!$A$630:$E$652,5,FALSE)</f>
        <v>#N/A</v>
      </c>
      <c r="P21" s="80">
        <v>20</v>
      </c>
    </row>
    <row r="22" spans="1:16" x14ac:dyDescent="0.25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323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Row],[hwycov_id]],count[],4,FALSE)</f>
        <v>13255</v>
      </c>
      <c r="L22" s="115">
        <f>VLOOKUP(ws[[#This Row],[hwycov_id]],flow0[],5,FALSE)</f>
        <v>18545</v>
      </c>
      <c r="M22" s="295">
        <f>ws[[#This Row],[flow]]/ws[[#This Row],[count]]-1</f>
        <v>0.3990946812523577</v>
      </c>
      <c r="N22" s="296">
        <f>POWER((ws[[#This Row],[flow]]-ws[[#This Row],[count]]),2)</f>
        <v>27984100</v>
      </c>
      <c r="O22" s="80" t="e">
        <f>VLOOKUP(ws[[#This Row],[hwycov_id]],count!$A$630:$E$652,5,FALSE)</f>
        <v>#N/A</v>
      </c>
      <c r="P22" s="80">
        <v>21</v>
      </c>
    </row>
    <row r="23" spans="1:16" x14ac:dyDescent="0.25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323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Row],[hwycov_id]],count[],4,FALSE)</f>
        <v>15802</v>
      </c>
      <c r="L23" s="115">
        <f>VLOOKUP(ws[[#This Row],[hwycov_id]],flow0[],5,FALSE)</f>
        <v>22115</v>
      </c>
      <c r="M23" s="295">
        <f>ws[[#This Row],[flow]]/ws[[#This Row],[count]]-1</f>
        <v>0.39950639159600043</v>
      </c>
      <c r="N23" s="296">
        <f>POWER((ws[[#This Row],[flow]]-ws[[#This Row],[count]]),2)</f>
        <v>39853969</v>
      </c>
      <c r="O23" s="80" t="e">
        <f>VLOOKUP(ws[[#This Row],[hwycov_id]],count!$A$630:$E$652,5,FALSE)</f>
        <v>#N/A</v>
      </c>
      <c r="P23" s="80">
        <v>22</v>
      </c>
    </row>
    <row r="24" spans="1:16" x14ac:dyDescent="0.25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323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Row],[hwycov_id]],count[],4,FALSE)</f>
        <v>17066</v>
      </c>
      <c r="L24" s="115">
        <f>VLOOKUP(ws[[#This Row],[hwycov_id]],flow0[],5,FALSE)</f>
        <v>22891</v>
      </c>
      <c r="M24" s="295">
        <f>ws[[#This Row],[flow]]/ws[[#This Row],[count]]-1</f>
        <v>0.34132192663775918</v>
      </c>
      <c r="N24" s="296">
        <f>POWER((ws[[#This Row],[flow]]-ws[[#This Row],[count]]),2)</f>
        <v>33930625</v>
      </c>
      <c r="O24" s="80" t="e">
        <f>VLOOKUP(ws[[#This Row],[hwycov_id]],count!$A$630:$E$652,5,FALSE)</f>
        <v>#N/A</v>
      </c>
      <c r="P24" s="80">
        <v>23</v>
      </c>
    </row>
    <row r="25" spans="1:16" x14ac:dyDescent="0.25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323</v>
      </c>
      <c r="G25" s="79">
        <v>14.77</v>
      </c>
      <c r="H25" s="79">
        <v>0.11297500000000001</v>
      </c>
      <c r="I25" s="79" t="s">
        <v>324</v>
      </c>
      <c r="J25" s="79" t="s">
        <v>73</v>
      </c>
      <c r="K25" s="83">
        <f>VLOOKUP(ws[[#This Row],[hwycov_id]],count[],4,FALSE)</f>
        <v>17981</v>
      </c>
      <c r="L25" s="115">
        <f>VLOOKUP(ws[[#This Row],[hwycov_id]],flow0[],5,FALSE)</f>
        <v>22453</v>
      </c>
      <c r="M25" s="295">
        <f>ws[[#This Row],[flow]]/ws[[#This Row],[count]]-1</f>
        <v>0.24870696846671492</v>
      </c>
      <c r="N25" s="296">
        <f>POWER((ws[[#This Row],[flow]]-ws[[#This Row],[count]]),2)</f>
        <v>19998784</v>
      </c>
      <c r="O25" s="80" t="e">
        <f>VLOOKUP(ws[[#This Row],[hwycov_id]],count!$A$630:$E$652,5,FALSE)</f>
        <v>#N/A</v>
      </c>
      <c r="P25" s="80">
        <v>24</v>
      </c>
    </row>
    <row r="26" spans="1:16" x14ac:dyDescent="0.25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323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Row],[hwycov_id]],count[],4,FALSE)</f>
        <v>14973</v>
      </c>
      <c r="L26" s="115">
        <f>VLOOKUP(ws[[#This Row],[hwycov_id]],flow0[],5,FALSE)</f>
        <v>18675</v>
      </c>
      <c r="M26" s="295">
        <f>ws[[#This Row],[flow]]/ws[[#This Row],[count]]-1</f>
        <v>0.24724504107393308</v>
      </c>
      <c r="N26" s="296">
        <f>POWER((ws[[#This Row],[flow]]-ws[[#This Row],[count]]),2)</f>
        <v>13704804</v>
      </c>
      <c r="O26" s="80" t="e">
        <f>VLOOKUP(ws[[#This Row],[hwycov_id]],count!$A$630:$E$652,5,FALSE)</f>
        <v>#N/A</v>
      </c>
      <c r="P26" s="80">
        <v>25</v>
      </c>
    </row>
    <row r="27" spans="1:16" x14ac:dyDescent="0.25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323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Row],[hwycov_id]],count[],4,FALSE)</f>
        <v>16429</v>
      </c>
      <c r="L27" s="115">
        <f>VLOOKUP(ws[[#This Row],[hwycov_id]],flow0[],5,FALSE)</f>
        <v>18675</v>
      </c>
      <c r="M27" s="295">
        <f>ws[[#This Row],[flow]]/ws[[#This Row],[count]]-1</f>
        <v>0.13670947714407444</v>
      </c>
      <c r="N27" s="296">
        <f>POWER((ws[[#This Row],[flow]]-ws[[#This Row],[count]]),2)</f>
        <v>5044516</v>
      </c>
      <c r="O27" s="80" t="e">
        <f>VLOOKUP(ws[[#This Row],[hwycov_id]],count!$A$630:$E$652,5,FALSE)</f>
        <v>#N/A</v>
      </c>
      <c r="P27" s="80">
        <v>26</v>
      </c>
    </row>
    <row r="28" spans="1:16" x14ac:dyDescent="0.25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323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Row],[hwycov_id]],count[],4,FALSE)</f>
        <v>16190</v>
      </c>
      <c r="L28" s="115">
        <f>VLOOKUP(ws[[#This Row],[hwycov_id]],flow0[],5,FALSE)</f>
        <v>19996</v>
      </c>
      <c r="M28" s="295">
        <f>ws[[#This Row],[flow]]/ws[[#This Row],[count]]-1</f>
        <v>0.23508338480543545</v>
      </c>
      <c r="N28" s="296">
        <f>POWER((ws[[#This Row],[flow]]-ws[[#This Row],[count]]),2)</f>
        <v>14485636</v>
      </c>
      <c r="O28" s="80" t="e">
        <f>VLOOKUP(ws[[#This Row],[hwycov_id]],count!$A$630:$E$652,5,FALSE)</f>
        <v>#N/A</v>
      </c>
      <c r="P28" s="80">
        <v>27</v>
      </c>
    </row>
    <row r="29" spans="1:16" x14ac:dyDescent="0.25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323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Row],[hwycov_id]],count[],4,FALSE)</f>
        <v>16718</v>
      </c>
      <c r="L29" s="115">
        <f>VLOOKUP(ws[[#This Row],[hwycov_id]],flow0[],5,FALSE)</f>
        <v>18096</v>
      </c>
      <c r="M29" s="295">
        <f>ws[[#This Row],[flow]]/ws[[#This Row],[count]]-1</f>
        <v>8.2426127527216231E-2</v>
      </c>
      <c r="N29" s="296">
        <f>POWER((ws[[#This Row],[flow]]-ws[[#This Row],[count]]),2)</f>
        <v>1898884</v>
      </c>
      <c r="O29" s="80" t="e">
        <f>VLOOKUP(ws[[#This Row],[hwycov_id]],count!$A$630:$E$652,5,FALSE)</f>
        <v>#N/A</v>
      </c>
      <c r="P29" s="80">
        <v>28</v>
      </c>
    </row>
    <row r="30" spans="1:16" x14ac:dyDescent="0.25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323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Row],[hwycov_id]],count[],4,FALSE)</f>
        <v>22327</v>
      </c>
      <c r="L30" s="115">
        <f>VLOOKUP(ws[[#This Row],[hwycov_id]],flow0[],5,FALSE)</f>
        <v>23295</v>
      </c>
      <c r="M30" s="295">
        <f>ws[[#This Row],[flow]]/ws[[#This Row],[count]]-1</f>
        <v>4.3355578447619392E-2</v>
      </c>
      <c r="N30" s="296">
        <f>POWER((ws[[#This Row],[flow]]-ws[[#This Row],[count]]),2)</f>
        <v>937024</v>
      </c>
      <c r="O30" s="80" t="e">
        <f>VLOOKUP(ws[[#This Row],[hwycov_id]],count!$A$630:$E$652,5,FALSE)</f>
        <v>#N/A</v>
      </c>
      <c r="P30" s="80">
        <v>29</v>
      </c>
    </row>
    <row r="31" spans="1:16" x14ac:dyDescent="0.25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323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Row],[hwycov_id]],count[],4,FALSE)</f>
        <v>18162</v>
      </c>
      <c r="L31" s="115">
        <f>VLOOKUP(ws[[#This Row],[hwycov_id]],flow0[],5,FALSE)</f>
        <v>24693</v>
      </c>
      <c r="M31" s="295">
        <f>ws[[#This Row],[flow]]/ws[[#This Row],[count]]-1</f>
        <v>0.35959696068714897</v>
      </c>
      <c r="N31" s="296">
        <f>POWER((ws[[#This Row],[flow]]-ws[[#This Row],[count]]),2)</f>
        <v>42653961</v>
      </c>
      <c r="O31" s="80" t="e">
        <f>VLOOKUP(ws[[#This Row],[hwycov_id]],count!$A$630:$E$652,5,FALSE)</f>
        <v>#N/A</v>
      </c>
      <c r="P31" s="80">
        <v>30</v>
      </c>
    </row>
    <row r="32" spans="1:16" x14ac:dyDescent="0.25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323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Row],[hwycov_id]],count[],4,FALSE)</f>
        <v>17896</v>
      </c>
      <c r="L32" s="115">
        <f>VLOOKUP(ws[[#This Row],[hwycov_id]],flow0[],5,FALSE)</f>
        <v>20016</v>
      </c>
      <c r="M32" s="295">
        <f>ws[[#This Row],[flow]]/ws[[#This Row],[count]]-1</f>
        <v>0.11846222619579794</v>
      </c>
      <c r="N32" s="296">
        <f>POWER((ws[[#This Row],[flow]]-ws[[#This Row],[count]]),2)</f>
        <v>4494400</v>
      </c>
      <c r="O32" s="80" t="e">
        <f>VLOOKUP(ws[[#This Row],[hwycov_id]],count!$A$630:$E$652,5,FALSE)</f>
        <v>#N/A</v>
      </c>
      <c r="P32" s="80">
        <v>31</v>
      </c>
    </row>
    <row r="33" spans="1:16" x14ac:dyDescent="0.25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323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Row],[hwycov_id]],count[],4,FALSE)</f>
        <v>17021</v>
      </c>
      <c r="L33" s="115">
        <f>VLOOKUP(ws[[#This Row],[hwycov_id]],flow0[],5,FALSE)</f>
        <v>18697</v>
      </c>
      <c r="M33" s="295">
        <f>ws[[#This Row],[flow]]/ws[[#This Row],[count]]-1</f>
        <v>9.8466600082251388E-2</v>
      </c>
      <c r="N33" s="296">
        <f>POWER((ws[[#This Row],[flow]]-ws[[#This Row],[count]]),2)</f>
        <v>2808976</v>
      </c>
      <c r="O33" s="80" t="e">
        <f>VLOOKUP(ws[[#This Row],[hwycov_id]],count!$A$630:$E$652,5,FALSE)</f>
        <v>#N/A</v>
      </c>
      <c r="P33" s="80">
        <v>32</v>
      </c>
    </row>
    <row r="34" spans="1:16" x14ac:dyDescent="0.25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323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Row],[hwycov_id]],count[],4,FALSE)</f>
        <v>18852</v>
      </c>
      <c r="L34" s="115">
        <f>VLOOKUP(ws[[#This Row],[hwycov_id]],flow0[],5,FALSE)</f>
        <v>20356</v>
      </c>
      <c r="M34" s="295">
        <f>ws[[#This Row],[flow]]/ws[[#This Row],[count]]-1</f>
        <v>7.9779333757691528E-2</v>
      </c>
      <c r="N34" s="296">
        <f>POWER((ws[[#This Row],[flow]]-ws[[#This Row],[count]]),2)</f>
        <v>2262016</v>
      </c>
      <c r="O34" s="80" t="e">
        <f>VLOOKUP(ws[[#This Row],[hwycov_id]],count!$A$630:$E$652,5,FALSE)</f>
        <v>#N/A</v>
      </c>
      <c r="P34" s="80">
        <v>33</v>
      </c>
    </row>
    <row r="35" spans="1:16" x14ac:dyDescent="0.25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323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Row],[hwycov_id]],count[],4,FALSE)</f>
        <v>21245</v>
      </c>
      <c r="L35" s="115">
        <f>VLOOKUP(ws[[#This Row],[hwycov_id]],flow0[],5,FALSE)</f>
        <v>21209</v>
      </c>
      <c r="M35" s="295">
        <f>ws[[#This Row],[flow]]/ws[[#This Row],[count]]-1</f>
        <v>-1.6945163567898547E-3</v>
      </c>
      <c r="N35" s="296">
        <f>POWER((ws[[#This Row],[flow]]-ws[[#This Row],[count]]),2)</f>
        <v>1296</v>
      </c>
      <c r="O35" s="80" t="e">
        <f>VLOOKUP(ws[[#This Row],[hwycov_id]],count!$A$630:$E$652,5,FALSE)</f>
        <v>#N/A</v>
      </c>
      <c r="P35" s="80">
        <v>34</v>
      </c>
    </row>
    <row r="36" spans="1:16" x14ac:dyDescent="0.25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323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Row],[hwycov_id]],count[],4,FALSE)</f>
        <v>21345</v>
      </c>
      <c r="L36" s="115">
        <f>VLOOKUP(ws[[#This Row],[hwycov_id]],flow0[],5,FALSE)</f>
        <v>21209</v>
      </c>
      <c r="M36" s="295">
        <f>ws[[#This Row],[flow]]/ws[[#This Row],[count]]-1</f>
        <v>-6.3715155774185517E-3</v>
      </c>
      <c r="N36" s="296">
        <f>POWER((ws[[#This Row],[flow]]-ws[[#This Row],[count]]),2)</f>
        <v>18496</v>
      </c>
      <c r="O36" s="80" t="e">
        <f>VLOOKUP(ws[[#This Row],[hwycov_id]],count!$A$630:$E$652,5,FALSE)</f>
        <v>#N/A</v>
      </c>
      <c r="P36" s="80">
        <v>35</v>
      </c>
    </row>
    <row r="37" spans="1:16" x14ac:dyDescent="0.25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323</v>
      </c>
      <c r="G37" s="79">
        <v>21.95</v>
      </c>
      <c r="H37" s="79">
        <v>0.94275399999999998</v>
      </c>
      <c r="I37" s="79" t="s">
        <v>325</v>
      </c>
      <c r="J37" s="79" t="s">
        <v>83</v>
      </c>
      <c r="K37" s="83">
        <f>VLOOKUP(ws[[#This Row],[hwycov_id]],count[],4,FALSE)</f>
        <v>25547</v>
      </c>
      <c r="L37" s="115">
        <f>VLOOKUP(ws[[#This Row],[hwycov_id]],flow0[],5,FALSE)</f>
        <v>28193</v>
      </c>
      <c r="M37" s="295">
        <f>ws[[#This Row],[flow]]/ws[[#This Row],[count]]-1</f>
        <v>0.10357380514346115</v>
      </c>
      <c r="N37" s="296">
        <f>POWER((ws[[#This Row],[flow]]-ws[[#This Row],[count]]),2)</f>
        <v>7001316</v>
      </c>
      <c r="O37" s="80" t="e">
        <f>VLOOKUP(ws[[#This Row],[hwycov_id]],count!$A$630:$E$652,5,FALSE)</f>
        <v>#N/A</v>
      </c>
      <c r="P37" s="80">
        <v>37</v>
      </c>
    </row>
    <row r="38" spans="1:16" x14ac:dyDescent="0.25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323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Row],[hwycov_id]],count[],4,FALSE)</f>
        <v>19336</v>
      </c>
      <c r="L38" s="115">
        <f>VLOOKUP(ws[[#This Row],[hwycov_id]],flow0[],5,FALSE)</f>
        <v>21577</v>
      </c>
      <c r="M38" s="295">
        <f>ws[[#This Row],[flow]]/ws[[#This Row],[count]]-1</f>
        <v>0.11589780719900711</v>
      </c>
      <c r="N38" s="296">
        <f>POWER((ws[[#This Row],[flow]]-ws[[#This Row],[count]]),2)</f>
        <v>5022081</v>
      </c>
      <c r="O38" s="80" t="e">
        <f>VLOOKUP(ws[[#This Row],[hwycov_id]],count!$A$630:$E$652,5,FALSE)</f>
        <v>#N/A</v>
      </c>
      <c r="P38" s="80">
        <v>38</v>
      </c>
    </row>
    <row r="39" spans="1:16" x14ac:dyDescent="0.25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323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Row],[hwycov_id]],count[],4,FALSE)</f>
        <v>12911</v>
      </c>
      <c r="L39" s="115">
        <f>VLOOKUP(ws[[#This Row],[hwycov_id]],flow0[],5,FALSE)</f>
        <v>18056</v>
      </c>
      <c r="M39" s="295">
        <f>ws[[#This Row],[flow]]/ws[[#This Row],[count]]-1</f>
        <v>0.3984974053132988</v>
      </c>
      <c r="N39" s="296">
        <f>POWER((ws[[#This Row],[flow]]-ws[[#This Row],[count]]),2)</f>
        <v>26471025</v>
      </c>
      <c r="O39" s="80" t="e">
        <f>VLOOKUP(ws[[#This Row],[hwycov_id]],count!$A$630:$E$652,5,FALSE)</f>
        <v>#N/A</v>
      </c>
      <c r="P39" s="80">
        <v>39</v>
      </c>
    </row>
    <row r="40" spans="1:16" x14ac:dyDescent="0.25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323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Row],[hwycov_id]],count[],4,FALSE)</f>
        <v>14734</v>
      </c>
      <c r="L40" s="115">
        <f>VLOOKUP(ws[[#This Row],[hwycov_id]],flow0[],5,FALSE)</f>
        <v>19651</v>
      </c>
      <c r="M40" s="295">
        <f>ws[[#This Row],[flow]]/ws[[#This Row],[count]]-1</f>
        <v>0.33371793131532512</v>
      </c>
      <c r="N40" s="296">
        <f>POWER((ws[[#This Row],[flow]]-ws[[#This Row],[count]]),2)</f>
        <v>24176889</v>
      </c>
      <c r="O40" s="80" t="e">
        <f>VLOOKUP(ws[[#This Row],[hwycov_id]],count!$A$630:$E$652,5,FALSE)</f>
        <v>#N/A</v>
      </c>
      <c r="P40" s="80">
        <v>40</v>
      </c>
    </row>
    <row r="41" spans="1:16" x14ac:dyDescent="0.25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323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Row],[hwycov_id]],count[],4,FALSE)</f>
        <v>12853</v>
      </c>
      <c r="L41" s="115">
        <f>VLOOKUP(ws[[#This Row],[hwycov_id]],flow0[],5,FALSE)</f>
        <v>20675</v>
      </c>
      <c r="M41" s="295">
        <f>ws[[#This Row],[flow]]/ws[[#This Row],[count]]-1</f>
        <v>0.60857387380378114</v>
      </c>
      <c r="N41" s="296">
        <f>POWER((ws[[#This Row],[flow]]-ws[[#This Row],[count]]),2)</f>
        <v>61183684</v>
      </c>
      <c r="O41" s="80" t="e">
        <f>VLOOKUP(ws[[#This Row],[hwycov_id]],count!$A$630:$E$652,5,FALSE)</f>
        <v>#N/A</v>
      </c>
      <c r="P41" s="80">
        <v>41</v>
      </c>
    </row>
    <row r="42" spans="1:16" x14ac:dyDescent="0.25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323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Row],[hwycov_id]],count[],4,FALSE)</f>
        <v>13188</v>
      </c>
      <c r="L42" s="115">
        <f>VLOOKUP(ws[[#This Row],[hwycov_id]],flow0[],5,FALSE)</f>
        <v>18432</v>
      </c>
      <c r="M42" s="295">
        <f>ws[[#This Row],[flow]]/ws[[#This Row],[count]]-1</f>
        <v>0.39763421292083723</v>
      </c>
      <c r="N42" s="296">
        <f>POWER((ws[[#This Row],[flow]]-ws[[#This Row],[count]]),2)</f>
        <v>27499536</v>
      </c>
      <c r="O42" s="80" t="e">
        <f>VLOOKUP(ws[[#This Row],[hwycov_id]],count!$A$630:$E$652,5,FALSE)</f>
        <v>#N/A</v>
      </c>
      <c r="P42" s="80">
        <v>42</v>
      </c>
    </row>
    <row r="43" spans="1:16" x14ac:dyDescent="0.25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323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Row],[hwycov_id]],count[],4,FALSE)</f>
        <v>14915</v>
      </c>
      <c r="L43" s="115">
        <f>VLOOKUP(ws[[#This Row],[hwycov_id]],flow0[],5,FALSE)</f>
        <v>16604</v>
      </c>
      <c r="M43" s="295">
        <f>ws[[#This Row],[flow]]/ws[[#This Row],[count]]-1</f>
        <v>0.1132417029835735</v>
      </c>
      <c r="N43" s="296">
        <f>POWER((ws[[#This Row],[flow]]-ws[[#This Row],[count]]),2)</f>
        <v>2852721</v>
      </c>
      <c r="O43" s="80" t="e">
        <f>VLOOKUP(ws[[#This Row],[hwycov_id]],count!$A$630:$E$652,5,FALSE)</f>
        <v>#N/A</v>
      </c>
      <c r="P43" s="80">
        <v>43</v>
      </c>
    </row>
    <row r="44" spans="1:16" x14ac:dyDescent="0.25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323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Row],[hwycov_id]],count[],4,FALSE)</f>
        <v>17592</v>
      </c>
      <c r="L44" s="115">
        <f>VLOOKUP(ws[[#This Row],[hwycov_id]],flow0[],5,FALSE)</f>
        <v>28171</v>
      </c>
      <c r="M44" s="295">
        <f>ws[[#This Row],[flow]]/ws[[#This Row],[count]]-1</f>
        <v>0.60135288767621642</v>
      </c>
      <c r="N44" s="296">
        <f>POWER((ws[[#This Row],[flow]]-ws[[#This Row],[count]]),2)</f>
        <v>111915241</v>
      </c>
      <c r="O44" s="80" t="e">
        <f>VLOOKUP(ws[[#This Row],[hwycov_id]],count!$A$630:$E$652,5,FALSE)</f>
        <v>#N/A</v>
      </c>
      <c r="P44" s="80">
        <v>44</v>
      </c>
    </row>
    <row r="45" spans="1:16" x14ac:dyDescent="0.25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323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Row],[hwycov_id]],count[],4,FALSE)</f>
        <v>18088</v>
      </c>
      <c r="L45" s="115">
        <f>VLOOKUP(ws[[#This Row],[hwycov_id]],flow0[],5,FALSE)</f>
        <v>24562</v>
      </c>
      <c r="M45" s="295">
        <f>ws[[#This Row],[flow]]/ws[[#This Row],[count]]-1</f>
        <v>0.35791685095090675</v>
      </c>
      <c r="N45" s="296">
        <f>POWER((ws[[#This Row],[flow]]-ws[[#This Row],[count]]),2)</f>
        <v>41912676</v>
      </c>
      <c r="O45" s="80" t="e">
        <f>VLOOKUP(ws[[#This Row],[hwycov_id]],count!$A$630:$E$652,5,FALSE)</f>
        <v>#N/A</v>
      </c>
      <c r="P45" s="80">
        <v>45</v>
      </c>
    </row>
    <row r="46" spans="1:16" x14ac:dyDescent="0.25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323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Row],[hwycov_id]],count[],4,FALSE)</f>
        <v>8098</v>
      </c>
      <c r="L46" s="115">
        <f>VLOOKUP(ws[[#This Row],[hwycov_id]],flow0[],5,FALSE)</f>
        <v>15961</v>
      </c>
      <c r="M46" s="295">
        <f>ws[[#This Row],[flow]]/ws[[#This Row],[count]]-1</f>
        <v>0.97098048900963208</v>
      </c>
      <c r="N46" s="296">
        <f>POWER((ws[[#This Row],[flow]]-ws[[#This Row],[count]]),2)</f>
        <v>61826769</v>
      </c>
      <c r="O46" s="80" t="e">
        <f>VLOOKUP(ws[[#This Row],[hwycov_id]],count!$A$630:$E$652,5,FALSE)</f>
        <v>#N/A</v>
      </c>
      <c r="P46" s="80">
        <v>46</v>
      </c>
    </row>
    <row r="47" spans="1:16" x14ac:dyDescent="0.25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323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Row],[hwycov_id]],count[],4,FALSE)</f>
        <v>21677</v>
      </c>
      <c r="L47" s="115">
        <f>VLOOKUP(ws[[#This Row],[hwycov_id]],flow0[],5,FALSE)</f>
        <v>33670</v>
      </c>
      <c r="M47" s="295">
        <f>ws[[#This Row],[flow]]/ws[[#This Row],[count]]-1</f>
        <v>0.55325921483600138</v>
      </c>
      <c r="N47" s="296">
        <f>POWER((ws[[#This Row],[flow]]-ws[[#This Row],[count]]),2)</f>
        <v>143832049</v>
      </c>
      <c r="O47" s="80" t="e">
        <f>VLOOKUP(ws[[#This Row],[hwycov_id]],count!$A$630:$E$652,5,FALSE)</f>
        <v>#N/A</v>
      </c>
      <c r="P47" s="80">
        <v>47</v>
      </c>
    </row>
    <row r="48" spans="1:16" x14ac:dyDescent="0.25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323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Row],[hwycov_id]],count[],4,FALSE)</f>
        <v>18041</v>
      </c>
      <c r="L48" s="115">
        <f>VLOOKUP(ws[[#This Row],[hwycov_id]],flow0[],5,FALSE)</f>
        <v>31597</v>
      </c>
      <c r="M48" s="295">
        <f>ws[[#This Row],[flow]]/ws[[#This Row],[count]]-1</f>
        <v>0.75139958982318045</v>
      </c>
      <c r="N48" s="296">
        <f>POWER((ws[[#This Row],[flow]]-ws[[#This Row],[count]]),2)</f>
        <v>183765136</v>
      </c>
      <c r="O48" s="80" t="e">
        <f>VLOOKUP(ws[[#This Row],[hwycov_id]],count!$A$630:$E$652,5,FALSE)</f>
        <v>#N/A</v>
      </c>
      <c r="P48" s="80">
        <v>48</v>
      </c>
    </row>
    <row r="49" spans="1:16" x14ac:dyDescent="0.25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323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Row],[hwycov_id]],count[],4,FALSE)</f>
        <v>14919</v>
      </c>
      <c r="L49" s="115">
        <f>VLOOKUP(ws[[#This Row],[hwycov_id]],flow0[],5,FALSE)</f>
        <v>30134</v>
      </c>
      <c r="M49" s="295">
        <f>ws[[#This Row],[flow]]/ws[[#This Row],[count]]-1</f>
        <v>1.0198404718814933</v>
      </c>
      <c r="N49" s="296">
        <f>POWER((ws[[#This Row],[flow]]-ws[[#This Row],[count]]),2)</f>
        <v>231496225</v>
      </c>
      <c r="O49" s="80" t="e">
        <f>VLOOKUP(ws[[#This Row],[hwycov_id]],count!$A$630:$E$652,5,FALSE)</f>
        <v>#N/A</v>
      </c>
      <c r="P49" s="80">
        <v>49</v>
      </c>
    </row>
    <row r="50" spans="1:16" x14ac:dyDescent="0.25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323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Row],[hwycov_id]],count[],4,FALSE)</f>
        <v>20123</v>
      </c>
      <c r="L50" s="115">
        <f>VLOOKUP(ws[[#This Row],[hwycov_id]],flow0[],5,FALSE)</f>
        <v>31028</v>
      </c>
      <c r="M50" s="295">
        <f>ws[[#This Row],[flow]]/ws[[#This Row],[count]]-1</f>
        <v>0.5419172091636435</v>
      </c>
      <c r="N50" s="296">
        <f>POWER((ws[[#This Row],[flow]]-ws[[#This Row],[count]]),2)</f>
        <v>118919025</v>
      </c>
      <c r="O50" s="80" t="e">
        <f>VLOOKUP(ws[[#This Row],[hwycov_id]],count!$A$630:$E$652,5,FALSE)</f>
        <v>#N/A</v>
      </c>
      <c r="P50" s="80">
        <v>50</v>
      </c>
    </row>
    <row r="51" spans="1:16" x14ac:dyDescent="0.25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323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Row],[hwycov_id]],count[],4,FALSE)</f>
        <v>26077</v>
      </c>
      <c r="L51" s="115">
        <f>VLOOKUP(ws[[#This Row],[hwycov_id]],flow0[],5,FALSE)</f>
        <v>32064</v>
      </c>
      <c r="M51" s="295">
        <f>ws[[#This Row],[flow]]/ws[[#This Row],[count]]-1</f>
        <v>0.22958929324692257</v>
      </c>
      <c r="N51" s="296">
        <f>POWER((ws[[#This Row],[flow]]-ws[[#This Row],[count]]),2)</f>
        <v>35844169</v>
      </c>
      <c r="O51" s="80" t="e">
        <f>VLOOKUP(ws[[#This Row],[hwycov_id]],count!$A$630:$E$652,5,FALSE)</f>
        <v>#N/A</v>
      </c>
      <c r="P51" s="80">
        <v>51</v>
      </c>
    </row>
    <row r="52" spans="1:16" x14ac:dyDescent="0.25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323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Row],[hwycov_id]],count[],4,FALSE)</f>
        <v>23557</v>
      </c>
      <c r="L52" s="115">
        <f>VLOOKUP(ws[[#This Row],[hwycov_id]],flow0[],5,FALSE)</f>
        <v>33266</v>
      </c>
      <c r="M52" s="295">
        <f>ws[[#This Row],[flow]]/ws[[#This Row],[count]]-1</f>
        <v>0.41214925499851418</v>
      </c>
      <c r="N52" s="296">
        <f>POWER((ws[[#This Row],[flow]]-ws[[#This Row],[count]]),2)</f>
        <v>94264681</v>
      </c>
      <c r="O52" s="80" t="e">
        <f>VLOOKUP(ws[[#This Row],[hwycov_id]],count!$A$630:$E$652,5,FALSE)</f>
        <v>#N/A</v>
      </c>
      <c r="P52" s="80">
        <v>52</v>
      </c>
    </row>
    <row r="53" spans="1:16" x14ac:dyDescent="0.25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323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Row],[hwycov_id]],count[],4,FALSE)</f>
        <v>22521</v>
      </c>
      <c r="L53" s="115">
        <f>VLOOKUP(ws[[#This Row],[hwycov_id]],flow0[],5,FALSE)</f>
        <v>30620</v>
      </c>
      <c r="M53" s="295">
        <f>ws[[#This Row],[flow]]/ws[[#This Row],[count]]-1</f>
        <v>0.35961991030593676</v>
      </c>
      <c r="N53" s="296">
        <f>POWER((ws[[#This Row],[flow]]-ws[[#This Row],[count]]),2)</f>
        <v>65593801</v>
      </c>
      <c r="O53" s="80" t="e">
        <f>VLOOKUP(ws[[#This Row],[hwycov_id]],count!$A$630:$E$652,5,FALSE)</f>
        <v>#N/A</v>
      </c>
      <c r="P53" s="80">
        <v>53</v>
      </c>
    </row>
    <row r="54" spans="1:16" x14ac:dyDescent="0.25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323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Row],[hwycov_id]],count[],4,FALSE)</f>
        <v>21673</v>
      </c>
      <c r="L54" s="115">
        <f>VLOOKUP(ws[[#This Row],[hwycov_id]],flow0[],5,FALSE)</f>
        <v>29806</v>
      </c>
      <c r="M54" s="295">
        <f>ws[[#This Row],[flow]]/ws[[#This Row],[count]]-1</f>
        <v>0.37525953951921753</v>
      </c>
      <c r="N54" s="296">
        <f>POWER((ws[[#This Row],[flow]]-ws[[#This Row],[count]]),2)</f>
        <v>66145689</v>
      </c>
      <c r="O54" s="80" t="e">
        <f>VLOOKUP(ws[[#This Row],[hwycov_id]],count!$A$630:$E$652,5,FALSE)</f>
        <v>#N/A</v>
      </c>
      <c r="P54" s="80">
        <v>54</v>
      </c>
    </row>
    <row r="55" spans="1:16" x14ac:dyDescent="0.25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323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Row],[hwycov_id]],count[],4,FALSE)</f>
        <v>23644</v>
      </c>
      <c r="L55" s="115">
        <f>VLOOKUP(ws[[#This Row],[hwycov_id]],flow0[],5,FALSE)</f>
        <v>31178</v>
      </c>
      <c r="M55" s="295">
        <f>ws[[#This Row],[flow]]/ws[[#This Row],[count]]-1</f>
        <v>0.31864320757908993</v>
      </c>
      <c r="N55" s="296">
        <f>POWER((ws[[#This Row],[flow]]-ws[[#This Row],[count]]),2)</f>
        <v>56761156</v>
      </c>
      <c r="O55" s="80" t="e">
        <f>VLOOKUP(ws[[#This Row],[hwycov_id]],count!$A$630:$E$652,5,FALSE)</f>
        <v>#N/A</v>
      </c>
      <c r="P55" s="80">
        <v>55</v>
      </c>
    </row>
    <row r="56" spans="1:16" x14ac:dyDescent="0.25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323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Row],[hwycov_id]],count[],4,FALSE)</f>
        <v>21817</v>
      </c>
      <c r="L56" s="115">
        <f>VLOOKUP(ws[[#This Row],[hwycov_id]],flow0[],5,FALSE)</f>
        <v>29248</v>
      </c>
      <c r="M56" s="295">
        <f>ws[[#This Row],[flow]]/ws[[#This Row],[count]]-1</f>
        <v>0.34060594948893064</v>
      </c>
      <c r="N56" s="296">
        <f>POWER((ws[[#This Row],[flow]]-ws[[#This Row],[count]]),2)</f>
        <v>55219761</v>
      </c>
      <c r="O56" s="80" t="e">
        <f>VLOOKUP(ws[[#This Row],[hwycov_id]],count!$A$630:$E$652,5,FALSE)</f>
        <v>#N/A</v>
      </c>
      <c r="P56" s="80">
        <v>56</v>
      </c>
    </row>
    <row r="57" spans="1:16" x14ac:dyDescent="0.25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323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Row],[hwycov_id]],count[],4,FALSE)</f>
        <v>24411</v>
      </c>
      <c r="L57" s="115">
        <f>VLOOKUP(ws[[#This Row],[hwycov_id]],flow0[],5,FALSE)</f>
        <v>30987</v>
      </c>
      <c r="M57" s="295">
        <f>ws[[#This Row],[flow]]/ws[[#This Row],[count]]-1</f>
        <v>0.26938675187415506</v>
      </c>
      <c r="N57" s="296">
        <f>POWER((ws[[#This Row],[flow]]-ws[[#This Row],[count]]),2)</f>
        <v>43243776</v>
      </c>
      <c r="O57" s="80" t="e">
        <f>VLOOKUP(ws[[#This Row],[hwycov_id]],count!$A$630:$E$652,5,FALSE)</f>
        <v>#N/A</v>
      </c>
      <c r="P57" s="80">
        <v>57</v>
      </c>
    </row>
    <row r="58" spans="1:16" x14ac:dyDescent="0.25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323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Row],[hwycov_id]],count[],4,FALSE)</f>
        <v>21307</v>
      </c>
      <c r="L58" s="115">
        <f>VLOOKUP(ws[[#This Row],[hwycov_id]],flow0[],5,FALSE)</f>
        <v>29073</v>
      </c>
      <c r="M58" s="295">
        <f>ws[[#This Row],[flow]]/ws[[#This Row],[count]]-1</f>
        <v>0.36448115642746526</v>
      </c>
      <c r="N58" s="296">
        <f>POWER((ws[[#This Row],[flow]]-ws[[#This Row],[count]]),2)</f>
        <v>60310756</v>
      </c>
      <c r="O58" s="80" t="e">
        <f>VLOOKUP(ws[[#This Row],[hwycov_id]],count!$A$630:$E$652,5,FALSE)</f>
        <v>#N/A</v>
      </c>
      <c r="P58" s="80">
        <v>58</v>
      </c>
    </row>
    <row r="59" spans="1:16" x14ac:dyDescent="0.25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323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Row],[hwycov_id]],count[],4,FALSE)</f>
        <v>22060</v>
      </c>
      <c r="L59" s="115">
        <f>VLOOKUP(ws[[#This Row],[hwycov_id]],flow0[],5,FALSE)</f>
        <v>30001</v>
      </c>
      <c r="M59" s="295">
        <f>ws[[#This Row],[flow]]/ws[[#This Row],[count]]-1</f>
        <v>0.35997280145058941</v>
      </c>
      <c r="N59" s="296">
        <f>POWER((ws[[#This Row],[flow]]-ws[[#This Row],[count]]),2)</f>
        <v>63059481</v>
      </c>
      <c r="O59" s="80" t="e">
        <f>VLOOKUP(ws[[#This Row],[hwycov_id]],count!$A$630:$E$652,5,FALSE)</f>
        <v>#N/A</v>
      </c>
      <c r="P59" s="80">
        <v>59</v>
      </c>
    </row>
    <row r="60" spans="1:16" x14ac:dyDescent="0.25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323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Row],[hwycov_id]],count[],4,FALSE)</f>
        <v>20180</v>
      </c>
      <c r="L60" s="115">
        <f>VLOOKUP(ws[[#This Row],[hwycov_id]],flow0[],5,FALSE)</f>
        <v>27940</v>
      </c>
      <c r="M60" s="295">
        <f>ws[[#This Row],[flow]]/ws[[#This Row],[count]]-1</f>
        <v>0.38453914767096142</v>
      </c>
      <c r="N60" s="296">
        <f>POWER((ws[[#This Row],[flow]]-ws[[#This Row],[count]]),2)</f>
        <v>60217600</v>
      </c>
      <c r="O60" s="80" t="e">
        <f>VLOOKUP(ws[[#This Row],[hwycov_id]],count!$A$630:$E$652,5,FALSE)</f>
        <v>#N/A</v>
      </c>
      <c r="P60" s="80">
        <v>60</v>
      </c>
    </row>
    <row r="61" spans="1:16" x14ac:dyDescent="0.25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323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Row],[hwycov_id]],count[],4,FALSE)</f>
        <v>17408</v>
      </c>
      <c r="L61" s="115">
        <f>VLOOKUP(ws[[#This Row],[hwycov_id]],flow0[],5,FALSE)</f>
        <v>29487</v>
      </c>
      <c r="M61" s="295">
        <f>ws[[#This Row],[flow]]/ws[[#This Row],[count]]-1</f>
        <v>0.69387637867647056</v>
      </c>
      <c r="N61" s="296">
        <f>POWER((ws[[#This Row],[flow]]-ws[[#This Row],[count]]),2)</f>
        <v>145902241</v>
      </c>
      <c r="O61" s="80" t="e">
        <f>VLOOKUP(ws[[#This Row],[hwycov_id]],count!$A$630:$E$652,5,FALSE)</f>
        <v>#N/A</v>
      </c>
      <c r="P61" s="80">
        <v>61</v>
      </c>
    </row>
    <row r="62" spans="1:16" x14ac:dyDescent="0.25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323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Row],[hwycov_id]],count[],4,FALSE)</f>
        <v>19518</v>
      </c>
      <c r="L62" s="115">
        <f>VLOOKUP(ws[[#This Row],[hwycov_id]],flow0[],5,FALSE)</f>
        <v>26895</v>
      </c>
      <c r="M62" s="295">
        <f>ws[[#This Row],[flow]]/ws[[#This Row],[count]]-1</f>
        <v>0.37795880725484166</v>
      </c>
      <c r="N62" s="296">
        <f>POWER((ws[[#This Row],[flow]]-ws[[#This Row],[count]]),2)</f>
        <v>54420129</v>
      </c>
      <c r="O62" s="80" t="e">
        <f>VLOOKUP(ws[[#This Row],[hwycov_id]],count!$A$630:$E$652,5,FALSE)</f>
        <v>#N/A</v>
      </c>
      <c r="P62" s="80">
        <v>62</v>
      </c>
    </row>
    <row r="63" spans="1:16" x14ac:dyDescent="0.25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323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Row],[hwycov_id]],count[],4,FALSE)</f>
        <v>19908</v>
      </c>
      <c r="L63" s="115">
        <f>VLOOKUP(ws[[#This Row],[hwycov_id]],flow0[],5,FALSE)</f>
        <v>28062</v>
      </c>
      <c r="M63" s="295">
        <f>ws[[#This Row],[flow]]/ws[[#This Row],[count]]-1</f>
        <v>0.4095840867992766</v>
      </c>
      <c r="N63" s="296">
        <f>POWER((ws[[#This Row],[flow]]-ws[[#This Row],[count]]),2)</f>
        <v>66487716</v>
      </c>
      <c r="O63" s="80" t="e">
        <f>VLOOKUP(ws[[#This Row],[hwycov_id]],count!$A$630:$E$652,5,FALSE)</f>
        <v>#N/A</v>
      </c>
      <c r="P63" s="80">
        <v>63</v>
      </c>
    </row>
    <row r="64" spans="1:16" x14ac:dyDescent="0.25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323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Row],[hwycov_id]],count[],4,FALSE)</f>
        <v>18579</v>
      </c>
      <c r="L64" s="115">
        <f>VLOOKUP(ws[[#This Row],[hwycov_id]],flow0[],5,FALSE)</f>
        <v>25538</v>
      </c>
      <c r="M64" s="295">
        <f>ws[[#This Row],[flow]]/ws[[#This Row],[count]]-1</f>
        <v>0.37456267829269607</v>
      </c>
      <c r="N64" s="296">
        <f>POWER((ws[[#This Row],[flow]]-ws[[#This Row],[count]]),2)</f>
        <v>48427681</v>
      </c>
      <c r="O64" s="80" t="e">
        <f>VLOOKUP(ws[[#This Row],[hwycov_id]],count!$A$630:$E$652,5,FALSE)</f>
        <v>#N/A</v>
      </c>
      <c r="P64" s="80">
        <v>64</v>
      </c>
    </row>
    <row r="65" spans="1:16" x14ac:dyDescent="0.25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323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Row],[hwycov_id]],count[],4,FALSE)</f>
        <v>20733</v>
      </c>
      <c r="L65" s="115">
        <f>VLOOKUP(ws[[#This Row],[hwycov_id]],flow0[],5,FALSE)</f>
        <v>26538</v>
      </c>
      <c r="M65" s="295">
        <f>ws[[#This Row],[flow]]/ws[[#This Row],[count]]-1</f>
        <v>0.27998842425119386</v>
      </c>
      <c r="N65" s="296">
        <f>POWER((ws[[#This Row],[flow]]-ws[[#This Row],[count]]),2)</f>
        <v>33698025</v>
      </c>
      <c r="O65" s="80" t="e">
        <f>VLOOKUP(ws[[#This Row],[hwycov_id]],count!$A$630:$E$652,5,FALSE)</f>
        <v>#N/A</v>
      </c>
      <c r="P65" s="80">
        <v>65</v>
      </c>
    </row>
    <row r="66" spans="1:16" x14ac:dyDescent="0.25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323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Row],[hwycov_id]],count[],4,FALSE)</f>
        <v>24326</v>
      </c>
      <c r="L66" s="115">
        <f>VLOOKUP(ws[[#This Row],[hwycov_id]],flow0[],5,FALSE)</f>
        <v>27822</v>
      </c>
      <c r="M66" s="295">
        <f>ws[[#This Row],[flow]]/ws[[#This Row],[count]]-1</f>
        <v>0.14371454410918361</v>
      </c>
      <c r="N66" s="296">
        <f>POWER((ws[[#This Row],[flow]]-ws[[#This Row],[count]]),2)</f>
        <v>12222016</v>
      </c>
      <c r="O66" s="80" t="e">
        <f>VLOOKUP(ws[[#This Row],[hwycov_id]],count!$A$630:$E$652,5,FALSE)</f>
        <v>#N/A</v>
      </c>
      <c r="P66" s="80">
        <v>66</v>
      </c>
    </row>
    <row r="67" spans="1:16" x14ac:dyDescent="0.25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323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Row],[hwycov_id]],count[],4,FALSE)</f>
        <v>23200</v>
      </c>
      <c r="L67" s="115">
        <f>VLOOKUP(ws[[#This Row],[hwycov_id]],flow0[],5,FALSE)</f>
        <v>28981</v>
      </c>
      <c r="M67" s="295">
        <f>ws[[#This Row],[flow]]/ws[[#This Row],[count]]-1</f>
        <v>0.24918103448275852</v>
      </c>
      <c r="N67" s="296">
        <f>POWER((ws[[#This Row],[flow]]-ws[[#This Row],[count]]),2)</f>
        <v>33419961</v>
      </c>
      <c r="O67" s="80" t="e">
        <f>VLOOKUP(ws[[#This Row],[hwycov_id]],count!$A$630:$E$652,5,FALSE)</f>
        <v>#N/A</v>
      </c>
      <c r="P67" s="80">
        <v>67</v>
      </c>
    </row>
    <row r="68" spans="1:16" x14ac:dyDescent="0.25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323</v>
      </c>
      <c r="G68" s="79">
        <v>51.92</v>
      </c>
      <c r="H68" s="79">
        <v>0.62427699999999997</v>
      </c>
      <c r="I68" s="79" t="s">
        <v>106</v>
      </c>
      <c r="J68" s="79" t="s">
        <v>326</v>
      </c>
      <c r="K68" s="83">
        <f>VLOOKUP(ws[[#This Row],[hwycov_id]],count[],4,FALSE)</f>
        <v>22843</v>
      </c>
      <c r="L68" s="115">
        <f>VLOOKUP(ws[[#This Row],[hwycov_id]],flow0[],5,FALSE)</f>
        <v>26662</v>
      </c>
      <c r="M68" s="295">
        <f>ws[[#This Row],[flow]]/ws[[#This Row],[count]]-1</f>
        <v>0.16718469553035931</v>
      </c>
      <c r="N68" s="296">
        <f>POWER((ws[[#This Row],[flow]]-ws[[#This Row],[count]]),2)</f>
        <v>14584761</v>
      </c>
      <c r="O68" s="80" t="e">
        <f>VLOOKUP(ws[[#This Row],[hwycov_id]],count!$A$630:$E$652,5,FALSE)</f>
        <v>#N/A</v>
      </c>
      <c r="P68" s="80">
        <v>68</v>
      </c>
    </row>
    <row r="69" spans="1:16" x14ac:dyDescent="0.25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323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Row],[hwycov_id]],count[],4,FALSE)</f>
        <v>19400</v>
      </c>
      <c r="L69" s="115">
        <f>VLOOKUP(ws[[#This Row],[hwycov_id]],flow0[],5,FALSE)</f>
        <v>24581</v>
      </c>
      <c r="M69" s="295">
        <f>ws[[#This Row],[flow]]/ws[[#This Row],[count]]-1</f>
        <v>0.26706185567010299</v>
      </c>
      <c r="N69" s="296">
        <f>POWER((ws[[#This Row],[flow]]-ws[[#This Row],[count]]),2)</f>
        <v>26842761</v>
      </c>
      <c r="O69" s="80" t="e">
        <f>VLOOKUP(ws[[#This Row],[hwycov_id]],count!$A$630:$E$652,5,FALSE)</f>
        <v>#N/A</v>
      </c>
      <c r="P69" s="80">
        <v>69</v>
      </c>
    </row>
    <row r="70" spans="1:16" x14ac:dyDescent="0.25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323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Row],[hwycov_id]],count[],4,FALSE)</f>
        <v>15599</v>
      </c>
      <c r="L70" s="115">
        <f>VLOOKUP(ws[[#This Row],[hwycov_id]],flow0[],5,FALSE)</f>
        <v>20097</v>
      </c>
      <c r="M70" s="295">
        <f>ws[[#This Row],[flow]]/ws[[#This Row],[count]]-1</f>
        <v>0.28835181742419391</v>
      </c>
      <c r="N70" s="296">
        <f>POWER((ws[[#This Row],[flow]]-ws[[#This Row],[count]]),2)</f>
        <v>20232004</v>
      </c>
      <c r="O70" s="80" t="e">
        <f>VLOOKUP(ws[[#This Row],[hwycov_id]],count!$A$630:$E$652,5,FALSE)</f>
        <v>#N/A</v>
      </c>
      <c r="P70" s="80">
        <v>70</v>
      </c>
    </row>
    <row r="71" spans="1:16" x14ac:dyDescent="0.25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323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Row],[hwycov_id]],count[],4,FALSE)</f>
        <v>16392</v>
      </c>
      <c r="L71" s="115">
        <f>VLOOKUP(ws[[#This Row],[hwycov_id]],flow0[],5,FALSE)</f>
        <v>20436</v>
      </c>
      <c r="M71" s="295">
        <f>ws[[#This Row],[flow]]/ws[[#This Row],[count]]-1</f>
        <v>0.24670571010248898</v>
      </c>
      <c r="N71" s="296">
        <f>POWER((ws[[#This Row],[flow]]-ws[[#This Row],[count]]),2)</f>
        <v>16353936</v>
      </c>
      <c r="O71" s="80" t="e">
        <f>VLOOKUP(ws[[#This Row],[hwycov_id]],count!$A$630:$E$652,5,FALSE)</f>
        <v>#N/A</v>
      </c>
      <c r="P71" s="80">
        <v>71</v>
      </c>
    </row>
    <row r="72" spans="1:16" x14ac:dyDescent="0.25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323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Row],[hwycov_id]],count[],4,FALSE)</f>
        <v>13227</v>
      </c>
      <c r="L72" s="115">
        <f>VLOOKUP(ws[[#This Row],[hwycov_id]],flow0[],5,FALSE)</f>
        <v>17297</v>
      </c>
      <c r="M72" s="295">
        <f>ws[[#This Row],[flow]]/ws[[#This Row],[count]]-1</f>
        <v>0.30770393891282977</v>
      </c>
      <c r="N72" s="296">
        <f>POWER((ws[[#This Row],[flow]]-ws[[#This Row],[count]]),2)</f>
        <v>16564900</v>
      </c>
      <c r="O72" s="80" t="e">
        <f>VLOOKUP(ws[[#This Row],[hwycov_id]],count!$A$630:$E$652,5,FALSE)</f>
        <v>#N/A</v>
      </c>
      <c r="P72" s="80">
        <v>72</v>
      </c>
    </row>
    <row r="73" spans="1:16" x14ac:dyDescent="0.25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323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Row],[hwycov_id]],count[],4,FALSE)</f>
        <v>11270</v>
      </c>
      <c r="L73" s="115">
        <f>VLOOKUP(ws[[#This Row],[hwycov_id]],flow0[],5,FALSE)</f>
        <v>14668</v>
      </c>
      <c r="M73" s="295">
        <f>ws[[#This Row],[flow]]/ws[[#This Row],[count]]-1</f>
        <v>0.30150842945874001</v>
      </c>
      <c r="N73" s="296">
        <f>POWER((ws[[#This Row],[flow]]-ws[[#This Row],[count]]),2)</f>
        <v>11546404</v>
      </c>
      <c r="O73" s="80" t="e">
        <f>VLOOKUP(ws[[#This Row],[hwycov_id]],count!$A$630:$E$652,5,FALSE)</f>
        <v>#N/A</v>
      </c>
      <c r="P73" s="80">
        <v>73</v>
      </c>
    </row>
    <row r="74" spans="1:16" x14ac:dyDescent="0.25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323</v>
      </c>
      <c r="G74" s="79">
        <v>61.7</v>
      </c>
      <c r="H74" s="79">
        <v>7.1136410000000003</v>
      </c>
      <c r="I74" s="79" t="s">
        <v>109</v>
      </c>
      <c r="J74" s="79" t="s">
        <v>327</v>
      </c>
      <c r="K74" s="83">
        <f>VLOOKUP(ws[[#This Row],[hwycov_id]],count[],4,FALSE)</f>
        <v>11613</v>
      </c>
      <c r="L74" s="115">
        <f>VLOOKUP(ws[[#This Row],[hwycov_id]],flow0[],5,FALSE)</f>
        <v>14825</v>
      </c>
      <c r="M74" s="295">
        <f>ws[[#This Row],[flow]]/ws[[#This Row],[count]]-1</f>
        <v>0.27658658400068892</v>
      </c>
      <c r="N74" s="296">
        <f>POWER((ws[[#This Row],[flow]]-ws[[#This Row],[count]]),2)</f>
        <v>10316944</v>
      </c>
      <c r="O74" s="80" t="e">
        <f>VLOOKUP(ws[[#This Row],[hwycov_id]],count!$A$630:$E$652,5,FALSE)</f>
        <v>#N/A</v>
      </c>
      <c r="P74" s="80">
        <v>74</v>
      </c>
    </row>
    <row r="75" spans="1:16" x14ac:dyDescent="0.25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367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Row],[hwycov_id]],count[],4,FALSE)</f>
        <v>13149</v>
      </c>
      <c r="L75" s="115">
        <f>VLOOKUP(ws[[#This Row],[hwycov_id]],flow0[],5,FALSE)</f>
        <v>17197</v>
      </c>
      <c r="M75" s="295">
        <f>ws[[#This Row],[flow]]/ws[[#This Row],[count]]-1</f>
        <v>0.30785611073085395</v>
      </c>
      <c r="N75" s="296">
        <f>POWER((ws[[#This Row],[flow]]-ws[[#This Row],[count]]),2)</f>
        <v>16386304</v>
      </c>
      <c r="O75" s="80" t="e">
        <f>VLOOKUP(ws[[#This Row],[hwycov_id]],count!$A$630:$E$652,5,FALSE)</f>
        <v>#N/A</v>
      </c>
      <c r="P75" s="80">
        <v>75</v>
      </c>
    </row>
    <row r="76" spans="1:16" x14ac:dyDescent="0.25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367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Row],[hwycov_id]],count[],4,FALSE)</f>
        <v>14761</v>
      </c>
      <c r="L76" s="115">
        <f>VLOOKUP(ws[[#This Row],[hwycov_id]],flow0[],5,FALSE)</f>
        <v>18014</v>
      </c>
      <c r="M76" s="295">
        <f>ws[[#This Row],[flow]]/ws[[#This Row],[count]]-1</f>
        <v>0.22037802316916189</v>
      </c>
      <c r="N76" s="296">
        <f>POWER((ws[[#This Row],[flow]]-ws[[#This Row],[count]]),2)</f>
        <v>10582009</v>
      </c>
      <c r="O76" s="80" t="e">
        <f>VLOOKUP(ws[[#This Row],[hwycov_id]],count!$A$630:$E$652,5,FALSE)</f>
        <v>#N/A</v>
      </c>
      <c r="P76" s="80">
        <v>76</v>
      </c>
    </row>
    <row r="77" spans="1:16" x14ac:dyDescent="0.25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367</v>
      </c>
      <c r="G77" s="79">
        <v>1.21</v>
      </c>
      <c r="H77" s="79">
        <v>0.17339299999999999</v>
      </c>
      <c r="I77" s="79">
        <v>0</v>
      </c>
      <c r="J77" s="79" t="s">
        <v>329</v>
      </c>
      <c r="K77" s="83">
        <f>VLOOKUP(ws[[#This Row],[hwycov_id]],count[],4,FALSE)</f>
        <v>16609</v>
      </c>
      <c r="L77" s="115">
        <f>VLOOKUP(ws[[#This Row],[hwycov_id]],flow0[],5,FALSE)</f>
        <v>19070</v>
      </c>
      <c r="M77" s="295">
        <f>ws[[#This Row],[flow]]/ws[[#This Row],[count]]-1</f>
        <v>0.14817267746402552</v>
      </c>
      <c r="N77" s="296">
        <f>POWER((ws[[#This Row],[flow]]-ws[[#This Row],[count]]),2)</f>
        <v>6056521</v>
      </c>
      <c r="O77" s="80" t="e">
        <f>VLOOKUP(ws[[#This Row],[hwycov_id]],count!$A$630:$E$652,5,FALSE)</f>
        <v>#N/A</v>
      </c>
      <c r="P77" s="80">
        <v>77</v>
      </c>
    </row>
    <row r="78" spans="1:16" x14ac:dyDescent="0.25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367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Row],[hwycov_id]],count[],4,FALSE)</f>
        <v>14365</v>
      </c>
      <c r="L78" s="115">
        <f>VLOOKUP(ws[[#This Row],[hwycov_id]],flow0[],5,FALSE)</f>
        <v>18238</v>
      </c>
      <c r="M78" s="295">
        <f>ws[[#This Row],[flow]]/ws[[#This Row],[count]]-1</f>
        <v>0.26961364427427781</v>
      </c>
      <c r="N78" s="296">
        <f>POWER((ws[[#This Row],[flow]]-ws[[#This Row],[count]]),2)</f>
        <v>15000129</v>
      </c>
      <c r="O78" s="80" t="e">
        <f>VLOOKUP(ws[[#This Row],[hwycov_id]],count!$A$630:$E$652,5,FALSE)</f>
        <v>#N/A</v>
      </c>
      <c r="P78" s="80">
        <v>78</v>
      </c>
    </row>
    <row r="79" spans="1:16" x14ac:dyDescent="0.25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367</v>
      </c>
      <c r="G79" s="79">
        <v>3.41</v>
      </c>
      <c r="H79" s="79">
        <v>0.194993</v>
      </c>
      <c r="I79" s="79" t="s">
        <v>19</v>
      </c>
      <c r="J79" s="79" t="s">
        <v>368</v>
      </c>
      <c r="K79" s="83">
        <f>VLOOKUP(ws[[#This Row],[hwycov_id]],count[],4,FALSE)</f>
        <v>20064</v>
      </c>
      <c r="L79" s="115">
        <f>VLOOKUP(ws[[#This Row],[hwycov_id]],flow0[],5,FALSE)</f>
        <v>23643</v>
      </c>
      <c r="M79" s="295">
        <f>ws[[#This Row],[flow]]/ws[[#This Row],[count]]-1</f>
        <v>0.17837918660287078</v>
      </c>
      <c r="N79" s="296">
        <f>POWER((ws[[#This Row],[flow]]-ws[[#This Row],[count]]),2)</f>
        <v>12809241</v>
      </c>
      <c r="O79" s="80" t="e">
        <f>VLOOKUP(ws[[#This Row],[hwycov_id]],count!$A$630:$E$652,5,FALSE)</f>
        <v>#N/A</v>
      </c>
      <c r="P79" s="80">
        <v>79</v>
      </c>
    </row>
    <row r="80" spans="1:16" x14ac:dyDescent="0.25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367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Row],[hwycov_id]],count[],4,FALSE)</f>
        <v>14325</v>
      </c>
      <c r="L80" s="115">
        <f>VLOOKUP(ws[[#This Row],[hwycov_id]],flow0[],5,FALSE)</f>
        <v>19193</v>
      </c>
      <c r="M80" s="295">
        <f>ws[[#This Row],[flow]]/ws[[#This Row],[count]]-1</f>
        <v>0.33982547993019208</v>
      </c>
      <c r="N80" s="296">
        <f>POWER((ws[[#This Row],[flow]]-ws[[#This Row],[count]]),2)</f>
        <v>23697424</v>
      </c>
      <c r="O80" s="80" t="e">
        <f>VLOOKUP(ws[[#This Row],[hwycov_id]],count!$A$630:$E$652,5,FALSE)</f>
        <v>#N/A</v>
      </c>
      <c r="P80" s="80">
        <v>80</v>
      </c>
    </row>
    <row r="81" spans="1:16" x14ac:dyDescent="0.25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367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Row],[hwycov_id]],count[],4,FALSE)</f>
        <v>15383</v>
      </c>
      <c r="L81" s="115">
        <f>VLOOKUP(ws[[#This Row],[hwycov_id]],flow0[],5,FALSE)</f>
        <v>20849</v>
      </c>
      <c r="M81" s="295">
        <f>ws[[#This Row],[flow]]/ws[[#This Row],[count]]-1</f>
        <v>0.35532730936748358</v>
      </c>
      <c r="N81" s="296">
        <f>POWER((ws[[#This Row],[flow]]-ws[[#This Row],[count]]),2)</f>
        <v>29877156</v>
      </c>
      <c r="O81" s="80" t="e">
        <f>VLOOKUP(ws[[#This Row],[hwycov_id]],count!$A$630:$E$652,5,FALSE)</f>
        <v>#N/A</v>
      </c>
      <c r="P81" s="80">
        <v>81</v>
      </c>
    </row>
    <row r="82" spans="1:16" x14ac:dyDescent="0.25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367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Row],[hwycov_id]],count[],4,FALSE)</f>
        <v>17762</v>
      </c>
      <c r="L82" s="115">
        <f>VLOOKUP(ws[[#This Row],[hwycov_id]],flow0[],5,FALSE)</f>
        <v>20789</v>
      </c>
      <c r="M82" s="295">
        <f>ws[[#This Row],[flow]]/ws[[#This Row],[count]]-1</f>
        <v>0.17041999774800143</v>
      </c>
      <c r="N82" s="296">
        <f>POWER((ws[[#This Row],[flow]]-ws[[#This Row],[count]]),2)</f>
        <v>9162729</v>
      </c>
      <c r="O82" s="80" t="e">
        <f>VLOOKUP(ws[[#This Row],[hwycov_id]],count!$A$630:$E$652,5,FALSE)</f>
        <v>#N/A</v>
      </c>
      <c r="P82" s="80">
        <v>82</v>
      </c>
    </row>
    <row r="83" spans="1:16" x14ac:dyDescent="0.25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367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Row],[hwycov_id]],count[],4,FALSE)</f>
        <v>16983</v>
      </c>
      <c r="L83" s="115">
        <f>VLOOKUP(ws[[#This Row],[hwycov_id]],flow0[],5,FALSE)</f>
        <v>16280</v>
      </c>
      <c r="M83" s="295">
        <f>ws[[#This Row],[flow]]/ws[[#This Row],[count]]-1</f>
        <v>-4.1394335511982572E-2</v>
      </c>
      <c r="N83" s="296">
        <f>POWER((ws[[#This Row],[flow]]-ws[[#This Row],[count]]),2)</f>
        <v>494209</v>
      </c>
      <c r="O83" s="80" t="e">
        <f>VLOOKUP(ws[[#This Row],[hwycov_id]],count!$A$630:$E$652,5,FALSE)</f>
        <v>#N/A</v>
      </c>
      <c r="P83" s="80">
        <v>83</v>
      </c>
    </row>
    <row r="84" spans="1:16" x14ac:dyDescent="0.25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367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Row],[hwycov_id]],count[],4,FALSE)</f>
        <v>15967</v>
      </c>
      <c r="L84" s="115">
        <f>VLOOKUP(ws[[#This Row],[hwycov_id]],flow0[],5,FALSE)</f>
        <v>16280</v>
      </c>
      <c r="M84" s="295">
        <f>ws[[#This Row],[flow]]/ws[[#This Row],[count]]-1</f>
        <v>1.9602931045280991E-2</v>
      </c>
      <c r="N84" s="296">
        <f>POWER((ws[[#This Row],[flow]]-ws[[#This Row],[count]]),2)</f>
        <v>97969</v>
      </c>
      <c r="O84" s="80" t="e">
        <f>VLOOKUP(ws[[#This Row],[hwycov_id]],count!$A$630:$E$652,5,FALSE)</f>
        <v>#N/A</v>
      </c>
      <c r="P84" s="80">
        <v>84</v>
      </c>
    </row>
    <row r="85" spans="1:16" x14ac:dyDescent="0.25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367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Row],[hwycov_id]],count[],4,FALSE)</f>
        <v>21966</v>
      </c>
      <c r="L85" s="115">
        <f>VLOOKUP(ws[[#This Row],[hwycov_id]],flow0[],5,FALSE)</f>
        <v>28192</v>
      </c>
      <c r="M85" s="295">
        <f>ws[[#This Row],[flow]]/ws[[#This Row],[count]]-1</f>
        <v>0.28343804060821265</v>
      </c>
      <c r="N85" s="296">
        <f>POWER((ws[[#This Row],[flow]]-ws[[#This Row],[count]]),2)</f>
        <v>38763076</v>
      </c>
      <c r="O85" s="80" t="e">
        <f>VLOOKUP(ws[[#This Row],[hwycov_id]],count!$A$630:$E$652,5,FALSE)</f>
        <v>#N/A</v>
      </c>
      <c r="P85" s="80">
        <v>85</v>
      </c>
    </row>
    <row r="86" spans="1:16" x14ac:dyDescent="0.25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367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Row],[hwycov_id]],count[],4,FALSE)</f>
        <v>17283</v>
      </c>
      <c r="L86" s="115">
        <f>VLOOKUP(ws[[#This Row],[hwycov_id]],flow0[],5,FALSE)</f>
        <v>22660</v>
      </c>
      <c r="M86" s="295">
        <f>ws[[#This Row],[flow]]/ws[[#This Row],[count]]-1</f>
        <v>0.31111496846612274</v>
      </c>
      <c r="N86" s="296">
        <f>POWER((ws[[#This Row],[flow]]-ws[[#This Row],[count]]),2)</f>
        <v>28912129</v>
      </c>
      <c r="O86" s="80" t="e">
        <f>VLOOKUP(ws[[#This Row],[hwycov_id]],count!$A$630:$E$652,5,FALSE)</f>
        <v>#N/A</v>
      </c>
      <c r="P86" s="80">
        <v>86</v>
      </c>
    </row>
    <row r="87" spans="1:16" x14ac:dyDescent="0.25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367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Row],[hwycov_id]],count[],4,FALSE)</f>
        <v>19197</v>
      </c>
      <c r="L87" s="115">
        <f>VLOOKUP(ws[[#This Row],[hwycov_id]],flow0[],5,FALSE)</f>
        <v>24406</v>
      </c>
      <c r="M87" s="295">
        <f>ws[[#This Row],[flow]]/ws[[#This Row],[count]]-1</f>
        <v>0.27134448090847529</v>
      </c>
      <c r="N87" s="296">
        <f>POWER((ws[[#This Row],[flow]]-ws[[#This Row],[count]]),2)</f>
        <v>27133681</v>
      </c>
      <c r="O87" s="80" t="e">
        <f>VLOOKUP(ws[[#This Row],[hwycov_id]],count!$A$630:$E$652,5,FALSE)</f>
        <v>#N/A</v>
      </c>
      <c r="P87" s="80">
        <v>87</v>
      </c>
    </row>
    <row r="88" spans="1:16" x14ac:dyDescent="0.25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367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Row],[hwycov_id]],count[],4,FALSE)</f>
        <v>16666</v>
      </c>
      <c r="L88" s="115">
        <f>VLOOKUP(ws[[#This Row],[hwycov_id]],flow0[],5,FALSE)</f>
        <v>20584</v>
      </c>
      <c r="M88" s="295">
        <f>ws[[#This Row],[flow]]/ws[[#This Row],[count]]-1</f>
        <v>0.23508940357614305</v>
      </c>
      <c r="N88" s="296">
        <f>POWER((ws[[#This Row],[flow]]-ws[[#This Row],[count]]),2)</f>
        <v>15350724</v>
      </c>
      <c r="O88" s="80" t="e">
        <f>VLOOKUP(ws[[#This Row],[hwycov_id]],count!$A$630:$E$652,5,FALSE)</f>
        <v>#N/A</v>
      </c>
      <c r="P88" s="80">
        <v>88</v>
      </c>
    </row>
    <row r="89" spans="1:16" x14ac:dyDescent="0.25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367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Row],[hwycov_id]],count[],4,FALSE)</f>
        <v>19169</v>
      </c>
      <c r="L89" s="115">
        <f>VLOOKUP(ws[[#This Row],[hwycov_id]],flow0[],5,FALSE)</f>
        <v>23161</v>
      </c>
      <c r="M89" s="295">
        <f>ws[[#This Row],[flow]]/ws[[#This Row],[count]]-1</f>
        <v>0.20825290834159316</v>
      </c>
      <c r="N89" s="296">
        <f>POWER((ws[[#This Row],[flow]]-ws[[#This Row],[count]]),2)</f>
        <v>15936064</v>
      </c>
      <c r="O89" s="80" t="e">
        <f>VLOOKUP(ws[[#This Row],[hwycov_id]],count!$A$630:$E$652,5,FALSE)</f>
        <v>#N/A</v>
      </c>
      <c r="P89" s="80">
        <v>89</v>
      </c>
    </row>
    <row r="90" spans="1:16" x14ac:dyDescent="0.25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367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Row],[hwycov_id]],count[],4,FALSE)</f>
        <v>17861</v>
      </c>
      <c r="L90" s="115">
        <f>VLOOKUP(ws[[#This Row],[hwycov_id]],flow0[],5,FALSE)</f>
        <v>21419</v>
      </c>
      <c r="M90" s="295">
        <f>ws[[#This Row],[flow]]/ws[[#This Row],[count]]-1</f>
        <v>0.19920497172610707</v>
      </c>
      <c r="N90" s="296">
        <f>POWER((ws[[#This Row],[flow]]-ws[[#This Row],[count]]),2)</f>
        <v>12659364</v>
      </c>
      <c r="O90" s="80" t="e">
        <f>VLOOKUP(ws[[#This Row],[hwycov_id]],count!$A$630:$E$652,5,FALSE)</f>
        <v>#N/A</v>
      </c>
      <c r="P90" s="80">
        <v>90</v>
      </c>
    </row>
    <row r="91" spans="1:16" x14ac:dyDescent="0.25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367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Row],[hwycov_id]],count[],4,FALSE)</f>
        <v>18518</v>
      </c>
      <c r="L91" s="115">
        <f>VLOOKUP(ws[[#This Row],[hwycov_id]],flow0[],5,FALSE)</f>
        <v>30520</v>
      </c>
      <c r="M91" s="295">
        <f>ws[[#This Row],[flow]]/ws[[#This Row],[count]]-1</f>
        <v>0.64812614753213094</v>
      </c>
      <c r="N91" s="296">
        <f>POWER((ws[[#This Row],[flow]]-ws[[#This Row],[count]]),2)</f>
        <v>144048004</v>
      </c>
      <c r="O91" s="80" t="e">
        <f>VLOOKUP(ws[[#This Row],[hwycov_id]],count!$A$630:$E$652,5,FALSE)</f>
        <v>#N/A</v>
      </c>
      <c r="P91" s="80">
        <v>91</v>
      </c>
    </row>
    <row r="92" spans="1:16" x14ac:dyDescent="0.25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367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Row],[hwycov_id]],count[],4,FALSE)</f>
        <v>36316</v>
      </c>
      <c r="L92" s="115">
        <f>VLOOKUP(ws[[#This Row],[hwycov_id]],flow0[],5,FALSE)</f>
        <v>44796</v>
      </c>
      <c r="M92" s="295">
        <f>ws[[#This Row],[flow]]/ws[[#This Row],[count]]-1</f>
        <v>0.23350589271946243</v>
      </c>
      <c r="N92" s="296">
        <f>POWER((ws[[#This Row],[flow]]-ws[[#This Row],[count]]),2)</f>
        <v>71910400</v>
      </c>
      <c r="O92" s="80" t="e">
        <f>VLOOKUP(ws[[#This Row],[hwycov_id]],count!$A$630:$E$652,5,FALSE)</f>
        <v>#N/A</v>
      </c>
      <c r="P92" s="80">
        <v>93</v>
      </c>
    </row>
    <row r="93" spans="1:16" x14ac:dyDescent="0.25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367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Row],[hwycov_id]],count[],4,FALSE)</f>
        <v>33516</v>
      </c>
      <c r="L93" s="115">
        <f>VLOOKUP(ws[[#This Row],[hwycov_id]],flow0[],5,FALSE)</f>
        <v>44064</v>
      </c>
      <c r="M93" s="295">
        <f>ws[[#This Row],[flow]]/ws[[#This Row],[count]]-1</f>
        <v>0.31471535982814181</v>
      </c>
      <c r="N93" s="296">
        <f>POWER((ws[[#This Row],[flow]]-ws[[#This Row],[count]]),2)</f>
        <v>111260304</v>
      </c>
      <c r="O93" s="80" t="e">
        <f>VLOOKUP(ws[[#This Row],[hwycov_id]],count!$A$630:$E$652,5,FALSE)</f>
        <v>#N/A</v>
      </c>
      <c r="P93" s="80">
        <v>95</v>
      </c>
    </row>
    <row r="94" spans="1:16" x14ac:dyDescent="0.25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367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Row],[hwycov_id]],count[],4,FALSE)</f>
        <v>31178</v>
      </c>
      <c r="L94" s="115">
        <f>VLOOKUP(ws[[#This Row],[hwycov_id]],flow0[],5,FALSE)</f>
        <v>44634</v>
      </c>
      <c r="M94" s="295">
        <f>ws[[#This Row],[flow]]/ws[[#This Row],[count]]-1</f>
        <v>0.43158637500801844</v>
      </c>
      <c r="N94" s="296">
        <f>POWER((ws[[#This Row],[flow]]-ws[[#This Row],[count]]),2)</f>
        <v>181063936</v>
      </c>
      <c r="O94" s="80" t="e">
        <f>VLOOKUP(ws[[#This Row],[hwycov_id]],count!$A$630:$E$652,5,FALSE)</f>
        <v>#N/A</v>
      </c>
      <c r="P94" s="80">
        <v>96</v>
      </c>
    </row>
    <row r="95" spans="1:16" x14ac:dyDescent="0.25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367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Row],[hwycov_id]],count[],4,FALSE)</f>
        <v>32417</v>
      </c>
      <c r="L95" s="115">
        <f>VLOOKUP(ws[[#This Row],[hwycov_id]],flow0[],5,FALSE)</f>
        <v>39690</v>
      </c>
      <c r="M95" s="295">
        <f>ws[[#This Row],[flow]]/ws[[#This Row],[count]]-1</f>
        <v>0.22435759015331458</v>
      </c>
      <c r="N95" s="296">
        <f>POWER((ws[[#This Row],[flow]]-ws[[#This Row],[count]]),2)</f>
        <v>52896529</v>
      </c>
      <c r="O95" s="80" t="e">
        <f>VLOOKUP(ws[[#This Row],[hwycov_id]],count!$A$630:$E$652,5,FALSE)</f>
        <v>#N/A</v>
      </c>
      <c r="P95" s="80">
        <v>97</v>
      </c>
    </row>
    <row r="96" spans="1:16" x14ac:dyDescent="0.25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367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Row],[hwycov_id]],count[],4,FALSE)</f>
        <v>32620</v>
      </c>
      <c r="L96" s="115">
        <f>VLOOKUP(ws[[#This Row],[hwycov_id]],flow0[],5,FALSE)</f>
        <v>39756</v>
      </c>
      <c r="M96" s="295">
        <f>ws[[#This Row],[flow]]/ws[[#This Row],[count]]-1</f>
        <v>0.21876149601471484</v>
      </c>
      <c r="N96" s="296">
        <f>POWER((ws[[#This Row],[flow]]-ws[[#This Row],[count]]),2)</f>
        <v>50922496</v>
      </c>
      <c r="O96" s="80" t="e">
        <f>VLOOKUP(ws[[#This Row],[hwycov_id]],count!$A$630:$E$652,5,FALSE)</f>
        <v>#N/A</v>
      </c>
      <c r="P96" s="80">
        <v>98</v>
      </c>
    </row>
    <row r="97" spans="1:16" x14ac:dyDescent="0.25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367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Row],[hwycov_id]],count[],4,FALSE)</f>
        <v>35728</v>
      </c>
      <c r="L97" s="115">
        <f>VLOOKUP(ws[[#This Row],[hwycov_id]],flow0[],5,FALSE)</f>
        <v>41262</v>
      </c>
      <c r="M97" s="295">
        <f>ws[[#This Row],[flow]]/ws[[#This Row],[count]]-1</f>
        <v>0.15489252127183151</v>
      </c>
      <c r="N97" s="296">
        <f>POWER((ws[[#This Row],[flow]]-ws[[#This Row],[count]]),2)</f>
        <v>30625156</v>
      </c>
      <c r="O97" s="80" t="e">
        <f>VLOOKUP(ws[[#This Row],[hwycov_id]],count!$A$630:$E$652,5,FALSE)</f>
        <v>#N/A</v>
      </c>
      <c r="P97" s="80">
        <v>99</v>
      </c>
    </row>
    <row r="98" spans="1:16" x14ac:dyDescent="0.25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367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Row],[hwycov_id]],count[],4,FALSE)</f>
        <v>29575</v>
      </c>
      <c r="L98" s="115">
        <f>VLOOKUP(ws[[#This Row],[hwycov_id]],flow0[],5,FALSE)</f>
        <v>37626</v>
      </c>
      <c r="M98" s="295">
        <f>ws[[#This Row],[flow]]/ws[[#This Row],[count]]-1</f>
        <v>0.27222316145393077</v>
      </c>
      <c r="N98" s="296">
        <f>POWER((ws[[#This Row],[flow]]-ws[[#This Row],[count]]),2)</f>
        <v>64818601</v>
      </c>
      <c r="O98" s="80" t="e">
        <f>VLOOKUP(ws[[#This Row],[hwycov_id]],count!$A$630:$E$652,5,FALSE)</f>
        <v>#N/A</v>
      </c>
      <c r="P98" s="80">
        <v>100</v>
      </c>
    </row>
    <row r="99" spans="1:16" x14ac:dyDescent="0.25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367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Row],[hwycov_id]],count[],4,FALSE)</f>
        <v>29029</v>
      </c>
      <c r="L99" s="115">
        <f>VLOOKUP(ws[[#This Row],[hwycov_id]],flow0[],5,FALSE)</f>
        <v>42146</v>
      </c>
      <c r="M99" s="295">
        <f>ws[[#This Row],[flow]]/ws[[#This Row],[count]]-1</f>
        <v>0.45185848634124492</v>
      </c>
      <c r="N99" s="296">
        <f>POWER((ws[[#This Row],[flow]]-ws[[#This Row],[count]]),2)</f>
        <v>172055689</v>
      </c>
      <c r="O99" s="80" t="e">
        <f>VLOOKUP(ws[[#This Row],[hwycov_id]],count!$A$630:$E$652,5,FALSE)</f>
        <v>#N/A</v>
      </c>
      <c r="P99" s="80">
        <v>101</v>
      </c>
    </row>
    <row r="100" spans="1:16" x14ac:dyDescent="0.25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367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Row],[hwycov_id]],count[],4,FALSE)</f>
        <v>31038</v>
      </c>
      <c r="L100" s="115">
        <f>VLOOKUP(ws[[#This Row],[hwycov_id]],flow0[],5,FALSE)</f>
        <v>38670</v>
      </c>
      <c r="M100" s="295">
        <f>ws[[#This Row],[flow]]/ws[[#This Row],[count]]-1</f>
        <v>0.24589213222501449</v>
      </c>
      <c r="N100" s="296">
        <f>POWER((ws[[#This Row],[flow]]-ws[[#This Row],[count]]),2)</f>
        <v>58247424</v>
      </c>
      <c r="O100" s="80" t="e">
        <f>VLOOKUP(ws[[#This Row],[hwycov_id]],count!$A$630:$E$652,5,FALSE)</f>
        <v>#N/A</v>
      </c>
      <c r="P100" s="80">
        <v>102</v>
      </c>
    </row>
    <row r="101" spans="1:16" x14ac:dyDescent="0.25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367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Row],[hwycov_id]],count[],4,FALSE)</f>
        <v>27727</v>
      </c>
      <c r="L101" s="115">
        <f>VLOOKUP(ws[[#This Row],[hwycov_id]],flow0[],5,FALSE)</f>
        <v>32312</v>
      </c>
      <c r="M101" s="295">
        <f>ws[[#This Row],[flow]]/ws[[#This Row],[count]]-1</f>
        <v>0.16536228225195648</v>
      </c>
      <c r="N101" s="296">
        <f>POWER((ws[[#This Row],[flow]]-ws[[#This Row],[count]]),2)</f>
        <v>21022225</v>
      </c>
      <c r="O101" s="80" t="e">
        <f>VLOOKUP(ws[[#This Row],[hwycov_id]],count!$A$630:$E$652,5,FALSE)</f>
        <v>#N/A</v>
      </c>
      <c r="P101" s="80">
        <v>103</v>
      </c>
    </row>
    <row r="102" spans="1:16" x14ac:dyDescent="0.25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367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Row],[hwycov_id]],count[],4,FALSE)</f>
        <v>28826</v>
      </c>
      <c r="L102" s="115">
        <f>VLOOKUP(ws[[#This Row],[hwycov_id]],flow0[],5,FALSE)</f>
        <v>33170</v>
      </c>
      <c r="M102" s="295">
        <f>ws[[#This Row],[flow]]/ws[[#This Row],[count]]-1</f>
        <v>0.15069728717130371</v>
      </c>
      <c r="N102" s="296">
        <f>POWER((ws[[#This Row],[flow]]-ws[[#This Row],[count]]),2)</f>
        <v>18870336</v>
      </c>
      <c r="O102" s="80" t="e">
        <f>VLOOKUP(ws[[#This Row],[hwycov_id]],count!$A$630:$E$652,5,FALSE)</f>
        <v>#N/A</v>
      </c>
      <c r="P102" s="80">
        <v>104</v>
      </c>
    </row>
    <row r="103" spans="1:16" x14ac:dyDescent="0.25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367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Row],[hwycov_id]],count[],4,FALSE)</f>
        <v>25725</v>
      </c>
      <c r="L103" s="115">
        <f>VLOOKUP(ws[[#This Row],[hwycov_id]],flow0[],5,FALSE)</f>
        <v>30445</v>
      </c>
      <c r="M103" s="295">
        <f>ws[[#This Row],[flow]]/ws[[#This Row],[count]]-1</f>
        <v>0.18347910592808558</v>
      </c>
      <c r="N103" s="296">
        <f>POWER((ws[[#This Row],[flow]]-ws[[#This Row],[count]]),2)</f>
        <v>22278400</v>
      </c>
      <c r="O103" s="80" t="e">
        <f>VLOOKUP(ws[[#This Row],[hwycov_id]],count!$A$630:$E$652,5,FALSE)</f>
        <v>#N/A</v>
      </c>
      <c r="P103" s="80">
        <v>105</v>
      </c>
    </row>
    <row r="104" spans="1:16" x14ac:dyDescent="0.25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367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Row],[hwycov_id]],count[],4,FALSE)</f>
        <v>26747</v>
      </c>
      <c r="L104" s="115">
        <f>VLOOKUP(ws[[#This Row],[hwycov_id]],flow0[],5,FALSE)</f>
        <v>33065</v>
      </c>
      <c r="M104" s="295">
        <f>ws[[#This Row],[flow]]/ws[[#This Row],[count]]-1</f>
        <v>0.23621340711107797</v>
      </c>
      <c r="N104" s="296">
        <f>POWER((ws[[#This Row],[flow]]-ws[[#This Row],[count]]),2)</f>
        <v>39917124</v>
      </c>
      <c r="O104" s="80" t="e">
        <f>VLOOKUP(ws[[#This Row],[hwycov_id]],count!$A$630:$E$652,5,FALSE)</f>
        <v>#N/A</v>
      </c>
      <c r="P104" s="80">
        <v>107</v>
      </c>
    </row>
    <row r="105" spans="1:16" x14ac:dyDescent="0.25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367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Row],[hwycov_id]],count[],4,FALSE)</f>
        <v>27888</v>
      </c>
      <c r="L105" s="115">
        <f>VLOOKUP(ws[[#This Row],[hwycov_id]],flow0[],5,FALSE)</f>
        <v>34900</v>
      </c>
      <c r="M105" s="295">
        <f>ws[[#This Row],[flow]]/ws[[#This Row],[count]]-1</f>
        <v>0.25143430866322425</v>
      </c>
      <c r="N105" s="296">
        <f>POWER((ws[[#This Row],[flow]]-ws[[#This Row],[count]]),2)</f>
        <v>49168144</v>
      </c>
      <c r="O105" s="80" t="e">
        <f>VLOOKUP(ws[[#This Row],[hwycov_id]],count!$A$630:$E$652,5,FALSE)</f>
        <v>#N/A</v>
      </c>
      <c r="P105" s="80">
        <v>108</v>
      </c>
    </row>
    <row r="106" spans="1:16" x14ac:dyDescent="0.25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367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Row],[hwycov_id]],count[],4,FALSE)</f>
        <v>24668</v>
      </c>
      <c r="L106" s="115">
        <f>VLOOKUP(ws[[#This Row],[hwycov_id]],flow0[],5,FALSE)</f>
        <v>31357</v>
      </c>
      <c r="M106" s="295">
        <f>ws[[#This Row],[flow]]/ws[[#This Row],[count]]-1</f>
        <v>0.27116101832333395</v>
      </c>
      <c r="N106" s="296">
        <f>POWER((ws[[#This Row],[flow]]-ws[[#This Row],[count]]),2)</f>
        <v>44742721</v>
      </c>
      <c r="O106" s="80" t="e">
        <f>VLOOKUP(ws[[#This Row],[hwycov_id]],count!$A$630:$E$652,5,FALSE)</f>
        <v>#N/A</v>
      </c>
      <c r="P106" s="80">
        <v>109</v>
      </c>
    </row>
    <row r="107" spans="1:16" x14ac:dyDescent="0.25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367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Row],[hwycov_id]],count[],4,FALSE)</f>
        <v>25193</v>
      </c>
      <c r="L107" s="115">
        <f>VLOOKUP(ws[[#This Row],[hwycov_id]],flow0[],5,FALSE)</f>
        <v>31297</v>
      </c>
      <c r="M107" s="295">
        <f>ws[[#This Row],[flow]]/ws[[#This Row],[count]]-1</f>
        <v>0.2422895248680188</v>
      </c>
      <c r="N107" s="296">
        <f>POWER((ws[[#This Row],[flow]]-ws[[#This Row],[count]]),2)</f>
        <v>37258816</v>
      </c>
      <c r="O107" s="80" t="e">
        <f>VLOOKUP(ws[[#This Row],[hwycov_id]],count!$A$630:$E$652,5,FALSE)</f>
        <v>#N/A</v>
      </c>
      <c r="P107" s="80">
        <v>110</v>
      </c>
    </row>
    <row r="108" spans="1:16" x14ac:dyDescent="0.25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367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Row],[hwycov_id]],count[],4,FALSE)</f>
        <v>27258</v>
      </c>
      <c r="L108" s="115">
        <f>VLOOKUP(ws[[#This Row],[hwycov_id]],flow0[],5,FALSE)</f>
        <v>32834</v>
      </c>
      <c r="M108" s="295">
        <f>ws[[#This Row],[flow]]/ws[[#This Row],[count]]-1</f>
        <v>0.2045637977841368</v>
      </c>
      <c r="N108" s="296">
        <f>POWER((ws[[#This Row],[flow]]-ws[[#This Row],[count]]),2)</f>
        <v>31091776</v>
      </c>
      <c r="O108" s="80" t="e">
        <f>VLOOKUP(ws[[#This Row],[hwycov_id]],count!$A$630:$E$652,5,FALSE)</f>
        <v>#N/A</v>
      </c>
      <c r="P108" s="80">
        <v>111</v>
      </c>
    </row>
    <row r="109" spans="1:16" x14ac:dyDescent="0.25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367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Row],[hwycov_id]],count[],4,FALSE)</f>
        <v>26992</v>
      </c>
      <c r="L109" s="115">
        <f>VLOOKUP(ws[[#This Row],[hwycov_id]],flow0[],5,FALSE)</f>
        <v>30083</v>
      </c>
      <c r="M109" s="295">
        <f>ws[[#This Row],[flow]]/ws[[#This Row],[count]]-1</f>
        <v>0.11451541197391824</v>
      </c>
      <c r="N109" s="296">
        <f>POWER((ws[[#This Row],[flow]]-ws[[#This Row],[count]]),2)</f>
        <v>9554281</v>
      </c>
      <c r="O109" s="80" t="e">
        <f>VLOOKUP(ws[[#This Row],[hwycov_id]],count!$A$630:$E$652,5,FALSE)</f>
        <v>#N/A</v>
      </c>
      <c r="P109" s="80">
        <v>112</v>
      </c>
    </row>
    <row r="110" spans="1:16" x14ac:dyDescent="0.25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367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Row],[hwycov_id]],count[],4,FALSE)</f>
        <v>26360</v>
      </c>
      <c r="L110" s="115">
        <f>VLOOKUP(ws[[#This Row],[hwycov_id]],flow0[],5,FALSE)</f>
        <v>32351</v>
      </c>
      <c r="M110" s="295">
        <f>ws[[#This Row],[flow]]/ws[[#This Row],[count]]-1</f>
        <v>0.22727617602427919</v>
      </c>
      <c r="N110" s="296">
        <f>POWER((ws[[#This Row],[flow]]-ws[[#This Row],[count]]),2)</f>
        <v>35892081</v>
      </c>
      <c r="O110" s="80" t="e">
        <f>VLOOKUP(ws[[#This Row],[hwycov_id]],count!$A$630:$E$652,5,FALSE)</f>
        <v>#N/A</v>
      </c>
      <c r="P110" s="80">
        <v>113</v>
      </c>
    </row>
    <row r="111" spans="1:16" x14ac:dyDescent="0.25">
      <c r="A111" s="80">
        <v>2</v>
      </c>
      <c r="B111" s="6">
        <v>1</v>
      </c>
      <c r="C111" s="80">
        <v>31206</v>
      </c>
      <c r="D111" s="80">
        <v>1</v>
      </c>
      <c r="E111" s="80">
        <v>1</v>
      </c>
      <c r="F111" s="80" t="s">
        <v>367</v>
      </c>
      <c r="G111" s="79">
        <v>25.09</v>
      </c>
      <c r="H111" s="79">
        <v>1.196132</v>
      </c>
      <c r="I111" s="79" t="s">
        <v>6</v>
      </c>
      <c r="J111" s="79" t="s">
        <v>7</v>
      </c>
      <c r="K111" s="83">
        <f>VLOOKUP(ws[[#This Row],[hwycov_id]],count[],4,FALSE)</f>
        <v>29001</v>
      </c>
      <c r="L111" s="115">
        <f>VLOOKUP(ws[[#This Row],[hwycov_id]],flow0[],5,FALSE)</f>
        <v>33907</v>
      </c>
      <c r="M111" s="295">
        <f>ws[[#This Row],[flow]]/ws[[#This Row],[count]]-1</f>
        <v>0.16916658046274269</v>
      </c>
      <c r="N111" s="296">
        <f>POWER((ws[[#This Row],[flow]]-ws[[#This Row],[count]]),2)</f>
        <v>24068836</v>
      </c>
      <c r="O111" s="80" t="e">
        <f>VLOOKUP(ws[[#This Row],[hwycov_id]],count!$A$630:$E$652,5,FALSE)</f>
        <v>#N/A</v>
      </c>
      <c r="P111" s="80">
        <v>114</v>
      </c>
    </row>
    <row r="112" spans="1:16" x14ac:dyDescent="0.25">
      <c r="A112" s="80">
        <v>2</v>
      </c>
      <c r="B112" s="6">
        <v>1</v>
      </c>
      <c r="C112" s="80">
        <v>554</v>
      </c>
      <c r="D112" s="80">
        <v>1</v>
      </c>
      <c r="E112" s="80">
        <v>1</v>
      </c>
      <c r="F112" s="80" t="s">
        <v>367</v>
      </c>
      <c r="G112" s="79">
        <v>25.39</v>
      </c>
      <c r="H112" s="79">
        <v>0.30307899999999999</v>
      </c>
      <c r="I112" s="79" t="s">
        <v>6</v>
      </c>
      <c r="J112" s="79" t="s">
        <v>7</v>
      </c>
      <c r="K112" s="83">
        <f>VLOOKUP(ws[[#This Row],[hwycov_id]],count[],4,FALSE)</f>
        <v>28833</v>
      </c>
      <c r="L112" s="115">
        <f>VLOOKUP(ws[[#This Row],[hwycov_id]],flow0[],5,FALSE)</f>
        <v>35038</v>
      </c>
      <c r="M112" s="295">
        <f>ws[[#This Row],[flow]]/ws[[#This Row],[count]]-1</f>
        <v>0.21520480005549203</v>
      </c>
      <c r="N112" s="296">
        <f>POWER((ws[[#This Row],[flow]]-ws[[#This Row],[count]]),2)</f>
        <v>38502025</v>
      </c>
      <c r="O112" s="80" t="e">
        <f>VLOOKUP(ws[[#This Row],[hwycov_id]],count!$A$630:$E$652,5,FALSE)</f>
        <v>#N/A</v>
      </c>
      <c r="P112" s="80">
        <v>115</v>
      </c>
    </row>
    <row r="113" spans="1:16" x14ac:dyDescent="0.25">
      <c r="A113" s="80">
        <v>2</v>
      </c>
      <c r="B113" s="6">
        <v>1</v>
      </c>
      <c r="C113" s="80">
        <v>8809</v>
      </c>
      <c r="D113" s="80">
        <v>1</v>
      </c>
      <c r="E113" s="80">
        <v>1</v>
      </c>
      <c r="F113" s="80" t="s">
        <v>367</v>
      </c>
      <c r="G113" s="79">
        <v>25.93</v>
      </c>
      <c r="H113" s="79">
        <v>0.54373099999999996</v>
      </c>
      <c r="I113" s="79" t="s">
        <v>7</v>
      </c>
      <c r="J113" s="79" t="s">
        <v>7</v>
      </c>
      <c r="K113" s="83">
        <f>VLOOKUP(ws[[#This Row],[hwycov_id]],count[],4,FALSE)</f>
        <v>28357</v>
      </c>
      <c r="L113" s="115">
        <f>VLOOKUP(ws[[#This Row],[hwycov_id]],flow0[],5,FALSE)</f>
        <v>33814</v>
      </c>
      <c r="M113" s="295">
        <f>ws[[#This Row],[flow]]/ws[[#This Row],[count]]-1</f>
        <v>0.19243925662094008</v>
      </c>
      <c r="N113" s="296">
        <f>POWER((ws[[#This Row],[flow]]-ws[[#This Row],[count]]),2)</f>
        <v>29778849</v>
      </c>
      <c r="O113" s="80" t="e">
        <f>VLOOKUP(ws[[#This Row],[hwycov_id]],count!$A$630:$E$652,5,FALSE)</f>
        <v>#N/A</v>
      </c>
      <c r="P113" s="80">
        <v>116</v>
      </c>
    </row>
    <row r="114" spans="1:16" x14ac:dyDescent="0.25">
      <c r="A114" s="80">
        <v>2</v>
      </c>
      <c r="B114" s="6">
        <v>1</v>
      </c>
      <c r="C114" s="80">
        <v>8807</v>
      </c>
      <c r="D114" s="80">
        <v>1</v>
      </c>
      <c r="E114" s="80">
        <v>1</v>
      </c>
      <c r="F114" s="80" t="s">
        <v>367</v>
      </c>
      <c r="G114" s="79">
        <v>26.36</v>
      </c>
      <c r="H114" s="79">
        <v>0.42237599999999997</v>
      </c>
      <c r="I114" s="79" t="s">
        <v>7</v>
      </c>
      <c r="J114" s="79" t="s">
        <v>13</v>
      </c>
      <c r="K114" s="83">
        <f>VLOOKUP(ws[[#This Row],[hwycov_id]],count[],4,FALSE)</f>
        <v>31976</v>
      </c>
      <c r="L114" s="115">
        <f>VLOOKUP(ws[[#This Row],[hwycov_id]],flow0[],5,FALSE)</f>
        <v>36424</v>
      </c>
      <c r="M114" s="295">
        <f>ws[[#This Row],[flow]]/ws[[#This Row],[count]]-1</f>
        <v>0.13910432824618457</v>
      </c>
      <c r="N114" s="296">
        <f>POWER((ws[[#This Row],[flow]]-ws[[#This Row],[count]]),2)</f>
        <v>19784704</v>
      </c>
      <c r="O114" s="80" t="e">
        <f>VLOOKUP(ws[[#This Row],[hwycov_id]],count!$A$630:$E$652,5,FALSE)</f>
        <v>#N/A</v>
      </c>
      <c r="P114" s="80">
        <v>117</v>
      </c>
    </row>
    <row r="115" spans="1:16" x14ac:dyDescent="0.25">
      <c r="A115" s="80">
        <v>2</v>
      </c>
      <c r="B115" s="6">
        <v>1</v>
      </c>
      <c r="C115" s="80">
        <v>721</v>
      </c>
      <c r="D115" s="80">
        <v>1</v>
      </c>
      <c r="E115" s="80">
        <v>1</v>
      </c>
      <c r="F115" s="80" t="s">
        <v>367</v>
      </c>
      <c r="G115" s="79">
        <v>26.86</v>
      </c>
      <c r="H115" s="79">
        <v>0.23632600000000001</v>
      </c>
      <c r="I115" s="79" t="s">
        <v>13</v>
      </c>
      <c r="J115" s="79" t="s">
        <v>13</v>
      </c>
      <c r="K115" s="83">
        <f>VLOOKUP(ws[[#This Row],[hwycov_id]],count[],4,FALSE)</f>
        <v>26607</v>
      </c>
      <c r="L115" s="115">
        <f>VLOOKUP(ws[[#This Row],[hwycov_id]],flow0[],5,FALSE)</f>
        <v>32233</v>
      </c>
      <c r="M115" s="295">
        <f>ws[[#This Row],[flow]]/ws[[#This Row],[count]]-1</f>
        <v>0.21144811515766526</v>
      </c>
      <c r="N115" s="296">
        <f>POWER((ws[[#This Row],[flow]]-ws[[#This Row],[count]]),2)</f>
        <v>31651876</v>
      </c>
      <c r="O115" s="80" t="e">
        <f>VLOOKUP(ws[[#This Row],[hwycov_id]],count!$A$630:$E$652,5,FALSE)</f>
        <v>#N/A</v>
      </c>
      <c r="P115" s="80">
        <v>118</v>
      </c>
    </row>
    <row r="116" spans="1:16" x14ac:dyDescent="0.25">
      <c r="A116" s="80">
        <v>2</v>
      </c>
      <c r="B116" s="6">
        <v>1</v>
      </c>
      <c r="C116" s="80">
        <v>12749</v>
      </c>
      <c r="D116" s="80">
        <v>1</v>
      </c>
      <c r="E116" s="80">
        <v>1</v>
      </c>
      <c r="F116" s="80" t="s">
        <v>367</v>
      </c>
      <c r="G116" s="79">
        <v>27.18</v>
      </c>
      <c r="H116" s="79">
        <v>0.17111299999999999</v>
      </c>
      <c r="I116" s="79" t="s">
        <v>28</v>
      </c>
      <c r="J116" s="79" t="s">
        <v>3</v>
      </c>
      <c r="K116" s="83">
        <f>VLOOKUP(ws[[#This Row],[hwycov_id]],count[],4,FALSE)</f>
        <v>20202</v>
      </c>
      <c r="L116" s="115">
        <f>VLOOKUP(ws[[#This Row],[hwycov_id]],flow0[],5,FALSE)</f>
        <v>27283</v>
      </c>
      <c r="M116" s="295">
        <f>ws[[#This Row],[flow]]/ws[[#This Row],[count]]-1</f>
        <v>0.35050985050985051</v>
      </c>
      <c r="N116" s="296">
        <f>POWER((ws[[#This Row],[flow]]-ws[[#This Row],[count]]),2)</f>
        <v>50140561</v>
      </c>
      <c r="O116" s="80" t="e">
        <f>VLOOKUP(ws[[#This Row],[hwycov_id]],count!$A$630:$E$652,5,FALSE)</f>
        <v>#N/A</v>
      </c>
      <c r="P116" s="80">
        <v>119</v>
      </c>
    </row>
    <row r="117" spans="1:16" x14ac:dyDescent="0.25">
      <c r="A117" s="80">
        <v>2</v>
      </c>
      <c r="B117" s="6">
        <v>1</v>
      </c>
      <c r="C117" s="80">
        <v>12955</v>
      </c>
      <c r="D117" s="80">
        <v>1</v>
      </c>
      <c r="E117" s="80">
        <v>1</v>
      </c>
      <c r="F117" s="80" t="s">
        <v>367</v>
      </c>
      <c r="G117" s="79">
        <v>28.17</v>
      </c>
      <c r="H117" s="79">
        <v>0.99765400000000004</v>
      </c>
      <c r="I117" s="79" t="s">
        <v>28</v>
      </c>
      <c r="J117" s="79" t="s">
        <v>3</v>
      </c>
      <c r="K117" s="83">
        <f>VLOOKUP(ws[[#This Row],[hwycov_id]],count[],4,FALSE)</f>
        <v>26024</v>
      </c>
      <c r="L117" s="115">
        <f>VLOOKUP(ws[[#This Row],[hwycov_id]],flow0[],5,FALSE)</f>
        <v>27283</v>
      </c>
      <c r="M117" s="295">
        <f>ws[[#This Row],[flow]]/ws[[#This Row],[count]]-1</f>
        <v>4.8378419920073856E-2</v>
      </c>
      <c r="N117" s="296">
        <f>POWER((ws[[#This Row],[flow]]-ws[[#This Row],[count]]),2)</f>
        <v>1585081</v>
      </c>
      <c r="O117" s="80" t="e">
        <f>VLOOKUP(ws[[#This Row],[hwycov_id]],count!$A$630:$E$652,5,FALSE)</f>
        <v>#N/A</v>
      </c>
      <c r="P117" s="80">
        <v>120</v>
      </c>
    </row>
    <row r="118" spans="1:16" x14ac:dyDescent="0.25">
      <c r="A118" s="80">
        <v>2</v>
      </c>
      <c r="B118" s="6">
        <v>1</v>
      </c>
      <c r="C118" s="80">
        <v>12957</v>
      </c>
      <c r="D118" s="80">
        <v>1</v>
      </c>
      <c r="E118" s="80">
        <v>1</v>
      </c>
      <c r="F118" s="80" t="s">
        <v>367</v>
      </c>
      <c r="G118" s="79">
        <v>28.81</v>
      </c>
      <c r="H118" s="79">
        <v>0.33827499999999999</v>
      </c>
      <c r="I118" s="79" t="s">
        <v>3</v>
      </c>
      <c r="J118" s="79" t="s">
        <v>3</v>
      </c>
      <c r="K118" s="83">
        <f>VLOOKUP(ws[[#This Row],[hwycov_id]],count[],4,FALSE)</f>
        <v>26201</v>
      </c>
      <c r="L118" s="115">
        <f>VLOOKUP(ws[[#This Row],[hwycov_id]],flow0[],5,FALSE)</f>
        <v>30509</v>
      </c>
      <c r="M118" s="295">
        <f>ws[[#This Row],[flow]]/ws[[#This Row],[count]]-1</f>
        <v>0.16442120529750781</v>
      </c>
      <c r="N118" s="296">
        <f>POWER((ws[[#This Row],[flow]]-ws[[#This Row],[count]]),2)</f>
        <v>18558864</v>
      </c>
      <c r="O118" s="80" t="e">
        <f>VLOOKUP(ws[[#This Row],[hwycov_id]],count!$A$630:$E$652,5,FALSE)</f>
        <v>#N/A</v>
      </c>
      <c r="P118" s="80">
        <v>121</v>
      </c>
    </row>
    <row r="119" spans="1:16" x14ac:dyDescent="0.25">
      <c r="A119" s="80">
        <v>2</v>
      </c>
      <c r="B119" s="6">
        <v>1</v>
      </c>
      <c r="C119" s="80">
        <v>12929</v>
      </c>
      <c r="D119" s="80">
        <v>1</v>
      </c>
      <c r="E119" s="80">
        <v>1</v>
      </c>
      <c r="F119" s="80" t="s">
        <v>367</v>
      </c>
      <c r="G119" s="79">
        <v>30.22</v>
      </c>
      <c r="H119" s="79">
        <v>0.14044699999999999</v>
      </c>
      <c r="I119" s="79" t="s">
        <v>8</v>
      </c>
      <c r="J119" s="79" t="s">
        <v>29</v>
      </c>
      <c r="K119" s="83">
        <f>VLOOKUP(ws[[#This Row],[hwycov_id]],count[],4,FALSE)</f>
        <v>21239</v>
      </c>
      <c r="L119" s="115">
        <f>VLOOKUP(ws[[#This Row],[hwycov_id]],flow0[],5,FALSE)</f>
        <v>29865</v>
      </c>
      <c r="M119" s="295">
        <f>ws[[#This Row],[flow]]/ws[[#This Row],[count]]-1</f>
        <v>0.40613964875935782</v>
      </c>
      <c r="N119" s="296">
        <f>POWER((ws[[#This Row],[flow]]-ws[[#This Row],[count]]),2)</f>
        <v>74407876</v>
      </c>
      <c r="O119" s="80" t="e">
        <f>VLOOKUP(ws[[#This Row],[hwycov_id]],count!$A$630:$E$652,5,FALSE)</f>
        <v>#N/A</v>
      </c>
      <c r="P119" s="80">
        <v>122</v>
      </c>
    </row>
    <row r="120" spans="1:16" x14ac:dyDescent="0.25">
      <c r="A120" s="80">
        <v>2</v>
      </c>
      <c r="B120" s="6">
        <v>1</v>
      </c>
      <c r="C120" s="80">
        <v>28588</v>
      </c>
      <c r="D120" s="80">
        <v>1</v>
      </c>
      <c r="E120" s="80">
        <v>1</v>
      </c>
      <c r="F120" s="80" t="s">
        <v>367</v>
      </c>
      <c r="G120" s="79">
        <v>30.64</v>
      </c>
      <c r="H120" s="79">
        <v>0.41934300000000002</v>
      </c>
      <c r="I120" s="79" t="s">
        <v>29</v>
      </c>
      <c r="J120" s="79" t="s">
        <v>29</v>
      </c>
      <c r="K120" s="83">
        <f>VLOOKUP(ws[[#This Row],[hwycov_id]],count[],4,FALSE)</f>
        <v>25315</v>
      </c>
      <c r="L120" s="115">
        <f>VLOOKUP(ws[[#This Row],[hwycov_id]],flow0[],5,FALSE)</f>
        <v>28062</v>
      </c>
      <c r="M120" s="295">
        <f>ws[[#This Row],[flow]]/ws[[#This Row],[count]]-1</f>
        <v>0.10851273948252027</v>
      </c>
      <c r="N120" s="296">
        <f>POWER((ws[[#This Row],[flow]]-ws[[#This Row],[count]]),2)</f>
        <v>7546009</v>
      </c>
      <c r="O120" s="80" t="e">
        <f>VLOOKUP(ws[[#This Row],[hwycov_id]],count!$A$630:$E$652,5,FALSE)</f>
        <v>#N/A</v>
      </c>
      <c r="P120" s="80">
        <v>123</v>
      </c>
    </row>
    <row r="121" spans="1:16" x14ac:dyDescent="0.25">
      <c r="A121" s="80">
        <v>2</v>
      </c>
      <c r="B121" s="6">
        <v>1</v>
      </c>
      <c r="C121" s="80">
        <v>558</v>
      </c>
      <c r="D121" s="80">
        <v>1</v>
      </c>
      <c r="E121" s="80">
        <v>1</v>
      </c>
      <c r="F121" s="80" t="s">
        <v>367</v>
      </c>
      <c r="G121" s="79">
        <v>31.44</v>
      </c>
      <c r="H121" s="79">
        <v>0.39086100000000001</v>
      </c>
      <c r="I121" s="79" t="s">
        <v>9</v>
      </c>
      <c r="J121" s="79" t="s">
        <v>10</v>
      </c>
      <c r="K121" s="83">
        <f>VLOOKUP(ws[[#This Row],[hwycov_id]],count[],4,FALSE)</f>
        <v>18814</v>
      </c>
      <c r="L121" s="115">
        <f>VLOOKUP(ws[[#This Row],[hwycov_id]],flow0[],5,FALSE)</f>
        <v>18391</v>
      </c>
      <c r="M121" s="295">
        <f>ws[[#This Row],[flow]]/ws[[#This Row],[count]]-1</f>
        <v>-2.2483257148931624E-2</v>
      </c>
      <c r="N121" s="296">
        <f>POWER((ws[[#This Row],[flow]]-ws[[#This Row],[count]]),2)</f>
        <v>178929</v>
      </c>
      <c r="O121" s="80" t="e">
        <f>VLOOKUP(ws[[#This Row],[hwycov_id]],count!$A$630:$E$652,5,FALSE)</f>
        <v>#N/A</v>
      </c>
      <c r="P121" s="80">
        <v>125</v>
      </c>
    </row>
    <row r="122" spans="1:16" x14ac:dyDescent="0.25">
      <c r="A122" s="80">
        <v>2</v>
      </c>
      <c r="B122" s="6">
        <v>1</v>
      </c>
      <c r="C122" s="80">
        <v>27181</v>
      </c>
      <c r="D122" s="80">
        <v>1</v>
      </c>
      <c r="E122" s="80">
        <v>1</v>
      </c>
      <c r="F122" s="80" t="s">
        <v>367</v>
      </c>
      <c r="G122" s="79">
        <v>36.04</v>
      </c>
      <c r="H122" s="79">
        <v>1.229724</v>
      </c>
      <c r="I122" s="79" t="s">
        <v>28</v>
      </c>
      <c r="J122" s="79" t="s">
        <v>32</v>
      </c>
      <c r="K122" s="83">
        <f>VLOOKUP(ws[[#This Row],[hwycov_id]],count[],4,FALSE)</f>
        <v>20135</v>
      </c>
      <c r="L122" s="115">
        <f>VLOOKUP(ws[[#This Row],[hwycov_id]],flow0[],5,FALSE)</f>
        <v>20624</v>
      </c>
      <c r="M122" s="295">
        <f>ws[[#This Row],[flow]]/ws[[#This Row],[count]]-1</f>
        <v>2.4286069034020308E-2</v>
      </c>
      <c r="N122" s="296">
        <f>POWER((ws[[#This Row],[flow]]-ws[[#This Row],[count]]),2)</f>
        <v>239121</v>
      </c>
      <c r="O122" s="80" t="e">
        <f>VLOOKUP(ws[[#This Row],[hwycov_id]],count!$A$630:$E$652,5,FALSE)</f>
        <v>#N/A</v>
      </c>
      <c r="P122" s="80">
        <v>127</v>
      </c>
    </row>
    <row r="123" spans="1:16" x14ac:dyDescent="0.25">
      <c r="A123" s="80">
        <v>2</v>
      </c>
      <c r="B123" s="6">
        <v>1</v>
      </c>
      <c r="C123" s="80">
        <v>27166</v>
      </c>
      <c r="D123" s="80">
        <v>1</v>
      </c>
      <c r="E123" s="80">
        <v>1</v>
      </c>
      <c r="F123" s="80" t="s">
        <v>367</v>
      </c>
      <c r="G123" s="79">
        <v>36.729999999999997</v>
      </c>
      <c r="H123" s="79">
        <v>0.69089500000000004</v>
      </c>
      <c r="I123" s="79" t="s">
        <v>32</v>
      </c>
      <c r="J123" s="79" t="s">
        <v>32</v>
      </c>
      <c r="K123" s="83">
        <f>VLOOKUP(ws[[#This Row],[hwycov_id]],count[],4,FALSE)</f>
        <v>14592</v>
      </c>
      <c r="L123" s="115">
        <f>VLOOKUP(ws[[#This Row],[hwycov_id]],flow0[],5,FALSE)</f>
        <v>19443</v>
      </c>
      <c r="M123" s="295">
        <f>ws[[#This Row],[flow]]/ws[[#This Row],[count]]-1</f>
        <v>0.33244243421052633</v>
      </c>
      <c r="N123" s="296">
        <f>POWER((ws[[#This Row],[flow]]-ws[[#This Row],[count]]),2)</f>
        <v>23532201</v>
      </c>
      <c r="O123" s="80" t="e">
        <f>VLOOKUP(ws[[#This Row],[hwycov_id]],count!$A$630:$E$652,5,FALSE)</f>
        <v>#N/A</v>
      </c>
      <c r="P123" s="80">
        <v>128</v>
      </c>
    </row>
    <row r="124" spans="1:16" x14ac:dyDescent="0.25">
      <c r="A124" s="80">
        <v>2</v>
      </c>
      <c r="B124" s="6">
        <v>1</v>
      </c>
      <c r="C124" s="80">
        <v>27352</v>
      </c>
      <c r="D124" s="80">
        <v>1</v>
      </c>
      <c r="E124" s="80">
        <v>1</v>
      </c>
      <c r="F124" s="80" t="s">
        <v>367</v>
      </c>
      <c r="G124" s="79">
        <v>40.19</v>
      </c>
      <c r="H124" s="79">
        <v>3.4551099999999999</v>
      </c>
      <c r="I124" s="79" t="s">
        <v>32</v>
      </c>
      <c r="J124" s="79" t="s">
        <v>369</v>
      </c>
      <c r="K124" s="83">
        <f>VLOOKUP(ws[[#This Row],[hwycov_id]],count[],4,FALSE)</f>
        <v>20665</v>
      </c>
      <c r="L124" s="115">
        <f>VLOOKUP(ws[[#This Row],[hwycov_id]],flow0[],5,FALSE)</f>
        <v>20758</v>
      </c>
      <c r="M124" s="295">
        <f>ws[[#This Row],[flow]]/ws[[#This Row],[count]]-1</f>
        <v>4.5003629324944505E-3</v>
      </c>
      <c r="N124" s="296">
        <f>POWER((ws[[#This Row],[flow]]-ws[[#This Row],[count]]),2)</f>
        <v>8649</v>
      </c>
      <c r="O124" s="80" t="e">
        <f>VLOOKUP(ws[[#This Row],[hwycov_id]],count!$A$630:$E$652,5,FALSE)</f>
        <v>#N/A</v>
      </c>
      <c r="P124" s="80">
        <v>129</v>
      </c>
    </row>
    <row r="125" spans="1:16" x14ac:dyDescent="0.25">
      <c r="A125" s="80">
        <v>2</v>
      </c>
      <c r="B125" s="6">
        <v>1</v>
      </c>
      <c r="C125" s="80">
        <v>26667</v>
      </c>
      <c r="D125" s="80">
        <v>1</v>
      </c>
      <c r="E125" s="80">
        <v>1</v>
      </c>
      <c r="F125" s="80" t="s">
        <v>367</v>
      </c>
      <c r="G125" s="79">
        <v>46.29</v>
      </c>
      <c r="H125" s="79">
        <v>0.44320900000000002</v>
      </c>
      <c r="I125" s="79" t="s">
        <v>370</v>
      </c>
      <c r="J125" s="79" t="s">
        <v>370</v>
      </c>
      <c r="K125" s="83">
        <f>VLOOKUP(ws[[#This Row],[hwycov_id]],count[],4,FALSE)</f>
        <v>19555</v>
      </c>
      <c r="L125" s="115">
        <f>VLOOKUP(ws[[#This Row],[hwycov_id]],flow0[],5,FALSE)</f>
        <v>17045</v>
      </c>
      <c r="M125" s="295">
        <f>ws[[#This Row],[flow]]/ws[[#This Row],[count]]-1</f>
        <v>-0.12835591920225009</v>
      </c>
      <c r="N125" s="296">
        <f>POWER((ws[[#This Row],[flow]]-ws[[#This Row],[count]]),2)</f>
        <v>6300100</v>
      </c>
      <c r="O125" s="80" t="e">
        <f>VLOOKUP(ws[[#This Row],[hwycov_id]],count!$A$630:$E$652,5,FALSE)</f>
        <v>#N/A</v>
      </c>
      <c r="P125" s="80">
        <v>130</v>
      </c>
    </row>
    <row r="126" spans="1:16" x14ac:dyDescent="0.25">
      <c r="A126" s="80">
        <v>2</v>
      </c>
      <c r="B126" s="6">
        <v>1</v>
      </c>
      <c r="C126" s="80">
        <v>27193</v>
      </c>
      <c r="D126" s="80">
        <v>1</v>
      </c>
      <c r="E126" s="80">
        <v>1</v>
      </c>
      <c r="F126" s="80" t="s">
        <v>367</v>
      </c>
      <c r="G126" s="79">
        <v>48.53</v>
      </c>
      <c r="H126" s="79">
        <v>1.872716</v>
      </c>
      <c r="I126" s="79" t="s">
        <v>370</v>
      </c>
      <c r="J126" s="79" t="s">
        <v>371</v>
      </c>
      <c r="K126" s="83">
        <f>VLOOKUP(ws[[#This Row],[hwycov_id]],count[],4,FALSE)</f>
        <v>18193</v>
      </c>
      <c r="L126" s="115">
        <f>VLOOKUP(ws[[#This Row],[hwycov_id]],flow0[],5,FALSE)</f>
        <v>18376</v>
      </c>
      <c r="M126" s="295">
        <f>ws[[#This Row],[flow]]/ws[[#This Row],[count]]-1</f>
        <v>1.0058813829494806E-2</v>
      </c>
      <c r="N126" s="296">
        <f>POWER((ws[[#This Row],[flow]]-ws[[#This Row],[count]]),2)</f>
        <v>33489</v>
      </c>
      <c r="O126" s="80" t="e">
        <f>VLOOKUP(ws[[#This Row],[hwycov_id]],count!$A$630:$E$652,5,FALSE)</f>
        <v>#N/A</v>
      </c>
      <c r="P126" s="80">
        <v>131</v>
      </c>
    </row>
    <row r="127" spans="1:16" x14ac:dyDescent="0.25">
      <c r="A127" s="80">
        <v>2</v>
      </c>
      <c r="B127" s="6">
        <v>1</v>
      </c>
      <c r="C127" s="80">
        <v>27195</v>
      </c>
      <c r="D127" s="80">
        <v>1</v>
      </c>
      <c r="E127" s="80">
        <v>1</v>
      </c>
      <c r="F127" s="80" t="s">
        <v>367</v>
      </c>
      <c r="G127" s="79">
        <v>53.44</v>
      </c>
      <c r="H127" s="79">
        <v>2.7243810000000002</v>
      </c>
      <c r="I127" s="79" t="s">
        <v>41</v>
      </c>
      <c r="J127" s="79" t="s">
        <v>372</v>
      </c>
      <c r="K127" s="83">
        <f>VLOOKUP(ws[[#This Row],[hwycov_id]],count[],4,FALSE)</f>
        <v>19986</v>
      </c>
      <c r="L127" s="115">
        <f>VLOOKUP(ws[[#This Row],[hwycov_id]],flow0[],5,FALSE)</f>
        <v>17526</v>
      </c>
      <c r="M127" s="295">
        <f>ws[[#This Row],[flow]]/ws[[#This Row],[count]]-1</f>
        <v>-0.12308616031221853</v>
      </c>
      <c r="N127" s="296">
        <f>POWER((ws[[#This Row],[flow]]-ws[[#This Row],[count]]),2)</f>
        <v>6051600</v>
      </c>
      <c r="O127" s="80" t="e">
        <f>VLOOKUP(ws[[#This Row],[hwycov_id]],count!$A$630:$E$652,5,FALSE)</f>
        <v>#N/A</v>
      </c>
      <c r="P127" s="80">
        <v>132</v>
      </c>
    </row>
    <row r="128" spans="1:16" x14ac:dyDescent="0.25">
      <c r="A128" s="80">
        <v>2</v>
      </c>
      <c r="B128" s="6">
        <v>1</v>
      </c>
      <c r="C128" s="80">
        <v>12767</v>
      </c>
      <c r="D128" s="80">
        <v>1</v>
      </c>
      <c r="E128" s="80">
        <v>1</v>
      </c>
      <c r="F128" s="80" t="s">
        <v>367</v>
      </c>
      <c r="G128" s="79">
        <v>54.17</v>
      </c>
      <c r="H128" s="79">
        <v>9.7387000000000001E-2</v>
      </c>
      <c r="I128" s="79" t="s">
        <v>372</v>
      </c>
      <c r="J128" s="79" t="s">
        <v>373</v>
      </c>
      <c r="K128" s="83">
        <f>VLOOKUP(ws[[#This Row],[hwycov_id]],count[],4,FALSE)</f>
        <v>19908</v>
      </c>
      <c r="L128" s="115">
        <f>VLOOKUP(ws[[#This Row],[hwycov_id]],flow0[],5,FALSE)</f>
        <v>17538</v>
      </c>
      <c r="M128" s="295">
        <f>ws[[#This Row],[flow]]/ws[[#This Row],[count]]-1</f>
        <v>-0.11904761904761907</v>
      </c>
      <c r="N128" s="296">
        <f>POWER((ws[[#This Row],[flow]]-ws[[#This Row],[count]]),2)</f>
        <v>5616900</v>
      </c>
      <c r="O128" s="80" t="e">
        <f>VLOOKUP(ws[[#This Row],[hwycov_id]],count!$A$630:$E$652,5,FALSE)</f>
        <v>#N/A</v>
      </c>
      <c r="P128" s="80">
        <v>133</v>
      </c>
    </row>
    <row r="129" spans="1:16" x14ac:dyDescent="0.25">
      <c r="A129" s="80">
        <v>3</v>
      </c>
      <c r="B129" s="6">
        <v>1</v>
      </c>
      <c r="C129" s="80">
        <v>686</v>
      </c>
      <c r="D129" s="80">
        <v>1</v>
      </c>
      <c r="E129" s="80">
        <v>1</v>
      </c>
      <c r="F129" s="80" t="s">
        <v>396</v>
      </c>
      <c r="G129" s="79">
        <v>1.1299999999999999</v>
      </c>
      <c r="H129" s="79">
        <v>0.280692</v>
      </c>
      <c r="I129" s="79" t="s">
        <v>50</v>
      </c>
      <c r="J129" s="79" t="s">
        <v>53</v>
      </c>
      <c r="K129" s="83">
        <f>VLOOKUP(ws[[#This Row],[hwycov_id]],count[],4,FALSE)</f>
        <v>5905</v>
      </c>
      <c r="L129" s="115">
        <f>VLOOKUP(ws[[#This Row],[hwycov_id]],flow0[],5,FALSE)</f>
        <v>7736</v>
      </c>
      <c r="M129" s="295">
        <f>ws[[#This Row],[flow]]/ws[[#This Row],[count]]-1</f>
        <v>0.31007620660457236</v>
      </c>
      <c r="N129" s="296">
        <f>POWER((ws[[#This Row],[flow]]-ws[[#This Row],[count]]),2)</f>
        <v>3352561</v>
      </c>
      <c r="O129" s="80" t="e">
        <f>VLOOKUP(ws[[#This Row],[hwycov_id]],count!$A$630:$E$652,5,FALSE)</f>
        <v>#N/A</v>
      </c>
      <c r="P129" s="80">
        <v>134</v>
      </c>
    </row>
    <row r="130" spans="1:16" x14ac:dyDescent="0.25">
      <c r="A130" s="80">
        <v>3</v>
      </c>
      <c r="B130" s="6">
        <v>1</v>
      </c>
      <c r="C130" s="80">
        <v>689</v>
      </c>
      <c r="D130" s="80">
        <v>1</v>
      </c>
      <c r="E130" s="80">
        <v>1</v>
      </c>
      <c r="F130" s="80" t="s">
        <v>396</v>
      </c>
      <c r="G130" s="79">
        <v>3.01</v>
      </c>
      <c r="H130" s="79">
        <v>0.58474700000000002</v>
      </c>
      <c r="I130" s="79" t="s">
        <v>56</v>
      </c>
      <c r="J130" s="79" t="s">
        <v>56</v>
      </c>
      <c r="K130" s="83">
        <f>VLOOKUP(ws[[#This Row],[hwycov_id]],count[],4,FALSE)</f>
        <v>12365</v>
      </c>
      <c r="L130" s="115">
        <f>VLOOKUP(ws[[#This Row],[hwycov_id]],flow0[],5,FALSE)</f>
        <v>13696</v>
      </c>
      <c r="M130" s="295">
        <f>ws[[#This Row],[flow]]/ws[[#This Row],[count]]-1</f>
        <v>0.10764253942579871</v>
      </c>
      <c r="N130" s="296">
        <f>POWER((ws[[#This Row],[flow]]-ws[[#This Row],[count]]),2)</f>
        <v>1771561</v>
      </c>
      <c r="O130" s="80" t="e">
        <f>VLOOKUP(ws[[#This Row],[hwycov_id]],count!$A$630:$E$652,5,FALSE)</f>
        <v>#N/A</v>
      </c>
      <c r="P130" s="80">
        <v>136</v>
      </c>
    </row>
    <row r="131" spans="1:16" x14ac:dyDescent="0.25">
      <c r="A131" s="80">
        <v>3</v>
      </c>
      <c r="B131" s="6">
        <v>1</v>
      </c>
      <c r="C131" s="80">
        <v>16183</v>
      </c>
      <c r="D131" s="80">
        <v>1</v>
      </c>
      <c r="E131" s="80">
        <v>1</v>
      </c>
      <c r="F131" s="80" t="s">
        <v>396</v>
      </c>
      <c r="G131" s="79">
        <v>3.71</v>
      </c>
      <c r="H131" s="79">
        <v>0.19261200000000001</v>
      </c>
      <c r="I131" s="79" t="s">
        <v>125</v>
      </c>
      <c r="J131" s="79" t="s">
        <v>125</v>
      </c>
      <c r="K131" s="83">
        <f>VLOOKUP(ws[[#This Row],[hwycov_id]],count[],4,FALSE)</f>
        <v>15795</v>
      </c>
      <c r="L131" s="115">
        <f>VLOOKUP(ws[[#This Row],[hwycov_id]],flow0[],5,FALSE)</f>
        <v>15857</v>
      </c>
      <c r="M131" s="295">
        <f>ws[[#This Row],[flow]]/ws[[#This Row],[count]]-1</f>
        <v>3.9252928141817467E-3</v>
      </c>
      <c r="N131" s="296">
        <f>POWER((ws[[#This Row],[flow]]-ws[[#This Row],[count]]),2)</f>
        <v>3844</v>
      </c>
      <c r="O131" s="80" t="e">
        <f>VLOOKUP(ws[[#This Row],[hwycov_id]],count!$A$630:$E$652,5,FALSE)</f>
        <v>#N/A</v>
      </c>
      <c r="P131" s="80">
        <v>137</v>
      </c>
    </row>
    <row r="132" spans="1:16" x14ac:dyDescent="0.25">
      <c r="A132" s="80">
        <v>3</v>
      </c>
      <c r="B132" s="6">
        <v>1</v>
      </c>
      <c r="C132" s="80">
        <v>702</v>
      </c>
      <c r="D132" s="80">
        <v>1</v>
      </c>
      <c r="E132" s="80">
        <v>1</v>
      </c>
      <c r="F132" s="80" t="s">
        <v>396</v>
      </c>
      <c r="G132" s="79">
        <v>5.62</v>
      </c>
      <c r="H132" s="79">
        <v>0.50182599999999999</v>
      </c>
      <c r="I132" s="79" t="s">
        <v>58</v>
      </c>
      <c r="J132" s="79" t="s">
        <v>126</v>
      </c>
      <c r="K132" s="83">
        <f>VLOOKUP(ws[[#This Row],[hwycov_id]],count[],4,FALSE)</f>
        <v>18139</v>
      </c>
      <c r="L132" s="115">
        <f>VLOOKUP(ws[[#This Row],[hwycov_id]],flow0[],5,FALSE)</f>
        <v>17614</v>
      </c>
      <c r="M132" s="295">
        <f>ws[[#This Row],[flow]]/ws[[#This Row],[count]]-1</f>
        <v>-2.8943161144495244E-2</v>
      </c>
      <c r="N132" s="296">
        <f>POWER((ws[[#This Row],[flow]]-ws[[#This Row],[count]]),2)</f>
        <v>275625</v>
      </c>
      <c r="O132" s="80" t="e">
        <f>VLOOKUP(ws[[#This Row],[hwycov_id]],count!$A$630:$E$652,5,FALSE)</f>
        <v>#N/A</v>
      </c>
      <c r="P132" s="80">
        <v>138</v>
      </c>
    </row>
    <row r="133" spans="1:16" x14ac:dyDescent="0.25">
      <c r="A133" s="80">
        <v>3</v>
      </c>
      <c r="B133" s="6">
        <v>1</v>
      </c>
      <c r="C133" s="80">
        <v>3197</v>
      </c>
      <c r="D133" s="80">
        <v>1</v>
      </c>
      <c r="E133" s="80">
        <v>1</v>
      </c>
      <c r="F133" s="80" t="s">
        <v>396</v>
      </c>
      <c r="G133" s="79">
        <v>7.22</v>
      </c>
      <c r="H133" s="79">
        <v>0.32698199999999999</v>
      </c>
      <c r="I133" s="79" t="s">
        <v>61</v>
      </c>
      <c r="J133" s="79" t="s">
        <v>61</v>
      </c>
      <c r="K133" s="83">
        <f>VLOOKUP(ws[[#This Row],[hwycov_id]],count[],4,FALSE)</f>
        <v>13368</v>
      </c>
      <c r="L133" s="115">
        <f>VLOOKUP(ws[[#This Row],[hwycov_id]],flow0[],5,FALSE)</f>
        <v>17032</v>
      </c>
      <c r="M133" s="295">
        <f>ws[[#This Row],[flow]]/ws[[#This Row],[count]]-1</f>
        <v>0.27408737283064033</v>
      </c>
      <c r="N133" s="296">
        <f>POWER((ws[[#This Row],[flow]]-ws[[#This Row],[count]]),2)</f>
        <v>13424896</v>
      </c>
      <c r="O133" s="80" t="e">
        <f>VLOOKUP(ws[[#This Row],[hwycov_id]],count!$A$630:$E$652,5,FALSE)</f>
        <v>#N/A</v>
      </c>
      <c r="P133" s="80">
        <v>139</v>
      </c>
    </row>
    <row r="134" spans="1:16" x14ac:dyDescent="0.25">
      <c r="A134" s="80">
        <v>3</v>
      </c>
      <c r="B134" s="6">
        <v>1</v>
      </c>
      <c r="C134" s="80">
        <v>705</v>
      </c>
      <c r="D134" s="80">
        <v>1</v>
      </c>
      <c r="E134" s="80">
        <v>1</v>
      </c>
      <c r="F134" s="80" t="s">
        <v>396</v>
      </c>
      <c r="G134" s="79">
        <v>7.85</v>
      </c>
      <c r="H134" s="79">
        <v>0.38660299999999997</v>
      </c>
      <c r="I134" s="79" t="s">
        <v>61</v>
      </c>
      <c r="J134" s="79" t="s">
        <v>127</v>
      </c>
      <c r="K134" s="83">
        <f>VLOOKUP(ws[[#This Row],[hwycov_id]],count[],4,FALSE)</f>
        <v>21290</v>
      </c>
      <c r="L134" s="115">
        <f>VLOOKUP(ws[[#This Row],[hwycov_id]],flow0[],5,FALSE)</f>
        <v>21241</v>
      </c>
      <c r="M134" s="295">
        <f>ws[[#This Row],[flow]]/ws[[#This Row],[count]]-1</f>
        <v>-2.3015500234851993E-3</v>
      </c>
      <c r="N134" s="296">
        <f>POWER((ws[[#This Row],[flow]]-ws[[#This Row],[count]]),2)</f>
        <v>2401</v>
      </c>
      <c r="O134" s="80" t="e">
        <f>VLOOKUP(ws[[#This Row],[hwycov_id]],count!$A$630:$E$652,5,FALSE)</f>
        <v>#N/A</v>
      </c>
      <c r="P134" s="80">
        <v>140</v>
      </c>
    </row>
    <row r="135" spans="1:16" x14ac:dyDescent="0.25">
      <c r="A135" s="80">
        <v>3</v>
      </c>
      <c r="B135" s="6">
        <v>1</v>
      </c>
      <c r="C135" s="80">
        <v>706</v>
      </c>
      <c r="D135" s="80">
        <v>1</v>
      </c>
      <c r="E135" s="80">
        <v>1</v>
      </c>
      <c r="F135" s="80" t="s">
        <v>396</v>
      </c>
      <c r="G135" s="79">
        <v>8.18</v>
      </c>
      <c r="H135" s="79">
        <v>0.32432</v>
      </c>
      <c r="I135" s="79" t="s">
        <v>127</v>
      </c>
      <c r="J135" s="79" t="s">
        <v>63</v>
      </c>
      <c r="K135" s="83">
        <f>VLOOKUP(ws[[#This Row],[hwycov_id]],count[],4,FALSE)</f>
        <v>24359</v>
      </c>
      <c r="L135" s="115">
        <f>VLOOKUP(ws[[#This Row],[hwycov_id]],flow0[],5,FALSE)</f>
        <v>22891</v>
      </c>
      <c r="M135" s="295">
        <f>ws[[#This Row],[flow]]/ws[[#This Row],[count]]-1</f>
        <v>-6.0265199720842433E-2</v>
      </c>
      <c r="N135" s="296">
        <f>POWER((ws[[#This Row],[flow]]-ws[[#This Row],[count]]),2)</f>
        <v>2155024</v>
      </c>
      <c r="O135" s="80" t="e">
        <f>VLOOKUP(ws[[#This Row],[hwycov_id]],count!$A$630:$E$652,5,FALSE)</f>
        <v>#N/A</v>
      </c>
      <c r="P135" s="80">
        <v>141</v>
      </c>
    </row>
    <row r="136" spans="1:16" x14ac:dyDescent="0.25">
      <c r="A136" s="80">
        <v>3</v>
      </c>
      <c r="B136" s="6">
        <v>1</v>
      </c>
      <c r="C136" s="80">
        <v>20741</v>
      </c>
      <c r="D136" s="80">
        <v>1</v>
      </c>
      <c r="E136" s="80">
        <v>1</v>
      </c>
      <c r="F136" s="80" t="s">
        <v>396</v>
      </c>
      <c r="G136" s="79">
        <v>9.9</v>
      </c>
      <c r="H136" s="79">
        <v>0.48172700000000002</v>
      </c>
      <c r="I136" s="79" t="s">
        <v>64</v>
      </c>
      <c r="J136" s="79" t="s">
        <v>129</v>
      </c>
      <c r="K136" s="83">
        <f>VLOOKUP(ws[[#This Row],[hwycov_id]],count[],4,FALSE)</f>
        <v>21655</v>
      </c>
      <c r="L136" s="115">
        <f>VLOOKUP(ws[[#This Row],[hwycov_id]],flow0[],5,FALSE)</f>
        <v>23314</v>
      </c>
      <c r="M136" s="295">
        <f>ws[[#This Row],[flow]]/ws[[#This Row],[count]]-1</f>
        <v>7.6610482567536442E-2</v>
      </c>
      <c r="N136" s="296">
        <f>POWER((ws[[#This Row],[flow]]-ws[[#This Row],[count]]),2)</f>
        <v>2752281</v>
      </c>
      <c r="O136" s="80" t="e">
        <f>VLOOKUP(ws[[#This Row],[hwycov_id]],count!$A$630:$E$652,5,FALSE)</f>
        <v>#N/A</v>
      </c>
      <c r="P136" s="80">
        <v>142</v>
      </c>
    </row>
    <row r="137" spans="1:16" x14ac:dyDescent="0.25">
      <c r="A137" s="80">
        <v>3</v>
      </c>
      <c r="B137" s="6">
        <v>1</v>
      </c>
      <c r="C137" s="80">
        <v>20743</v>
      </c>
      <c r="D137" s="80">
        <v>1</v>
      </c>
      <c r="E137" s="80">
        <v>1</v>
      </c>
      <c r="F137" s="80" t="s">
        <v>396</v>
      </c>
      <c r="G137" s="79">
        <v>10.32</v>
      </c>
      <c r="H137" s="79">
        <v>0.41715000000000002</v>
      </c>
      <c r="I137" s="79" t="s">
        <v>129</v>
      </c>
      <c r="J137" s="79" t="s">
        <v>129</v>
      </c>
      <c r="K137" s="83">
        <f>VLOOKUP(ws[[#This Row],[hwycov_id]],count[],4,FALSE)</f>
        <v>17466</v>
      </c>
      <c r="L137" s="115">
        <f>VLOOKUP(ws[[#This Row],[hwycov_id]],flow0[],5,FALSE)</f>
        <v>20660</v>
      </c>
      <c r="M137" s="295">
        <f>ws[[#This Row],[flow]]/ws[[#This Row],[count]]-1</f>
        <v>0.18286957517462499</v>
      </c>
      <c r="N137" s="296">
        <f>POWER((ws[[#This Row],[flow]]-ws[[#This Row],[count]]),2)</f>
        <v>10201636</v>
      </c>
      <c r="O137" s="80" t="e">
        <f>VLOOKUP(ws[[#This Row],[hwycov_id]],count!$A$630:$E$652,5,FALSE)</f>
        <v>#N/A</v>
      </c>
      <c r="P137" s="80">
        <v>143</v>
      </c>
    </row>
    <row r="138" spans="1:16" x14ac:dyDescent="0.25">
      <c r="A138" s="80">
        <v>3</v>
      </c>
      <c r="B138" s="6">
        <v>1</v>
      </c>
      <c r="C138" s="80">
        <v>716</v>
      </c>
      <c r="D138" s="80">
        <v>1</v>
      </c>
      <c r="E138" s="80">
        <v>1</v>
      </c>
      <c r="F138" s="80" t="s">
        <v>396</v>
      </c>
      <c r="G138" s="79">
        <v>10.75</v>
      </c>
      <c r="H138" s="79">
        <v>0.42968800000000001</v>
      </c>
      <c r="I138" s="79" t="s">
        <v>129</v>
      </c>
      <c r="J138" s="79" t="s">
        <v>130</v>
      </c>
      <c r="K138" s="83">
        <f>VLOOKUP(ws[[#This Row],[hwycov_id]],count[],4,FALSE)</f>
        <v>23486</v>
      </c>
      <c r="L138" s="115">
        <f>VLOOKUP(ws[[#This Row],[hwycov_id]],flow0[],5,FALSE)</f>
        <v>23023</v>
      </c>
      <c r="M138" s="295">
        <f>ws[[#This Row],[flow]]/ws[[#This Row],[count]]-1</f>
        <v>-1.9713872094013429E-2</v>
      </c>
      <c r="N138" s="296">
        <f>POWER((ws[[#This Row],[flow]]-ws[[#This Row],[count]]),2)</f>
        <v>214369</v>
      </c>
      <c r="O138" s="80" t="e">
        <f>VLOOKUP(ws[[#This Row],[hwycov_id]],count!$A$630:$E$652,5,FALSE)</f>
        <v>#N/A</v>
      </c>
      <c r="P138" s="80">
        <v>144</v>
      </c>
    </row>
    <row r="139" spans="1:16" x14ac:dyDescent="0.25">
      <c r="A139" s="80">
        <v>3</v>
      </c>
      <c r="B139" s="6">
        <v>1</v>
      </c>
      <c r="C139" s="80">
        <v>726</v>
      </c>
      <c r="D139" s="80">
        <v>1</v>
      </c>
      <c r="E139" s="80">
        <v>1</v>
      </c>
      <c r="F139" s="80" t="s">
        <v>396</v>
      </c>
      <c r="G139" s="79">
        <v>12.33</v>
      </c>
      <c r="H139" s="79">
        <v>0.42892200000000003</v>
      </c>
      <c r="I139" s="79" t="s">
        <v>27</v>
      </c>
      <c r="J139" s="79" t="s">
        <v>27</v>
      </c>
      <c r="K139" s="83">
        <f>VLOOKUP(ws[[#This Row],[hwycov_id]],count[],4,FALSE)</f>
        <v>18293</v>
      </c>
      <c r="L139" s="115">
        <f>VLOOKUP(ws[[#This Row],[hwycov_id]],flow0[],5,FALSE)</f>
        <v>22825</v>
      </c>
      <c r="M139" s="295">
        <f>ws[[#This Row],[flow]]/ws[[#This Row],[count]]-1</f>
        <v>0.24774503908598922</v>
      </c>
      <c r="N139" s="296">
        <f>POWER((ws[[#This Row],[flow]]-ws[[#This Row],[count]]),2)</f>
        <v>20539024</v>
      </c>
      <c r="O139" s="80" t="e">
        <f>VLOOKUP(ws[[#This Row],[hwycov_id]],count!$A$630:$E$652,5,FALSE)</f>
        <v>#N/A</v>
      </c>
      <c r="P139" s="80">
        <v>145</v>
      </c>
    </row>
    <row r="140" spans="1:16" x14ac:dyDescent="0.25">
      <c r="A140" s="80">
        <v>3</v>
      </c>
      <c r="B140" s="6">
        <v>1</v>
      </c>
      <c r="C140" s="80">
        <v>728</v>
      </c>
      <c r="D140" s="80">
        <v>1</v>
      </c>
      <c r="E140" s="80">
        <v>1</v>
      </c>
      <c r="F140" s="80" t="s">
        <v>396</v>
      </c>
      <c r="G140" s="79">
        <v>12.78</v>
      </c>
      <c r="H140" s="79">
        <v>0.203821</v>
      </c>
      <c r="I140" s="79" t="s">
        <v>329</v>
      </c>
      <c r="J140" s="79" t="s">
        <v>17</v>
      </c>
      <c r="K140" s="83">
        <f>VLOOKUP(ws[[#This Row],[hwycov_id]],count[],4,FALSE)</f>
        <v>22257</v>
      </c>
      <c r="L140" s="115">
        <f>VLOOKUP(ws[[#This Row],[hwycov_id]],flow0[],5,FALSE)</f>
        <v>23517</v>
      </c>
      <c r="M140" s="295">
        <f>ws[[#This Row],[flow]]/ws[[#This Row],[count]]-1</f>
        <v>5.6611403154063877E-2</v>
      </c>
      <c r="N140" s="296">
        <f>POWER((ws[[#This Row],[flow]]-ws[[#This Row],[count]]),2)</f>
        <v>1587600</v>
      </c>
      <c r="O140" s="80" t="e">
        <f>VLOOKUP(ws[[#This Row],[hwycov_id]],count!$A$630:$E$652,5,FALSE)</f>
        <v>#N/A</v>
      </c>
      <c r="P140" s="80">
        <v>146</v>
      </c>
    </row>
    <row r="141" spans="1:16" x14ac:dyDescent="0.25">
      <c r="A141" s="80">
        <v>3</v>
      </c>
      <c r="B141" s="6">
        <v>1</v>
      </c>
      <c r="C141" s="80">
        <v>20749</v>
      </c>
      <c r="D141" s="80">
        <v>1</v>
      </c>
      <c r="E141" s="80">
        <v>1</v>
      </c>
      <c r="F141" s="80" t="s">
        <v>396</v>
      </c>
      <c r="G141" s="79">
        <v>14.25</v>
      </c>
      <c r="H141" s="79">
        <v>0.34387899999999999</v>
      </c>
      <c r="I141" s="79" t="s">
        <v>132</v>
      </c>
      <c r="J141" s="79" t="s">
        <v>67</v>
      </c>
      <c r="K141" s="83">
        <f>VLOOKUP(ws[[#This Row],[hwycov_id]],count[],4,FALSE)</f>
        <v>22742</v>
      </c>
      <c r="L141" s="115">
        <f>VLOOKUP(ws[[#This Row],[hwycov_id]],flow0[],5,FALSE)</f>
        <v>24522</v>
      </c>
      <c r="M141" s="295">
        <f>ws[[#This Row],[flow]]/ws[[#This Row],[count]]-1</f>
        <v>7.8269281505584321E-2</v>
      </c>
      <c r="N141" s="296">
        <f>POWER((ws[[#This Row],[flow]]-ws[[#This Row],[count]]),2)</f>
        <v>3168400</v>
      </c>
      <c r="O141" s="80" t="e">
        <f>VLOOKUP(ws[[#This Row],[hwycov_id]],count!$A$630:$E$652,5,FALSE)</f>
        <v>#N/A</v>
      </c>
      <c r="P141" s="80">
        <v>147</v>
      </c>
    </row>
    <row r="142" spans="1:16" x14ac:dyDescent="0.25">
      <c r="A142" s="80">
        <v>3</v>
      </c>
      <c r="B142" s="6">
        <v>1</v>
      </c>
      <c r="C142" s="80">
        <v>738</v>
      </c>
      <c r="D142" s="80">
        <v>1</v>
      </c>
      <c r="E142" s="80">
        <v>1</v>
      </c>
      <c r="F142" s="80" t="s">
        <v>396</v>
      </c>
      <c r="G142" s="79">
        <v>15.19</v>
      </c>
      <c r="H142" s="79">
        <v>0.43285600000000002</v>
      </c>
      <c r="I142" s="79" t="s">
        <v>67</v>
      </c>
      <c r="J142" s="79" t="s">
        <v>67</v>
      </c>
      <c r="K142" s="83">
        <f>VLOOKUP(ws[[#This Row],[hwycov_id]],count[],4,FALSE)</f>
        <v>13741</v>
      </c>
      <c r="L142" s="115">
        <f>VLOOKUP(ws[[#This Row],[hwycov_id]],flow0[],5,FALSE)</f>
        <v>14162</v>
      </c>
      <c r="M142" s="295">
        <f>ws[[#This Row],[flow]]/ws[[#This Row],[count]]-1</f>
        <v>3.0638235936249147E-2</v>
      </c>
      <c r="N142" s="296">
        <f>POWER((ws[[#This Row],[flow]]-ws[[#This Row],[count]]),2)</f>
        <v>177241</v>
      </c>
      <c r="O142" s="80" t="e">
        <f>VLOOKUP(ws[[#This Row],[hwycov_id]],count!$A$630:$E$652,5,FALSE)</f>
        <v>#N/A</v>
      </c>
      <c r="P142" s="80">
        <v>148</v>
      </c>
    </row>
    <row r="143" spans="1:16" x14ac:dyDescent="0.25">
      <c r="A143" s="80">
        <v>3</v>
      </c>
      <c r="B143" s="6">
        <v>1</v>
      </c>
      <c r="C143" s="80">
        <v>744</v>
      </c>
      <c r="D143" s="80">
        <v>1</v>
      </c>
      <c r="E143" s="80">
        <v>1</v>
      </c>
      <c r="F143" s="80" t="s">
        <v>396</v>
      </c>
      <c r="G143" s="79">
        <v>15.8</v>
      </c>
      <c r="H143" s="79">
        <v>0.28375800000000001</v>
      </c>
      <c r="I143" s="79" t="s">
        <v>20</v>
      </c>
      <c r="J143" s="79" t="s">
        <v>20</v>
      </c>
      <c r="K143" s="83">
        <f>VLOOKUP(ws[[#This Row],[hwycov_id]],count[],4,FALSE)</f>
        <v>15483</v>
      </c>
      <c r="L143" s="115">
        <f>VLOOKUP(ws[[#This Row],[hwycov_id]],flow0[],5,FALSE)</f>
        <v>16947</v>
      </c>
      <c r="M143" s="295">
        <f>ws[[#This Row],[flow]]/ws[[#This Row],[count]]-1</f>
        <v>9.4555318736678995E-2</v>
      </c>
      <c r="N143" s="296">
        <f>POWER((ws[[#This Row],[flow]]-ws[[#This Row],[count]]),2)</f>
        <v>2143296</v>
      </c>
      <c r="O143" s="80" t="e">
        <f>VLOOKUP(ws[[#This Row],[hwycov_id]],count!$A$630:$E$652,5,FALSE)</f>
        <v>#N/A</v>
      </c>
      <c r="P143" s="80">
        <v>149</v>
      </c>
    </row>
    <row r="144" spans="1:16" x14ac:dyDescent="0.25">
      <c r="A144" s="80">
        <v>3</v>
      </c>
      <c r="B144" s="6">
        <v>1</v>
      </c>
      <c r="C144" s="80">
        <v>746</v>
      </c>
      <c r="D144" s="80">
        <v>1</v>
      </c>
      <c r="E144" s="80">
        <v>1</v>
      </c>
      <c r="F144" s="80" t="s">
        <v>396</v>
      </c>
      <c r="G144" s="79">
        <v>16.05</v>
      </c>
      <c r="H144" s="79">
        <v>0.25063299999999999</v>
      </c>
      <c r="I144" s="79" t="s">
        <v>20</v>
      </c>
      <c r="J144" s="79" t="s">
        <v>21</v>
      </c>
      <c r="K144" s="83">
        <f>VLOOKUP(ws[[#This Row],[hwycov_id]],count[],4,FALSE)</f>
        <v>17656</v>
      </c>
      <c r="L144" s="115">
        <f>VLOOKUP(ws[[#This Row],[hwycov_id]],flow0[],5,FALSE)</f>
        <v>18847</v>
      </c>
      <c r="M144" s="295">
        <f>ws[[#This Row],[flow]]/ws[[#This Row],[count]]-1</f>
        <v>6.7455822383325703E-2</v>
      </c>
      <c r="N144" s="296">
        <f>POWER((ws[[#This Row],[flow]]-ws[[#This Row],[count]]),2)</f>
        <v>1418481</v>
      </c>
      <c r="O144" s="80" t="e">
        <f>VLOOKUP(ws[[#This Row],[hwycov_id]],count!$A$630:$E$652,5,FALSE)</f>
        <v>#N/A</v>
      </c>
      <c r="P144" s="80">
        <v>150</v>
      </c>
    </row>
    <row r="145" spans="1:16" x14ac:dyDescent="0.25">
      <c r="A145" s="80">
        <v>3</v>
      </c>
      <c r="B145" s="6">
        <v>1</v>
      </c>
      <c r="C145" s="80">
        <v>20750</v>
      </c>
      <c r="D145" s="80">
        <v>1</v>
      </c>
      <c r="E145" s="80">
        <v>1</v>
      </c>
      <c r="F145" s="80" t="s">
        <v>396</v>
      </c>
      <c r="G145" s="79">
        <v>16.41</v>
      </c>
      <c r="H145" s="79">
        <v>0.35076499999999999</v>
      </c>
      <c r="I145" s="79" t="s">
        <v>21</v>
      </c>
      <c r="J145" s="79" t="s">
        <v>21</v>
      </c>
      <c r="K145" s="83">
        <f>VLOOKUP(ws[[#This Row],[hwycov_id]],count[],4,FALSE)</f>
        <v>15022</v>
      </c>
      <c r="L145" s="115">
        <f>VLOOKUP(ws[[#This Row],[hwycov_id]],flow0[],5,FALSE)</f>
        <v>16088</v>
      </c>
      <c r="M145" s="295">
        <f>ws[[#This Row],[flow]]/ws[[#This Row],[count]]-1</f>
        <v>7.0962588203967503E-2</v>
      </c>
      <c r="N145" s="296">
        <f>POWER((ws[[#This Row],[flow]]-ws[[#This Row],[count]]),2)</f>
        <v>1136356</v>
      </c>
      <c r="O145" s="80" t="e">
        <f>VLOOKUP(ws[[#This Row],[hwycov_id]],count!$A$630:$E$652,5,FALSE)</f>
        <v>#N/A</v>
      </c>
      <c r="P145" s="80">
        <v>151</v>
      </c>
    </row>
    <row r="146" spans="1:16" x14ac:dyDescent="0.25">
      <c r="A146" s="80">
        <v>3</v>
      </c>
      <c r="B146" s="6">
        <v>1</v>
      </c>
      <c r="C146" s="80">
        <v>20755</v>
      </c>
      <c r="D146" s="80">
        <v>1</v>
      </c>
      <c r="E146" s="80">
        <v>1</v>
      </c>
      <c r="F146" s="80" t="s">
        <v>396</v>
      </c>
      <c r="G146" s="79">
        <v>17.84</v>
      </c>
      <c r="H146" s="79">
        <v>0.74958400000000003</v>
      </c>
      <c r="I146" s="79" t="s">
        <v>5</v>
      </c>
      <c r="J146" s="79" t="s">
        <v>38</v>
      </c>
      <c r="K146" s="83">
        <f>VLOOKUP(ws[[#This Row],[hwycov_id]],count[],4,FALSE)</f>
        <v>12056</v>
      </c>
      <c r="L146" s="115">
        <f>VLOOKUP(ws[[#This Row],[hwycov_id]],flow0[],5,FALSE)</f>
        <v>14110</v>
      </c>
      <c r="M146" s="295">
        <f>ws[[#This Row],[flow]]/ws[[#This Row],[count]]-1</f>
        <v>0.17037159920371603</v>
      </c>
      <c r="N146" s="296">
        <f>POWER((ws[[#This Row],[flow]]-ws[[#This Row],[count]]),2)</f>
        <v>4218916</v>
      </c>
      <c r="O146" s="80" t="e">
        <f>VLOOKUP(ws[[#This Row],[hwycov_id]],count!$A$630:$E$652,5,FALSE)</f>
        <v>#N/A</v>
      </c>
      <c r="P146" s="80">
        <v>153</v>
      </c>
    </row>
    <row r="147" spans="1:16" x14ac:dyDescent="0.25">
      <c r="A147" s="80">
        <v>3</v>
      </c>
      <c r="B147" s="6">
        <v>1</v>
      </c>
      <c r="C147" s="80">
        <v>751</v>
      </c>
      <c r="D147" s="80">
        <v>1</v>
      </c>
      <c r="E147" s="80">
        <v>1</v>
      </c>
      <c r="F147" s="80" t="s">
        <v>396</v>
      </c>
      <c r="G147" s="79">
        <v>18.239999999999998</v>
      </c>
      <c r="H147" s="79">
        <v>0.39582800000000001</v>
      </c>
      <c r="I147" s="79" t="s">
        <v>38</v>
      </c>
      <c r="J147" s="79" t="s">
        <v>134</v>
      </c>
      <c r="K147" s="83">
        <f>VLOOKUP(ws[[#This Row],[hwycov_id]],count[],4,FALSE)</f>
        <v>16786</v>
      </c>
      <c r="L147" s="115">
        <f>VLOOKUP(ws[[#This Row],[hwycov_id]],flow0[],5,FALSE)</f>
        <v>22387</v>
      </c>
      <c r="M147" s="295">
        <f>ws[[#This Row],[flow]]/ws[[#This Row],[count]]-1</f>
        <v>0.33367091623972356</v>
      </c>
      <c r="N147" s="296">
        <f>POWER((ws[[#This Row],[flow]]-ws[[#This Row],[count]]),2)</f>
        <v>31371201</v>
      </c>
      <c r="O147" s="80" t="e">
        <f>VLOOKUP(ws[[#This Row],[hwycov_id]],count!$A$630:$E$652,5,FALSE)</f>
        <v>#N/A</v>
      </c>
      <c r="P147" s="80">
        <v>154</v>
      </c>
    </row>
    <row r="148" spans="1:16" x14ac:dyDescent="0.25">
      <c r="A148" s="80">
        <v>3</v>
      </c>
      <c r="B148" s="6">
        <v>1</v>
      </c>
      <c r="C148" s="80">
        <v>753</v>
      </c>
      <c r="D148" s="80">
        <v>1</v>
      </c>
      <c r="E148" s="80">
        <v>1</v>
      </c>
      <c r="F148" s="80" t="s">
        <v>396</v>
      </c>
      <c r="G148" s="79">
        <v>19.75</v>
      </c>
      <c r="H148" s="79">
        <v>0.65106299999999995</v>
      </c>
      <c r="I148" s="79" t="s">
        <v>134</v>
      </c>
      <c r="J148" s="79" t="s">
        <v>135</v>
      </c>
      <c r="K148" s="83">
        <f>VLOOKUP(ws[[#This Row],[hwycov_id]],count[],4,FALSE)</f>
        <v>17540</v>
      </c>
      <c r="L148" s="115">
        <f>VLOOKUP(ws[[#This Row],[hwycov_id]],flow0[],5,FALSE)</f>
        <v>21831</v>
      </c>
      <c r="M148" s="295">
        <f>ws[[#This Row],[flow]]/ws[[#This Row],[count]]-1</f>
        <v>0.24464082098061568</v>
      </c>
      <c r="N148" s="296">
        <f>POWER((ws[[#This Row],[flow]]-ws[[#This Row],[count]]),2)</f>
        <v>18412681</v>
      </c>
      <c r="O148" s="80" t="e">
        <f>VLOOKUP(ws[[#This Row],[hwycov_id]],count!$A$630:$E$652,5,FALSE)</f>
        <v>#N/A</v>
      </c>
      <c r="P148" s="80">
        <v>155</v>
      </c>
    </row>
    <row r="149" spans="1:16" x14ac:dyDescent="0.25">
      <c r="A149" s="80">
        <v>3</v>
      </c>
      <c r="B149" s="6">
        <v>1</v>
      </c>
      <c r="C149" s="80">
        <v>755</v>
      </c>
      <c r="D149" s="80">
        <v>1</v>
      </c>
      <c r="E149" s="80">
        <v>1</v>
      </c>
      <c r="F149" s="80" t="s">
        <v>396</v>
      </c>
      <c r="G149" s="79">
        <v>20.69</v>
      </c>
      <c r="H149" s="79">
        <v>2.6359E-2</v>
      </c>
      <c r="I149" s="79" t="s">
        <v>11</v>
      </c>
      <c r="J149" s="79" t="s">
        <v>11</v>
      </c>
      <c r="K149" s="83">
        <f>VLOOKUP(ws[[#This Row],[hwycov_id]],count[],4,FALSE)</f>
        <v>12465</v>
      </c>
      <c r="L149" s="115">
        <f>VLOOKUP(ws[[#This Row],[hwycov_id]],flow0[],5,FALSE)</f>
        <v>15889</v>
      </c>
      <c r="M149" s="295">
        <f>ws[[#This Row],[flow]]/ws[[#This Row],[count]]-1</f>
        <v>0.2746891295627758</v>
      </c>
      <c r="N149" s="296">
        <f>POWER((ws[[#This Row],[flow]]-ws[[#This Row],[count]]),2)</f>
        <v>11723776</v>
      </c>
      <c r="O149" s="80" t="e">
        <f>VLOOKUP(ws[[#This Row],[hwycov_id]],count!$A$630:$E$652,5,FALSE)</f>
        <v>#N/A</v>
      </c>
      <c r="P149" s="80">
        <v>156</v>
      </c>
    </row>
    <row r="150" spans="1:16" x14ac:dyDescent="0.25">
      <c r="A150" s="80">
        <v>3</v>
      </c>
      <c r="B150" s="6">
        <v>1</v>
      </c>
      <c r="C150" s="80">
        <v>759</v>
      </c>
      <c r="D150" s="80">
        <v>1</v>
      </c>
      <c r="E150" s="80">
        <v>1</v>
      </c>
      <c r="F150" s="80" t="s">
        <v>396</v>
      </c>
      <c r="G150" s="79">
        <v>22.57</v>
      </c>
      <c r="H150" s="79">
        <v>0.53342000000000001</v>
      </c>
      <c r="I150" s="79">
        <v>0</v>
      </c>
      <c r="J150" s="79" t="s">
        <v>25</v>
      </c>
      <c r="K150" s="83">
        <f>VLOOKUP(ws[[#This Row],[hwycov_id]],count[],4,FALSE)</f>
        <v>14120</v>
      </c>
      <c r="L150" s="115">
        <f>VLOOKUP(ws[[#This Row],[hwycov_id]],flow0[],5,FALSE)</f>
        <v>20518</v>
      </c>
      <c r="M150" s="295">
        <f>ws[[#This Row],[flow]]/ws[[#This Row],[count]]-1</f>
        <v>0.45311614730878191</v>
      </c>
      <c r="N150" s="296">
        <f>POWER((ws[[#This Row],[flow]]-ws[[#This Row],[count]]),2)</f>
        <v>40934404</v>
      </c>
      <c r="O150" s="80" t="e">
        <f>VLOOKUP(ws[[#This Row],[hwycov_id]],count!$A$630:$E$652,5,FALSE)</f>
        <v>#N/A</v>
      </c>
      <c r="P150" s="80">
        <v>157</v>
      </c>
    </row>
    <row r="151" spans="1:16" x14ac:dyDescent="0.25">
      <c r="A151" s="80">
        <v>3</v>
      </c>
      <c r="B151" s="6">
        <v>1</v>
      </c>
      <c r="C151" s="80">
        <v>760</v>
      </c>
      <c r="D151" s="80">
        <v>1</v>
      </c>
      <c r="E151" s="80">
        <v>1</v>
      </c>
      <c r="F151" s="80" t="s">
        <v>396</v>
      </c>
      <c r="G151" s="79">
        <v>23</v>
      </c>
      <c r="H151" s="79">
        <v>0.42835299999999998</v>
      </c>
      <c r="I151" s="79" t="s">
        <v>25</v>
      </c>
      <c r="J151" s="79" t="s">
        <v>37</v>
      </c>
      <c r="K151" s="83">
        <f>VLOOKUP(ws[[#This Row],[hwycov_id]],count[],4,FALSE)</f>
        <v>16603</v>
      </c>
      <c r="L151" s="115">
        <f>VLOOKUP(ws[[#This Row],[hwycov_id]],flow0[],5,FALSE)</f>
        <v>23881</v>
      </c>
      <c r="M151" s="295">
        <f>ws[[#This Row],[flow]]/ws[[#This Row],[count]]-1</f>
        <v>0.43835451424441363</v>
      </c>
      <c r="N151" s="296">
        <f>POWER((ws[[#This Row],[flow]]-ws[[#This Row],[count]]),2)</f>
        <v>52969284</v>
      </c>
      <c r="O151" s="80" t="e">
        <f>VLOOKUP(ws[[#This Row],[hwycov_id]],count!$A$630:$E$652,5,FALSE)</f>
        <v>#N/A</v>
      </c>
      <c r="P151" s="80">
        <v>158</v>
      </c>
    </row>
    <row r="152" spans="1:16" x14ac:dyDescent="0.25">
      <c r="A152" s="80">
        <v>3</v>
      </c>
      <c r="B152" s="6">
        <v>1</v>
      </c>
      <c r="C152" s="80">
        <v>15064</v>
      </c>
      <c r="D152" s="80">
        <v>1</v>
      </c>
      <c r="E152" s="80">
        <v>1</v>
      </c>
      <c r="F152" s="80" t="s">
        <v>396</v>
      </c>
      <c r="G152" s="79">
        <v>25.4</v>
      </c>
      <c r="H152" s="79">
        <v>0.54544499999999996</v>
      </c>
      <c r="I152" s="79" t="s">
        <v>86</v>
      </c>
      <c r="J152" s="79" t="s">
        <v>46</v>
      </c>
      <c r="K152" s="83">
        <f>VLOOKUP(ws[[#This Row],[hwycov_id]],count[],4,FALSE)</f>
        <v>13405</v>
      </c>
      <c r="L152" s="115">
        <f>VLOOKUP(ws[[#This Row],[hwycov_id]],flow0[],5,FALSE)</f>
        <v>21510</v>
      </c>
      <c r="M152" s="295">
        <f>ws[[#This Row],[flow]]/ws[[#This Row],[count]]-1</f>
        <v>0.60462513987318167</v>
      </c>
      <c r="N152" s="296">
        <f>POWER((ws[[#This Row],[flow]]-ws[[#This Row],[count]]),2)</f>
        <v>65691025</v>
      </c>
      <c r="O152" s="80" t="e">
        <f>VLOOKUP(ws[[#This Row],[hwycov_id]],count!$A$630:$E$652,5,FALSE)</f>
        <v>#N/A</v>
      </c>
      <c r="P152" s="80">
        <v>159</v>
      </c>
    </row>
    <row r="153" spans="1:16" x14ac:dyDescent="0.25">
      <c r="A153" s="80">
        <v>3</v>
      </c>
      <c r="B153" s="6">
        <v>1</v>
      </c>
      <c r="C153" s="80">
        <v>23851</v>
      </c>
      <c r="D153" s="80">
        <v>1</v>
      </c>
      <c r="E153" s="80">
        <v>1</v>
      </c>
      <c r="F153" s="80" t="s">
        <v>396</v>
      </c>
      <c r="G153" s="79">
        <v>25.98</v>
      </c>
      <c r="H153" s="79">
        <v>0.57677</v>
      </c>
      <c r="I153" s="79" t="s">
        <v>46</v>
      </c>
      <c r="J153" s="79" t="s">
        <v>46</v>
      </c>
      <c r="K153" s="83">
        <f>VLOOKUP(ws[[#This Row],[hwycov_id]],count[],4,FALSE)</f>
        <v>11943</v>
      </c>
      <c r="L153" s="115">
        <f>VLOOKUP(ws[[#This Row],[hwycov_id]],flow0[],5,FALSE)</f>
        <v>18155</v>
      </c>
      <c r="M153" s="295">
        <f>ws[[#This Row],[flow]]/ws[[#This Row],[count]]-1</f>
        <v>0.52013731893159165</v>
      </c>
      <c r="N153" s="296">
        <f>POWER((ws[[#This Row],[flow]]-ws[[#This Row],[count]]),2)</f>
        <v>38588944</v>
      </c>
      <c r="O153" s="80" t="e">
        <f>VLOOKUP(ws[[#This Row],[hwycov_id]],count!$A$630:$E$652,5,FALSE)</f>
        <v>#N/A</v>
      </c>
      <c r="P153" s="80">
        <v>160</v>
      </c>
    </row>
    <row r="154" spans="1:16" x14ac:dyDescent="0.25">
      <c r="A154" s="80">
        <v>3</v>
      </c>
      <c r="B154" s="6">
        <v>1</v>
      </c>
      <c r="C154" s="80">
        <v>589</v>
      </c>
      <c r="D154" s="80">
        <v>1</v>
      </c>
      <c r="E154" s="80">
        <v>1</v>
      </c>
      <c r="F154" s="80" t="s">
        <v>396</v>
      </c>
      <c r="G154" s="79">
        <v>27.18</v>
      </c>
      <c r="H154" s="79">
        <v>0.42237200000000003</v>
      </c>
      <c r="I154" s="79" t="s">
        <v>137</v>
      </c>
      <c r="J154" s="79" t="s">
        <v>33</v>
      </c>
      <c r="K154" s="83">
        <f>VLOOKUP(ws[[#This Row],[hwycov_id]],count[],4,FALSE)</f>
        <v>11626</v>
      </c>
      <c r="L154" s="115">
        <f>VLOOKUP(ws[[#This Row],[hwycov_id]],flow0[],5,FALSE)</f>
        <v>19195</v>
      </c>
      <c r="M154" s="295">
        <f>ws[[#This Row],[flow]]/ws[[#This Row],[count]]-1</f>
        <v>0.65104077068639254</v>
      </c>
      <c r="N154" s="296">
        <f>POWER((ws[[#This Row],[flow]]-ws[[#This Row],[count]]),2)</f>
        <v>57289761</v>
      </c>
      <c r="O154" s="80" t="e">
        <f>VLOOKUP(ws[[#This Row],[hwycov_id]],count!$A$630:$E$652,5,FALSE)</f>
        <v>#N/A</v>
      </c>
      <c r="P154" s="80">
        <v>161</v>
      </c>
    </row>
    <row r="155" spans="1:16" x14ac:dyDescent="0.25">
      <c r="A155" s="80">
        <v>3</v>
      </c>
      <c r="B155" s="6">
        <v>1</v>
      </c>
      <c r="C155" s="80">
        <v>31198</v>
      </c>
      <c r="D155" s="80">
        <v>1</v>
      </c>
      <c r="E155" s="80">
        <v>1</v>
      </c>
      <c r="F155" s="80" t="s">
        <v>396</v>
      </c>
      <c r="G155" s="79">
        <v>27.68</v>
      </c>
      <c r="H155" s="79">
        <v>0.46165499999999998</v>
      </c>
      <c r="I155" s="79" t="s">
        <v>33</v>
      </c>
      <c r="J155" s="79" t="s">
        <v>39</v>
      </c>
      <c r="K155" s="83">
        <f>VLOOKUP(ws[[#This Row],[hwycov_id]],count[],4,FALSE)</f>
        <v>21359</v>
      </c>
      <c r="L155" s="115">
        <f>VLOOKUP(ws[[#This Row],[hwycov_id]],flow0[],5,FALSE)</f>
        <v>23360</v>
      </c>
      <c r="M155" s="295">
        <f>ws[[#This Row],[flow]]/ws[[#This Row],[count]]-1</f>
        <v>9.3684161243503983E-2</v>
      </c>
      <c r="N155" s="296">
        <f>POWER((ws[[#This Row],[flow]]-ws[[#This Row],[count]]),2)</f>
        <v>4004001</v>
      </c>
      <c r="O155" s="80" t="e">
        <f>VLOOKUP(ws[[#This Row],[hwycov_id]],count!$A$630:$E$652,5,FALSE)</f>
        <v>#N/A</v>
      </c>
      <c r="P155" s="80">
        <v>162</v>
      </c>
    </row>
    <row r="156" spans="1:16" x14ac:dyDescent="0.25">
      <c r="A156" s="80">
        <v>4</v>
      </c>
      <c r="B156" s="6">
        <v>1</v>
      </c>
      <c r="C156" s="80">
        <v>13438</v>
      </c>
      <c r="D156" s="80">
        <v>1</v>
      </c>
      <c r="E156" s="80">
        <v>1</v>
      </c>
      <c r="F156" s="80" t="s">
        <v>399</v>
      </c>
      <c r="G156" s="79">
        <v>1.82</v>
      </c>
      <c r="H156" s="79">
        <v>0.208871</v>
      </c>
      <c r="I156" s="79" t="s">
        <v>331</v>
      </c>
      <c r="J156" s="79" t="s">
        <v>332</v>
      </c>
      <c r="K156" s="83">
        <f>VLOOKUP(ws[[#This Row],[hwycov_id]],count[],4,FALSE)</f>
        <v>11709</v>
      </c>
      <c r="L156" s="115">
        <f>VLOOKUP(ws[[#This Row],[hwycov_id]],flow0[],5,FALSE)</f>
        <v>13904</v>
      </c>
      <c r="M156" s="295">
        <f>ws[[#This Row],[flow]]/ws[[#This Row],[count]]-1</f>
        <v>0.18746263557946885</v>
      </c>
      <c r="N156" s="296">
        <f>POWER((ws[[#This Row],[flow]]-ws[[#This Row],[count]]),2)</f>
        <v>4818025</v>
      </c>
      <c r="O156" s="80" t="e">
        <f>VLOOKUP(ws[[#This Row],[hwycov_id]],count!$A$630:$E$652,5,FALSE)</f>
        <v>#N/A</v>
      </c>
      <c r="P156" s="80">
        <v>163</v>
      </c>
    </row>
    <row r="157" spans="1:16" x14ac:dyDescent="0.25">
      <c r="A157" s="80">
        <v>4</v>
      </c>
      <c r="B157" s="6">
        <v>1</v>
      </c>
      <c r="C157" s="80">
        <v>16046</v>
      </c>
      <c r="D157" s="80">
        <v>1</v>
      </c>
      <c r="E157" s="80">
        <v>1</v>
      </c>
      <c r="F157" s="80" t="s">
        <v>399</v>
      </c>
      <c r="G157" s="79">
        <v>2.2000000000000002</v>
      </c>
      <c r="H157" s="79">
        <v>0.20596999999999999</v>
      </c>
      <c r="I157" s="79" t="s">
        <v>80</v>
      </c>
      <c r="J157" s="79" t="s">
        <v>80</v>
      </c>
      <c r="K157" s="83">
        <f>VLOOKUP(ws[[#This Row],[hwycov_id]],count[],4,FALSE)</f>
        <v>12748</v>
      </c>
      <c r="L157" s="115">
        <f>VLOOKUP(ws[[#This Row],[hwycov_id]],flow0[],5,FALSE)</f>
        <v>15619</v>
      </c>
      <c r="M157" s="295">
        <f>ws[[#This Row],[flow]]/ws[[#This Row],[count]]-1</f>
        <v>0.22521179792908685</v>
      </c>
      <c r="N157" s="296">
        <f>POWER((ws[[#This Row],[flow]]-ws[[#This Row],[count]]),2)</f>
        <v>8242641</v>
      </c>
      <c r="O157" s="80" t="e">
        <f>VLOOKUP(ws[[#This Row],[hwycov_id]],count!$A$630:$E$652,5,FALSE)</f>
        <v>#N/A</v>
      </c>
      <c r="P157" s="80">
        <v>164</v>
      </c>
    </row>
    <row r="158" spans="1:16" x14ac:dyDescent="0.25">
      <c r="A158" s="80">
        <v>4</v>
      </c>
      <c r="B158" s="6">
        <v>1</v>
      </c>
      <c r="C158" s="80">
        <v>16038</v>
      </c>
      <c r="D158" s="80">
        <v>1</v>
      </c>
      <c r="E158" s="80">
        <v>1</v>
      </c>
      <c r="F158" s="80" t="s">
        <v>399</v>
      </c>
      <c r="G158" s="79">
        <v>2.93</v>
      </c>
      <c r="H158" s="79">
        <v>0.40747800000000001</v>
      </c>
      <c r="I158" s="79" t="s">
        <v>140</v>
      </c>
      <c r="J158" s="79" t="s">
        <v>5</v>
      </c>
      <c r="K158" s="83">
        <f>VLOOKUP(ws[[#This Row],[hwycov_id]],count[],4,FALSE)</f>
        <v>21608</v>
      </c>
      <c r="L158" s="115">
        <f>VLOOKUP(ws[[#This Row],[hwycov_id]],flow0[],5,FALSE)</f>
        <v>24279</v>
      </c>
      <c r="M158" s="295">
        <f>ws[[#This Row],[flow]]/ws[[#This Row],[count]]-1</f>
        <v>0.12361162532395409</v>
      </c>
      <c r="N158" s="296">
        <f>POWER((ws[[#This Row],[flow]]-ws[[#This Row],[count]]),2)</f>
        <v>7134241</v>
      </c>
      <c r="O158" s="80" t="e">
        <f>VLOOKUP(ws[[#This Row],[hwycov_id]],count!$A$630:$E$652,5,FALSE)</f>
        <v>#N/A</v>
      </c>
      <c r="P158" s="80">
        <v>165</v>
      </c>
    </row>
    <row r="159" spans="1:16" x14ac:dyDescent="0.25">
      <c r="A159" s="80">
        <v>4</v>
      </c>
      <c r="B159" s="6">
        <v>1</v>
      </c>
      <c r="C159" s="80">
        <v>15714</v>
      </c>
      <c r="D159" s="80">
        <v>1</v>
      </c>
      <c r="E159" s="80">
        <v>1</v>
      </c>
      <c r="F159" s="80" t="s">
        <v>399</v>
      </c>
      <c r="G159" s="79">
        <v>4.9000000000000004</v>
      </c>
      <c r="H159" s="79">
        <v>0.57263399999999998</v>
      </c>
      <c r="I159" s="79" t="s">
        <v>22</v>
      </c>
      <c r="J159" s="79" t="s">
        <v>88</v>
      </c>
      <c r="K159" s="83">
        <f>VLOOKUP(ws[[#This Row],[hwycov_id]],count[],4,FALSE)</f>
        <v>22349</v>
      </c>
      <c r="L159" s="115">
        <f>VLOOKUP(ws[[#This Row],[hwycov_id]],flow0[],5,FALSE)</f>
        <v>29005</v>
      </c>
      <c r="M159" s="295">
        <f>ws[[#This Row],[flow]]/ws[[#This Row],[count]]-1</f>
        <v>0.29782093158530576</v>
      </c>
      <c r="N159" s="296">
        <f>POWER((ws[[#This Row],[flow]]-ws[[#This Row],[count]]),2)</f>
        <v>44302336</v>
      </c>
      <c r="O159" s="80" t="e">
        <f>VLOOKUP(ws[[#This Row],[hwycov_id]],count!$A$630:$E$652,5,FALSE)</f>
        <v>#N/A</v>
      </c>
      <c r="P159" s="80">
        <v>167</v>
      </c>
    </row>
    <row r="160" spans="1:16" x14ac:dyDescent="0.25">
      <c r="A160" s="80">
        <v>4</v>
      </c>
      <c r="B160" s="6">
        <v>1</v>
      </c>
      <c r="C160" s="80">
        <v>15699</v>
      </c>
      <c r="D160" s="80">
        <v>1</v>
      </c>
      <c r="E160" s="80">
        <v>1</v>
      </c>
      <c r="F160" s="80" t="s">
        <v>399</v>
      </c>
      <c r="G160" s="79">
        <v>6.08</v>
      </c>
      <c r="H160" s="79">
        <v>0.23460500000000001</v>
      </c>
      <c r="I160" s="79" t="s">
        <v>138</v>
      </c>
      <c r="J160" s="79" t="s">
        <v>19</v>
      </c>
      <c r="K160" s="83">
        <f>VLOOKUP(ws[[#This Row],[hwycov_id]],count[],4,FALSE)</f>
        <v>20109</v>
      </c>
      <c r="L160" s="115">
        <f>VLOOKUP(ws[[#This Row],[hwycov_id]],flow0[],5,FALSE)</f>
        <v>27714</v>
      </c>
      <c r="M160" s="295">
        <f>ws[[#This Row],[flow]]/ws[[#This Row],[count]]-1</f>
        <v>0.37818887065493056</v>
      </c>
      <c r="N160" s="296">
        <f>POWER((ws[[#This Row],[flow]]-ws[[#This Row],[count]]),2)</f>
        <v>57836025</v>
      </c>
      <c r="O160" s="80" t="e">
        <f>VLOOKUP(ws[[#This Row],[hwycov_id]],count!$A$630:$E$652,5,FALSE)</f>
        <v>#N/A</v>
      </c>
      <c r="P160" s="80">
        <v>168</v>
      </c>
    </row>
    <row r="161" spans="1:16" x14ac:dyDescent="0.25">
      <c r="A161" s="80">
        <v>4</v>
      </c>
      <c r="B161" s="6">
        <v>1</v>
      </c>
      <c r="C161" s="80">
        <v>8822</v>
      </c>
      <c r="D161" s="80">
        <v>1</v>
      </c>
      <c r="E161" s="80">
        <v>1</v>
      </c>
      <c r="F161" s="80" t="s">
        <v>399</v>
      </c>
      <c r="G161" s="79">
        <v>7.58</v>
      </c>
      <c r="H161" s="79">
        <v>0.60693200000000003</v>
      </c>
      <c r="I161" s="79" t="s">
        <v>16</v>
      </c>
      <c r="J161" s="79" t="s">
        <v>16</v>
      </c>
      <c r="K161" s="83">
        <f>VLOOKUP(ws[[#This Row],[hwycov_id]],count[],4,FALSE)</f>
        <v>16142</v>
      </c>
      <c r="L161" s="115">
        <f>VLOOKUP(ws[[#This Row],[hwycov_id]],flow0[],5,FALSE)</f>
        <v>19238</v>
      </c>
      <c r="M161" s="295">
        <f>ws[[#This Row],[flow]]/ws[[#This Row],[count]]-1</f>
        <v>0.19179779457316326</v>
      </c>
      <c r="N161" s="296">
        <f>POWER((ws[[#This Row],[flow]]-ws[[#This Row],[count]]),2)</f>
        <v>9585216</v>
      </c>
      <c r="O161" s="80" t="e">
        <f>VLOOKUP(ws[[#This Row],[hwycov_id]],count!$A$630:$E$652,5,FALSE)</f>
        <v>#N/A</v>
      </c>
      <c r="P161" s="80">
        <v>169</v>
      </c>
    </row>
    <row r="162" spans="1:16" x14ac:dyDescent="0.25">
      <c r="A162" s="80">
        <v>4</v>
      </c>
      <c r="B162" s="6">
        <v>1</v>
      </c>
      <c r="C162" s="80">
        <v>8825</v>
      </c>
      <c r="D162" s="80">
        <v>1</v>
      </c>
      <c r="E162" s="80">
        <v>1</v>
      </c>
      <c r="F162" s="80" t="s">
        <v>399</v>
      </c>
      <c r="G162" s="79">
        <v>8.49</v>
      </c>
      <c r="H162" s="79">
        <v>0.72048500000000004</v>
      </c>
      <c r="I162" s="79" t="s">
        <v>25</v>
      </c>
      <c r="J162" s="79" t="s">
        <v>25</v>
      </c>
      <c r="K162" s="83">
        <f>VLOOKUP(ws[[#This Row],[hwycov_id]],count[],4,FALSE)</f>
        <v>18967</v>
      </c>
      <c r="L162" s="115">
        <f>VLOOKUP(ws[[#This Row],[hwycov_id]],flow0[],5,FALSE)</f>
        <v>23357</v>
      </c>
      <c r="M162" s="295">
        <f>ws[[#This Row],[flow]]/ws[[#This Row],[count]]-1</f>
        <v>0.23145463172879222</v>
      </c>
      <c r="N162" s="296">
        <f>POWER((ws[[#This Row],[flow]]-ws[[#This Row],[count]]),2)</f>
        <v>19272100</v>
      </c>
      <c r="O162" s="80" t="e">
        <f>VLOOKUP(ws[[#This Row],[hwycov_id]],count!$A$630:$E$652,5,FALSE)</f>
        <v>#N/A</v>
      </c>
      <c r="P162" s="80">
        <v>170</v>
      </c>
    </row>
    <row r="163" spans="1:16" x14ac:dyDescent="0.25">
      <c r="A163" s="80">
        <v>4</v>
      </c>
      <c r="B163" s="6">
        <v>1</v>
      </c>
      <c r="C163" s="80">
        <v>15317</v>
      </c>
      <c r="D163" s="80">
        <v>1</v>
      </c>
      <c r="E163" s="80">
        <v>1</v>
      </c>
      <c r="F163" s="80" t="s">
        <v>399</v>
      </c>
      <c r="G163" s="79">
        <v>9.75</v>
      </c>
      <c r="H163" s="79">
        <v>0.84962700000000002</v>
      </c>
      <c r="I163" s="79" t="s">
        <v>135</v>
      </c>
      <c r="J163" s="79" t="s">
        <v>135</v>
      </c>
      <c r="K163" s="83">
        <f>VLOOKUP(ws[[#This Row],[hwycov_id]],count[],4,FALSE)</f>
        <v>20700</v>
      </c>
      <c r="L163" s="115">
        <f>VLOOKUP(ws[[#This Row],[hwycov_id]],flow0[],5,FALSE)</f>
        <v>23837</v>
      </c>
      <c r="M163" s="295">
        <f>ws[[#This Row],[flow]]/ws[[#This Row],[count]]-1</f>
        <v>0.15154589371980687</v>
      </c>
      <c r="N163" s="296">
        <f>POWER((ws[[#This Row],[flow]]-ws[[#This Row],[count]]),2)</f>
        <v>9840769</v>
      </c>
      <c r="O163" s="80" t="e">
        <f>VLOOKUP(ws[[#This Row],[hwycov_id]],count!$A$630:$E$652,5,FALSE)</f>
        <v>#N/A</v>
      </c>
      <c r="P163" s="80">
        <v>171</v>
      </c>
    </row>
    <row r="164" spans="1:16" x14ac:dyDescent="0.25">
      <c r="A164" s="80">
        <v>4</v>
      </c>
      <c r="B164" s="6">
        <v>1</v>
      </c>
      <c r="C164" s="80">
        <v>11483</v>
      </c>
      <c r="D164" s="80">
        <v>1</v>
      </c>
      <c r="E164" s="80">
        <v>1</v>
      </c>
      <c r="F164" s="80" t="s">
        <v>399</v>
      </c>
      <c r="G164" s="79">
        <v>10.43</v>
      </c>
      <c r="H164" s="79">
        <v>0.20449999999999999</v>
      </c>
      <c r="I164" s="79" t="s">
        <v>135</v>
      </c>
      <c r="J164" s="79" t="s">
        <v>35</v>
      </c>
      <c r="K164" s="83">
        <f>VLOOKUP(ws[[#This Row],[hwycov_id]],count[],4,FALSE)</f>
        <v>19486</v>
      </c>
      <c r="L164" s="115">
        <f>VLOOKUP(ws[[#This Row],[hwycov_id]],flow0[],5,FALSE)</f>
        <v>24071</v>
      </c>
      <c r="M164" s="295">
        <f>ws[[#This Row],[flow]]/ws[[#This Row],[count]]-1</f>
        <v>0.23529713640562444</v>
      </c>
      <c r="N164" s="296">
        <f>POWER((ws[[#This Row],[flow]]-ws[[#This Row],[count]]),2)</f>
        <v>21022225</v>
      </c>
      <c r="O164" s="80" t="e">
        <f>VLOOKUP(ws[[#This Row],[hwycov_id]],count!$A$630:$E$652,5,FALSE)</f>
        <v>#N/A</v>
      </c>
      <c r="P164" s="80">
        <v>172</v>
      </c>
    </row>
    <row r="165" spans="1:16" x14ac:dyDescent="0.25">
      <c r="A165" s="80">
        <v>5</v>
      </c>
      <c r="B165" s="6">
        <v>1</v>
      </c>
      <c r="C165" s="80">
        <v>9483</v>
      </c>
      <c r="D165" s="80">
        <v>1</v>
      </c>
      <c r="E165" s="80">
        <v>4</v>
      </c>
      <c r="F165" s="80" t="s">
        <v>400</v>
      </c>
      <c r="G165" s="79">
        <v>3.58</v>
      </c>
      <c r="H165" s="79">
        <v>0.32875900000000002</v>
      </c>
      <c r="I165" s="79" t="s">
        <v>289</v>
      </c>
      <c r="J165" s="79" t="s">
        <v>290</v>
      </c>
      <c r="K165" s="83">
        <f>VLOOKUP(ws[[#This Row],[hwycov_id]],count[],4,FALSE)</f>
        <v>1769</v>
      </c>
      <c r="L165" s="115">
        <f>VLOOKUP(ws[[#This Row],[hwycov_id]],flow0[],5,FALSE)</f>
        <v>1295</v>
      </c>
      <c r="M165" s="295">
        <f>ws[[#This Row],[flow]]/ws[[#This Row],[count]]-1</f>
        <v>-0.26794799321650653</v>
      </c>
      <c r="N165" s="296">
        <f>POWER((ws[[#This Row],[flow]]-ws[[#This Row],[count]]),2)</f>
        <v>224676</v>
      </c>
      <c r="O165" s="80" t="e">
        <f>VLOOKUP(ws[[#This Row],[hwycov_id]],count!$A$630:$E$652,5,FALSE)</f>
        <v>#N/A</v>
      </c>
      <c r="P165" s="80">
        <v>173</v>
      </c>
    </row>
    <row r="166" spans="1:16" x14ac:dyDescent="0.25">
      <c r="A166" s="80">
        <v>5</v>
      </c>
      <c r="B166" s="6">
        <v>1</v>
      </c>
      <c r="C166" s="80">
        <v>9509</v>
      </c>
      <c r="D166" s="80">
        <v>1</v>
      </c>
      <c r="E166" s="80">
        <v>4</v>
      </c>
      <c r="F166" s="80" t="s">
        <v>400</v>
      </c>
      <c r="G166" s="79">
        <v>4.3899999999999997</v>
      </c>
      <c r="H166" s="79">
        <v>0.17663100000000001</v>
      </c>
      <c r="I166" s="79" t="s">
        <v>290</v>
      </c>
      <c r="J166" s="79" t="s">
        <v>291</v>
      </c>
      <c r="K166" s="83">
        <f>VLOOKUP(ws[[#This Row],[hwycov_id]],count[],4,FALSE)</f>
        <v>1877</v>
      </c>
      <c r="L166" s="115">
        <f>VLOOKUP(ws[[#This Row],[hwycov_id]],flow0[],5,FALSE)</f>
        <v>990</v>
      </c>
      <c r="M166" s="295">
        <f>ws[[#This Row],[flow]]/ws[[#This Row],[count]]-1</f>
        <v>-0.47256259989344696</v>
      </c>
      <c r="N166" s="296">
        <f>POWER((ws[[#This Row],[flow]]-ws[[#This Row],[count]]),2)</f>
        <v>786769</v>
      </c>
      <c r="O166" s="80" t="e">
        <f>VLOOKUP(ws[[#This Row],[hwycov_id]],count!$A$630:$E$652,5,FALSE)</f>
        <v>#N/A</v>
      </c>
      <c r="P166" s="80">
        <v>174</v>
      </c>
    </row>
    <row r="167" spans="1:16" x14ac:dyDescent="0.25">
      <c r="A167" s="80">
        <v>5</v>
      </c>
      <c r="B167" s="6">
        <v>1</v>
      </c>
      <c r="C167" s="80">
        <v>9519</v>
      </c>
      <c r="D167" s="80">
        <v>1</v>
      </c>
      <c r="E167" s="80">
        <v>4</v>
      </c>
      <c r="F167" s="80" t="s">
        <v>400</v>
      </c>
      <c r="G167" s="79">
        <v>5.36</v>
      </c>
      <c r="H167" s="79">
        <v>0.44139499999999998</v>
      </c>
      <c r="I167" s="79" t="s">
        <v>291</v>
      </c>
      <c r="J167" s="79" t="s">
        <v>292</v>
      </c>
      <c r="K167" s="83">
        <f>VLOOKUP(ws[[#This Row],[hwycov_id]],count[],4,FALSE)</f>
        <v>2321</v>
      </c>
      <c r="L167" s="115">
        <f>VLOOKUP(ws[[#This Row],[hwycov_id]],flow0[],5,FALSE)</f>
        <v>1200</v>
      </c>
      <c r="M167" s="295">
        <f>ws[[#This Row],[flow]]/ws[[#This Row],[count]]-1</f>
        <v>-0.48298147350280052</v>
      </c>
      <c r="N167" s="296">
        <f>POWER((ws[[#This Row],[flow]]-ws[[#This Row],[count]]),2)</f>
        <v>1256641</v>
      </c>
      <c r="O167" s="80" t="e">
        <f>VLOOKUP(ws[[#This Row],[hwycov_id]],count!$A$630:$E$652,5,FALSE)</f>
        <v>#N/A</v>
      </c>
      <c r="P167" s="80">
        <v>175</v>
      </c>
    </row>
    <row r="168" spans="1:16" x14ac:dyDescent="0.25">
      <c r="A168" s="80">
        <v>5</v>
      </c>
      <c r="B168" s="6">
        <v>1</v>
      </c>
      <c r="C168" s="80">
        <v>9143</v>
      </c>
      <c r="D168" s="80">
        <v>1</v>
      </c>
      <c r="E168" s="80">
        <v>4</v>
      </c>
      <c r="F168" s="80" t="s">
        <v>400</v>
      </c>
      <c r="G168" s="79">
        <v>6.25</v>
      </c>
      <c r="H168" s="79">
        <v>0.27534700000000001</v>
      </c>
      <c r="I168" s="79" t="s">
        <v>126</v>
      </c>
      <c r="J168" s="79" t="s">
        <v>293</v>
      </c>
      <c r="K168" s="83">
        <f>VLOOKUP(ws[[#This Row],[hwycov_id]],count[],4,FALSE)</f>
        <v>3009</v>
      </c>
      <c r="L168" s="115">
        <f>VLOOKUP(ws[[#This Row],[hwycov_id]],flow0[],5,FALSE)</f>
        <v>1650</v>
      </c>
      <c r="M168" s="295">
        <f>ws[[#This Row],[flow]]/ws[[#This Row],[count]]-1</f>
        <v>-0.4516450648055832</v>
      </c>
      <c r="N168" s="296">
        <f>POWER((ws[[#This Row],[flow]]-ws[[#This Row],[count]]),2)</f>
        <v>1846881</v>
      </c>
      <c r="O168" s="80" t="e">
        <f>VLOOKUP(ws[[#This Row],[hwycov_id]],count!$A$630:$E$652,5,FALSE)</f>
        <v>#N/A</v>
      </c>
      <c r="P168" s="80">
        <v>176</v>
      </c>
    </row>
    <row r="169" spans="1:16" x14ac:dyDescent="0.25">
      <c r="A169" s="80">
        <v>5</v>
      </c>
      <c r="B169" s="6">
        <v>1</v>
      </c>
      <c r="C169" s="80">
        <v>10255</v>
      </c>
      <c r="D169" s="80">
        <v>1</v>
      </c>
      <c r="E169" s="80">
        <v>4</v>
      </c>
      <c r="F169" s="80" t="s">
        <v>400</v>
      </c>
      <c r="G169" s="79">
        <v>7.56</v>
      </c>
      <c r="H169" s="79">
        <v>0.59050999999999998</v>
      </c>
      <c r="I169" s="79" t="s">
        <v>61</v>
      </c>
      <c r="J169" s="79" t="s">
        <v>294</v>
      </c>
      <c r="K169" s="83">
        <f>VLOOKUP(ws[[#This Row],[hwycov_id]],count[],4,FALSE)</f>
        <v>3276</v>
      </c>
      <c r="L169" s="115">
        <f>VLOOKUP(ws[[#This Row],[hwycov_id]],flow0[],5,FALSE)</f>
        <v>1672</v>
      </c>
      <c r="M169" s="295">
        <f>ws[[#This Row],[flow]]/ws[[#This Row],[count]]-1</f>
        <v>-0.48962148962148966</v>
      </c>
      <c r="N169" s="296">
        <f>POWER((ws[[#This Row],[flow]]-ws[[#This Row],[count]]),2)</f>
        <v>2572816</v>
      </c>
      <c r="O169" s="80" t="e">
        <f>VLOOKUP(ws[[#This Row],[hwycov_id]],count!$A$630:$E$652,5,FALSE)</f>
        <v>#N/A</v>
      </c>
      <c r="P169" s="80">
        <v>177</v>
      </c>
    </row>
    <row r="170" spans="1:16" x14ac:dyDescent="0.25">
      <c r="A170" s="80">
        <v>5</v>
      </c>
      <c r="B170" s="6">
        <v>1</v>
      </c>
      <c r="C170" s="80">
        <v>10257</v>
      </c>
      <c r="D170" s="80">
        <v>1</v>
      </c>
      <c r="E170" s="80">
        <v>4</v>
      </c>
      <c r="F170" s="80" t="s">
        <v>400</v>
      </c>
      <c r="G170" s="79">
        <v>10.37</v>
      </c>
      <c r="H170" s="79">
        <v>2.3958750000000002</v>
      </c>
      <c r="I170" s="79" t="s">
        <v>294</v>
      </c>
      <c r="J170" s="79" t="s">
        <v>63</v>
      </c>
      <c r="K170" s="83">
        <f>VLOOKUP(ws[[#This Row],[hwycov_id]],count[],4,FALSE)</f>
        <v>3565</v>
      </c>
      <c r="L170" s="115">
        <f>VLOOKUP(ws[[#This Row],[hwycov_id]],flow0[],5,FALSE)</f>
        <v>1942</v>
      </c>
      <c r="M170" s="295">
        <f>ws[[#This Row],[flow]]/ws[[#This Row],[count]]-1</f>
        <v>-0.45525946704067322</v>
      </c>
      <c r="N170" s="296">
        <f>POWER((ws[[#This Row],[flow]]-ws[[#This Row],[count]]),2)</f>
        <v>2634129</v>
      </c>
      <c r="O170" s="80" t="e">
        <f>VLOOKUP(ws[[#This Row],[hwycov_id]],count!$A$630:$E$652,5,FALSE)</f>
        <v>#N/A</v>
      </c>
      <c r="P170" s="80">
        <v>178</v>
      </c>
    </row>
    <row r="171" spans="1:16" x14ac:dyDescent="0.25">
      <c r="A171" s="80">
        <v>5</v>
      </c>
      <c r="B171" s="6">
        <v>1</v>
      </c>
      <c r="C171" s="80">
        <v>7190</v>
      </c>
      <c r="D171" s="80">
        <v>1</v>
      </c>
      <c r="E171" s="80">
        <v>1</v>
      </c>
      <c r="F171" s="80" t="s">
        <v>400</v>
      </c>
      <c r="G171" s="79">
        <v>11.26</v>
      </c>
      <c r="H171" s="79">
        <v>0.67831699999999995</v>
      </c>
      <c r="I171" s="79" t="s">
        <v>63</v>
      </c>
      <c r="J171" s="79" t="s">
        <v>141</v>
      </c>
      <c r="K171" s="83">
        <f>VLOOKUP(ws[[#This Row],[hwycov_id]],count[],4,FALSE)</f>
        <v>12679</v>
      </c>
      <c r="L171" s="115">
        <f>VLOOKUP(ws[[#This Row],[hwycov_id]],flow0[],5,FALSE)</f>
        <v>13512</v>
      </c>
      <c r="M171" s="295">
        <f>ws[[#This Row],[flow]]/ws[[#This Row],[count]]-1</f>
        <v>6.5699187633094125E-2</v>
      </c>
      <c r="N171" s="296">
        <f>POWER((ws[[#This Row],[flow]]-ws[[#This Row],[count]]),2)</f>
        <v>693889</v>
      </c>
      <c r="O171" s="80" t="e">
        <f>VLOOKUP(ws[[#This Row],[hwycov_id]],count!$A$630:$E$652,5,FALSE)</f>
        <v>#N/A</v>
      </c>
      <c r="P171" s="80">
        <v>179</v>
      </c>
    </row>
    <row r="172" spans="1:16" x14ac:dyDescent="0.25">
      <c r="A172" s="80">
        <v>5</v>
      </c>
      <c r="B172" s="6">
        <v>1</v>
      </c>
      <c r="C172" s="80">
        <v>7215</v>
      </c>
      <c r="D172" s="80">
        <v>1</v>
      </c>
      <c r="E172" s="80">
        <v>1</v>
      </c>
      <c r="F172" s="80" t="s">
        <v>400</v>
      </c>
      <c r="G172" s="79">
        <v>11.48</v>
      </c>
      <c r="H172" s="79">
        <v>0.21743100000000001</v>
      </c>
      <c r="I172" s="79" t="s">
        <v>141</v>
      </c>
      <c r="J172" s="79" t="s">
        <v>142</v>
      </c>
      <c r="K172" s="83">
        <f>VLOOKUP(ws[[#This Row],[hwycov_id]],count[],4,FALSE)</f>
        <v>10088</v>
      </c>
      <c r="L172" s="115">
        <f>VLOOKUP(ws[[#This Row],[hwycov_id]],flow0[],5,FALSE)</f>
        <v>11412</v>
      </c>
      <c r="M172" s="295">
        <f>ws[[#This Row],[flow]]/ws[[#This Row],[count]]-1</f>
        <v>0.13124504361617761</v>
      </c>
      <c r="N172" s="296">
        <f>POWER((ws[[#This Row],[flow]]-ws[[#This Row],[count]]),2)</f>
        <v>1752976</v>
      </c>
      <c r="O172" s="80" t="e">
        <f>VLOOKUP(ws[[#This Row],[hwycov_id]],count!$A$630:$E$652,5,FALSE)</f>
        <v>#N/A</v>
      </c>
      <c r="P172" s="80">
        <v>180</v>
      </c>
    </row>
    <row r="173" spans="1:16" x14ac:dyDescent="0.25">
      <c r="A173" s="80">
        <v>5</v>
      </c>
      <c r="B173" s="6">
        <v>1</v>
      </c>
      <c r="C173" s="80">
        <v>7222</v>
      </c>
      <c r="D173" s="80">
        <v>1</v>
      </c>
      <c r="E173" s="80">
        <v>1</v>
      </c>
      <c r="F173" s="80" t="s">
        <v>400</v>
      </c>
      <c r="G173" s="79">
        <v>12.4</v>
      </c>
      <c r="H173" s="79">
        <v>0.46943499999999999</v>
      </c>
      <c r="I173" s="79" t="s">
        <v>144</v>
      </c>
      <c r="J173" s="79" t="s">
        <v>144</v>
      </c>
      <c r="K173" s="83">
        <f>VLOOKUP(ws[[#This Row],[hwycov_id]],count[],4,FALSE)</f>
        <v>10030</v>
      </c>
      <c r="L173" s="115">
        <f>VLOOKUP(ws[[#This Row],[hwycov_id]],flow0[],5,FALSE)</f>
        <v>10485</v>
      </c>
      <c r="M173" s="295">
        <f>ws[[#This Row],[flow]]/ws[[#This Row],[count]]-1</f>
        <v>4.5363908275174447E-2</v>
      </c>
      <c r="N173" s="296">
        <f>POWER((ws[[#This Row],[flow]]-ws[[#This Row],[count]]),2)</f>
        <v>207025</v>
      </c>
      <c r="O173" s="80" t="e">
        <f>VLOOKUP(ws[[#This Row],[hwycov_id]],count!$A$630:$E$652,5,FALSE)</f>
        <v>#N/A</v>
      </c>
      <c r="P173" s="80">
        <v>181</v>
      </c>
    </row>
    <row r="174" spans="1:16" x14ac:dyDescent="0.25">
      <c r="A174" s="80">
        <v>5</v>
      </c>
      <c r="B174" s="6">
        <v>1</v>
      </c>
      <c r="C174" s="80">
        <v>31171</v>
      </c>
      <c r="D174" s="80">
        <v>1</v>
      </c>
      <c r="E174" s="80">
        <v>1</v>
      </c>
      <c r="F174" s="80" t="s">
        <v>400</v>
      </c>
      <c r="G174" s="79">
        <v>13.7</v>
      </c>
      <c r="H174" s="79">
        <v>0.21227699999999999</v>
      </c>
      <c r="I174" s="79" t="s">
        <v>145</v>
      </c>
      <c r="J174" s="79" t="s">
        <v>17</v>
      </c>
      <c r="K174" s="83">
        <f>VLOOKUP(ws[[#This Row],[hwycov_id]],count[],4,FALSE)</f>
        <v>13336</v>
      </c>
      <c r="L174" s="115">
        <f>VLOOKUP(ws[[#This Row],[hwycov_id]],flow0[],5,FALSE)</f>
        <v>12669</v>
      </c>
      <c r="M174" s="295">
        <f>ws[[#This Row],[flow]]/ws[[#This Row],[count]]-1</f>
        <v>-5.0014997000599859E-2</v>
      </c>
      <c r="N174" s="296">
        <f>POWER((ws[[#This Row],[flow]]-ws[[#This Row],[count]]),2)</f>
        <v>444889</v>
      </c>
      <c r="O174" s="80" t="e">
        <f>VLOOKUP(ws[[#This Row],[hwycov_id]],count!$A$630:$E$652,5,FALSE)</f>
        <v>#N/A</v>
      </c>
      <c r="P174" s="80">
        <v>182</v>
      </c>
    </row>
    <row r="175" spans="1:16" x14ac:dyDescent="0.25">
      <c r="A175" s="80">
        <v>5</v>
      </c>
      <c r="B175" s="6">
        <v>1</v>
      </c>
      <c r="C175" s="80">
        <v>11296</v>
      </c>
      <c r="D175" s="80">
        <v>1</v>
      </c>
      <c r="E175" s="80">
        <v>1</v>
      </c>
      <c r="F175" s="80" t="s">
        <v>400</v>
      </c>
      <c r="G175" s="79">
        <v>15.98</v>
      </c>
      <c r="H175" s="79">
        <v>0.59755400000000003</v>
      </c>
      <c r="I175" s="79" t="s">
        <v>17</v>
      </c>
      <c r="J175" s="79" t="s">
        <v>146</v>
      </c>
      <c r="K175" s="83">
        <f>VLOOKUP(ws[[#This Row],[hwycov_id]],count[],4,FALSE)</f>
        <v>20112</v>
      </c>
      <c r="L175" s="115">
        <f>VLOOKUP(ws[[#This Row],[hwycov_id]],flow0[],5,FALSE)</f>
        <v>23420</v>
      </c>
      <c r="M175" s="295">
        <f>ws[[#This Row],[flow]]/ws[[#This Row],[count]]-1</f>
        <v>0.16447891805887038</v>
      </c>
      <c r="N175" s="296">
        <f>POWER((ws[[#This Row],[flow]]-ws[[#This Row],[count]]),2)</f>
        <v>10942864</v>
      </c>
      <c r="O175" s="80" t="e">
        <f>VLOOKUP(ws[[#This Row],[hwycov_id]],count!$A$630:$E$652,5,FALSE)</f>
        <v>#N/A</v>
      </c>
      <c r="P175" s="80">
        <v>183</v>
      </c>
    </row>
    <row r="176" spans="1:16" x14ac:dyDescent="0.25">
      <c r="A176" s="80">
        <v>5</v>
      </c>
      <c r="B176" s="6">
        <v>1</v>
      </c>
      <c r="C176" s="80">
        <v>11291</v>
      </c>
      <c r="D176" s="80">
        <v>1</v>
      </c>
      <c r="E176" s="80">
        <v>1</v>
      </c>
      <c r="F176" s="80" t="s">
        <v>400</v>
      </c>
      <c r="G176" s="79">
        <v>16.829999999999998</v>
      </c>
      <c r="H176" s="79">
        <v>0.25074000000000002</v>
      </c>
      <c r="I176" s="79" t="s">
        <v>5</v>
      </c>
      <c r="J176" s="79" t="s">
        <v>147</v>
      </c>
      <c r="K176" s="83">
        <f>VLOOKUP(ws[[#This Row],[hwycov_id]],count[],4,FALSE)</f>
        <v>8079</v>
      </c>
      <c r="L176" s="115">
        <f>VLOOKUP(ws[[#This Row],[hwycov_id]],flow0[],5,FALSE)</f>
        <v>8359</v>
      </c>
      <c r="M176" s="295">
        <f>ws[[#This Row],[flow]]/ws[[#This Row],[count]]-1</f>
        <v>3.4657754672607899E-2</v>
      </c>
      <c r="N176" s="296">
        <f>POWER((ws[[#This Row],[flow]]-ws[[#This Row],[count]]),2)</f>
        <v>78400</v>
      </c>
      <c r="O176" s="80" t="e">
        <f>VLOOKUP(ws[[#This Row],[hwycov_id]],count!$A$630:$E$652,5,FALSE)</f>
        <v>#N/A</v>
      </c>
      <c r="P176" s="80">
        <v>184</v>
      </c>
    </row>
    <row r="177" spans="1:16" x14ac:dyDescent="0.25">
      <c r="A177" s="80">
        <v>5</v>
      </c>
      <c r="B177" s="6">
        <v>1</v>
      </c>
      <c r="C177" s="80">
        <v>28939</v>
      </c>
      <c r="D177" s="80">
        <v>1</v>
      </c>
      <c r="E177" s="80">
        <v>1</v>
      </c>
      <c r="F177" s="80" t="s">
        <v>400</v>
      </c>
      <c r="G177" s="79">
        <v>17.77</v>
      </c>
      <c r="H177" s="79">
        <v>0.31751499999999999</v>
      </c>
      <c r="I177" s="79" t="s">
        <v>148</v>
      </c>
      <c r="J177" s="79" t="s">
        <v>148</v>
      </c>
      <c r="K177" s="83">
        <f>VLOOKUP(ws[[#This Row],[hwycov_id]],count[],4,FALSE)</f>
        <v>8903</v>
      </c>
      <c r="L177" s="115">
        <f>VLOOKUP(ws[[#This Row],[hwycov_id]],flow0[],5,FALSE)</f>
        <v>9570</v>
      </c>
      <c r="M177" s="295">
        <f>ws[[#This Row],[flow]]/ws[[#This Row],[count]]-1</f>
        <v>7.4918566775244333E-2</v>
      </c>
      <c r="N177" s="296">
        <f>POWER((ws[[#This Row],[flow]]-ws[[#This Row],[count]]),2)</f>
        <v>444889</v>
      </c>
      <c r="O177" s="80" t="e">
        <f>VLOOKUP(ws[[#This Row],[hwycov_id]],count!$A$630:$E$652,5,FALSE)</f>
        <v>#N/A</v>
      </c>
      <c r="P177" s="80">
        <v>185</v>
      </c>
    </row>
    <row r="178" spans="1:16" x14ac:dyDescent="0.25">
      <c r="A178" s="80">
        <v>5</v>
      </c>
      <c r="B178" s="6">
        <v>1</v>
      </c>
      <c r="C178" s="80">
        <v>28940</v>
      </c>
      <c r="D178" s="80">
        <v>1</v>
      </c>
      <c r="E178" s="80">
        <v>1</v>
      </c>
      <c r="F178" s="80" t="s">
        <v>400</v>
      </c>
      <c r="G178" s="79">
        <v>18.36</v>
      </c>
      <c r="H178" s="79">
        <v>0.59546699999999997</v>
      </c>
      <c r="I178" s="79" t="s">
        <v>148</v>
      </c>
      <c r="J178" s="79" t="s">
        <v>149</v>
      </c>
      <c r="K178" s="83">
        <f>VLOOKUP(ws[[#This Row],[hwycov_id]],count[],4,FALSE)</f>
        <v>11341</v>
      </c>
      <c r="L178" s="115">
        <f>VLOOKUP(ws[[#This Row],[hwycov_id]],flow0[],5,FALSE)</f>
        <v>10619</v>
      </c>
      <c r="M178" s="295">
        <f>ws[[#This Row],[flow]]/ws[[#This Row],[count]]-1</f>
        <v>-6.3662816330129601E-2</v>
      </c>
      <c r="N178" s="296">
        <f>POWER((ws[[#This Row],[flow]]-ws[[#This Row],[count]]),2)</f>
        <v>521284</v>
      </c>
      <c r="O178" s="80" t="e">
        <f>VLOOKUP(ws[[#This Row],[hwycov_id]],count!$A$630:$E$652,5,FALSE)</f>
        <v>#N/A</v>
      </c>
      <c r="P178" s="80">
        <v>186</v>
      </c>
    </row>
    <row r="179" spans="1:16" x14ac:dyDescent="0.25">
      <c r="A179" s="80">
        <v>5</v>
      </c>
      <c r="B179" s="6">
        <v>1</v>
      </c>
      <c r="C179" s="80">
        <v>28945</v>
      </c>
      <c r="D179" s="80">
        <v>1</v>
      </c>
      <c r="E179" s="80">
        <v>1</v>
      </c>
      <c r="F179" s="80" t="s">
        <v>400</v>
      </c>
      <c r="G179" s="79">
        <v>18.87</v>
      </c>
      <c r="H179" s="79">
        <v>0.172516</v>
      </c>
      <c r="I179" s="79" t="s">
        <v>149</v>
      </c>
      <c r="J179" s="79" t="s">
        <v>149</v>
      </c>
      <c r="K179" s="83">
        <f>VLOOKUP(ws[[#This Row],[hwycov_id]],count[],4,FALSE)</f>
        <v>6788</v>
      </c>
      <c r="L179" s="115">
        <f>VLOOKUP(ws[[#This Row],[hwycov_id]],flow0[],5,FALSE)</f>
        <v>6658</v>
      </c>
      <c r="M179" s="295">
        <f>ws[[#This Row],[flow]]/ws[[#This Row],[count]]-1</f>
        <v>-1.9151443724219175E-2</v>
      </c>
      <c r="N179" s="296">
        <f>POWER((ws[[#This Row],[flow]]-ws[[#This Row],[count]]),2)</f>
        <v>16900</v>
      </c>
      <c r="O179" s="80" t="e">
        <f>VLOOKUP(ws[[#This Row],[hwycov_id]],count!$A$630:$E$652,5,FALSE)</f>
        <v>#N/A</v>
      </c>
      <c r="P179" s="80">
        <v>187</v>
      </c>
    </row>
    <row r="180" spans="1:16" x14ac:dyDescent="0.25">
      <c r="A180" s="80">
        <v>5</v>
      </c>
      <c r="B180" s="6">
        <v>1</v>
      </c>
      <c r="C180" s="80">
        <v>28924</v>
      </c>
      <c r="D180" s="80">
        <v>1</v>
      </c>
      <c r="E180" s="80">
        <v>1</v>
      </c>
      <c r="F180" s="80" t="s">
        <v>400</v>
      </c>
      <c r="G180" s="79">
        <v>20.68</v>
      </c>
      <c r="H180" s="79">
        <v>0.44406400000000001</v>
      </c>
      <c r="I180" s="79" t="s">
        <v>150</v>
      </c>
      <c r="J180" s="79" t="s">
        <v>37</v>
      </c>
      <c r="K180" s="83">
        <f>VLOOKUP(ws[[#This Row],[hwycov_id]],count[],4,FALSE)</f>
        <v>8862</v>
      </c>
      <c r="L180" s="115">
        <f>VLOOKUP(ws[[#This Row],[hwycov_id]],flow0[],5,FALSE)</f>
        <v>9278</v>
      </c>
      <c r="M180" s="295">
        <f>ws[[#This Row],[flow]]/ws[[#This Row],[count]]-1</f>
        <v>4.694199954863465E-2</v>
      </c>
      <c r="N180" s="296">
        <f>POWER((ws[[#This Row],[flow]]-ws[[#This Row],[count]]),2)</f>
        <v>173056</v>
      </c>
      <c r="O180" s="80" t="e">
        <f>VLOOKUP(ws[[#This Row],[hwycov_id]],count!$A$630:$E$652,5,FALSE)</f>
        <v>#N/A</v>
      </c>
      <c r="P180" s="80">
        <v>188</v>
      </c>
    </row>
    <row r="181" spans="1:16" x14ac:dyDescent="0.25">
      <c r="A181" s="80">
        <v>5</v>
      </c>
      <c r="B181" s="6">
        <v>1</v>
      </c>
      <c r="C181" s="80">
        <v>28923</v>
      </c>
      <c r="D181" s="80">
        <v>1</v>
      </c>
      <c r="E181" s="80">
        <v>1</v>
      </c>
      <c r="F181" s="80" t="s">
        <v>400</v>
      </c>
      <c r="G181" s="79">
        <v>21.21</v>
      </c>
      <c r="H181" s="79">
        <v>0.52412199999999998</v>
      </c>
      <c r="I181" s="79" t="s">
        <v>37</v>
      </c>
      <c r="J181" s="79" t="s">
        <v>357</v>
      </c>
      <c r="K181" s="83">
        <f>VLOOKUP(ws[[#This Row],[hwycov_id]],count[],4,FALSE)</f>
        <v>3190</v>
      </c>
      <c r="L181" s="115">
        <f>VLOOKUP(ws[[#This Row],[hwycov_id]],flow0[],5,FALSE)</f>
        <v>5068</v>
      </c>
      <c r="M181" s="295">
        <f>ws[[#This Row],[flow]]/ws[[#This Row],[count]]-1</f>
        <v>0.58871473354231973</v>
      </c>
      <c r="N181" s="296">
        <f>POWER((ws[[#This Row],[flow]]-ws[[#This Row],[count]]),2)</f>
        <v>3526884</v>
      </c>
      <c r="O181" s="80" t="e">
        <f>VLOOKUP(ws[[#This Row],[hwycov_id]],count!$A$630:$E$652,5,FALSE)</f>
        <v>#N/A</v>
      </c>
      <c r="P181" s="80">
        <v>189</v>
      </c>
    </row>
    <row r="182" spans="1:16" x14ac:dyDescent="0.25">
      <c r="A182" s="80">
        <v>6</v>
      </c>
      <c r="B182" s="6">
        <v>1</v>
      </c>
      <c r="C182" s="80">
        <v>13046</v>
      </c>
      <c r="D182" s="80">
        <v>1</v>
      </c>
      <c r="E182" s="80">
        <v>1</v>
      </c>
      <c r="F182" s="80" t="s">
        <v>401</v>
      </c>
      <c r="G182" s="79">
        <v>1.25</v>
      </c>
      <c r="H182" s="79">
        <v>0.387295</v>
      </c>
      <c r="I182" s="79" t="s">
        <v>336</v>
      </c>
      <c r="J182" s="79" t="s">
        <v>336</v>
      </c>
      <c r="K182" s="83">
        <f>VLOOKUP(ws[[#This Row],[hwycov_id]],count[],4,FALSE)</f>
        <v>13046</v>
      </c>
      <c r="L182" s="115">
        <f>VLOOKUP(ws[[#This Row],[hwycov_id]],flow0[],5,FALSE)</f>
        <v>12794</v>
      </c>
      <c r="M182" s="295">
        <f>ws[[#This Row],[flow]]/ws[[#This Row],[count]]-1</f>
        <v>-1.9316265521999054E-2</v>
      </c>
      <c r="N182" s="296">
        <f>POWER((ws[[#This Row],[flow]]-ws[[#This Row],[count]]),2)</f>
        <v>63504</v>
      </c>
      <c r="O182" s="80" t="e">
        <f>VLOOKUP(ws[[#This Row],[hwycov_id]],count!$A$630:$E$652,5,FALSE)</f>
        <v>#N/A</v>
      </c>
      <c r="P182" s="80">
        <v>190</v>
      </c>
    </row>
    <row r="183" spans="1:16" x14ac:dyDescent="0.25">
      <c r="A183" s="80">
        <v>6</v>
      </c>
      <c r="B183" s="6">
        <v>1</v>
      </c>
      <c r="C183" s="80">
        <v>13037</v>
      </c>
      <c r="D183" s="80">
        <v>1</v>
      </c>
      <c r="E183" s="80">
        <v>1</v>
      </c>
      <c r="F183" s="80" t="s">
        <v>401</v>
      </c>
      <c r="G183" s="79">
        <v>1.7</v>
      </c>
      <c r="H183" s="79">
        <v>0.44995400000000002</v>
      </c>
      <c r="I183" s="79" t="s">
        <v>336</v>
      </c>
      <c r="J183" s="79" t="s">
        <v>36</v>
      </c>
      <c r="K183" s="83">
        <f>VLOOKUP(ws[[#This Row],[hwycov_id]],count[],4,FALSE)</f>
        <v>11690</v>
      </c>
      <c r="L183" s="115">
        <f>VLOOKUP(ws[[#This Row],[hwycov_id]],flow0[],5,FALSE)</f>
        <v>15155</v>
      </c>
      <c r="M183" s="295">
        <f>ws[[#This Row],[flow]]/ws[[#This Row],[count]]-1</f>
        <v>0.29640718562874246</v>
      </c>
      <c r="N183" s="296">
        <f>POWER((ws[[#This Row],[flow]]-ws[[#This Row],[count]]),2)</f>
        <v>12006225</v>
      </c>
      <c r="O183" s="80" t="e">
        <f>VLOOKUP(ws[[#This Row],[hwycov_id]],count!$A$630:$E$652,5,FALSE)</f>
        <v>#N/A</v>
      </c>
      <c r="P183" s="80">
        <v>191</v>
      </c>
    </row>
    <row r="184" spans="1:16" x14ac:dyDescent="0.25">
      <c r="A184" s="80">
        <v>6</v>
      </c>
      <c r="B184" s="6">
        <v>1</v>
      </c>
      <c r="C184" s="80">
        <v>9036</v>
      </c>
      <c r="D184" s="80">
        <v>1</v>
      </c>
      <c r="E184" s="80">
        <v>1</v>
      </c>
      <c r="F184" s="80" t="s">
        <v>401</v>
      </c>
      <c r="G184" s="79">
        <v>2.8</v>
      </c>
      <c r="H184" s="79">
        <v>0.52929800000000005</v>
      </c>
      <c r="I184" s="79" t="s">
        <v>37</v>
      </c>
      <c r="J184" s="79" t="s">
        <v>402</v>
      </c>
      <c r="K184" s="83">
        <f>VLOOKUP(ws[[#This Row],[hwycov_id]],count[],4,FALSE)</f>
        <v>10194</v>
      </c>
      <c r="L184" s="115">
        <f>VLOOKUP(ws[[#This Row],[hwycov_id]],flow0[],5,FALSE)</f>
        <v>10997</v>
      </c>
      <c r="M184" s="295">
        <f>ws[[#This Row],[flow]]/ws[[#This Row],[count]]-1</f>
        <v>7.8771826564645764E-2</v>
      </c>
      <c r="N184" s="296">
        <f>POWER((ws[[#This Row],[flow]]-ws[[#This Row],[count]]),2)</f>
        <v>644809</v>
      </c>
      <c r="O184" s="80" t="e">
        <f>VLOOKUP(ws[[#This Row],[hwycov_id]],count!$A$630:$E$652,5,FALSE)</f>
        <v>#N/A</v>
      </c>
      <c r="P184" s="80">
        <v>192</v>
      </c>
    </row>
    <row r="185" spans="1:16" x14ac:dyDescent="0.25">
      <c r="A185" s="80">
        <v>7</v>
      </c>
      <c r="B185" s="6">
        <v>1</v>
      </c>
      <c r="C185" s="80">
        <v>14232</v>
      </c>
      <c r="D185" s="80">
        <v>1</v>
      </c>
      <c r="E185" s="80">
        <v>1</v>
      </c>
      <c r="F185" s="80" t="s">
        <v>403</v>
      </c>
      <c r="G185" s="79">
        <v>1.97</v>
      </c>
      <c r="H185" s="79">
        <v>1.966372</v>
      </c>
      <c r="I185" s="79" t="s">
        <v>404</v>
      </c>
      <c r="J185" s="79" t="s">
        <v>338</v>
      </c>
      <c r="K185" s="83">
        <f>VLOOKUP(ws[[#This Row],[hwycov_id]],count[],4,FALSE)</f>
        <v>7304</v>
      </c>
      <c r="L185" s="115">
        <f>VLOOKUP(ws[[#This Row],[hwycov_id]],flow0[],5,FALSE)</f>
        <v>11908</v>
      </c>
      <c r="M185" s="295">
        <f>ws[[#This Row],[flow]]/ws[[#This Row],[count]]-1</f>
        <v>0.63033953997809422</v>
      </c>
      <c r="N185" s="296">
        <f>POWER((ws[[#This Row],[flow]]-ws[[#This Row],[count]]),2)</f>
        <v>21196816</v>
      </c>
      <c r="O185" s="80" t="e">
        <f>VLOOKUP(ws[[#This Row],[hwycov_id]],count!$A$630:$E$652,5,FALSE)</f>
        <v>#N/A</v>
      </c>
      <c r="P185" s="80">
        <v>193</v>
      </c>
    </row>
    <row r="186" spans="1:16" x14ac:dyDescent="0.25">
      <c r="A186" s="80">
        <v>29</v>
      </c>
      <c r="B186" s="6">
        <v>1</v>
      </c>
      <c r="C186" s="80">
        <v>460</v>
      </c>
      <c r="D186" s="80">
        <v>1</v>
      </c>
      <c r="E186" s="80">
        <v>2</v>
      </c>
      <c r="F186" s="80" t="s">
        <v>35</v>
      </c>
      <c r="G186" s="79">
        <v>1.23</v>
      </c>
      <c r="H186" s="79">
        <v>0.80970900000000001</v>
      </c>
      <c r="I186" s="79" t="s">
        <v>11</v>
      </c>
      <c r="J186" s="79" t="s">
        <v>295</v>
      </c>
      <c r="K186" s="83">
        <f>VLOOKUP(ws[[#This Row],[hwycov_id]],count[],4,FALSE)</f>
        <v>8440</v>
      </c>
      <c r="L186" s="115">
        <f>VLOOKUP(ws[[#This Row],[hwycov_id]],flow0[],5,FALSE)</f>
        <v>9795</v>
      </c>
      <c r="M186" s="295">
        <f>ws[[#This Row],[flow]]/ws[[#This Row],[count]]-1</f>
        <v>0.16054502369668255</v>
      </c>
      <c r="N186" s="296">
        <f>POWER((ws[[#This Row],[flow]]-ws[[#This Row],[count]]),2)</f>
        <v>1836025</v>
      </c>
      <c r="O186" s="80" t="e">
        <f>VLOOKUP(ws[[#This Row],[hwycov_id]],count!$A$630:$E$652,5,FALSE)</f>
        <v>#N/A</v>
      </c>
      <c r="P186" s="80">
        <v>194</v>
      </c>
    </row>
    <row r="187" spans="1:16" x14ac:dyDescent="0.25">
      <c r="A187" s="80">
        <v>29</v>
      </c>
      <c r="B187" s="6">
        <v>1</v>
      </c>
      <c r="C187" s="80">
        <v>526</v>
      </c>
      <c r="D187" s="80">
        <v>1</v>
      </c>
      <c r="E187" s="80">
        <v>2</v>
      </c>
      <c r="F187" s="80" t="s">
        <v>35</v>
      </c>
      <c r="G187" s="79">
        <v>2.95</v>
      </c>
      <c r="H187" s="79">
        <v>1.7161029999999999</v>
      </c>
      <c r="I187" s="79" t="s">
        <v>11</v>
      </c>
      <c r="J187" s="79" t="s">
        <v>295</v>
      </c>
      <c r="K187" s="83">
        <f>VLOOKUP(ws[[#This Row],[hwycov_id]],count[],4,FALSE)</f>
        <v>8034</v>
      </c>
      <c r="L187" s="115">
        <f>VLOOKUP(ws[[#This Row],[hwycov_id]],flow0[],5,FALSE)</f>
        <v>9795</v>
      </c>
      <c r="M187" s="295">
        <f>ws[[#This Row],[flow]]/ws[[#This Row],[count]]-1</f>
        <v>0.21919342793129193</v>
      </c>
      <c r="N187" s="296">
        <f>POWER((ws[[#This Row],[flow]]-ws[[#This Row],[count]]),2)</f>
        <v>3101121</v>
      </c>
      <c r="O187" s="80" t="e">
        <f>VLOOKUP(ws[[#This Row],[hwycov_id]],count!$A$630:$E$652,5,FALSE)</f>
        <v>#N/A</v>
      </c>
      <c r="P187" s="80">
        <v>195</v>
      </c>
    </row>
    <row r="188" spans="1:16" x14ac:dyDescent="0.25">
      <c r="A188" s="80">
        <v>29</v>
      </c>
      <c r="B188" s="6">
        <v>1</v>
      </c>
      <c r="C188" s="80">
        <v>23044</v>
      </c>
      <c r="D188" s="80">
        <v>1</v>
      </c>
      <c r="E188" s="80">
        <v>2</v>
      </c>
      <c r="F188" s="80" t="s">
        <v>35</v>
      </c>
      <c r="G188" s="79">
        <v>4.0199999999999996</v>
      </c>
      <c r="H188" s="79">
        <v>1.0711630000000001</v>
      </c>
      <c r="I188" s="79" t="s">
        <v>11</v>
      </c>
      <c r="J188" s="79" t="s">
        <v>295</v>
      </c>
      <c r="K188" s="83">
        <f>VLOOKUP(ws[[#This Row],[hwycov_id]],count[],4,FALSE)</f>
        <v>11668</v>
      </c>
      <c r="L188" s="115">
        <f>VLOOKUP(ws[[#This Row],[hwycov_id]],flow0[],5,FALSE)</f>
        <v>10258</v>
      </c>
      <c r="M188" s="295">
        <f>ws[[#This Row],[flow]]/ws[[#This Row],[count]]-1</f>
        <v>-0.12084333219060683</v>
      </c>
      <c r="N188" s="296">
        <f>POWER((ws[[#This Row],[flow]]-ws[[#This Row],[count]]),2)</f>
        <v>1988100</v>
      </c>
      <c r="O188" s="80" t="e">
        <f>VLOOKUP(ws[[#This Row],[hwycov_id]],count!$A$630:$E$652,5,FALSE)</f>
        <v>#N/A</v>
      </c>
      <c r="P188" s="80">
        <v>196</v>
      </c>
    </row>
    <row r="189" spans="1:16" x14ac:dyDescent="0.25">
      <c r="A189" s="80">
        <v>29</v>
      </c>
      <c r="B189" s="6">
        <v>1</v>
      </c>
      <c r="C189" s="80">
        <v>459</v>
      </c>
      <c r="D189" s="80">
        <v>1</v>
      </c>
      <c r="E189" s="80">
        <v>2</v>
      </c>
      <c r="F189" s="80" t="s">
        <v>35</v>
      </c>
      <c r="G189" s="79">
        <v>5.75</v>
      </c>
      <c r="H189" s="79">
        <v>1.3302160000000001</v>
      </c>
      <c r="I189" s="79" t="s">
        <v>33</v>
      </c>
      <c r="J189" s="79" t="s">
        <v>45</v>
      </c>
      <c r="K189" s="83">
        <f>VLOOKUP(ws[[#This Row],[hwycov_id]],count[],4,FALSE)</f>
        <v>11009</v>
      </c>
      <c r="L189" s="115">
        <f>VLOOKUP(ws[[#This Row],[hwycov_id]],flow0[],5,FALSE)</f>
        <v>10524</v>
      </c>
      <c r="M189" s="295">
        <f>ws[[#This Row],[flow]]/ws[[#This Row],[count]]-1</f>
        <v>-4.4054864202016542E-2</v>
      </c>
      <c r="N189" s="296">
        <f>POWER((ws[[#This Row],[flow]]-ws[[#This Row],[count]]),2)</f>
        <v>235225</v>
      </c>
      <c r="O189" s="80" t="e">
        <f>VLOOKUP(ws[[#This Row],[hwycov_id]],count!$A$630:$E$652,5,FALSE)</f>
        <v>#N/A</v>
      </c>
      <c r="P189" s="80">
        <v>197</v>
      </c>
    </row>
    <row r="190" spans="1:16" x14ac:dyDescent="0.25">
      <c r="A190" s="80">
        <v>29</v>
      </c>
      <c r="B190" s="6">
        <v>1</v>
      </c>
      <c r="C190" s="80">
        <v>461</v>
      </c>
      <c r="D190" s="80">
        <v>1</v>
      </c>
      <c r="E190" s="80">
        <v>2</v>
      </c>
      <c r="F190" s="80" t="s">
        <v>35</v>
      </c>
      <c r="G190" s="79">
        <v>7.5</v>
      </c>
      <c r="H190" s="79">
        <v>1.746737</v>
      </c>
      <c r="I190" s="79" t="s">
        <v>33</v>
      </c>
      <c r="J190" s="79" t="s">
        <v>45</v>
      </c>
      <c r="K190" s="83">
        <f>VLOOKUP(ws[[#This Row],[hwycov_id]],count[],4,FALSE)</f>
        <v>12430</v>
      </c>
      <c r="L190" s="115">
        <f>VLOOKUP(ws[[#This Row],[hwycov_id]],flow0[],5,FALSE)</f>
        <v>10524</v>
      </c>
      <c r="M190" s="295">
        <f>ws[[#This Row],[flow]]/ws[[#This Row],[count]]-1</f>
        <v>-0.15333869670152855</v>
      </c>
      <c r="N190" s="296">
        <f>POWER((ws[[#This Row],[flow]]-ws[[#This Row],[count]]),2)</f>
        <v>3632836</v>
      </c>
      <c r="O190" s="80" t="e">
        <f>VLOOKUP(ws[[#This Row],[hwycov_id]],count!$A$630:$E$652,5,FALSE)</f>
        <v>#N/A</v>
      </c>
      <c r="P190" s="80">
        <v>198</v>
      </c>
    </row>
    <row r="191" spans="1:16" x14ac:dyDescent="0.25">
      <c r="A191" s="80">
        <v>29</v>
      </c>
      <c r="B191" s="6">
        <v>1</v>
      </c>
      <c r="C191" s="80">
        <v>512</v>
      </c>
      <c r="D191" s="80">
        <v>1</v>
      </c>
      <c r="E191" s="80">
        <v>2</v>
      </c>
      <c r="F191" s="80" t="s">
        <v>35</v>
      </c>
      <c r="G191" s="79">
        <v>10.6</v>
      </c>
      <c r="H191" s="79">
        <v>2.3034970000000001</v>
      </c>
      <c r="I191" s="79" t="s">
        <v>0</v>
      </c>
      <c r="J191" s="79" t="s">
        <v>31</v>
      </c>
      <c r="K191" s="83">
        <f>VLOOKUP(ws[[#This Row],[hwycov_id]],count[],4,FALSE)</f>
        <v>10550</v>
      </c>
      <c r="L191" s="115">
        <f>VLOOKUP(ws[[#This Row],[hwycov_id]],flow0[],5,FALSE)</f>
        <v>10080</v>
      </c>
      <c r="M191" s="295">
        <f>ws[[#This Row],[flow]]/ws[[#This Row],[count]]-1</f>
        <v>-4.4549763033175371E-2</v>
      </c>
      <c r="N191" s="296">
        <f>POWER((ws[[#This Row],[flow]]-ws[[#This Row],[count]]),2)</f>
        <v>220900</v>
      </c>
      <c r="O191" s="80" t="e">
        <f>VLOOKUP(ws[[#This Row],[hwycov_id]],count!$A$630:$E$652,5,FALSE)</f>
        <v>#N/A</v>
      </c>
      <c r="P191" s="80">
        <v>199</v>
      </c>
    </row>
    <row r="192" spans="1:16" x14ac:dyDescent="0.25">
      <c r="A192" s="80">
        <v>29</v>
      </c>
      <c r="B192" s="6">
        <v>1</v>
      </c>
      <c r="C192" s="80">
        <v>464</v>
      </c>
      <c r="D192" s="80">
        <v>1</v>
      </c>
      <c r="E192" s="80">
        <v>2</v>
      </c>
      <c r="F192" s="80" t="s">
        <v>35</v>
      </c>
      <c r="G192" s="79">
        <v>11.6</v>
      </c>
      <c r="H192" s="79">
        <v>0.99754100000000001</v>
      </c>
      <c r="I192" s="79" t="s">
        <v>0</v>
      </c>
      <c r="J192" s="79" t="s">
        <v>31</v>
      </c>
      <c r="K192" s="83">
        <f>VLOOKUP(ws[[#This Row],[hwycov_id]],count[],4,FALSE)</f>
        <v>7648</v>
      </c>
      <c r="L192" s="115">
        <f>VLOOKUP(ws[[#This Row],[hwycov_id]],flow0[],5,FALSE)</f>
        <v>9716</v>
      </c>
      <c r="M192" s="295">
        <f>ws[[#This Row],[flow]]/ws[[#This Row],[count]]-1</f>
        <v>0.27039748953974896</v>
      </c>
      <c r="N192" s="296">
        <f>POWER((ws[[#This Row],[flow]]-ws[[#This Row],[count]]),2)</f>
        <v>4276624</v>
      </c>
      <c r="O192" s="80" t="e">
        <f>VLOOKUP(ws[[#This Row],[hwycov_id]],count!$A$630:$E$652,5,FALSE)</f>
        <v>#N/A</v>
      </c>
      <c r="P192" s="80">
        <v>200</v>
      </c>
    </row>
    <row r="193" spans="1:16" x14ac:dyDescent="0.25">
      <c r="A193" s="80">
        <v>29</v>
      </c>
      <c r="B193" s="6">
        <v>1</v>
      </c>
      <c r="C193" s="80">
        <v>468</v>
      </c>
      <c r="D193" s="80">
        <v>1</v>
      </c>
      <c r="E193" s="80">
        <v>2</v>
      </c>
      <c r="F193" s="80" t="s">
        <v>35</v>
      </c>
      <c r="G193" s="79">
        <v>11.93</v>
      </c>
      <c r="H193" s="79">
        <v>0.32822600000000002</v>
      </c>
      <c r="I193" s="79" t="s">
        <v>2</v>
      </c>
      <c r="J193" s="79" t="s">
        <v>6</v>
      </c>
      <c r="K193" s="83">
        <f>VLOOKUP(ws[[#This Row],[hwycov_id]],count[],4,FALSE)</f>
        <v>11992</v>
      </c>
      <c r="L193" s="115">
        <f>VLOOKUP(ws[[#This Row],[hwycov_id]],flow0[],5,FALSE)</f>
        <v>9198</v>
      </c>
      <c r="M193" s="295">
        <f>ws[[#This Row],[flow]]/ws[[#This Row],[count]]-1</f>
        <v>-0.23298865910607069</v>
      </c>
      <c r="N193" s="296">
        <f>POWER((ws[[#This Row],[flow]]-ws[[#This Row],[count]]),2)</f>
        <v>7806436</v>
      </c>
      <c r="O193" s="80" t="e">
        <f>VLOOKUP(ws[[#This Row],[hwycov_id]],count!$A$630:$E$652,5,FALSE)</f>
        <v>#N/A</v>
      </c>
      <c r="P193" s="80">
        <v>201</v>
      </c>
    </row>
    <row r="194" spans="1:16" x14ac:dyDescent="0.25">
      <c r="A194" s="80">
        <v>29</v>
      </c>
      <c r="B194" s="6">
        <v>1</v>
      </c>
      <c r="C194" s="80">
        <v>469</v>
      </c>
      <c r="D194" s="80">
        <v>1</v>
      </c>
      <c r="E194" s="80">
        <v>2</v>
      </c>
      <c r="F194" s="80" t="s">
        <v>35</v>
      </c>
      <c r="G194" s="79">
        <v>13.85</v>
      </c>
      <c r="H194" s="79">
        <v>1.929316</v>
      </c>
      <c r="I194" s="79" t="s">
        <v>2</v>
      </c>
      <c r="J194" s="79" t="s">
        <v>6</v>
      </c>
      <c r="K194" s="83">
        <f>VLOOKUP(ws[[#This Row],[hwycov_id]],count[],4,FALSE)</f>
        <v>11426</v>
      </c>
      <c r="L194" s="115">
        <f>VLOOKUP(ws[[#This Row],[hwycov_id]],flow0[],5,FALSE)</f>
        <v>11956</v>
      </c>
      <c r="M194" s="295">
        <f>ws[[#This Row],[flow]]/ws[[#This Row],[count]]-1</f>
        <v>4.6385436723262785E-2</v>
      </c>
      <c r="N194" s="296">
        <f>POWER((ws[[#This Row],[flow]]-ws[[#This Row],[count]]),2)</f>
        <v>280900</v>
      </c>
      <c r="O194" s="80" t="e">
        <f>VLOOKUP(ws[[#This Row],[hwycov_id]],count!$A$630:$E$652,5,FALSE)</f>
        <v>#N/A</v>
      </c>
      <c r="P194" s="80">
        <v>202</v>
      </c>
    </row>
    <row r="195" spans="1:16" x14ac:dyDescent="0.25">
      <c r="A195" s="80">
        <v>29</v>
      </c>
      <c r="B195" s="6">
        <v>1</v>
      </c>
      <c r="C195" s="80">
        <v>470</v>
      </c>
      <c r="D195" s="80">
        <v>1</v>
      </c>
      <c r="E195" s="80">
        <v>2</v>
      </c>
      <c r="F195" s="80" t="s">
        <v>35</v>
      </c>
      <c r="G195" s="79">
        <v>14.16</v>
      </c>
      <c r="H195" s="79">
        <v>0.30231999999999998</v>
      </c>
      <c r="I195" s="79" t="s">
        <v>2</v>
      </c>
      <c r="J195" s="79" t="s">
        <v>6</v>
      </c>
      <c r="K195" s="83">
        <f>VLOOKUP(ws[[#This Row],[hwycov_id]],count[],4,FALSE)</f>
        <v>12796</v>
      </c>
      <c r="L195" s="115">
        <f>VLOOKUP(ws[[#This Row],[hwycov_id]],flow0[],5,FALSE)</f>
        <v>10825</v>
      </c>
      <c r="M195" s="295">
        <f>ws[[#This Row],[flow]]/ws[[#This Row],[count]]-1</f>
        <v>-0.15403251015942487</v>
      </c>
      <c r="N195" s="296">
        <f>POWER((ws[[#This Row],[flow]]-ws[[#This Row],[count]]),2)</f>
        <v>3884841</v>
      </c>
      <c r="O195" s="80" t="e">
        <f>VLOOKUP(ws[[#This Row],[hwycov_id]],count!$A$630:$E$652,5,FALSE)</f>
        <v>#N/A</v>
      </c>
      <c r="P195" s="80">
        <v>203</v>
      </c>
    </row>
    <row r="196" spans="1:16" x14ac:dyDescent="0.25">
      <c r="A196" s="80">
        <v>29</v>
      </c>
      <c r="B196" s="6">
        <v>1</v>
      </c>
      <c r="C196" s="80">
        <v>23053</v>
      </c>
      <c r="D196" s="80">
        <v>1</v>
      </c>
      <c r="E196" s="80">
        <v>2</v>
      </c>
      <c r="F196" s="80" t="s">
        <v>35</v>
      </c>
      <c r="G196" s="79">
        <v>15.69</v>
      </c>
      <c r="H196" s="79">
        <v>1.5301959999999999</v>
      </c>
      <c r="I196" s="79" t="s">
        <v>6</v>
      </c>
      <c r="J196" s="79" t="s">
        <v>7</v>
      </c>
      <c r="K196" s="83">
        <f>VLOOKUP(ws[[#This Row],[hwycov_id]],count[],4,FALSE)</f>
        <v>12880</v>
      </c>
      <c r="L196" s="115">
        <f>VLOOKUP(ws[[#This Row],[hwycov_id]],flow0[],5,FALSE)</f>
        <v>10825</v>
      </c>
      <c r="M196" s="295">
        <f>ws[[#This Row],[flow]]/ws[[#This Row],[count]]-1</f>
        <v>-0.15954968944099379</v>
      </c>
      <c r="N196" s="296">
        <f>POWER((ws[[#This Row],[flow]]-ws[[#This Row],[count]]),2)</f>
        <v>4223025</v>
      </c>
      <c r="O196" s="80" t="e">
        <f>VLOOKUP(ws[[#This Row],[hwycov_id]],count!$A$630:$E$652,5,FALSE)</f>
        <v>#N/A</v>
      </c>
      <c r="P196" s="80">
        <v>204</v>
      </c>
    </row>
    <row r="197" spans="1:16" x14ac:dyDescent="0.25">
      <c r="A197" s="80">
        <v>29</v>
      </c>
      <c r="B197" s="6">
        <v>1</v>
      </c>
      <c r="C197" s="80">
        <v>473</v>
      </c>
      <c r="D197" s="80">
        <v>1</v>
      </c>
      <c r="E197" s="80">
        <v>2</v>
      </c>
      <c r="F197" s="80" t="s">
        <v>35</v>
      </c>
      <c r="G197" s="79">
        <v>15.91</v>
      </c>
      <c r="H197" s="79">
        <v>0.22628100000000001</v>
      </c>
      <c r="I197" s="79" t="s">
        <v>13</v>
      </c>
      <c r="J197" s="79" t="s">
        <v>13</v>
      </c>
      <c r="K197" s="83">
        <f>VLOOKUP(ws[[#This Row],[hwycov_id]],count[],4,FALSE)</f>
        <v>11289</v>
      </c>
      <c r="L197" s="115">
        <f>VLOOKUP(ws[[#This Row],[hwycov_id]],flow0[],5,FALSE)</f>
        <v>9284</v>
      </c>
      <c r="M197" s="295">
        <f>ws[[#This Row],[flow]]/ws[[#This Row],[count]]-1</f>
        <v>-0.17760651962086982</v>
      </c>
      <c r="N197" s="296">
        <f>POWER((ws[[#This Row],[flow]]-ws[[#This Row],[count]]),2)</f>
        <v>4020025</v>
      </c>
      <c r="O197" s="80" t="e">
        <f>VLOOKUP(ws[[#This Row],[hwycov_id]],count!$A$630:$E$652,5,FALSE)</f>
        <v>#N/A</v>
      </c>
      <c r="P197" s="80">
        <v>205</v>
      </c>
    </row>
    <row r="198" spans="1:16" x14ac:dyDescent="0.25">
      <c r="A198" s="80">
        <v>29</v>
      </c>
      <c r="B198" s="6">
        <v>1</v>
      </c>
      <c r="C198" s="80">
        <v>29368</v>
      </c>
      <c r="D198" s="80">
        <v>1</v>
      </c>
      <c r="E198" s="80">
        <v>2</v>
      </c>
      <c r="F198" s="80" t="s">
        <v>35</v>
      </c>
      <c r="G198" s="79">
        <v>19.46</v>
      </c>
      <c r="H198" s="79">
        <v>2.2190210000000001</v>
      </c>
      <c r="I198" s="79" t="s">
        <v>13</v>
      </c>
      <c r="J198" s="79" t="s">
        <v>3</v>
      </c>
      <c r="K198" s="83">
        <f>VLOOKUP(ws[[#This Row],[hwycov_id]],count[],4,FALSE)</f>
        <v>8054</v>
      </c>
      <c r="L198" s="115">
        <f>VLOOKUP(ws[[#This Row],[hwycov_id]],flow0[],5,FALSE)</f>
        <v>6418</v>
      </c>
      <c r="M198" s="295">
        <f>ws[[#This Row],[flow]]/ws[[#This Row],[count]]-1</f>
        <v>-0.20312888005959773</v>
      </c>
      <c r="N198" s="296">
        <f>POWER((ws[[#This Row],[flow]]-ws[[#This Row],[count]]),2)</f>
        <v>2676496</v>
      </c>
      <c r="O198" s="80" t="e">
        <f>VLOOKUP(ws[[#This Row],[hwycov_id]],count!$A$630:$E$652,5,FALSE)</f>
        <v>#N/A</v>
      </c>
      <c r="P198" s="80">
        <v>206</v>
      </c>
    </row>
    <row r="199" spans="1:16" x14ac:dyDescent="0.25">
      <c r="A199" s="80">
        <v>31</v>
      </c>
      <c r="B199" s="6">
        <v>1</v>
      </c>
      <c r="C199" s="80">
        <v>29565</v>
      </c>
      <c r="D199" s="80">
        <v>1</v>
      </c>
      <c r="E199" s="80">
        <v>2</v>
      </c>
      <c r="F199" s="80" t="s">
        <v>397</v>
      </c>
      <c r="G199" s="79">
        <v>2.37</v>
      </c>
      <c r="H199" s="79">
        <v>0.472945</v>
      </c>
      <c r="I199" s="79" t="s">
        <v>90</v>
      </c>
      <c r="J199" s="79" t="s">
        <v>90</v>
      </c>
      <c r="K199" s="83">
        <f>VLOOKUP(ws[[#This Row],[hwycov_id]],count[],4,FALSE)</f>
        <v>3416</v>
      </c>
      <c r="L199" s="115">
        <f>VLOOKUP(ws[[#This Row],[hwycov_id]],flow0[],5,FALSE)</f>
        <v>6872</v>
      </c>
      <c r="M199" s="295">
        <f>ws[[#This Row],[flow]]/ws[[#This Row],[count]]-1</f>
        <v>1.0117096018735361</v>
      </c>
      <c r="N199" s="296">
        <f>POWER((ws[[#This Row],[flow]]-ws[[#This Row],[count]]),2)</f>
        <v>11943936</v>
      </c>
      <c r="O199" s="80" t="e">
        <f>VLOOKUP(ws[[#This Row],[hwycov_id]],count!$A$630:$E$652,5,FALSE)</f>
        <v>#N/A</v>
      </c>
      <c r="P199" s="80">
        <v>207</v>
      </c>
    </row>
    <row r="200" spans="1:16" x14ac:dyDescent="0.25">
      <c r="A200" s="80">
        <v>31</v>
      </c>
      <c r="B200" s="6">
        <v>1</v>
      </c>
      <c r="C200" s="80">
        <v>29571</v>
      </c>
      <c r="D200" s="80">
        <v>1</v>
      </c>
      <c r="E200" s="80">
        <v>2</v>
      </c>
      <c r="F200" s="80" t="s">
        <v>397</v>
      </c>
      <c r="G200" s="79">
        <v>3.03</v>
      </c>
      <c r="H200" s="79">
        <v>0.66570700000000005</v>
      </c>
      <c r="I200" s="79" t="s">
        <v>90</v>
      </c>
      <c r="J200" s="79" t="s">
        <v>92</v>
      </c>
      <c r="K200" s="83">
        <f>VLOOKUP(ws[[#This Row],[hwycov_id]],count[],4,FALSE)</f>
        <v>2536</v>
      </c>
      <c r="L200" s="115">
        <f>VLOOKUP(ws[[#This Row],[hwycov_id]],flow0[],5,FALSE)</f>
        <v>6872</v>
      </c>
      <c r="M200" s="295">
        <f>ws[[#This Row],[flow]]/ws[[#This Row],[count]]-1</f>
        <v>1.7097791798107256</v>
      </c>
      <c r="N200" s="296">
        <f>POWER((ws[[#This Row],[flow]]-ws[[#This Row],[count]]),2)</f>
        <v>18800896</v>
      </c>
      <c r="O200" s="80" t="e">
        <f>VLOOKUP(ws[[#This Row],[hwycov_id]],count!$A$630:$E$652,5,FALSE)</f>
        <v>#N/A</v>
      </c>
      <c r="P200" s="80">
        <v>208</v>
      </c>
    </row>
    <row r="201" spans="1:16" x14ac:dyDescent="0.25">
      <c r="A201" s="80">
        <v>31</v>
      </c>
      <c r="B201" s="6">
        <v>1</v>
      </c>
      <c r="C201" s="80">
        <v>25381</v>
      </c>
      <c r="D201" s="80">
        <v>1</v>
      </c>
      <c r="E201" s="80">
        <v>2</v>
      </c>
      <c r="F201" s="80" t="s">
        <v>397</v>
      </c>
      <c r="G201" s="79">
        <v>4.8099999999999996</v>
      </c>
      <c r="H201" s="79">
        <v>1.3367629999999999</v>
      </c>
      <c r="I201" s="79" t="s">
        <v>91</v>
      </c>
      <c r="J201" s="79" t="s">
        <v>92</v>
      </c>
      <c r="K201" s="83">
        <f>VLOOKUP(ws[[#This Row],[hwycov_id]],count[],4,FALSE)</f>
        <v>3028</v>
      </c>
      <c r="L201" s="115">
        <f>VLOOKUP(ws[[#This Row],[hwycov_id]],flow0[],5,FALSE)</f>
        <v>6872</v>
      </c>
      <c r="M201" s="295">
        <f>ws[[#This Row],[flow]]/ws[[#This Row],[count]]-1</f>
        <v>1.2694848084544255</v>
      </c>
      <c r="N201" s="296">
        <f>POWER((ws[[#This Row],[flow]]-ws[[#This Row],[count]]),2)</f>
        <v>14776336</v>
      </c>
      <c r="O201" s="80" t="e">
        <f>VLOOKUP(ws[[#This Row],[hwycov_id]],count!$A$630:$E$652,5,FALSE)</f>
        <v>#N/A</v>
      </c>
      <c r="P201" s="80">
        <v>209</v>
      </c>
    </row>
    <row r="202" spans="1:16" x14ac:dyDescent="0.25">
      <c r="A202" s="80">
        <v>8</v>
      </c>
      <c r="B202" s="6">
        <v>2</v>
      </c>
      <c r="C202" s="80">
        <v>27598</v>
      </c>
      <c r="D202" s="80">
        <v>1</v>
      </c>
      <c r="E202" s="80">
        <v>1</v>
      </c>
      <c r="F202" s="80" t="s">
        <v>405</v>
      </c>
      <c r="G202" s="79">
        <v>17.78</v>
      </c>
      <c r="H202" s="79">
        <v>7.0530939999999998</v>
      </c>
      <c r="I202" s="79" t="s">
        <v>327</v>
      </c>
      <c r="J202" s="79" t="s">
        <v>109</v>
      </c>
      <c r="K202" s="83">
        <f>VLOOKUP(ws[[#This Row],[hwycov_id]],count[],4,FALSE)</f>
        <v>14524</v>
      </c>
      <c r="L202" s="115">
        <f>VLOOKUP(ws[[#This Row],[hwycov_id]],flow0[],5,FALSE)</f>
        <v>12883</v>
      </c>
      <c r="M202" s="295">
        <f>ws[[#This Row],[flow]]/ws[[#This Row],[count]]-1</f>
        <v>-0.11298540347011843</v>
      </c>
      <c r="N202" s="296">
        <f>POWER((ws[[#This Row],[flow]]-ws[[#This Row],[count]]),2)</f>
        <v>2692881</v>
      </c>
      <c r="O202" s="80" t="e">
        <f>VLOOKUP(ws[[#This Row],[hwycov_id]],count!$A$630:$E$652,5,FALSE)</f>
        <v>#N/A</v>
      </c>
      <c r="P202" s="80">
        <v>210</v>
      </c>
    </row>
    <row r="203" spans="1:16" x14ac:dyDescent="0.25">
      <c r="A203" s="80">
        <v>8</v>
      </c>
      <c r="B203" s="6">
        <v>2</v>
      </c>
      <c r="C203" s="80">
        <v>26623</v>
      </c>
      <c r="D203" s="80">
        <v>1</v>
      </c>
      <c r="E203" s="80">
        <v>1</v>
      </c>
      <c r="F203" s="80" t="s">
        <v>405</v>
      </c>
      <c r="G203" s="79">
        <v>18.14</v>
      </c>
      <c r="H203" s="79">
        <v>0.35941499999999998</v>
      </c>
      <c r="I203" s="79" t="s">
        <v>109</v>
      </c>
      <c r="J203" s="79" t="s">
        <v>109</v>
      </c>
      <c r="K203" s="83">
        <f>VLOOKUP(ws[[#This Row],[hwycov_id]],count[],4,FALSE)</f>
        <v>14490</v>
      </c>
      <c r="L203" s="115">
        <f>VLOOKUP(ws[[#This Row],[hwycov_id]],flow0[],5,FALSE)</f>
        <v>12636</v>
      </c>
      <c r="M203" s="295">
        <f>ws[[#This Row],[flow]]/ws[[#This Row],[count]]-1</f>
        <v>-0.12795031055900619</v>
      </c>
      <c r="N203" s="296">
        <f>POWER((ws[[#This Row],[flow]]-ws[[#This Row],[count]]),2)</f>
        <v>3437316</v>
      </c>
      <c r="O203" s="80" t="e">
        <f>VLOOKUP(ws[[#This Row],[hwycov_id]],count!$A$630:$E$652,5,FALSE)</f>
        <v>#N/A</v>
      </c>
      <c r="P203" s="80">
        <v>211</v>
      </c>
    </row>
    <row r="204" spans="1:16" x14ac:dyDescent="0.25">
      <c r="A204" s="80">
        <v>8</v>
      </c>
      <c r="B204" s="6">
        <v>2</v>
      </c>
      <c r="C204" s="80">
        <v>28515</v>
      </c>
      <c r="D204" s="80">
        <v>1</v>
      </c>
      <c r="E204" s="80">
        <v>1</v>
      </c>
      <c r="F204" s="80" t="s">
        <v>405</v>
      </c>
      <c r="G204" s="79">
        <v>18.829999999999998</v>
      </c>
      <c r="H204" s="79">
        <v>0.43511899999999998</v>
      </c>
      <c r="I204" s="79" t="s">
        <v>108</v>
      </c>
      <c r="J204" s="79" t="s">
        <v>108</v>
      </c>
      <c r="K204" s="83">
        <f>VLOOKUP(ws[[#This Row],[hwycov_id]],count[],4,FALSE)</f>
        <v>15863</v>
      </c>
      <c r="L204" s="115">
        <f>VLOOKUP(ws[[#This Row],[hwycov_id]],flow0[],5,FALSE)</f>
        <v>14962</v>
      </c>
      <c r="M204" s="295">
        <f>ws[[#This Row],[flow]]/ws[[#This Row],[count]]-1</f>
        <v>-5.6798840068083001E-2</v>
      </c>
      <c r="N204" s="296">
        <f>POWER((ws[[#This Row],[flow]]-ws[[#This Row],[count]]),2)</f>
        <v>811801</v>
      </c>
      <c r="O204" s="80" t="e">
        <f>VLOOKUP(ws[[#This Row],[hwycov_id]],count!$A$630:$E$652,5,FALSE)</f>
        <v>#N/A</v>
      </c>
      <c r="P204" s="80">
        <v>212</v>
      </c>
    </row>
    <row r="205" spans="1:16" x14ac:dyDescent="0.25">
      <c r="A205" s="80">
        <v>8</v>
      </c>
      <c r="B205" s="6">
        <v>2</v>
      </c>
      <c r="C205" s="80">
        <v>28490</v>
      </c>
      <c r="D205" s="80">
        <v>1</v>
      </c>
      <c r="E205" s="80">
        <v>1</v>
      </c>
      <c r="F205" s="80" t="s">
        <v>405</v>
      </c>
      <c r="G205" s="79">
        <v>19.02</v>
      </c>
      <c r="H205" s="79">
        <v>0.18942600000000001</v>
      </c>
      <c r="I205" s="79" t="s">
        <v>108</v>
      </c>
      <c r="J205" s="79" t="s">
        <v>41</v>
      </c>
      <c r="K205" s="83">
        <f>VLOOKUP(ws[[#This Row],[hwycov_id]],count[],4,FALSE)</f>
        <v>19293</v>
      </c>
      <c r="L205" s="115">
        <f>VLOOKUP(ws[[#This Row],[hwycov_id]],flow0[],5,FALSE)</f>
        <v>17526</v>
      </c>
      <c r="M205" s="295">
        <f>ws[[#This Row],[flow]]/ws[[#This Row],[count]]-1</f>
        <v>-9.1587622453739748E-2</v>
      </c>
      <c r="N205" s="296">
        <f>POWER((ws[[#This Row],[flow]]-ws[[#This Row],[count]]),2)</f>
        <v>3122289</v>
      </c>
      <c r="O205" s="80" t="e">
        <f>VLOOKUP(ws[[#This Row],[hwycov_id]],count!$A$630:$E$652,5,FALSE)</f>
        <v>#N/A</v>
      </c>
      <c r="P205" s="80">
        <v>213</v>
      </c>
    </row>
    <row r="206" spans="1:16" x14ac:dyDescent="0.25">
      <c r="A206" s="80">
        <v>8</v>
      </c>
      <c r="B206" s="6">
        <v>2</v>
      </c>
      <c r="C206" s="80">
        <v>28493</v>
      </c>
      <c r="D206" s="80">
        <v>1</v>
      </c>
      <c r="E206" s="80">
        <v>1</v>
      </c>
      <c r="F206" s="80" t="s">
        <v>405</v>
      </c>
      <c r="G206" s="79">
        <v>19.399999999999999</v>
      </c>
      <c r="H206" s="79">
        <v>0.37497200000000003</v>
      </c>
      <c r="I206" s="79" t="s">
        <v>41</v>
      </c>
      <c r="J206" s="79" t="s">
        <v>41</v>
      </c>
      <c r="K206" s="83">
        <f>VLOOKUP(ws[[#This Row],[hwycov_id]],count[],4,FALSE)</f>
        <v>17697</v>
      </c>
      <c r="L206" s="115">
        <f>VLOOKUP(ws[[#This Row],[hwycov_id]],flow0[],5,FALSE)</f>
        <v>17017</v>
      </c>
      <c r="M206" s="295">
        <f>ws[[#This Row],[flow]]/ws[[#This Row],[count]]-1</f>
        <v>-3.8424591738712821E-2</v>
      </c>
      <c r="N206" s="296">
        <f>POWER((ws[[#This Row],[flow]]-ws[[#This Row],[count]]),2)</f>
        <v>462400</v>
      </c>
      <c r="O206" s="80" t="e">
        <f>VLOOKUP(ws[[#This Row],[hwycov_id]],count!$A$630:$E$652,5,FALSE)</f>
        <v>#N/A</v>
      </c>
      <c r="P206" s="80">
        <v>214</v>
      </c>
    </row>
    <row r="207" spans="1:16" x14ac:dyDescent="0.25">
      <c r="A207" s="80">
        <v>8</v>
      </c>
      <c r="B207" s="6">
        <v>2</v>
      </c>
      <c r="C207" s="80">
        <v>26562</v>
      </c>
      <c r="D207" s="80">
        <v>1</v>
      </c>
      <c r="E207" s="80">
        <v>1</v>
      </c>
      <c r="F207" s="80" t="s">
        <v>405</v>
      </c>
      <c r="G207" s="79">
        <v>20.13</v>
      </c>
      <c r="H207" s="79">
        <v>0.24507399999999999</v>
      </c>
      <c r="I207" s="79" t="s">
        <v>107</v>
      </c>
      <c r="J207" s="79" t="s">
        <v>107</v>
      </c>
      <c r="K207" s="83">
        <f>VLOOKUP(ws[[#This Row],[hwycov_id]],count[],4,FALSE)</f>
        <v>18877</v>
      </c>
      <c r="L207" s="115">
        <f>VLOOKUP(ws[[#This Row],[hwycov_id]],flow0[],5,FALSE)</f>
        <v>18128</v>
      </c>
      <c r="M207" s="295">
        <f>ws[[#This Row],[flow]]/ws[[#This Row],[count]]-1</f>
        <v>-3.9677914922922053E-2</v>
      </c>
      <c r="N207" s="296">
        <f>POWER((ws[[#This Row],[flow]]-ws[[#This Row],[count]]),2)</f>
        <v>561001</v>
      </c>
      <c r="O207" s="80" t="e">
        <f>VLOOKUP(ws[[#This Row],[hwycov_id]],count!$A$630:$E$652,5,FALSE)</f>
        <v>#N/A</v>
      </c>
      <c r="P207" s="80">
        <v>215</v>
      </c>
    </row>
    <row r="208" spans="1:16" x14ac:dyDescent="0.25">
      <c r="A208" s="80">
        <v>8</v>
      </c>
      <c r="B208" s="6">
        <v>2</v>
      </c>
      <c r="C208" s="80">
        <v>12247</v>
      </c>
      <c r="D208" s="80">
        <v>1</v>
      </c>
      <c r="E208" s="80">
        <v>1</v>
      </c>
      <c r="F208" s="80" t="s">
        <v>405</v>
      </c>
      <c r="G208" s="79">
        <v>21.11</v>
      </c>
      <c r="H208" s="79">
        <v>0.271677</v>
      </c>
      <c r="I208" s="79" t="s">
        <v>110</v>
      </c>
      <c r="J208" s="79" t="s">
        <v>106</v>
      </c>
      <c r="K208" s="83">
        <f>VLOOKUP(ws[[#This Row],[hwycov_id]],count[],4,FALSE)</f>
        <v>20851</v>
      </c>
      <c r="L208" s="115">
        <f>VLOOKUP(ws[[#This Row],[hwycov_id]],flow0[],5,FALSE)</f>
        <v>19047</v>
      </c>
      <c r="M208" s="295">
        <f>ws[[#This Row],[flow]]/ws[[#This Row],[count]]-1</f>
        <v>-8.651863219989453E-2</v>
      </c>
      <c r="N208" s="296">
        <f>POWER((ws[[#This Row],[flow]]-ws[[#This Row],[count]]),2)</f>
        <v>3254416</v>
      </c>
      <c r="O208" s="80" t="e">
        <f>VLOOKUP(ws[[#This Row],[hwycov_id]],count!$A$630:$E$652,5,FALSE)</f>
        <v>#N/A</v>
      </c>
      <c r="P208" s="80">
        <v>216</v>
      </c>
    </row>
    <row r="209" spans="1:16" x14ac:dyDescent="0.25">
      <c r="A209" s="80">
        <v>8</v>
      </c>
      <c r="B209" s="6">
        <v>2</v>
      </c>
      <c r="C209" s="80">
        <v>9025</v>
      </c>
      <c r="D209" s="80">
        <v>1</v>
      </c>
      <c r="E209" s="80">
        <v>1</v>
      </c>
      <c r="F209" s="80" t="s">
        <v>405</v>
      </c>
      <c r="G209" s="79">
        <v>21.27</v>
      </c>
      <c r="H209" s="79">
        <v>0.15770100000000001</v>
      </c>
      <c r="I209" s="79" t="s">
        <v>106</v>
      </c>
      <c r="J209" s="79" t="s">
        <v>111</v>
      </c>
      <c r="K209" s="83">
        <f>VLOOKUP(ws[[#This Row],[hwycov_id]],count[],4,FALSE)</f>
        <v>21835</v>
      </c>
      <c r="L209" s="115">
        <f>VLOOKUP(ws[[#This Row],[hwycov_id]],flow0[],5,FALSE)</f>
        <v>19762</v>
      </c>
      <c r="M209" s="295">
        <f>ws[[#This Row],[flow]]/ws[[#This Row],[count]]-1</f>
        <v>-9.4939317609342821E-2</v>
      </c>
      <c r="N209" s="296">
        <f>POWER((ws[[#This Row],[flow]]-ws[[#This Row],[count]]),2)</f>
        <v>4297329</v>
      </c>
      <c r="O209" s="80" t="e">
        <f>VLOOKUP(ws[[#This Row],[hwycov_id]],count!$A$630:$E$652,5,FALSE)</f>
        <v>#N/A</v>
      </c>
      <c r="P209" s="80">
        <v>217</v>
      </c>
    </row>
    <row r="210" spans="1:16" x14ac:dyDescent="0.25">
      <c r="A210" s="80">
        <v>8</v>
      </c>
      <c r="B210" s="6">
        <v>2</v>
      </c>
      <c r="C210" s="80">
        <v>12589</v>
      </c>
      <c r="D210" s="80">
        <v>1</v>
      </c>
      <c r="E210" s="80">
        <v>1</v>
      </c>
      <c r="F210" s="80" t="s">
        <v>405</v>
      </c>
      <c r="G210" s="79">
        <v>21.98</v>
      </c>
      <c r="H210" s="79">
        <v>0.36554399999999998</v>
      </c>
      <c r="I210" s="79" t="s">
        <v>105</v>
      </c>
      <c r="J210" s="79" t="s">
        <v>105</v>
      </c>
      <c r="K210" s="83">
        <f>VLOOKUP(ws[[#This Row],[hwycov_id]],count[],4,FALSE)</f>
        <v>18348</v>
      </c>
      <c r="L210" s="115">
        <f>VLOOKUP(ws[[#This Row],[hwycov_id]],flow0[],5,FALSE)</f>
        <v>17682</v>
      </c>
      <c r="M210" s="295">
        <f>ws[[#This Row],[flow]]/ws[[#This Row],[count]]-1</f>
        <v>-3.6298234139960805E-2</v>
      </c>
      <c r="N210" s="296">
        <f>POWER((ws[[#This Row],[flow]]-ws[[#This Row],[count]]),2)</f>
        <v>443556</v>
      </c>
      <c r="O210" s="80" t="e">
        <f>VLOOKUP(ws[[#This Row],[hwycov_id]],count!$A$630:$E$652,5,FALSE)</f>
        <v>#N/A</v>
      </c>
      <c r="P210" s="80">
        <v>218</v>
      </c>
    </row>
    <row r="211" spans="1:16" x14ac:dyDescent="0.25">
      <c r="A211" s="80">
        <v>8</v>
      </c>
      <c r="B211" s="6">
        <v>2</v>
      </c>
      <c r="C211" s="80">
        <v>12583</v>
      </c>
      <c r="D211" s="80">
        <v>1</v>
      </c>
      <c r="E211" s="80">
        <v>1</v>
      </c>
      <c r="F211" s="80" t="s">
        <v>405</v>
      </c>
      <c r="G211" s="79">
        <v>22.56</v>
      </c>
      <c r="H211" s="79">
        <v>0.37869799999999998</v>
      </c>
      <c r="I211" s="79" t="s">
        <v>104</v>
      </c>
      <c r="J211" s="79" t="s">
        <v>104</v>
      </c>
      <c r="K211" s="83">
        <f>VLOOKUP(ws[[#This Row],[hwycov_id]],count[],4,FALSE)</f>
        <v>16794</v>
      </c>
      <c r="L211" s="115">
        <f>VLOOKUP(ws[[#This Row],[hwycov_id]],flow0[],5,FALSE)</f>
        <v>17028</v>
      </c>
      <c r="M211" s="295">
        <f>ws[[#This Row],[flow]]/ws[[#This Row],[count]]-1</f>
        <v>1.3933547695605508E-2</v>
      </c>
      <c r="N211" s="296">
        <f>POWER((ws[[#This Row],[flow]]-ws[[#This Row],[count]]),2)</f>
        <v>54756</v>
      </c>
      <c r="O211" s="80" t="e">
        <f>VLOOKUP(ws[[#This Row],[hwycov_id]],count!$A$630:$E$652,5,FALSE)</f>
        <v>#N/A</v>
      </c>
      <c r="P211" s="80">
        <v>219</v>
      </c>
    </row>
    <row r="212" spans="1:16" x14ac:dyDescent="0.25">
      <c r="A212" s="80">
        <v>8</v>
      </c>
      <c r="B212" s="6">
        <v>2</v>
      </c>
      <c r="C212" s="80">
        <v>26563</v>
      </c>
      <c r="D212" s="80">
        <v>1</v>
      </c>
      <c r="E212" s="80">
        <v>1</v>
      </c>
      <c r="F212" s="80" t="s">
        <v>405</v>
      </c>
      <c r="G212" s="79">
        <v>23.37</v>
      </c>
      <c r="H212" s="79">
        <v>0.45155400000000001</v>
      </c>
      <c r="I212" s="79" t="s">
        <v>103</v>
      </c>
      <c r="J212" s="79" t="s">
        <v>103</v>
      </c>
      <c r="K212" s="83">
        <f>VLOOKUP(ws[[#This Row],[hwycov_id]],count[],4,FALSE)</f>
        <v>17554</v>
      </c>
      <c r="L212" s="115">
        <f>VLOOKUP(ws[[#This Row],[hwycov_id]],flow0[],5,FALSE)</f>
        <v>17354</v>
      </c>
      <c r="M212" s="295">
        <f>ws[[#This Row],[flow]]/ws[[#This Row],[count]]-1</f>
        <v>-1.1393414606357566E-2</v>
      </c>
      <c r="N212" s="296">
        <f>POWER((ws[[#This Row],[flow]]-ws[[#This Row],[count]]),2)</f>
        <v>40000</v>
      </c>
      <c r="O212" s="80" t="e">
        <f>VLOOKUP(ws[[#This Row],[hwycov_id]],count!$A$630:$E$652,5,FALSE)</f>
        <v>#N/A</v>
      </c>
      <c r="P212" s="80">
        <v>220</v>
      </c>
    </row>
    <row r="213" spans="1:16" x14ac:dyDescent="0.25">
      <c r="A213" s="80">
        <v>8</v>
      </c>
      <c r="B213" s="6">
        <v>2</v>
      </c>
      <c r="C213" s="80">
        <v>675</v>
      </c>
      <c r="D213" s="80">
        <v>1</v>
      </c>
      <c r="E213" s="80">
        <v>1</v>
      </c>
      <c r="F213" s="80" t="s">
        <v>405</v>
      </c>
      <c r="G213" s="79">
        <v>23.53</v>
      </c>
      <c r="H213" s="79">
        <v>0.161631</v>
      </c>
      <c r="I213" s="79" t="s">
        <v>103</v>
      </c>
      <c r="J213" s="79" t="s">
        <v>103</v>
      </c>
      <c r="K213" s="83">
        <f>VLOOKUP(ws[[#This Row],[hwycov_id]],count[],4,FALSE)</f>
        <v>18707</v>
      </c>
      <c r="L213" s="115">
        <f>VLOOKUP(ws[[#This Row],[hwycov_id]],flow0[],5,FALSE)</f>
        <v>17354</v>
      </c>
      <c r="M213" s="295">
        <f>ws[[#This Row],[flow]]/ws[[#This Row],[count]]-1</f>
        <v>-7.2325867322392656E-2</v>
      </c>
      <c r="N213" s="296">
        <f>POWER((ws[[#This Row],[flow]]-ws[[#This Row],[count]]),2)</f>
        <v>1830609</v>
      </c>
      <c r="O213" s="80" t="e">
        <f>VLOOKUP(ws[[#This Row],[hwycov_id]],count!$A$630:$E$652,5,FALSE)</f>
        <v>#N/A</v>
      </c>
      <c r="P213" s="80">
        <v>221</v>
      </c>
    </row>
    <row r="214" spans="1:16" x14ac:dyDescent="0.25">
      <c r="A214" s="80">
        <v>8</v>
      </c>
      <c r="B214" s="6">
        <v>2</v>
      </c>
      <c r="C214" s="80">
        <v>674</v>
      </c>
      <c r="D214" s="80">
        <v>1</v>
      </c>
      <c r="E214" s="80">
        <v>1</v>
      </c>
      <c r="F214" s="80" t="s">
        <v>405</v>
      </c>
      <c r="G214" s="79">
        <v>24.78</v>
      </c>
      <c r="H214" s="79">
        <v>0.54027400000000003</v>
      </c>
      <c r="I214" s="79" t="s">
        <v>102</v>
      </c>
      <c r="J214" s="79" t="s">
        <v>102</v>
      </c>
      <c r="K214" s="83">
        <f>VLOOKUP(ws[[#This Row],[hwycov_id]],count[],4,FALSE)</f>
        <v>17333</v>
      </c>
      <c r="L214" s="115">
        <f>VLOOKUP(ws[[#This Row],[hwycov_id]],flow0[],5,FALSE)</f>
        <v>16231</v>
      </c>
      <c r="M214" s="295">
        <f>ws[[#This Row],[flow]]/ws[[#This Row],[count]]-1</f>
        <v>-6.3578145733571789E-2</v>
      </c>
      <c r="N214" s="296">
        <f>POWER((ws[[#This Row],[flow]]-ws[[#This Row],[count]]),2)</f>
        <v>1214404</v>
      </c>
      <c r="O214" s="80" t="e">
        <f>VLOOKUP(ws[[#This Row],[hwycov_id]],count!$A$630:$E$652,5,FALSE)</f>
        <v>#N/A</v>
      </c>
      <c r="P214" s="80">
        <v>222</v>
      </c>
    </row>
    <row r="215" spans="1:16" x14ac:dyDescent="0.25">
      <c r="A215" s="80">
        <v>8</v>
      </c>
      <c r="B215" s="6">
        <v>2</v>
      </c>
      <c r="C215" s="80">
        <v>13273</v>
      </c>
      <c r="D215" s="80">
        <v>1</v>
      </c>
      <c r="E215" s="80">
        <v>1</v>
      </c>
      <c r="F215" s="80" t="s">
        <v>405</v>
      </c>
      <c r="G215" s="79">
        <v>25.53</v>
      </c>
      <c r="H215" s="79">
        <v>0.36889699999999997</v>
      </c>
      <c r="I215" s="79" t="s">
        <v>101</v>
      </c>
      <c r="J215" s="79" t="s">
        <v>101</v>
      </c>
      <c r="K215" s="83">
        <f>VLOOKUP(ws[[#This Row],[hwycov_id]],count[],4,FALSE)</f>
        <v>16165</v>
      </c>
      <c r="L215" s="115">
        <f>VLOOKUP(ws[[#This Row],[hwycov_id]],flow0[],5,FALSE)</f>
        <v>16283</v>
      </c>
      <c r="M215" s="295">
        <f>ws[[#This Row],[flow]]/ws[[#This Row],[count]]-1</f>
        <v>7.2997216207857374E-3</v>
      </c>
      <c r="N215" s="296">
        <f>POWER((ws[[#This Row],[flow]]-ws[[#This Row],[count]]),2)</f>
        <v>13924</v>
      </c>
      <c r="O215" s="80" t="e">
        <f>VLOOKUP(ws[[#This Row],[hwycov_id]],count!$A$630:$E$652,5,FALSE)</f>
        <v>#N/A</v>
      </c>
      <c r="P215" s="80">
        <v>223</v>
      </c>
    </row>
    <row r="216" spans="1:16" x14ac:dyDescent="0.25">
      <c r="A216" s="80">
        <v>8</v>
      </c>
      <c r="B216" s="6">
        <v>2</v>
      </c>
      <c r="C216" s="80">
        <v>13282</v>
      </c>
      <c r="D216" s="80">
        <v>1</v>
      </c>
      <c r="E216" s="80">
        <v>1</v>
      </c>
      <c r="F216" s="80" t="s">
        <v>405</v>
      </c>
      <c r="G216" s="79">
        <v>26.58</v>
      </c>
      <c r="H216" s="79">
        <v>0.88262799999999997</v>
      </c>
      <c r="I216" s="79" t="s">
        <v>101</v>
      </c>
      <c r="J216" s="79" t="s">
        <v>100</v>
      </c>
      <c r="K216" s="83">
        <f>VLOOKUP(ws[[#This Row],[hwycov_id]],count[],4,FALSE)</f>
        <v>19650</v>
      </c>
      <c r="L216" s="115">
        <f>VLOOKUP(ws[[#This Row],[hwycov_id]],flow0[],5,FALSE)</f>
        <v>19283</v>
      </c>
      <c r="M216" s="295">
        <f>ws[[#This Row],[flow]]/ws[[#This Row],[count]]-1</f>
        <v>-1.8676844783715008E-2</v>
      </c>
      <c r="N216" s="296">
        <f>POWER((ws[[#This Row],[flow]]-ws[[#This Row],[count]]),2)</f>
        <v>134689</v>
      </c>
      <c r="O216" s="80" t="e">
        <f>VLOOKUP(ws[[#This Row],[hwycov_id]],count!$A$630:$E$652,5,FALSE)</f>
        <v>#N/A</v>
      </c>
      <c r="P216" s="80">
        <v>224</v>
      </c>
    </row>
    <row r="217" spans="1:16" x14ac:dyDescent="0.25">
      <c r="A217" s="80">
        <v>8</v>
      </c>
      <c r="B217" s="6">
        <v>2</v>
      </c>
      <c r="C217" s="80">
        <v>735</v>
      </c>
      <c r="D217" s="80">
        <v>1</v>
      </c>
      <c r="E217" s="80">
        <v>1</v>
      </c>
      <c r="F217" s="80" t="s">
        <v>405</v>
      </c>
      <c r="G217" s="79">
        <v>27.28</v>
      </c>
      <c r="H217" s="79">
        <v>0.40026800000000001</v>
      </c>
      <c r="I217" s="79" t="s">
        <v>100</v>
      </c>
      <c r="J217" s="79" t="s">
        <v>100</v>
      </c>
      <c r="K217" s="83">
        <f>VLOOKUP(ws[[#This Row],[hwycov_id]],count[],4,FALSE)</f>
        <v>18615</v>
      </c>
      <c r="L217" s="115">
        <f>VLOOKUP(ws[[#This Row],[hwycov_id]],flow0[],5,FALSE)</f>
        <v>18053</v>
      </c>
      <c r="M217" s="295">
        <f>ws[[#This Row],[flow]]/ws[[#This Row],[count]]-1</f>
        <v>-3.0190706419554125E-2</v>
      </c>
      <c r="N217" s="296">
        <f>POWER((ws[[#This Row],[flow]]-ws[[#This Row],[count]]),2)</f>
        <v>315844</v>
      </c>
      <c r="O217" s="80" t="e">
        <f>VLOOKUP(ws[[#This Row],[hwycov_id]],count!$A$630:$E$652,5,FALSE)</f>
        <v>#N/A</v>
      </c>
      <c r="P217" s="80">
        <v>225</v>
      </c>
    </row>
    <row r="218" spans="1:16" x14ac:dyDescent="0.25">
      <c r="A218" s="80">
        <v>8</v>
      </c>
      <c r="B218" s="6">
        <v>2</v>
      </c>
      <c r="C218" s="80">
        <v>8771</v>
      </c>
      <c r="D218" s="80">
        <v>1</v>
      </c>
      <c r="E218" s="80">
        <v>1</v>
      </c>
      <c r="F218" s="80" t="s">
        <v>405</v>
      </c>
      <c r="G218" s="79">
        <v>28.05</v>
      </c>
      <c r="H218" s="79">
        <v>0.77118900000000001</v>
      </c>
      <c r="I218" s="79" t="s">
        <v>100</v>
      </c>
      <c r="J218" s="79" t="s">
        <v>99</v>
      </c>
      <c r="K218" s="83">
        <f>VLOOKUP(ws[[#This Row],[hwycov_id]],count[],4,FALSE)</f>
        <v>18441</v>
      </c>
      <c r="L218" s="115">
        <f>VLOOKUP(ws[[#This Row],[hwycov_id]],flow0[],5,FALSE)</f>
        <v>20305</v>
      </c>
      <c r="M218" s="295">
        <f>ws[[#This Row],[flow]]/ws[[#This Row],[count]]-1</f>
        <v>0.10107911718453444</v>
      </c>
      <c r="N218" s="296">
        <f>POWER((ws[[#This Row],[flow]]-ws[[#This Row],[count]]),2)</f>
        <v>3474496</v>
      </c>
      <c r="O218" s="80" t="e">
        <f>VLOOKUP(ws[[#This Row],[hwycov_id]],count!$A$630:$E$652,5,FALSE)</f>
        <v>#N/A</v>
      </c>
      <c r="P218" s="80">
        <v>226</v>
      </c>
    </row>
    <row r="219" spans="1:16" x14ac:dyDescent="0.25">
      <c r="A219" s="80">
        <v>8</v>
      </c>
      <c r="B219" s="6">
        <v>2</v>
      </c>
      <c r="C219" s="80">
        <v>672</v>
      </c>
      <c r="D219" s="80">
        <v>1</v>
      </c>
      <c r="E219" s="80">
        <v>1</v>
      </c>
      <c r="F219" s="80" t="s">
        <v>405</v>
      </c>
      <c r="G219" s="79">
        <v>28.71</v>
      </c>
      <c r="H219" s="79">
        <v>0.65927899999999995</v>
      </c>
      <c r="I219" s="79" t="s">
        <v>99</v>
      </c>
      <c r="J219" s="79" t="s">
        <v>99</v>
      </c>
      <c r="K219" s="83">
        <f>VLOOKUP(ws[[#This Row],[hwycov_id]],count[],4,FALSE)</f>
        <v>18639</v>
      </c>
      <c r="L219" s="115">
        <f>VLOOKUP(ws[[#This Row],[hwycov_id]],flow0[],5,FALSE)</f>
        <v>18540</v>
      </c>
      <c r="M219" s="295">
        <f>ws[[#This Row],[flow]]/ws[[#This Row],[count]]-1</f>
        <v>-5.3114437469821141E-3</v>
      </c>
      <c r="N219" s="296">
        <f>POWER((ws[[#This Row],[flow]]-ws[[#This Row],[count]]),2)</f>
        <v>9801</v>
      </c>
      <c r="O219" s="80" t="e">
        <f>VLOOKUP(ws[[#This Row],[hwycov_id]],count!$A$630:$E$652,5,FALSE)</f>
        <v>#N/A</v>
      </c>
      <c r="P219" s="80">
        <v>227</v>
      </c>
    </row>
    <row r="220" spans="1:16" x14ac:dyDescent="0.25">
      <c r="A220" s="80">
        <v>8</v>
      </c>
      <c r="B220" s="6">
        <v>2</v>
      </c>
      <c r="C220" s="80">
        <v>8772</v>
      </c>
      <c r="D220" s="80">
        <v>1</v>
      </c>
      <c r="E220" s="80">
        <v>1</v>
      </c>
      <c r="F220" s="80" t="s">
        <v>405</v>
      </c>
      <c r="G220" s="79">
        <v>29.49</v>
      </c>
      <c r="H220" s="79">
        <v>0.387044</v>
      </c>
      <c r="I220" s="79" t="s">
        <v>99</v>
      </c>
      <c r="J220" s="79" t="s">
        <v>98</v>
      </c>
      <c r="K220" s="83">
        <f>VLOOKUP(ws[[#This Row],[hwycov_id]],count[],4,FALSE)</f>
        <v>16659</v>
      </c>
      <c r="L220" s="115">
        <f>VLOOKUP(ws[[#This Row],[hwycov_id]],flow0[],5,FALSE)</f>
        <v>20110</v>
      </c>
      <c r="M220" s="295">
        <f>ws[[#This Row],[flow]]/ws[[#This Row],[count]]-1</f>
        <v>0.20715529143405975</v>
      </c>
      <c r="N220" s="296">
        <f>POWER((ws[[#This Row],[flow]]-ws[[#This Row],[count]]),2)</f>
        <v>11909401</v>
      </c>
      <c r="O220" s="80" t="e">
        <f>VLOOKUP(ws[[#This Row],[hwycov_id]],count!$A$630:$E$652,5,FALSE)</f>
        <v>#N/A</v>
      </c>
      <c r="P220" s="80">
        <v>228</v>
      </c>
    </row>
    <row r="221" spans="1:16" x14ac:dyDescent="0.25">
      <c r="A221" s="80">
        <v>8</v>
      </c>
      <c r="B221" s="6">
        <v>2</v>
      </c>
      <c r="C221" s="80">
        <v>8773</v>
      </c>
      <c r="D221" s="80">
        <v>1</v>
      </c>
      <c r="E221" s="80">
        <v>1</v>
      </c>
      <c r="F221" s="80" t="s">
        <v>405</v>
      </c>
      <c r="G221" s="79">
        <v>30.06</v>
      </c>
      <c r="H221" s="79">
        <v>0.56890600000000002</v>
      </c>
      <c r="I221" s="79" t="s">
        <v>98</v>
      </c>
      <c r="J221" s="79" t="s">
        <v>98</v>
      </c>
      <c r="K221" s="83">
        <f>VLOOKUP(ws[[#This Row],[hwycov_id]],count[],4,FALSE)</f>
        <v>19833</v>
      </c>
      <c r="L221" s="115">
        <f>VLOOKUP(ws[[#This Row],[hwycov_id]],flow0[],5,FALSE)</f>
        <v>19112</v>
      </c>
      <c r="M221" s="295">
        <f>ws[[#This Row],[flow]]/ws[[#This Row],[count]]-1</f>
        <v>-3.6353552160540481E-2</v>
      </c>
      <c r="N221" s="296">
        <f>POWER((ws[[#This Row],[flow]]-ws[[#This Row],[count]]),2)</f>
        <v>519841</v>
      </c>
      <c r="O221" s="80" t="e">
        <f>VLOOKUP(ws[[#This Row],[hwycov_id]],count!$A$630:$E$652,5,FALSE)</f>
        <v>#N/A</v>
      </c>
      <c r="P221" s="80">
        <v>229</v>
      </c>
    </row>
    <row r="222" spans="1:16" x14ac:dyDescent="0.25">
      <c r="A222" s="80">
        <v>8</v>
      </c>
      <c r="B222" s="6">
        <v>2</v>
      </c>
      <c r="C222" s="80">
        <v>16272</v>
      </c>
      <c r="D222" s="80">
        <v>1</v>
      </c>
      <c r="E222" s="80">
        <v>1</v>
      </c>
      <c r="F222" s="80" t="s">
        <v>405</v>
      </c>
      <c r="G222" s="79">
        <v>30.66</v>
      </c>
      <c r="H222" s="79">
        <v>0.59357400000000005</v>
      </c>
      <c r="I222" s="79" t="s">
        <v>98</v>
      </c>
      <c r="J222" s="79" t="s">
        <v>97</v>
      </c>
      <c r="K222" s="83">
        <f>VLOOKUP(ws[[#This Row],[hwycov_id]],count[],4,FALSE)</f>
        <v>21969</v>
      </c>
      <c r="L222" s="115">
        <f>VLOOKUP(ws[[#This Row],[hwycov_id]],flow0[],5,FALSE)</f>
        <v>20725</v>
      </c>
      <c r="M222" s="295">
        <f>ws[[#This Row],[flow]]/ws[[#This Row],[count]]-1</f>
        <v>-5.6625244662934171E-2</v>
      </c>
      <c r="N222" s="296">
        <f>POWER((ws[[#This Row],[flow]]-ws[[#This Row],[count]]),2)</f>
        <v>1547536</v>
      </c>
      <c r="O222" s="80" t="e">
        <f>VLOOKUP(ws[[#This Row],[hwycov_id]],count!$A$630:$E$652,5,FALSE)</f>
        <v>#N/A</v>
      </c>
      <c r="P222" s="80">
        <v>230</v>
      </c>
    </row>
    <row r="223" spans="1:16" x14ac:dyDescent="0.25">
      <c r="A223" s="80">
        <v>8</v>
      </c>
      <c r="B223" s="6">
        <v>2</v>
      </c>
      <c r="C223" s="80">
        <v>621</v>
      </c>
      <c r="D223" s="80">
        <v>1</v>
      </c>
      <c r="E223" s="80">
        <v>1</v>
      </c>
      <c r="F223" s="80" t="s">
        <v>405</v>
      </c>
      <c r="G223" s="79">
        <v>31.09</v>
      </c>
      <c r="H223" s="79">
        <v>0.43079099999999998</v>
      </c>
      <c r="I223" s="79" t="s">
        <v>97</v>
      </c>
      <c r="J223" s="79" t="s">
        <v>97</v>
      </c>
      <c r="K223" s="83">
        <f>VLOOKUP(ws[[#This Row],[hwycov_id]],count[],4,FALSE)</f>
        <v>19658</v>
      </c>
      <c r="L223" s="115">
        <f>VLOOKUP(ws[[#This Row],[hwycov_id]],flow0[],5,FALSE)</f>
        <v>19090</v>
      </c>
      <c r="M223" s="295">
        <f>ws[[#This Row],[flow]]/ws[[#This Row],[count]]-1</f>
        <v>-2.8894088920541239E-2</v>
      </c>
      <c r="N223" s="296">
        <f>POWER((ws[[#This Row],[flow]]-ws[[#This Row],[count]]),2)</f>
        <v>322624</v>
      </c>
      <c r="O223" s="80" t="e">
        <f>VLOOKUP(ws[[#This Row],[hwycov_id]],count!$A$630:$E$652,5,FALSE)</f>
        <v>#N/A</v>
      </c>
      <c r="P223" s="80">
        <v>231</v>
      </c>
    </row>
    <row r="224" spans="1:16" x14ac:dyDescent="0.25">
      <c r="A224" s="80">
        <v>8</v>
      </c>
      <c r="B224" s="6">
        <v>2</v>
      </c>
      <c r="C224" s="80">
        <v>13580</v>
      </c>
      <c r="D224" s="80">
        <v>1</v>
      </c>
      <c r="E224" s="80">
        <v>1</v>
      </c>
      <c r="F224" s="80" t="s">
        <v>405</v>
      </c>
      <c r="G224" s="79">
        <v>31.65</v>
      </c>
      <c r="H224" s="79">
        <v>0.40530699999999997</v>
      </c>
      <c r="I224" s="79" t="s">
        <v>97</v>
      </c>
      <c r="J224" s="79" t="s">
        <v>96</v>
      </c>
      <c r="K224" s="83">
        <f>VLOOKUP(ws[[#This Row],[hwycov_id]],count[],4,FALSE)</f>
        <v>21292</v>
      </c>
      <c r="L224" s="115">
        <f>VLOOKUP(ws[[#This Row],[hwycov_id]],flow0[],5,FALSE)</f>
        <v>20423</v>
      </c>
      <c r="M224" s="295">
        <f>ws[[#This Row],[flow]]/ws[[#This Row],[count]]-1</f>
        <v>-4.0813451061431527E-2</v>
      </c>
      <c r="N224" s="296">
        <f>POWER((ws[[#This Row],[flow]]-ws[[#This Row],[count]]),2)</f>
        <v>755161</v>
      </c>
      <c r="O224" s="80" t="e">
        <f>VLOOKUP(ws[[#This Row],[hwycov_id]],count!$A$630:$E$652,5,FALSE)</f>
        <v>#N/A</v>
      </c>
      <c r="P224" s="80">
        <v>232</v>
      </c>
    </row>
    <row r="225" spans="1:16" x14ac:dyDescent="0.25">
      <c r="A225" s="80">
        <v>8</v>
      </c>
      <c r="B225" s="6">
        <v>2</v>
      </c>
      <c r="C225" s="80">
        <v>13582</v>
      </c>
      <c r="D225" s="80">
        <v>1</v>
      </c>
      <c r="E225" s="80">
        <v>1</v>
      </c>
      <c r="F225" s="80" t="s">
        <v>405</v>
      </c>
      <c r="G225" s="79">
        <v>32.1</v>
      </c>
      <c r="H225" s="79">
        <v>0.24385499999999999</v>
      </c>
      <c r="I225" s="79" t="s">
        <v>96</v>
      </c>
      <c r="J225" s="79" t="s">
        <v>96</v>
      </c>
      <c r="K225" s="83">
        <f>VLOOKUP(ws[[#This Row],[hwycov_id]],count[],4,FALSE)</f>
        <v>20523</v>
      </c>
      <c r="L225" s="115">
        <f>VLOOKUP(ws[[#This Row],[hwycov_id]],flow0[],5,FALSE)</f>
        <v>19406</v>
      </c>
      <c r="M225" s="295">
        <f>ws[[#This Row],[flow]]/ws[[#This Row],[count]]-1</f>
        <v>-5.4426740729912826E-2</v>
      </c>
      <c r="N225" s="296">
        <f>POWER((ws[[#This Row],[flow]]-ws[[#This Row],[count]]),2)</f>
        <v>1247689</v>
      </c>
      <c r="O225" s="80" t="e">
        <f>VLOOKUP(ws[[#This Row],[hwycov_id]],count!$A$630:$E$652,5,FALSE)</f>
        <v>#N/A</v>
      </c>
      <c r="P225" s="80">
        <v>233</v>
      </c>
    </row>
    <row r="226" spans="1:16" x14ac:dyDescent="0.25">
      <c r="A226" s="80">
        <v>8</v>
      </c>
      <c r="B226" s="6">
        <v>2</v>
      </c>
      <c r="C226" s="80">
        <v>13589</v>
      </c>
      <c r="D226" s="80">
        <v>1</v>
      </c>
      <c r="E226" s="80">
        <v>1</v>
      </c>
      <c r="F226" s="80" t="s">
        <v>405</v>
      </c>
      <c r="G226" s="79">
        <v>32.909999999999997</v>
      </c>
      <c r="H226" s="79">
        <v>0.46432499999999999</v>
      </c>
      <c r="I226" s="79" t="s">
        <v>95</v>
      </c>
      <c r="J226" s="79" t="s">
        <v>95</v>
      </c>
      <c r="K226" s="83">
        <f>VLOOKUP(ws[[#This Row],[hwycov_id]],count[],4,FALSE)</f>
        <v>20460</v>
      </c>
      <c r="L226" s="115">
        <f>VLOOKUP(ws[[#This Row],[hwycov_id]],flow0[],5,FALSE)</f>
        <v>19956</v>
      </c>
      <c r="M226" s="295">
        <f>ws[[#This Row],[flow]]/ws[[#This Row],[count]]-1</f>
        <v>-2.4633431085044011E-2</v>
      </c>
      <c r="N226" s="296">
        <f>POWER((ws[[#This Row],[flow]]-ws[[#This Row],[count]]),2)</f>
        <v>254016</v>
      </c>
      <c r="O226" s="80" t="e">
        <f>VLOOKUP(ws[[#This Row],[hwycov_id]],count!$A$630:$E$652,5,FALSE)</f>
        <v>#N/A</v>
      </c>
      <c r="P226" s="80">
        <v>234</v>
      </c>
    </row>
    <row r="227" spans="1:16" x14ac:dyDescent="0.25">
      <c r="A227" s="80">
        <v>8</v>
      </c>
      <c r="B227" s="6">
        <v>2</v>
      </c>
      <c r="C227" s="80">
        <v>643</v>
      </c>
      <c r="D227" s="80">
        <v>1</v>
      </c>
      <c r="E227" s="80">
        <v>1</v>
      </c>
      <c r="F227" s="80" t="s">
        <v>405</v>
      </c>
      <c r="G227" s="79">
        <v>33.950000000000003</v>
      </c>
      <c r="H227" s="79">
        <v>0.34145900000000001</v>
      </c>
      <c r="I227" s="79" t="s">
        <v>94</v>
      </c>
      <c r="J227" s="79" t="s">
        <v>94</v>
      </c>
      <c r="K227" s="83">
        <f>VLOOKUP(ws[[#This Row],[hwycov_id]],count[],4,FALSE)</f>
        <v>20869</v>
      </c>
      <c r="L227" s="115">
        <f>VLOOKUP(ws[[#This Row],[hwycov_id]],flow0[],5,FALSE)</f>
        <v>21076</v>
      </c>
      <c r="M227" s="295">
        <f>ws[[#This Row],[flow]]/ws[[#This Row],[count]]-1</f>
        <v>9.9190186400881508E-3</v>
      </c>
      <c r="N227" s="296">
        <f>POWER((ws[[#This Row],[flow]]-ws[[#This Row],[count]]),2)</f>
        <v>42849</v>
      </c>
      <c r="O227" s="80" t="e">
        <f>VLOOKUP(ws[[#This Row],[hwycov_id]],count!$A$630:$E$652,5,FALSE)</f>
        <v>#N/A</v>
      </c>
      <c r="P227" s="80">
        <v>235</v>
      </c>
    </row>
    <row r="228" spans="1:16" x14ac:dyDescent="0.25">
      <c r="A228" s="80">
        <v>8</v>
      </c>
      <c r="B228" s="6">
        <v>2</v>
      </c>
      <c r="C228" s="80">
        <v>13598</v>
      </c>
      <c r="D228" s="80">
        <v>1</v>
      </c>
      <c r="E228" s="80">
        <v>1</v>
      </c>
      <c r="F228" s="80" t="s">
        <v>405</v>
      </c>
      <c r="G228" s="79">
        <v>35.28</v>
      </c>
      <c r="H228" s="79">
        <v>0.31367699999999998</v>
      </c>
      <c r="I228" s="79" t="s">
        <v>93</v>
      </c>
      <c r="J228" s="79" t="s">
        <v>93</v>
      </c>
      <c r="K228" s="83">
        <f>VLOOKUP(ws[[#This Row],[hwycov_id]],count[],4,FALSE)</f>
        <v>20935</v>
      </c>
      <c r="L228" s="115">
        <f>VLOOKUP(ws[[#This Row],[hwycov_id]],flow0[],5,FALSE)</f>
        <v>19055</v>
      </c>
      <c r="M228" s="295">
        <f>ws[[#This Row],[flow]]/ws[[#This Row],[count]]-1</f>
        <v>-8.9801767375208952E-2</v>
      </c>
      <c r="N228" s="296">
        <f>POWER((ws[[#This Row],[flow]]-ws[[#This Row],[count]]),2)</f>
        <v>3534400</v>
      </c>
      <c r="O228" s="80" t="e">
        <f>VLOOKUP(ws[[#This Row],[hwycov_id]],count!$A$630:$E$652,5,FALSE)</f>
        <v>#N/A</v>
      </c>
      <c r="P228" s="80">
        <v>236</v>
      </c>
    </row>
    <row r="229" spans="1:16" x14ac:dyDescent="0.25">
      <c r="A229" s="80">
        <v>8</v>
      </c>
      <c r="B229" s="6">
        <v>2</v>
      </c>
      <c r="C229" s="80">
        <v>13597</v>
      </c>
      <c r="D229" s="80">
        <v>1</v>
      </c>
      <c r="E229" s="80">
        <v>1</v>
      </c>
      <c r="F229" s="80" t="s">
        <v>405</v>
      </c>
      <c r="G229" s="79">
        <v>35.909999999999997</v>
      </c>
      <c r="H229" s="79">
        <v>0.62782000000000004</v>
      </c>
      <c r="I229" s="79" t="s">
        <v>93</v>
      </c>
      <c r="J229" s="79" t="s">
        <v>92</v>
      </c>
      <c r="K229" s="83">
        <f>VLOOKUP(ws[[#This Row],[hwycov_id]],count[],4,FALSE)</f>
        <v>24283</v>
      </c>
      <c r="L229" s="115">
        <f>VLOOKUP(ws[[#This Row],[hwycov_id]],flow0[],5,FALSE)</f>
        <v>20836</v>
      </c>
      <c r="M229" s="295">
        <f>ws[[#This Row],[flow]]/ws[[#This Row],[count]]-1</f>
        <v>-0.14195115924721002</v>
      </c>
      <c r="N229" s="296">
        <f>POWER((ws[[#This Row],[flow]]-ws[[#This Row],[count]]),2)</f>
        <v>11881809</v>
      </c>
      <c r="O229" s="80" t="e">
        <f>VLOOKUP(ws[[#This Row],[hwycov_id]],count!$A$630:$E$652,5,FALSE)</f>
        <v>#N/A</v>
      </c>
      <c r="P229" s="80">
        <v>237</v>
      </c>
    </row>
    <row r="230" spans="1:16" x14ac:dyDescent="0.25">
      <c r="A230" s="80">
        <v>8</v>
      </c>
      <c r="B230" s="6">
        <v>2</v>
      </c>
      <c r="C230" s="80">
        <v>14246</v>
      </c>
      <c r="D230" s="80">
        <v>1</v>
      </c>
      <c r="E230" s="80">
        <v>1</v>
      </c>
      <c r="F230" s="80" t="s">
        <v>405</v>
      </c>
      <c r="G230" s="79">
        <v>38.07</v>
      </c>
      <c r="H230" s="79">
        <v>1.2528170000000001</v>
      </c>
      <c r="I230" s="79" t="s">
        <v>92</v>
      </c>
      <c r="J230" s="79" t="s">
        <v>91</v>
      </c>
      <c r="K230" s="83">
        <f>VLOOKUP(ws[[#This Row],[hwycov_id]],count[],4,FALSE)</f>
        <v>22523</v>
      </c>
      <c r="L230" s="115">
        <f>VLOOKUP(ws[[#This Row],[hwycov_id]],flow0[],5,FALSE)</f>
        <v>23062</v>
      </c>
      <c r="M230" s="295">
        <f>ws[[#This Row],[flow]]/ws[[#This Row],[count]]-1</f>
        <v>2.3931092660835596E-2</v>
      </c>
      <c r="N230" s="296">
        <f>POWER((ws[[#This Row],[flow]]-ws[[#This Row],[count]]),2)</f>
        <v>290521</v>
      </c>
      <c r="O230" s="80" t="e">
        <f>VLOOKUP(ws[[#This Row],[hwycov_id]],count!$A$630:$E$652,5,FALSE)</f>
        <v>#N/A</v>
      </c>
      <c r="P230" s="80">
        <v>238</v>
      </c>
    </row>
    <row r="231" spans="1:16" x14ac:dyDescent="0.25">
      <c r="A231" s="80">
        <v>8</v>
      </c>
      <c r="B231" s="6">
        <v>2</v>
      </c>
      <c r="C231" s="80">
        <v>8774</v>
      </c>
      <c r="D231" s="80">
        <v>1</v>
      </c>
      <c r="E231" s="80">
        <v>1</v>
      </c>
      <c r="F231" s="80" t="s">
        <v>405</v>
      </c>
      <c r="G231" s="79">
        <v>38.36</v>
      </c>
      <c r="H231" s="79">
        <v>0.151924</v>
      </c>
      <c r="I231" s="79" t="s">
        <v>91</v>
      </c>
      <c r="J231" s="79" t="s">
        <v>91</v>
      </c>
      <c r="K231" s="83">
        <f>VLOOKUP(ws[[#This Row],[hwycov_id]],count[],4,FALSE)</f>
        <v>20179</v>
      </c>
      <c r="L231" s="115">
        <f>VLOOKUP(ws[[#This Row],[hwycov_id]],flow0[],5,FALSE)</f>
        <v>20306</v>
      </c>
      <c r="M231" s="295">
        <f>ws[[#This Row],[flow]]/ws[[#This Row],[count]]-1</f>
        <v>6.2936716388324321E-3</v>
      </c>
      <c r="N231" s="296">
        <f>POWER((ws[[#This Row],[flow]]-ws[[#This Row],[count]]),2)</f>
        <v>16129</v>
      </c>
      <c r="O231" s="80" t="e">
        <f>VLOOKUP(ws[[#This Row],[hwycov_id]],count!$A$630:$E$652,5,FALSE)</f>
        <v>#N/A</v>
      </c>
      <c r="P231" s="80">
        <v>239</v>
      </c>
    </row>
    <row r="232" spans="1:16" x14ac:dyDescent="0.25">
      <c r="A232" s="80">
        <v>8</v>
      </c>
      <c r="B232" s="6">
        <v>2</v>
      </c>
      <c r="C232" s="80">
        <v>14255</v>
      </c>
      <c r="D232" s="80">
        <v>1</v>
      </c>
      <c r="E232" s="80">
        <v>1</v>
      </c>
      <c r="F232" s="80" t="s">
        <v>405</v>
      </c>
      <c r="G232" s="79">
        <v>39.840000000000003</v>
      </c>
      <c r="H232" s="79">
        <v>0.45296399999999998</v>
      </c>
      <c r="I232" s="79" t="s">
        <v>90</v>
      </c>
      <c r="J232" s="79" t="s">
        <v>90</v>
      </c>
      <c r="K232" s="83">
        <f>VLOOKUP(ws[[#This Row],[hwycov_id]],count[],4,FALSE)</f>
        <v>14208</v>
      </c>
      <c r="L232" s="115">
        <f>VLOOKUP(ws[[#This Row],[hwycov_id]],flow0[],5,FALSE)</f>
        <v>20180</v>
      </c>
      <c r="M232" s="295">
        <f>ws[[#This Row],[flow]]/ws[[#This Row],[count]]-1</f>
        <v>0.42032657657657668</v>
      </c>
      <c r="N232" s="296">
        <f>POWER((ws[[#This Row],[flow]]-ws[[#This Row],[count]]),2)</f>
        <v>35664784</v>
      </c>
      <c r="O232" s="80" t="e">
        <f>VLOOKUP(ws[[#This Row],[hwycov_id]],count!$A$630:$E$652,5,FALSE)</f>
        <v>#N/A</v>
      </c>
      <c r="P232" s="80">
        <v>240</v>
      </c>
    </row>
    <row r="233" spans="1:16" x14ac:dyDescent="0.25">
      <c r="A233" s="80">
        <v>8</v>
      </c>
      <c r="B233" s="6">
        <v>2</v>
      </c>
      <c r="C233" s="80">
        <v>30776</v>
      </c>
      <c r="D233" s="80">
        <v>1</v>
      </c>
      <c r="E233" s="80">
        <v>1</v>
      </c>
      <c r="F233" s="80" t="s">
        <v>405</v>
      </c>
      <c r="G233" s="79">
        <v>41.57</v>
      </c>
      <c r="H233" s="79">
        <v>1.0496490000000001</v>
      </c>
      <c r="I233" s="79" t="s">
        <v>90</v>
      </c>
      <c r="J233" s="79" t="s">
        <v>48</v>
      </c>
      <c r="K233" s="83">
        <f>VLOOKUP(ws[[#This Row],[hwycov_id]],count[],4,FALSE)</f>
        <v>18486</v>
      </c>
      <c r="L233" s="115">
        <f>VLOOKUP(ws[[#This Row],[hwycov_id]],flow0[],5,FALSE)</f>
        <v>21928</v>
      </c>
      <c r="M233" s="295">
        <f>ws[[#This Row],[flow]]/ws[[#This Row],[count]]-1</f>
        <v>0.18619495834685718</v>
      </c>
      <c r="N233" s="296">
        <f>POWER((ws[[#This Row],[flow]]-ws[[#This Row],[count]]),2)</f>
        <v>11847364</v>
      </c>
      <c r="O233" s="80" t="e">
        <f>VLOOKUP(ws[[#This Row],[hwycov_id]],count!$A$630:$E$652,5,FALSE)</f>
        <v>#N/A</v>
      </c>
      <c r="P233" s="80">
        <v>241</v>
      </c>
    </row>
    <row r="234" spans="1:16" x14ac:dyDescent="0.25">
      <c r="A234" s="80">
        <v>8</v>
      </c>
      <c r="B234" s="6">
        <v>2</v>
      </c>
      <c r="C234" s="80">
        <v>14263</v>
      </c>
      <c r="D234" s="80">
        <v>1</v>
      </c>
      <c r="E234" s="80">
        <v>1</v>
      </c>
      <c r="F234" s="80" t="s">
        <v>405</v>
      </c>
      <c r="G234" s="79">
        <v>42.37</v>
      </c>
      <c r="H234" s="79">
        <v>0.51744800000000002</v>
      </c>
      <c r="I234" s="79" t="s">
        <v>48</v>
      </c>
      <c r="J234" s="79" t="s">
        <v>89</v>
      </c>
      <c r="K234" s="83">
        <f>VLOOKUP(ws[[#This Row],[hwycov_id]],count[],4,FALSE)</f>
        <v>14198</v>
      </c>
      <c r="L234" s="115">
        <f>VLOOKUP(ws[[#This Row],[hwycov_id]],flow0[],5,FALSE)</f>
        <v>13870</v>
      </c>
      <c r="M234" s="295">
        <f>ws[[#This Row],[flow]]/ws[[#This Row],[count]]-1</f>
        <v>-2.3101845330328219E-2</v>
      </c>
      <c r="N234" s="296">
        <f>POWER((ws[[#This Row],[flow]]-ws[[#This Row],[count]]),2)</f>
        <v>107584</v>
      </c>
      <c r="O234" s="80" t="e">
        <f>VLOOKUP(ws[[#This Row],[hwycov_id]],count!$A$630:$E$652,5,FALSE)</f>
        <v>#N/A</v>
      </c>
      <c r="P234" s="80">
        <v>242</v>
      </c>
    </row>
    <row r="235" spans="1:16" x14ac:dyDescent="0.25">
      <c r="A235" s="80">
        <v>8</v>
      </c>
      <c r="B235" s="6">
        <v>2</v>
      </c>
      <c r="C235" s="80">
        <v>14289</v>
      </c>
      <c r="D235" s="80">
        <v>1</v>
      </c>
      <c r="E235" s="80">
        <v>1</v>
      </c>
      <c r="F235" s="80" t="s">
        <v>405</v>
      </c>
      <c r="G235" s="79">
        <v>42.78</v>
      </c>
      <c r="H235" s="79">
        <v>0.28754800000000003</v>
      </c>
      <c r="I235" s="79" t="s">
        <v>89</v>
      </c>
      <c r="J235" s="79" t="s">
        <v>88</v>
      </c>
      <c r="K235" s="83">
        <f>VLOOKUP(ws[[#This Row],[hwycov_id]],count[],4,FALSE)</f>
        <v>17239</v>
      </c>
      <c r="L235" s="115">
        <f>VLOOKUP(ws[[#This Row],[hwycov_id]],flow0[],5,FALSE)</f>
        <v>19697</v>
      </c>
      <c r="M235" s="295">
        <f>ws[[#This Row],[flow]]/ws[[#This Row],[count]]-1</f>
        <v>0.14258367654736359</v>
      </c>
      <c r="N235" s="296">
        <f>POWER((ws[[#This Row],[flow]]-ws[[#This Row],[count]]),2)</f>
        <v>6041764</v>
      </c>
      <c r="O235" s="80" t="e">
        <f>VLOOKUP(ws[[#This Row],[hwycov_id]],count!$A$630:$E$652,5,FALSE)</f>
        <v>#N/A</v>
      </c>
      <c r="P235" s="80">
        <v>243</v>
      </c>
    </row>
    <row r="236" spans="1:16" x14ac:dyDescent="0.25">
      <c r="A236" s="80">
        <v>8</v>
      </c>
      <c r="B236" s="6">
        <v>2</v>
      </c>
      <c r="C236" s="80">
        <v>9252</v>
      </c>
      <c r="D236" s="80">
        <v>1</v>
      </c>
      <c r="E236" s="80">
        <v>1</v>
      </c>
      <c r="F236" s="80" t="s">
        <v>405</v>
      </c>
      <c r="G236" s="79">
        <v>44.06</v>
      </c>
      <c r="H236" s="79">
        <v>0.25701800000000002</v>
      </c>
      <c r="I236" s="79" t="s">
        <v>87</v>
      </c>
      <c r="J236" s="79" t="s">
        <v>87</v>
      </c>
      <c r="K236" s="83">
        <f>VLOOKUP(ws[[#This Row],[hwycov_id]],count[],4,FALSE)</f>
        <v>14109</v>
      </c>
      <c r="L236" s="115">
        <f>VLOOKUP(ws[[#This Row],[hwycov_id]],flow0[],5,FALSE)</f>
        <v>18910</v>
      </c>
      <c r="M236" s="295">
        <f>ws[[#This Row],[flow]]/ws[[#This Row],[count]]-1</f>
        <v>0.34027925437663908</v>
      </c>
      <c r="N236" s="296">
        <f>POWER((ws[[#This Row],[flow]]-ws[[#This Row],[count]]),2)</f>
        <v>23049601</v>
      </c>
      <c r="O236" s="80" t="e">
        <f>VLOOKUP(ws[[#This Row],[hwycov_id]],count!$A$630:$E$652,5,FALSE)</f>
        <v>#N/A</v>
      </c>
      <c r="P236" s="80">
        <v>244</v>
      </c>
    </row>
    <row r="237" spans="1:16" x14ac:dyDescent="0.25">
      <c r="A237" s="80">
        <v>8</v>
      </c>
      <c r="B237" s="6">
        <v>2</v>
      </c>
      <c r="C237" s="80">
        <v>15039</v>
      </c>
      <c r="D237" s="80">
        <v>1</v>
      </c>
      <c r="E237" s="80">
        <v>1</v>
      </c>
      <c r="F237" s="80" t="s">
        <v>405</v>
      </c>
      <c r="G237" s="79">
        <v>44.57</v>
      </c>
      <c r="H237" s="79">
        <v>0.29952600000000001</v>
      </c>
      <c r="I237" s="79" t="s">
        <v>87</v>
      </c>
      <c r="J237" s="79" t="s">
        <v>86</v>
      </c>
      <c r="K237" s="83">
        <f>VLOOKUP(ws[[#This Row],[hwycov_id]],count[],4,FALSE)</f>
        <v>18336</v>
      </c>
      <c r="L237" s="115">
        <f>VLOOKUP(ws[[#This Row],[hwycov_id]],flow0[],5,FALSE)</f>
        <v>22711</v>
      </c>
      <c r="M237" s="295">
        <f>ws[[#This Row],[flow]]/ws[[#This Row],[count]]-1</f>
        <v>0.23860165794066313</v>
      </c>
      <c r="N237" s="296">
        <f>POWER((ws[[#This Row],[flow]]-ws[[#This Row],[count]]),2)</f>
        <v>19140625</v>
      </c>
      <c r="O237" s="80" t="e">
        <f>VLOOKUP(ws[[#This Row],[hwycov_id]],count!$A$630:$E$652,5,FALSE)</f>
        <v>#N/A</v>
      </c>
      <c r="P237" s="80">
        <v>245</v>
      </c>
    </row>
    <row r="238" spans="1:16" x14ac:dyDescent="0.25">
      <c r="A238" s="80">
        <v>8</v>
      </c>
      <c r="B238" s="6">
        <v>2</v>
      </c>
      <c r="C238" s="80">
        <v>8777</v>
      </c>
      <c r="D238" s="80">
        <v>1</v>
      </c>
      <c r="E238" s="80">
        <v>1</v>
      </c>
      <c r="F238" s="80" t="s">
        <v>405</v>
      </c>
      <c r="G238" s="79">
        <v>45.87</v>
      </c>
      <c r="H238" s="79">
        <v>0.57345800000000002</v>
      </c>
      <c r="I238" s="79" t="s">
        <v>85</v>
      </c>
      <c r="J238" s="79" t="s">
        <v>85</v>
      </c>
      <c r="K238" s="83">
        <f>VLOOKUP(ws[[#This Row],[hwycov_id]],count[],4,FALSE)</f>
        <v>21235</v>
      </c>
      <c r="L238" s="115">
        <f>VLOOKUP(ws[[#This Row],[hwycov_id]],flow0[],5,FALSE)</f>
        <v>24986</v>
      </c>
      <c r="M238" s="295">
        <f>ws[[#This Row],[flow]]/ws[[#This Row],[count]]-1</f>
        <v>0.1766423357664233</v>
      </c>
      <c r="N238" s="296">
        <f>POWER((ws[[#This Row],[flow]]-ws[[#This Row],[count]]),2)</f>
        <v>14070001</v>
      </c>
      <c r="O238" s="80" t="e">
        <f>VLOOKUP(ws[[#This Row],[hwycov_id]],count!$A$630:$E$652,5,FALSE)</f>
        <v>#N/A</v>
      </c>
      <c r="P238" s="80">
        <v>246</v>
      </c>
    </row>
    <row r="239" spans="1:16" x14ac:dyDescent="0.25">
      <c r="A239" s="80">
        <v>8</v>
      </c>
      <c r="B239" s="6">
        <v>2</v>
      </c>
      <c r="C239" s="80">
        <v>26065</v>
      </c>
      <c r="D239" s="80">
        <v>1</v>
      </c>
      <c r="E239" s="80">
        <v>1</v>
      </c>
      <c r="F239" s="80" t="s">
        <v>405</v>
      </c>
      <c r="G239" s="79">
        <v>47.55</v>
      </c>
      <c r="H239" s="79">
        <v>0.76888800000000002</v>
      </c>
      <c r="I239" s="79" t="s">
        <v>36</v>
      </c>
      <c r="J239" s="79" t="s">
        <v>84</v>
      </c>
      <c r="K239" s="83">
        <f>VLOOKUP(ws[[#This Row],[hwycov_id]],count[],4,FALSE)</f>
        <v>27538</v>
      </c>
      <c r="L239" s="115">
        <f>VLOOKUP(ws[[#This Row],[hwycov_id]],flow0[],5,FALSE)</f>
        <v>27492</v>
      </c>
      <c r="M239" s="295">
        <f>ws[[#This Row],[flow]]/ws[[#This Row],[count]]-1</f>
        <v>-1.6704190573025857E-3</v>
      </c>
      <c r="N239" s="296">
        <f>POWER((ws[[#This Row],[flow]]-ws[[#This Row],[count]]),2)</f>
        <v>2116</v>
      </c>
      <c r="O239" s="80" t="e">
        <f>VLOOKUP(ws[[#This Row],[hwycov_id]],count!$A$630:$E$652,5,FALSE)</f>
        <v>#N/A</v>
      </c>
      <c r="P239" s="80">
        <v>247</v>
      </c>
    </row>
    <row r="240" spans="1:16" x14ac:dyDescent="0.25">
      <c r="A240" s="80">
        <v>8</v>
      </c>
      <c r="B240" s="6">
        <v>2</v>
      </c>
      <c r="C240" s="80">
        <v>8780</v>
      </c>
      <c r="D240" s="80">
        <v>1</v>
      </c>
      <c r="E240" s="80">
        <v>1</v>
      </c>
      <c r="F240" s="80" t="s">
        <v>405</v>
      </c>
      <c r="G240" s="79">
        <v>48.96</v>
      </c>
      <c r="H240" s="79">
        <v>0.51693299999999998</v>
      </c>
      <c r="I240" s="79" t="s">
        <v>84</v>
      </c>
      <c r="J240" s="79" t="s">
        <v>112</v>
      </c>
      <c r="K240" s="83">
        <f>VLOOKUP(ws[[#This Row],[hwycov_id]],count[],4,FALSE)</f>
        <v>21022</v>
      </c>
      <c r="L240" s="115">
        <f>VLOOKUP(ws[[#This Row],[hwycov_id]],flow0[],5,FALSE)</f>
        <v>21651</v>
      </c>
      <c r="M240" s="295">
        <f>ws[[#This Row],[flow]]/ws[[#This Row],[count]]-1</f>
        <v>2.9921035106079241E-2</v>
      </c>
      <c r="N240" s="296">
        <f>POWER((ws[[#This Row],[flow]]-ws[[#This Row],[count]]),2)</f>
        <v>395641</v>
      </c>
      <c r="O240" s="80" t="e">
        <f>VLOOKUP(ws[[#This Row],[hwycov_id]],count!$A$630:$E$652,5,FALSE)</f>
        <v>#N/A</v>
      </c>
      <c r="P240" s="80">
        <v>248</v>
      </c>
    </row>
    <row r="241" spans="1:16" x14ac:dyDescent="0.25">
      <c r="A241" s="80">
        <v>8</v>
      </c>
      <c r="B241" s="6">
        <v>2</v>
      </c>
      <c r="C241" s="80">
        <v>8787</v>
      </c>
      <c r="D241" s="80">
        <v>1</v>
      </c>
      <c r="E241" s="80">
        <v>1</v>
      </c>
      <c r="F241" s="80" t="s">
        <v>405</v>
      </c>
      <c r="G241" s="79">
        <v>50.4</v>
      </c>
      <c r="H241" s="79">
        <v>0.32855499999999999</v>
      </c>
      <c r="I241" s="79" t="s">
        <v>83</v>
      </c>
      <c r="J241" s="79" t="s">
        <v>83</v>
      </c>
      <c r="K241" s="83">
        <f>VLOOKUP(ws[[#This Row],[hwycov_id]],count[],4,FALSE)</f>
        <v>28451</v>
      </c>
      <c r="L241" s="115">
        <f>VLOOKUP(ws[[#This Row],[hwycov_id]],flow0[],5,FALSE)</f>
        <v>25193</v>
      </c>
      <c r="M241" s="295">
        <f>ws[[#This Row],[flow]]/ws[[#This Row],[count]]-1</f>
        <v>-0.11451267090787665</v>
      </c>
      <c r="N241" s="296">
        <f>POWER((ws[[#This Row],[flow]]-ws[[#This Row],[count]]),2)</f>
        <v>10614564</v>
      </c>
      <c r="O241" s="80" t="e">
        <f>VLOOKUP(ws[[#This Row],[hwycov_id]],count!$A$630:$E$652,5,FALSE)</f>
        <v>#N/A</v>
      </c>
      <c r="P241" s="80">
        <v>249</v>
      </c>
    </row>
    <row r="242" spans="1:16" x14ac:dyDescent="0.25">
      <c r="A242" s="80">
        <v>8</v>
      </c>
      <c r="B242" s="6">
        <v>2</v>
      </c>
      <c r="C242" s="80">
        <v>30816</v>
      </c>
      <c r="D242" s="80">
        <v>1</v>
      </c>
      <c r="E242" s="80">
        <v>1</v>
      </c>
      <c r="F242" s="80" t="s">
        <v>405</v>
      </c>
      <c r="G242" s="79">
        <v>51.36</v>
      </c>
      <c r="H242" s="79">
        <v>0.77202899999999997</v>
      </c>
      <c r="I242" s="79" t="s">
        <v>83</v>
      </c>
      <c r="J242" s="79" t="s">
        <v>406</v>
      </c>
      <c r="K242" s="83">
        <f>VLOOKUP(ws[[#This Row],[hwycov_id]],count[],4,FALSE)</f>
        <v>29375</v>
      </c>
      <c r="L242" s="115">
        <f>VLOOKUP(ws[[#This Row],[hwycov_id]],flow0[],5,FALSE)</f>
        <v>27562</v>
      </c>
      <c r="M242" s="295">
        <f>ws[[#This Row],[flow]]/ws[[#This Row],[count]]-1</f>
        <v>-6.1719148936170254E-2</v>
      </c>
      <c r="N242" s="296">
        <f>POWER((ws[[#This Row],[flow]]-ws[[#This Row],[count]]),2)</f>
        <v>3286969</v>
      </c>
      <c r="O242" s="80" t="e">
        <f>VLOOKUP(ws[[#This Row],[hwycov_id]],count!$A$630:$E$652,5,FALSE)</f>
        <v>#N/A</v>
      </c>
      <c r="P242" s="80">
        <v>250</v>
      </c>
    </row>
    <row r="243" spans="1:16" x14ac:dyDescent="0.25">
      <c r="A243" s="80">
        <v>8</v>
      </c>
      <c r="B243" s="6">
        <v>2</v>
      </c>
      <c r="C243" s="80">
        <v>10965</v>
      </c>
      <c r="D243" s="80">
        <v>1</v>
      </c>
      <c r="E243" s="80">
        <v>1</v>
      </c>
      <c r="F243" s="80" t="s">
        <v>405</v>
      </c>
      <c r="G243" s="79">
        <v>53.64</v>
      </c>
      <c r="H243" s="79">
        <v>0.156635</v>
      </c>
      <c r="I243" s="79" t="s">
        <v>81</v>
      </c>
      <c r="J243" s="79" t="s">
        <v>81</v>
      </c>
      <c r="K243" s="83">
        <f>VLOOKUP(ws[[#This Row],[hwycov_id]],count[],4,FALSE)</f>
        <v>21538</v>
      </c>
      <c r="L243" s="115">
        <f>VLOOKUP(ws[[#This Row],[hwycov_id]],flow0[],5,FALSE)</f>
        <v>22654</v>
      </c>
      <c r="M243" s="295">
        <f>ws[[#This Row],[flow]]/ws[[#This Row],[count]]-1</f>
        <v>5.1815396044200934E-2</v>
      </c>
      <c r="N243" s="296">
        <f>POWER((ws[[#This Row],[flow]]-ws[[#This Row],[count]]),2)</f>
        <v>1245456</v>
      </c>
      <c r="O243" s="80" t="e">
        <f>VLOOKUP(ws[[#This Row],[hwycov_id]],count!$A$630:$E$652,5,FALSE)</f>
        <v>#N/A</v>
      </c>
      <c r="P243" s="80">
        <v>251</v>
      </c>
    </row>
    <row r="244" spans="1:16" x14ac:dyDescent="0.25">
      <c r="A244" s="80">
        <v>8</v>
      </c>
      <c r="B244" s="6">
        <v>2</v>
      </c>
      <c r="C244" s="80">
        <v>10968</v>
      </c>
      <c r="D244" s="80">
        <v>1</v>
      </c>
      <c r="E244" s="80">
        <v>1</v>
      </c>
      <c r="F244" s="80" t="s">
        <v>405</v>
      </c>
      <c r="G244" s="79">
        <v>54.07</v>
      </c>
      <c r="H244" s="79">
        <v>0.28269</v>
      </c>
      <c r="I244" s="79" t="s">
        <v>113</v>
      </c>
      <c r="J244" s="79" t="s">
        <v>114</v>
      </c>
      <c r="K244" s="83">
        <f>VLOOKUP(ws[[#This Row],[hwycov_id]],count[],4,FALSE)</f>
        <v>21111</v>
      </c>
      <c r="L244" s="115">
        <f>VLOOKUP(ws[[#This Row],[hwycov_id]],flow0[],5,FALSE)</f>
        <v>22946</v>
      </c>
      <c r="M244" s="295">
        <f>ws[[#This Row],[flow]]/ws[[#This Row],[count]]-1</f>
        <v>8.6921510113211031E-2</v>
      </c>
      <c r="N244" s="296">
        <f>POWER((ws[[#This Row],[flow]]-ws[[#This Row],[count]]),2)</f>
        <v>3367225</v>
      </c>
      <c r="O244" s="80" t="e">
        <f>VLOOKUP(ws[[#This Row],[hwycov_id]],count!$A$630:$E$652,5,FALSE)</f>
        <v>#N/A</v>
      </c>
      <c r="P244" s="80">
        <v>252</v>
      </c>
    </row>
    <row r="245" spans="1:16" x14ac:dyDescent="0.25">
      <c r="A245" s="80">
        <v>8</v>
      </c>
      <c r="B245" s="6">
        <v>2</v>
      </c>
      <c r="C245" s="80">
        <v>20693</v>
      </c>
      <c r="D245" s="80">
        <v>1</v>
      </c>
      <c r="E245" s="80">
        <v>1</v>
      </c>
      <c r="F245" s="80" t="s">
        <v>405</v>
      </c>
      <c r="G245" s="79">
        <v>54.39</v>
      </c>
      <c r="H245" s="79">
        <v>0.31706400000000001</v>
      </c>
      <c r="I245" s="79" t="s">
        <v>114</v>
      </c>
      <c r="J245" s="79" t="s">
        <v>113</v>
      </c>
      <c r="K245" s="83">
        <f>VLOOKUP(ws[[#This Row],[hwycov_id]],count[],4,FALSE)</f>
        <v>14021</v>
      </c>
      <c r="L245" s="115">
        <f>VLOOKUP(ws[[#This Row],[hwycov_id]],flow0[],5,FALSE)</f>
        <v>19430</v>
      </c>
      <c r="M245" s="295">
        <f>ws[[#This Row],[flow]]/ws[[#This Row],[count]]-1</f>
        <v>0.3857784751444262</v>
      </c>
      <c r="N245" s="296">
        <f>POWER((ws[[#This Row],[flow]]-ws[[#This Row],[count]]),2)</f>
        <v>29257281</v>
      </c>
      <c r="O245" s="80" t="e">
        <f>VLOOKUP(ws[[#This Row],[hwycov_id]],count!$A$630:$E$652,5,FALSE)</f>
        <v>#N/A</v>
      </c>
      <c r="P245" s="80">
        <v>253</v>
      </c>
    </row>
    <row r="246" spans="1:16" x14ac:dyDescent="0.25">
      <c r="A246" s="80">
        <v>8</v>
      </c>
      <c r="B246" s="6">
        <v>2</v>
      </c>
      <c r="C246" s="80">
        <v>20694</v>
      </c>
      <c r="D246" s="80">
        <v>1</v>
      </c>
      <c r="E246" s="80">
        <v>1</v>
      </c>
      <c r="F246" s="80" t="s">
        <v>405</v>
      </c>
      <c r="G246" s="79">
        <v>54.94</v>
      </c>
      <c r="H246" s="79">
        <v>0.55152000000000001</v>
      </c>
      <c r="I246" s="79" t="s">
        <v>113</v>
      </c>
      <c r="J246" s="79" t="s">
        <v>79</v>
      </c>
      <c r="K246" s="83">
        <f>VLOOKUP(ws[[#This Row],[hwycov_id]],count[],4,FALSE)</f>
        <v>16676</v>
      </c>
      <c r="L246" s="115">
        <f>VLOOKUP(ws[[#This Row],[hwycov_id]],flow0[],5,FALSE)</f>
        <v>21001</v>
      </c>
      <c r="M246" s="295">
        <f>ws[[#This Row],[flow]]/ws[[#This Row],[count]]-1</f>
        <v>0.25935476133365309</v>
      </c>
      <c r="N246" s="296">
        <f>POWER((ws[[#This Row],[flow]]-ws[[#This Row],[count]]),2)</f>
        <v>18705625</v>
      </c>
      <c r="O246" s="80" t="e">
        <f>VLOOKUP(ws[[#This Row],[hwycov_id]],count!$A$630:$E$652,5,FALSE)</f>
        <v>#N/A</v>
      </c>
      <c r="P246" s="80">
        <v>254</v>
      </c>
    </row>
    <row r="247" spans="1:16" x14ac:dyDescent="0.25">
      <c r="A247" s="80">
        <v>8</v>
      </c>
      <c r="B247" s="6">
        <v>2</v>
      </c>
      <c r="C247" s="80">
        <v>16578</v>
      </c>
      <c r="D247" s="80">
        <v>1</v>
      </c>
      <c r="E247" s="80">
        <v>1</v>
      </c>
      <c r="F247" s="80" t="s">
        <v>405</v>
      </c>
      <c r="G247" s="79">
        <v>55.22</v>
      </c>
      <c r="H247" s="79">
        <v>0.278387</v>
      </c>
      <c r="I247" s="79" t="s">
        <v>79</v>
      </c>
      <c r="J247" s="79" t="s">
        <v>114</v>
      </c>
      <c r="K247" s="83">
        <f>VLOOKUP(ws[[#This Row],[hwycov_id]],count[],4,FALSE)</f>
        <v>21652</v>
      </c>
      <c r="L247" s="115">
        <f>VLOOKUP(ws[[#This Row],[hwycov_id]],flow0[],5,FALSE)</f>
        <v>27968</v>
      </c>
      <c r="M247" s="295">
        <f>ws[[#This Row],[flow]]/ws[[#This Row],[count]]-1</f>
        <v>0.29170515425826715</v>
      </c>
      <c r="N247" s="296">
        <f>POWER((ws[[#This Row],[flow]]-ws[[#This Row],[count]]),2)</f>
        <v>39891856</v>
      </c>
      <c r="O247" s="80" t="e">
        <f>VLOOKUP(ws[[#This Row],[hwycov_id]],count!$A$630:$E$652,5,FALSE)</f>
        <v>#N/A</v>
      </c>
      <c r="P247" s="80">
        <v>255</v>
      </c>
    </row>
    <row r="248" spans="1:16" x14ac:dyDescent="0.25">
      <c r="A248" s="80">
        <v>8</v>
      </c>
      <c r="B248" s="6">
        <v>2</v>
      </c>
      <c r="C248" s="80">
        <v>20700</v>
      </c>
      <c r="D248" s="80">
        <v>1</v>
      </c>
      <c r="E248" s="80">
        <v>1</v>
      </c>
      <c r="F248" s="80" t="s">
        <v>405</v>
      </c>
      <c r="G248" s="79">
        <v>55.82</v>
      </c>
      <c r="H248" s="79">
        <v>0.28253600000000001</v>
      </c>
      <c r="I248" s="79" t="s">
        <v>115</v>
      </c>
      <c r="J248" s="79" t="s">
        <v>116</v>
      </c>
      <c r="K248" s="83">
        <f>VLOOKUP(ws[[#This Row],[hwycov_id]],count[],4,FALSE)</f>
        <v>19386</v>
      </c>
      <c r="L248" s="115">
        <f>VLOOKUP(ws[[#This Row],[hwycov_id]],flow0[],5,FALSE)</f>
        <v>25700</v>
      </c>
      <c r="M248" s="295">
        <f>ws[[#This Row],[flow]]/ws[[#This Row],[count]]-1</f>
        <v>0.32569895801093574</v>
      </c>
      <c r="N248" s="296">
        <f>POWER((ws[[#This Row],[flow]]-ws[[#This Row],[count]]),2)</f>
        <v>39866596</v>
      </c>
      <c r="O248" s="80" t="e">
        <f>VLOOKUP(ws[[#This Row],[hwycov_id]],count!$A$630:$E$652,5,FALSE)</f>
        <v>#N/A</v>
      </c>
      <c r="P248" s="80">
        <v>256</v>
      </c>
    </row>
    <row r="249" spans="1:16" x14ac:dyDescent="0.25">
      <c r="A249" s="80">
        <v>8</v>
      </c>
      <c r="B249" s="6">
        <v>2</v>
      </c>
      <c r="C249" s="80">
        <v>27834</v>
      </c>
      <c r="D249" s="80">
        <v>1</v>
      </c>
      <c r="E249" s="80">
        <v>1</v>
      </c>
      <c r="F249" s="80" t="s">
        <v>405</v>
      </c>
      <c r="G249" s="79">
        <v>56.38</v>
      </c>
      <c r="H249" s="79">
        <v>0.19155800000000001</v>
      </c>
      <c r="I249" s="79">
        <v>0</v>
      </c>
      <c r="J249" s="79" t="s">
        <v>117</v>
      </c>
      <c r="K249" s="83">
        <f>VLOOKUP(ws[[#This Row],[hwycov_id]],count[],4,FALSE)</f>
        <v>25184</v>
      </c>
      <c r="L249" s="115">
        <f>VLOOKUP(ws[[#This Row],[hwycov_id]],flow0[],5,FALSE)</f>
        <v>32269</v>
      </c>
      <c r="M249" s="295">
        <f>ws[[#This Row],[flow]]/ws[[#This Row],[count]]-1</f>
        <v>0.28132941550190593</v>
      </c>
      <c r="N249" s="296">
        <f>POWER((ws[[#This Row],[flow]]-ws[[#This Row],[count]]),2)</f>
        <v>50197225</v>
      </c>
      <c r="O249" s="80" t="e">
        <f>VLOOKUP(ws[[#This Row],[hwycov_id]],count!$A$630:$E$652,5,FALSE)</f>
        <v>#N/A</v>
      </c>
      <c r="P249" s="80">
        <v>257</v>
      </c>
    </row>
    <row r="250" spans="1:16" x14ac:dyDescent="0.25">
      <c r="A250" s="80">
        <v>8</v>
      </c>
      <c r="B250" s="6">
        <v>2</v>
      </c>
      <c r="C250" s="80">
        <v>27824</v>
      </c>
      <c r="D250" s="80">
        <v>1</v>
      </c>
      <c r="E250" s="80">
        <v>1</v>
      </c>
      <c r="F250" s="80" t="s">
        <v>405</v>
      </c>
      <c r="G250" s="79">
        <v>56.75</v>
      </c>
      <c r="H250" s="79">
        <v>0.117505</v>
      </c>
      <c r="I250" s="79" t="s">
        <v>73</v>
      </c>
      <c r="J250" s="79" t="s">
        <v>18</v>
      </c>
      <c r="K250" s="83">
        <f>VLOOKUP(ws[[#This Row],[hwycov_id]],count[],4,FALSE)</f>
        <v>26000</v>
      </c>
      <c r="L250" s="115">
        <f>VLOOKUP(ws[[#This Row],[hwycov_id]],flow0[],5,FALSE)</f>
        <v>30446</v>
      </c>
      <c r="M250" s="295">
        <f>ws[[#This Row],[flow]]/ws[[#This Row],[count]]-1</f>
        <v>0.17100000000000004</v>
      </c>
      <c r="N250" s="296">
        <f>POWER((ws[[#This Row],[flow]]-ws[[#This Row],[count]]),2)</f>
        <v>19766916</v>
      </c>
      <c r="O250" s="80" t="e">
        <f>VLOOKUP(ws[[#This Row],[hwycov_id]],count!$A$630:$E$652,5,FALSE)</f>
        <v>#N/A</v>
      </c>
      <c r="P250" s="80">
        <v>258</v>
      </c>
    </row>
    <row r="251" spans="1:16" x14ac:dyDescent="0.25">
      <c r="A251" s="80">
        <v>8</v>
      </c>
      <c r="B251" s="6">
        <v>2</v>
      </c>
      <c r="C251" s="80">
        <v>20709</v>
      </c>
      <c r="D251" s="80">
        <v>1</v>
      </c>
      <c r="E251" s="80">
        <v>1</v>
      </c>
      <c r="F251" s="80" t="s">
        <v>405</v>
      </c>
      <c r="G251" s="79">
        <v>57.59</v>
      </c>
      <c r="H251" s="79">
        <v>0.180286</v>
      </c>
      <c r="I251" s="79" t="s">
        <v>73</v>
      </c>
      <c r="J251" s="79" t="s">
        <v>118</v>
      </c>
      <c r="K251" s="83">
        <f>VLOOKUP(ws[[#This Row],[hwycov_id]],count[],4,FALSE)</f>
        <v>20376</v>
      </c>
      <c r="L251" s="115">
        <f>VLOOKUP(ws[[#This Row],[hwycov_id]],flow0[],5,FALSE)</f>
        <v>29122</v>
      </c>
      <c r="M251" s="295">
        <f>ws[[#This Row],[flow]]/ws[[#This Row],[count]]-1</f>
        <v>0.42923046721633296</v>
      </c>
      <c r="N251" s="296">
        <f>POWER((ws[[#This Row],[flow]]-ws[[#This Row],[count]]),2)</f>
        <v>76492516</v>
      </c>
      <c r="O251" s="80" t="e">
        <f>VLOOKUP(ws[[#This Row],[hwycov_id]],count!$A$630:$E$652,5,FALSE)</f>
        <v>#N/A</v>
      </c>
      <c r="P251" s="80">
        <v>260</v>
      </c>
    </row>
    <row r="252" spans="1:16" x14ac:dyDescent="0.25">
      <c r="A252" s="80">
        <v>8</v>
      </c>
      <c r="B252" s="6">
        <v>2</v>
      </c>
      <c r="C252" s="80">
        <v>27806</v>
      </c>
      <c r="D252" s="80">
        <v>1</v>
      </c>
      <c r="E252" s="80">
        <v>1</v>
      </c>
      <c r="F252" s="80" t="s">
        <v>405</v>
      </c>
      <c r="G252" s="79">
        <v>57.7</v>
      </c>
      <c r="H252" s="79">
        <v>0.11060200000000001</v>
      </c>
      <c r="I252" s="79" t="s">
        <v>118</v>
      </c>
      <c r="J252" s="79" t="s">
        <v>27</v>
      </c>
      <c r="K252" s="83">
        <f>VLOOKUP(ws[[#This Row],[hwycov_id]],count[],4,FALSE)</f>
        <v>22374</v>
      </c>
      <c r="L252" s="115">
        <f>VLOOKUP(ws[[#This Row],[hwycov_id]],flow0[],5,FALSE)</f>
        <v>30725</v>
      </c>
      <c r="M252" s="295">
        <f>ws[[#This Row],[flow]]/ws[[#This Row],[count]]-1</f>
        <v>0.37324573165281127</v>
      </c>
      <c r="N252" s="296">
        <f>POWER((ws[[#This Row],[flow]]-ws[[#This Row],[count]]),2)</f>
        <v>69739201</v>
      </c>
      <c r="O252" s="80" t="e">
        <f>VLOOKUP(ws[[#This Row],[hwycov_id]],count!$A$630:$E$652,5,FALSE)</f>
        <v>#N/A</v>
      </c>
      <c r="P252" s="80">
        <v>261</v>
      </c>
    </row>
    <row r="253" spans="1:16" x14ac:dyDescent="0.25">
      <c r="A253" s="80">
        <v>8</v>
      </c>
      <c r="B253" s="6">
        <v>2</v>
      </c>
      <c r="C253" s="80">
        <v>28745</v>
      </c>
      <c r="D253" s="80">
        <v>1</v>
      </c>
      <c r="E253" s="80">
        <v>1</v>
      </c>
      <c r="F253" s="80" t="s">
        <v>405</v>
      </c>
      <c r="G253" s="79">
        <v>58.84</v>
      </c>
      <c r="H253" s="79">
        <v>0.16411899999999999</v>
      </c>
      <c r="I253" s="79" t="s">
        <v>72</v>
      </c>
      <c r="J253" s="79" t="s">
        <v>69</v>
      </c>
      <c r="K253" s="83">
        <f>VLOOKUP(ws[[#This Row],[hwycov_id]],count[],4,FALSE)</f>
        <v>18868</v>
      </c>
      <c r="L253" s="115">
        <f>VLOOKUP(ws[[#This Row],[hwycov_id]],flow0[],5,FALSE)</f>
        <v>31339</v>
      </c>
      <c r="M253" s="295">
        <f>ws[[#This Row],[flow]]/ws[[#This Row],[count]]-1</f>
        <v>0.66096035615857529</v>
      </c>
      <c r="N253" s="296">
        <f>POWER((ws[[#This Row],[flow]]-ws[[#This Row],[count]]),2)</f>
        <v>155525841</v>
      </c>
      <c r="O253" s="80" t="e">
        <f>VLOOKUP(ws[[#This Row],[hwycov_id]],count!$A$630:$E$652,5,FALSE)</f>
        <v>#N/A</v>
      </c>
      <c r="P253" s="80">
        <v>263</v>
      </c>
    </row>
    <row r="254" spans="1:16" x14ac:dyDescent="0.25">
      <c r="A254" s="80">
        <v>8</v>
      </c>
      <c r="B254" s="6">
        <v>2</v>
      </c>
      <c r="C254" s="80">
        <v>20711</v>
      </c>
      <c r="D254" s="80">
        <v>1</v>
      </c>
      <c r="E254" s="80">
        <v>1</v>
      </c>
      <c r="F254" s="80" t="s">
        <v>405</v>
      </c>
      <c r="G254" s="79">
        <v>59.35</v>
      </c>
      <c r="H254" s="79">
        <v>0.50443000000000005</v>
      </c>
      <c r="I254" s="79" t="s">
        <v>69</v>
      </c>
      <c r="J254" s="79" t="s">
        <v>120</v>
      </c>
      <c r="K254" s="83">
        <f>VLOOKUP(ws[[#This Row],[hwycov_id]],count[],4,FALSE)</f>
        <v>20899</v>
      </c>
      <c r="L254" s="115">
        <f>VLOOKUP(ws[[#This Row],[hwycov_id]],flow0[],5,FALSE)</f>
        <v>28341</v>
      </c>
      <c r="M254" s="295">
        <f>ws[[#This Row],[flow]]/ws[[#This Row],[count]]-1</f>
        <v>0.35609359299488008</v>
      </c>
      <c r="N254" s="296">
        <f>POWER((ws[[#This Row],[flow]]-ws[[#This Row],[count]]),2)</f>
        <v>55383364</v>
      </c>
      <c r="O254" s="80" t="e">
        <f>VLOOKUP(ws[[#This Row],[hwycov_id]],count!$A$630:$E$652,5,FALSE)</f>
        <v>#N/A</v>
      </c>
      <c r="P254" s="80">
        <v>264</v>
      </c>
    </row>
    <row r="255" spans="1:16" x14ac:dyDescent="0.25">
      <c r="A255" s="80">
        <v>8</v>
      </c>
      <c r="B255" s="6">
        <v>2</v>
      </c>
      <c r="C255" s="80">
        <v>28736</v>
      </c>
      <c r="D255" s="80">
        <v>1</v>
      </c>
      <c r="E255" s="80">
        <v>1</v>
      </c>
      <c r="F255" s="80" t="s">
        <v>405</v>
      </c>
      <c r="G255" s="79">
        <v>59.71</v>
      </c>
      <c r="H255" s="79">
        <v>0.36168299999999998</v>
      </c>
      <c r="I255" s="79" t="s">
        <v>120</v>
      </c>
      <c r="J255" s="79" t="s">
        <v>57</v>
      </c>
      <c r="K255" s="83">
        <f>VLOOKUP(ws[[#This Row],[hwycov_id]],count[],4,FALSE)</f>
        <v>22846</v>
      </c>
      <c r="L255" s="115">
        <f>VLOOKUP(ws[[#This Row],[hwycov_id]],flow0[],5,FALSE)</f>
        <v>29373</v>
      </c>
      <c r="M255" s="295">
        <f>ws[[#This Row],[flow]]/ws[[#This Row],[count]]-1</f>
        <v>0.2856955265692025</v>
      </c>
      <c r="N255" s="296">
        <f>POWER((ws[[#This Row],[flow]]-ws[[#This Row],[count]]),2)</f>
        <v>42601729</v>
      </c>
      <c r="O255" s="80" t="e">
        <f>VLOOKUP(ws[[#This Row],[hwycov_id]],count!$A$630:$E$652,5,FALSE)</f>
        <v>#N/A</v>
      </c>
      <c r="P255" s="80">
        <v>265</v>
      </c>
    </row>
    <row r="256" spans="1:16" x14ac:dyDescent="0.25">
      <c r="A256" s="80">
        <v>8</v>
      </c>
      <c r="B256" s="6">
        <v>2</v>
      </c>
      <c r="C256" s="80">
        <v>27781</v>
      </c>
      <c r="D256" s="80">
        <v>1</v>
      </c>
      <c r="E256" s="80">
        <v>1</v>
      </c>
      <c r="F256" s="80" t="s">
        <v>405</v>
      </c>
      <c r="G256" s="79">
        <v>60.35</v>
      </c>
      <c r="H256" s="79">
        <v>0.30785299999999999</v>
      </c>
      <c r="I256" s="79" t="s">
        <v>57</v>
      </c>
      <c r="J256" s="79" t="s">
        <v>68</v>
      </c>
      <c r="K256" s="83">
        <f>VLOOKUP(ws[[#This Row],[hwycov_id]],count[],4,FALSE)</f>
        <v>17359</v>
      </c>
      <c r="L256" s="115">
        <f>VLOOKUP(ws[[#This Row],[hwycov_id]],flow0[],5,FALSE)</f>
        <v>23871</v>
      </c>
      <c r="M256" s="295">
        <f>ws[[#This Row],[flow]]/ws[[#This Row],[count]]-1</f>
        <v>0.37513681663690313</v>
      </c>
      <c r="N256" s="296">
        <f>POWER((ws[[#This Row],[flow]]-ws[[#This Row],[count]]),2)</f>
        <v>42406144</v>
      </c>
      <c r="O256" s="80" t="e">
        <f>VLOOKUP(ws[[#This Row],[hwycov_id]],count!$A$630:$E$652,5,FALSE)</f>
        <v>#N/A</v>
      </c>
      <c r="P256" s="80">
        <v>266</v>
      </c>
    </row>
    <row r="257" spans="1:16" x14ac:dyDescent="0.25">
      <c r="A257" s="80">
        <v>8</v>
      </c>
      <c r="B257" s="6">
        <v>2</v>
      </c>
      <c r="C257" s="80">
        <v>20717</v>
      </c>
      <c r="D257" s="80">
        <v>1</v>
      </c>
      <c r="E257" s="80">
        <v>1</v>
      </c>
      <c r="F257" s="80" t="s">
        <v>405</v>
      </c>
      <c r="G257" s="79">
        <v>60.99</v>
      </c>
      <c r="H257" s="79">
        <v>0.640656</v>
      </c>
      <c r="I257" s="79" t="s">
        <v>68</v>
      </c>
      <c r="J257" s="79" t="s">
        <v>57</v>
      </c>
      <c r="K257" s="83">
        <f>VLOOKUP(ws[[#This Row],[hwycov_id]],count[],4,FALSE)</f>
        <v>21818</v>
      </c>
      <c r="L257" s="115">
        <f>VLOOKUP(ws[[#This Row],[hwycov_id]],flow0[],5,FALSE)</f>
        <v>31415</v>
      </c>
      <c r="M257" s="295">
        <f>ws[[#This Row],[flow]]/ws[[#This Row],[count]]-1</f>
        <v>0.43986616555137958</v>
      </c>
      <c r="N257" s="296">
        <f>POWER((ws[[#This Row],[flow]]-ws[[#This Row],[count]]),2)</f>
        <v>92102409</v>
      </c>
      <c r="O257" s="80" t="e">
        <f>VLOOKUP(ws[[#This Row],[hwycov_id]],count!$A$630:$E$652,5,FALSE)</f>
        <v>#N/A</v>
      </c>
      <c r="P257" s="80">
        <v>267</v>
      </c>
    </row>
    <row r="258" spans="1:16" x14ac:dyDescent="0.25">
      <c r="A258" s="80">
        <v>8</v>
      </c>
      <c r="B258" s="6">
        <v>2</v>
      </c>
      <c r="C258" s="80">
        <v>28726</v>
      </c>
      <c r="D258" s="80">
        <v>1</v>
      </c>
      <c r="E258" s="80">
        <v>1</v>
      </c>
      <c r="F258" s="80" t="s">
        <v>405</v>
      </c>
      <c r="G258" s="79">
        <v>61.25</v>
      </c>
      <c r="H258" s="79">
        <v>0.26526100000000002</v>
      </c>
      <c r="I258" s="79" t="s">
        <v>57</v>
      </c>
      <c r="J258" s="79" t="s">
        <v>407</v>
      </c>
      <c r="K258" s="83">
        <f>VLOOKUP(ws[[#This Row],[hwycov_id]],count[],4,FALSE)</f>
        <v>28405</v>
      </c>
      <c r="L258" s="115">
        <f>VLOOKUP(ws[[#This Row],[hwycov_id]],flow0[],5,FALSE)</f>
        <v>32660</v>
      </c>
      <c r="M258" s="295">
        <f>ws[[#This Row],[flow]]/ws[[#This Row],[count]]-1</f>
        <v>0.1497975708502024</v>
      </c>
      <c r="N258" s="296">
        <f>POWER((ws[[#This Row],[flow]]-ws[[#This Row],[count]]),2)</f>
        <v>18105025</v>
      </c>
      <c r="O258" s="80" t="e">
        <f>VLOOKUP(ws[[#This Row],[hwycov_id]],count!$A$630:$E$652,5,FALSE)</f>
        <v>#N/A</v>
      </c>
      <c r="P258" s="80">
        <v>268</v>
      </c>
    </row>
    <row r="259" spans="1:16" x14ac:dyDescent="0.25">
      <c r="A259" s="80">
        <v>8</v>
      </c>
      <c r="B259" s="6">
        <v>2</v>
      </c>
      <c r="C259" s="80">
        <v>28717</v>
      </c>
      <c r="D259" s="80">
        <v>1</v>
      </c>
      <c r="E259" s="80">
        <v>1</v>
      </c>
      <c r="F259" s="80" t="s">
        <v>405</v>
      </c>
      <c r="G259" s="79">
        <v>61.66</v>
      </c>
      <c r="H259" s="79">
        <v>0.12891</v>
      </c>
      <c r="I259" s="79" t="s">
        <v>66</v>
      </c>
      <c r="J259" s="79" t="s">
        <v>66</v>
      </c>
      <c r="K259" s="83">
        <f>VLOOKUP(ws[[#This Row],[hwycov_id]],count[],4,FALSE)</f>
        <v>25081</v>
      </c>
      <c r="L259" s="115">
        <f>VLOOKUP(ws[[#This Row],[hwycov_id]],flow0[],5,FALSE)</f>
        <v>29607</v>
      </c>
      <c r="M259" s="295">
        <f>ws[[#This Row],[flow]]/ws[[#This Row],[count]]-1</f>
        <v>0.18045532474781711</v>
      </c>
      <c r="N259" s="296">
        <f>POWER((ws[[#This Row],[flow]]-ws[[#This Row],[count]]),2)</f>
        <v>20484676</v>
      </c>
      <c r="O259" s="80" t="e">
        <f>VLOOKUP(ws[[#This Row],[hwycov_id]],count!$A$630:$E$652,5,FALSE)</f>
        <v>#N/A</v>
      </c>
      <c r="P259" s="80">
        <v>269</v>
      </c>
    </row>
    <row r="260" spans="1:16" x14ac:dyDescent="0.25">
      <c r="A260" s="80">
        <v>8</v>
      </c>
      <c r="B260" s="6">
        <v>2</v>
      </c>
      <c r="C260" s="80">
        <v>28706</v>
      </c>
      <c r="D260" s="80">
        <v>1</v>
      </c>
      <c r="E260" s="80">
        <v>1</v>
      </c>
      <c r="F260" s="80" t="s">
        <v>405</v>
      </c>
      <c r="G260" s="79">
        <v>62.56</v>
      </c>
      <c r="H260" s="79">
        <v>0.42274800000000001</v>
      </c>
      <c r="I260" s="79" t="s">
        <v>65</v>
      </c>
      <c r="J260" s="79" t="s">
        <v>65</v>
      </c>
      <c r="K260" s="83">
        <f>VLOOKUP(ws[[#This Row],[hwycov_id]],count[],4,FALSE)</f>
        <v>22009</v>
      </c>
      <c r="L260" s="115">
        <f>VLOOKUP(ws[[#This Row],[hwycov_id]],flow0[],5,FALSE)</f>
        <v>28558</v>
      </c>
      <c r="M260" s="295">
        <f>ws[[#This Row],[flow]]/ws[[#This Row],[count]]-1</f>
        <v>0.29756008905447762</v>
      </c>
      <c r="N260" s="296">
        <f>POWER((ws[[#This Row],[flow]]-ws[[#This Row],[count]]),2)</f>
        <v>42889401</v>
      </c>
      <c r="O260" s="80" t="e">
        <f>VLOOKUP(ws[[#This Row],[hwycov_id]],count!$A$630:$E$652,5,FALSE)</f>
        <v>#N/A</v>
      </c>
      <c r="P260" s="80">
        <v>270</v>
      </c>
    </row>
    <row r="261" spans="1:16" x14ac:dyDescent="0.25">
      <c r="A261" s="80">
        <v>8</v>
      </c>
      <c r="B261" s="6">
        <v>2</v>
      </c>
      <c r="C261" s="80">
        <v>27951</v>
      </c>
      <c r="D261" s="80">
        <v>1</v>
      </c>
      <c r="E261" s="80">
        <v>1</v>
      </c>
      <c r="F261" s="80" t="s">
        <v>405</v>
      </c>
      <c r="G261" s="79">
        <v>63.59</v>
      </c>
      <c r="H261" s="79">
        <v>0.39491399999999999</v>
      </c>
      <c r="I261" s="79" t="s">
        <v>64</v>
      </c>
      <c r="J261" s="79" t="s">
        <v>62</v>
      </c>
      <c r="K261" s="83">
        <f>VLOOKUP(ws[[#This Row],[hwycov_id]],count[],4,FALSE)</f>
        <v>18388</v>
      </c>
      <c r="L261" s="115">
        <f>VLOOKUP(ws[[#This Row],[hwycov_id]],flow0[],5,FALSE)</f>
        <v>21680</v>
      </c>
      <c r="M261" s="295">
        <f>ws[[#This Row],[flow]]/ws[[#This Row],[count]]-1</f>
        <v>0.17902980204481178</v>
      </c>
      <c r="N261" s="296">
        <f>POWER((ws[[#This Row],[flow]]-ws[[#This Row],[count]]),2)</f>
        <v>10837264</v>
      </c>
      <c r="O261" s="80" t="e">
        <f>VLOOKUP(ws[[#This Row],[hwycov_id]],count!$A$630:$E$652,5,FALSE)</f>
        <v>#N/A</v>
      </c>
      <c r="P261" s="80">
        <v>271</v>
      </c>
    </row>
    <row r="262" spans="1:16" x14ac:dyDescent="0.25">
      <c r="A262" s="80">
        <v>8</v>
      </c>
      <c r="B262" s="6">
        <v>2</v>
      </c>
      <c r="C262" s="80">
        <v>27952</v>
      </c>
      <c r="D262" s="80">
        <v>1</v>
      </c>
      <c r="E262" s="80">
        <v>1</v>
      </c>
      <c r="F262" s="80" t="s">
        <v>405</v>
      </c>
      <c r="G262" s="79">
        <v>63.94</v>
      </c>
      <c r="H262" s="79">
        <v>0.34267999999999998</v>
      </c>
      <c r="I262" s="79" t="s">
        <v>62</v>
      </c>
      <c r="J262" s="79" t="s">
        <v>62</v>
      </c>
      <c r="K262" s="83">
        <f>VLOOKUP(ws[[#This Row],[hwycov_id]],count[],4,FALSE)</f>
        <v>22546</v>
      </c>
      <c r="L262" s="115">
        <f>VLOOKUP(ws[[#This Row],[hwycov_id]],flow0[],5,FALSE)</f>
        <v>25748</v>
      </c>
      <c r="M262" s="295">
        <f>ws[[#This Row],[flow]]/ws[[#This Row],[count]]-1</f>
        <v>0.14202075756231713</v>
      </c>
      <c r="N262" s="296">
        <f>POWER((ws[[#This Row],[flow]]-ws[[#This Row],[count]]),2)</f>
        <v>10252804</v>
      </c>
      <c r="O262" s="80" t="e">
        <f>VLOOKUP(ws[[#This Row],[hwycov_id]],count!$A$630:$E$652,5,FALSE)</f>
        <v>#N/A</v>
      </c>
      <c r="P262" s="80">
        <v>272</v>
      </c>
    </row>
    <row r="263" spans="1:16" x14ac:dyDescent="0.25">
      <c r="A263" s="80">
        <v>8</v>
      </c>
      <c r="B263" s="6">
        <v>2</v>
      </c>
      <c r="C263" s="80">
        <v>27940</v>
      </c>
      <c r="D263" s="80">
        <v>1</v>
      </c>
      <c r="E263" s="80">
        <v>1</v>
      </c>
      <c r="F263" s="80" t="s">
        <v>405</v>
      </c>
      <c r="G263" s="79">
        <v>64.84</v>
      </c>
      <c r="H263" s="79">
        <v>0.42242499999999999</v>
      </c>
      <c r="I263" s="79" t="s">
        <v>61</v>
      </c>
      <c r="J263" s="79" t="s">
        <v>61</v>
      </c>
      <c r="K263" s="83">
        <f>VLOOKUP(ws[[#This Row],[hwycov_id]],count[],4,FALSE)</f>
        <v>22228</v>
      </c>
      <c r="L263" s="115">
        <f>VLOOKUP(ws[[#This Row],[hwycov_id]],flow0[],5,FALSE)</f>
        <v>23828</v>
      </c>
      <c r="M263" s="295">
        <f>ws[[#This Row],[flow]]/ws[[#This Row],[count]]-1</f>
        <v>7.1981284865934914E-2</v>
      </c>
      <c r="N263" s="296">
        <f>POWER((ws[[#This Row],[flow]]-ws[[#This Row],[count]]),2)</f>
        <v>2560000</v>
      </c>
      <c r="O263" s="80" t="e">
        <f>VLOOKUP(ws[[#This Row],[hwycov_id]],count!$A$630:$E$652,5,FALSE)</f>
        <v>#N/A</v>
      </c>
      <c r="P263" s="80">
        <v>273</v>
      </c>
    </row>
    <row r="264" spans="1:16" x14ac:dyDescent="0.25">
      <c r="A264" s="80">
        <v>8</v>
      </c>
      <c r="B264" s="6">
        <v>2</v>
      </c>
      <c r="C264" s="80">
        <v>27934</v>
      </c>
      <c r="D264" s="80">
        <v>1</v>
      </c>
      <c r="E264" s="80">
        <v>1</v>
      </c>
      <c r="F264" s="80" t="s">
        <v>405</v>
      </c>
      <c r="G264" s="79">
        <v>65.349999999999994</v>
      </c>
      <c r="H264" s="79">
        <v>0.394011</v>
      </c>
      <c r="I264" s="79" t="s">
        <v>60</v>
      </c>
      <c r="J264" s="79" t="s">
        <v>60</v>
      </c>
      <c r="K264" s="83">
        <f>VLOOKUP(ws[[#This Row],[hwycov_id]],count[],4,FALSE)</f>
        <v>20041</v>
      </c>
      <c r="L264" s="115">
        <f>VLOOKUP(ws[[#This Row],[hwycov_id]],flow0[],5,FALSE)</f>
        <v>22992</v>
      </c>
      <c r="M264" s="295">
        <f>ws[[#This Row],[flow]]/ws[[#This Row],[count]]-1</f>
        <v>0.14724814131031394</v>
      </c>
      <c r="N264" s="296">
        <f>POWER((ws[[#This Row],[flow]]-ws[[#This Row],[count]]),2)</f>
        <v>8708401</v>
      </c>
      <c r="O264" s="80" t="e">
        <f>VLOOKUP(ws[[#This Row],[hwycov_id]],count!$A$630:$E$652,5,FALSE)</f>
        <v>#N/A</v>
      </c>
      <c r="P264" s="80">
        <v>274</v>
      </c>
    </row>
    <row r="265" spans="1:16" x14ac:dyDescent="0.25">
      <c r="A265" s="80">
        <v>8</v>
      </c>
      <c r="B265" s="6">
        <v>2</v>
      </c>
      <c r="C265" s="80">
        <v>27924</v>
      </c>
      <c r="D265" s="80">
        <v>1</v>
      </c>
      <c r="E265" s="80">
        <v>1</v>
      </c>
      <c r="F265" s="80" t="s">
        <v>405</v>
      </c>
      <c r="G265" s="79">
        <v>66.180000000000007</v>
      </c>
      <c r="H265" s="79">
        <v>0.21542500000000001</v>
      </c>
      <c r="I265" s="79" t="s">
        <v>121</v>
      </c>
      <c r="J265" s="79" t="s">
        <v>58</v>
      </c>
      <c r="K265" s="83">
        <f>VLOOKUP(ws[[#This Row],[hwycov_id]],count[],4,FALSE)</f>
        <v>22829</v>
      </c>
      <c r="L265" s="115">
        <f>VLOOKUP(ws[[#This Row],[hwycov_id]],flow0[],5,FALSE)</f>
        <v>22710</v>
      </c>
      <c r="M265" s="295">
        <f>ws[[#This Row],[flow]]/ws[[#This Row],[count]]-1</f>
        <v>-5.2126680975951301E-3</v>
      </c>
      <c r="N265" s="296">
        <f>POWER((ws[[#This Row],[flow]]-ws[[#This Row],[count]]),2)</f>
        <v>14161</v>
      </c>
      <c r="O265" s="80" t="e">
        <f>VLOOKUP(ws[[#This Row],[hwycov_id]],count!$A$630:$E$652,5,FALSE)</f>
        <v>#N/A</v>
      </c>
      <c r="P265" s="80">
        <v>276</v>
      </c>
    </row>
    <row r="266" spans="1:16" x14ac:dyDescent="0.25">
      <c r="A266" s="80">
        <v>8</v>
      </c>
      <c r="B266" s="6">
        <v>2</v>
      </c>
      <c r="C266" s="80">
        <v>27915</v>
      </c>
      <c r="D266" s="80">
        <v>1</v>
      </c>
      <c r="E266" s="80">
        <v>1</v>
      </c>
      <c r="F266" s="80" t="s">
        <v>405</v>
      </c>
      <c r="G266" s="79">
        <v>67.17</v>
      </c>
      <c r="H266" s="79">
        <v>0.42179699999999998</v>
      </c>
      <c r="I266" s="79" t="s">
        <v>57</v>
      </c>
      <c r="J266" s="79" t="s">
        <v>57</v>
      </c>
      <c r="K266" s="83">
        <f>VLOOKUP(ws[[#This Row],[hwycov_id]],count[],4,FALSE)</f>
        <v>24174</v>
      </c>
      <c r="L266" s="115">
        <f>VLOOKUP(ws[[#This Row],[hwycov_id]],flow0[],5,FALSE)</f>
        <v>19608</v>
      </c>
      <c r="M266" s="295">
        <f>ws[[#This Row],[flow]]/ws[[#This Row],[count]]-1</f>
        <v>-0.18888061553735414</v>
      </c>
      <c r="N266" s="296">
        <f>POWER((ws[[#This Row],[flow]]-ws[[#This Row],[count]]),2)</f>
        <v>20848356</v>
      </c>
      <c r="O266" s="80" t="e">
        <f>VLOOKUP(ws[[#This Row],[hwycov_id]],count!$A$630:$E$652,5,FALSE)</f>
        <v>#N/A</v>
      </c>
      <c r="P266" s="80">
        <v>277</v>
      </c>
    </row>
    <row r="267" spans="1:16" x14ac:dyDescent="0.25">
      <c r="A267" s="80">
        <v>8</v>
      </c>
      <c r="B267" s="6">
        <v>2</v>
      </c>
      <c r="C267" s="80">
        <v>27898</v>
      </c>
      <c r="D267" s="80">
        <v>1</v>
      </c>
      <c r="E267" s="80">
        <v>1</v>
      </c>
      <c r="F267" s="80" t="s">
        <v>405</v>
      </c>
      <c r="G267" s="79">
        <v>68.88</v>
      </c>
      <c r="H267" s="79">
        <v>0.44006699999999999</v>
      </c>
      <c r="I267" s="79" t="s">
        <v>55</v>
      </c>
      <c r="J267" s="79" t="s">
        <v>122</v>
      </c>
      <c r="K267" s="83">
        <f>VLOOKUP(ws[[#This Row],[hwycov_id]],count[],4,FALSE)</f>
        <v>16349</v>
      </c>
      <c r="L267" s="115">
        <f>VLOOKUP(ws[[#This Row],[hwycov_id]],flow0[],5,FALSE)</f>
        <v>15291</v>
      </c>
      <c r="M267" s="295">
        <f>ws[[#This Row],[flow]]/ws[[#This Row],[count]]-1</f>
        <v>-6.4713438130772571E-2</v>
      </c>
      <c r="N267" s="296">
        <f>POWER((ws[[#This Row],[flow]]-ws[[#This Row],[count]]),2)</f>
        <v>1119364</v>
      </c>
      <c r="O267" s="80" t="e">
        <f>VLOOKUP(ws[[#This Row],[hwycov_id]],count!$A$630:$E$652,5,FALSE)</f>
        <v>#N/A</v>
      </c>
      <c r="P267" s="80">
        <v>278</v>
      </c>
    </row>
    <row r="268" spans="1:16" x14ac:dyDescent="0.25">
      <c r="A268" s="80">
        <v>8</v>
      </c>
      <c r="B268" s="6">
        <v>2</v>
      </c>
      <c r="C268" s="80">
        <v>27878</v>
      </c>
      <c r="D268" s="80">
        <v>1</v>
      </c>
      <c r="E268" s="80">
        <v>1</v>
      </c>
      <c r="F268" s="80" t="s">
        <v>405</v>
      </c>
      <c r="G268" s="79">
        <v>69.37</v>
      </c>
      <c r="H268" s="79">
        <v>0.488093</v>
      </c>
      <c r="I268" s="79" t="s">
        <v>122</v>
      </c>
      <c r="J268" s="79" t="s">
        <v>54</v>
      </c>
      <c r="K268" s="83">
        <f>VLOOKUP(ws[[#This Row],[hwycov_id]],count[],4,FALSE)</f>
        <v>10886</v>
      </c>
      <c r="L268" s="115">
        <f>VLOOKUP(ws[[#This Row],[hwycov_id]],flow0[],5,FALSE)</f>
        <v>7316</v>
      </c>
      <c r="M268" s="295">
        <f>ws[[#This Row],[flow]]/ws[[#This Row],[count]]-1</f>
        <v>-0.32794414844754727</v>
      </c>
      <c r="N268" s="296">
        <f>POWER((ws[[#This Row],[flow]]-ws[[#This Row],[count]]),2)</f>
        <v>12744900</v>
      </c>
      <c r="O268" s="80" t="e">
        <f>VLOOKUP(ws[[#This Row],[hwycov_id]],count!$A$630:$E$652,5,FALSE)</f>
        <v>#N/A</v>
      </c>
      <c r="P268" s="80">
        <v>279</v>
      </c>
    </row>
    <row r="269" spans="1:16" x14ac:dyDescent="0.25">
      <c r="A269" s="80">
        <v>9</v>
      </c>
      <c r="B269" s="6">
        <v>2</v>
      </c>
      <c r="C269" s="80">
        <v>12768</v>
      </c>
      <c r="D269" s="80">
        <v>1</v>
      </c>
      <c r="E269" s="80">
        <v>1</v>
      </c>
      <c r="F269" s="80" t="s">
        <v>409</v>
      </c>
      <c r="G269" s="79">
        <v>7.0000000000000007E-2</v>
      </c>
      <c r="H269" s="79">
        <v>6.5997E-2</v>
      </c>
      <c r="I269" s="79" t="s">
        <v>373</v>
      </c>
      <c r="J269" s="79" t="s">
        <v>372</v>
      </c>
      <c r="K269" s="83">
        <f>VLOOKUP(ws[[#This Row],[hwycov_id]],count[],4,FALSE)</f>
        <v>11896</v>
      </c>
      <c r="L269" s="115">
        <f>VLOOKUP(ws[[#This Row],[hwycov_id]],flow0[],5,FALSE)</f>
        <v>14033</v>
      </c>
      <c r="M269" s="295">
        <f>ws[[#This Row],[flow]]/ws[[#This Row],[count]]-1</f>
        <v>0.17964021519838602</v>
      </c>
      <c r="N269" s="296">
        <f>POWER((ws[[#This Row],[flow]]-ws[[#This Row],[count]]),2)</f>
        <v>4566769</v>
      </c>
      <c r="O269" s="80" t="e">
        <f>VLOOKUP(ws[[#This Row],[hwycov_id]],count!$A$630:$E$652,5,FALSE)</f>
        <v>#N/A</v>
      </c>
      <c r="P269" s="80">
        <v>282</v>
      </c>
    </row>
    <row r="270" spans="1:16" x14ac:dyDescent="0.25">
      <c r="A270" s="80">
        <v>9</v>
      </c>
      <c r="B270" s="6">
        <v>2</v>
      </c>
      <c r="C270" s="80">
        <v>27196</v>
      </c>
      <c r="D270" s="80">
        <v>1</v>
      </c>
      <c r="E270" s="80">
        <v>1</v>
      </c>
      <c r="F270" s="80" t="s">
        <v>409</v>
      </c>
      <c r="G270" s="79">
        <v>3.5</v>
      </c>
      <c r="H270" s="79">
        <v>2.701883</v>
      </c>
      <c r="I270" s="79" t="s">
        <v>372</v>
      </c>
      <c r="J270" s="79" t="s">
        <v>41</v>
      </c>
      <c r="K270" s="83">
        <f>VLOOKUP(ws[[#This Row],[hwycov_id]],count[],4,FALSE)</f>
        <v>11871</v>
      </c>
      <c r="L270" s="115">
        <f>VLOOKUP(ws[[#This Row],[hwycov_id]],flow0[],5,FALSE)</f>
        <v>13971</v>
      </c>
      <c r="M270" s="295">
        <f>ws[[#This Row],[flow]]/ws[[#This Row],[count]]-1</f>
        <v>0.17690169320192073</v>
      </c>
      <c r="N270" s="296">
        <f>POWER((ws[[#This Row],[flow]]-ws[[#This Row],[count]]),2)</f>
        <v>4410000</v>
      </c>
      <c r="O270" s="80" t="e">
        <f>VLOOKUP(ws[[#This Row],[hwycov_id]],count!$A$630:$E$652,5,FALSE)</f>
        <v>#N/A</v>
      </c>
      <c r="P270" s="80">
        <v>283</v>
      </c>
    </row>
    <row r="271" spans="1:16" x14ac:dyDescent="0.25">
      <c r="A271" s="80">
        <v>9</v>
      </c>
      <c r="B271" s="6">
        <v>2</v>
      </c>
      <c r="C271" s="80">
        <v>26675</v>
      </c>
      <c r="D271" s="80">
        <v>1</v>
      </c>
      <c r="E271" s="80">
        <v>1</v>
      </c>
      <c r="F271" s="80" t="s">
        <v>409</v>
      </c>
      <c r="G271" s="79">
        <v>7.99</v>
      </c>
      <c r="H271" s="79">
        <v>0.50861999999999996</v>
      </c>
      <c r="I271" s="79" t="s">
        <v>370</v>
      </c>
      <c r="J271" s="79" t="s">
        <v>370</v>
      </c>
      <c r="K271" s="83">
        <f>VLOOKUP(ws[[#This Row],[hwycov_id]],count[],4,FALSE)</f>
        <v>10880</v>
      </c>
      <c r="L271" s="115">
        <f>VLOOKUP(ws[[#This Row],[hwycov_id]],flow0[],5,FALSE)</f>
        <v>11709</v>
      </c>
      <c r="M271" s="295">
        <f>ws[[#This Row],[flow]]/ws[[#This Row],[count]]-1</f>
        <v>7.619485294117645E-2</v>
      </c>
      <c r="N271" s="296">
        <f>POWER((ws[[#This Row],[flow]]-ws[[#This Row],[count]]),2)</f>
        <v>687241</v>
      </c>
      <c r="O271" s="80" t="e">
        <f>VLOOKUP(ws[[#This Row],[hwycov_id]],count!$A$630:$E$652,5,FALSE)</f>
        <v>#N/A</v>
      </c>
      <c r="P271" s="80">
        <v>284</v>
      </c>
    </row>
    <row r="272" spans="1:16" x14ac:dyDescent="0.25">
      <c r="A272" s="80">
        <v>9</v>
      </c>
      <c r="B272" s="6">
        <v>2</v>
      </c>
      <c r="C272" s="80">
        <v>27172</v>
      </c>
      <c r="D272" s="80">
        <v>1</v>
      </c>
      <c r="E272" s="80">
        <v>1</v>
      </c>
      <c r="F272" s="80" t="s">
        <v>409</v>
      </c>
      <c r="G272" s="79">
        <v>10.63</v>
      </c>
      <c r="H272" s="79">
        <v>2.326848</v>
      </c>
      <c r="I272" s="79" t="s">
        <v>370</v>
      </c>
      <c r="J272" s="79" t="s">
        <v>410</v>
      </c>
      <c r="K272" s="83">
        <f>VLOOKUP(ws[[#This Row],[hwycov_id]],count[],4,FALSE)</f>
        <v>10056</v>
      </c>
      <c r="L272" s="115">
        <f>VLOOKUP(ws[[#This Row],[hwycov_id]],flow0[],5,FALSE)</f>
        <v>13219</v>
      </c>
      <c r="M272" s="295">
        <f>ws[[#This Row],[flow]]/ws[[#This Row],[count]]-1</f>
        <v>0.31453858392999212</v>
      </c>
      <c r="N272" s="296">
        <f>POWER((ws[[#This Row],[flow]]-ws[[#This Row],[count]]),2)</f>
        <v>10004569</v>
      </c>
      <c r="O272" s="80" t="e">
        <f>VLOOKUP(ws[[#This Row],[hwycov_id]],count!$A$630:$E$652,5,FALSE)</f>
        <v>#N/A</v>
      </c>
      <c r="P272" s="80">
        <v>285</v>
      </c>
    </row>
    <row r="273" spans="1:16" x14ac:dyDescent="0.25">
      <c r="A273" s="80">
        <v>9</v>
      </c>
      <c r="B273" s="6">
        <v>2</v>
      </c>
      <c r="C273" s="80">
        <v>27351</v>
      </c>
      <c r="D273" s="80">
        <v>1</v>
      </c>
      <c r="E273" s="80">
        <v>1</v>
      </c>
      <c r="F273" s="80" t="s">
        <v>409</v>
      </c>
      <c r="G273" s="79">
        <v>17.46</v>
      </c>
      <c r="H273" s="79">
        <v>3.4501599999999999</v>
      </c>
      <c r="I273" s="79" t="s">
        <v>369</v>
      </c>
      <c r="J273" s="79" t="s">
        <v>32</v>
      </c>
      <c r="K273" s="83">
        <f>VLOOKUP(ws[[#This Row],[hwycov_id]],count[],4,FALSE)</f>
        <v>10396</v>
      </c>
      <c r="L273" s="115">
        <f>VLOOKUP(ws[[#This Row],[hwycov_id]],flow0[],5,FALSE)</f>
        <v>13442</v>
      </c>
      <c r="M273" s="295">
        <f>ws[[#This Row],[flow]]/ws[[#This Row],[count]]-1</f>
        <v>0.29299730665640622</v>
      </c>
      <c r="N273" s="296">
        <f>POWER((ws[[#This Row],[flow]]-ws[[#This Row],[count]]),2)</f>
        <v>9278116</v>
      </c>
      <c r="O273" s="80" t="e">
        <f>VLOOKUP(ws[[#This Row],[hwycov_id]],count!$A$630:$E$652,5,FALSE)</f>
        <v>#N/A</v>
      </c>
      <c r="P273" s="80">
        <v>286</v>
      </c>
    </row>
    <row r="274" spans="1:16" x14ac:dyDescent="0.25">
      <c r="A274" s="80">
        <v>9</v>
      </c>
      <c r="B274" s="6">
        <v>2</v>
      </c>
      <c r="C274" s="80">
        <v>14782</v>
      </c>
      <c r="D274" s="80">
        <v>1</v>
      </c>
      <c r="E274" s="80">
        <v>1</v>
      </c>
      <c r="F274" s="80" t="s">
        <v>409</v>
      </c>
      <c r="G274" s="79">
        <v>19.350000000000001</v>
      </c>
      <c r="H274" s="79">
        <v>1.2061649999999999</v>
      </c>
      <c r="I274" s="79" t="s">
        <v>32</v>
      </c>
      <c r="J274" s="79" t="s">
        <v>28</v>
      </c>
      <c r="K274" s="83">
        <f>VLOOKUP(ws[[#This Row],[hwycov_id]],count[],4,FALSE)</f>
        <v>11448</v>
      </c>
      <c r="L274" s="115">
        <f>VLOOKUP(ws[[#This Row],[hwycov_id]],flow0[],5,FALSE)</f>
        <v>12751</v>
      </c>
      <c r="M274" s="295">
        <f>ws[[#This Row],[flow]]/ws[[#This Row],[count]]-1</f>
        <v>0.11381900768693232</v>
      </c>
      <c r="N274" s="296">
        <f>POWER((ws[[#This Row],[flow]]-ws[[#This Row],[count]]),2)</f>
        <v>1697809</v>
      </c>
      <c r="O274" s="80" t="e">
        <f>VLOOKUP(ws[[#This Row],[hwycov_id]],count!$A$630:$E$652,5,FALSE)</f>
        <v>#N/A</v>
      </c>
      <c r="P274" s="80">
        <v>287</v>
      </c>
    </row>
    <row r="275" spans="1:16" x14ac:dyDescent="0.25">
      <c r="A275" s="80">
        <v>9</v>
      </c>
      <c r="B275" s="6">
        <v>2</v>
      </c>
      <c r="C275" s="80">
        <v>27184</v>
      </c>
      <c r="D275" s="80">
        <v>1</v>
      </c>
      <c r="E275" s="80">
        <v>1</v>
      </c>
      <c r="F275" s="80" t="s">
        <v>409</v>
      </c>
      <c r="G275" s="79">
        <v>21.94</v>
      </c>
      <c r="H275" s="79">
        <v>0.74090500000000004</v>
      </c>
      <c r="I275" s="79" t="s">
        <v>40</v>
      </c>
      <c r="J275" s="79" t="s">
        <v>40</v>
      </c>
      <c r="K275" s="83">
        <f>VLOOKUP(ws[[#This Row],[hwycov_id]],count[],4,FALSE)</f>
        <v>12520</v>
      </c>
      <c r="L275" s="115">
        <f>VLOOKUP(ws[[#This Row],[hwycov_id]],flow0[],5,FALSE)</f>
        <v>10460</v>
      </c>
      <c r="M275" s="295">
        <f>ws[[#This Row],[flow]]/ws[[#This Row],[count]]-1</f>
        <v>-0.16453674121405748</v>
      </c>
      <c r="N275" s="296">
        <f>POWER((ws[[#This Row],[flow]]-ws[[#This Row],[count]]),2)</f>
        <v>4243600</v>
      </c>
      <c r="O275" s="80" t="e">
        <f>VLOOKUP(ws[[#This Row],[hwycov_id]],count!$A$630:$E$652,5,FALSE)</f>
        <v>#N/A</v>
      </c>
      <c r="P275" s="80">
        <v>288</v>
      </c>
    </row>
    <row r="276" spans="1:16" x14ac:dyDescent="0.25">
      <c r="A276" s="80">
        <v>9</v>
      </c>
      <c r="B276" s="6">
        <v>2</v>
      </c>
      <c r="C276" s="80">
        <v>28569</v>
      </c>
      <c r="D276" s="80">
        <v>1</v>
      </c>
      <c r="E276" s="80">
        <v>1</v>
      </c>
      <c r="F276" s="80" t="s">
        <v>409</v>
      </c>
      <c r="G276" s="79">
        <v>23.06</v>
      </c>
      <c r="H276" s="79">
        <v>0.61885900000000005</v>
      </c>
      <c r="I276" s="79" t="s">
        <v>9</v>
      </c>
      <c r="J276" s="79" t="s">
        <v>9</v>
      </c>
      <c r="K276" s="83">
        <f>VLOOKUP(ws[[#This Row],[hwycov_id]],count[],4,FALSE)</f>
        <v>9864</v>
      </c>
      <c r="L276" s="115">
        <f>VLOOKUP(ws[[#This Row],[hwycov_id]],flow0[],5,FALSE)</f>
        <v>10468</v>
      </c>
      <c r="M276" s="295">
        <f>ws[[#This Row],[flow]]/ws[[#This Row],[count]]-1</f>
        <v>6.1232765612327711E-2</v>
      </c>
      <c r="N276" s="296">
        <f>POWER((ws[[#This Row],[flow]]-ws[[#This Row],[count]]),2)</f>
        <v>364816</v>
      </c>
      <c r="O276" s="80" t="e">
        <f>VLOOKUP(ws[[#This Row],[hwycov_id]],count!$A$630:$E$652,5,FALSE)</f>
        <v>#N/A</v>
      </c>
      <c r="P276" s="80">
        <v>289</v>
      </c>
    </row>
    <row r="277" spans="1:16" x14ac:dyDescent="0.25">
      <c r="A277" s="80">
        <v>9</v>
      </c>
      <c r="B277" s="6">
        <v>2</v>
      </c>
      <c r="C277" s="80">
        <v>31193</v>
      </c>
      <c r="D277" s="80">
        <v>1</v>
      </c>
      <c r="E277" s="80">
        <v>1</v>
      </c>
      <c r="F277" s="80" t="s">
        <v>409</v>
      </c>
      <c r="G277" s="79">
        <v>23.18</v>
      </c>
      <c r="H277" s="79">
        <v>0.121534</v>
      </c>
      <c r="I277" s="79" t="s">
        <v>9</v>
      </c>
      <c r="J277" s="79" t="s">
        <v>10</v>
      </c>
      <c r="K277" s="83">
        <f>VLOOKUP(ws[[#This Row],[hwycov_id]],count[],4,FALSE)</f>
        <v>12404</v>
      </c>
      <c r="L277" s="115">
        <f>VLOOKUP(ws[[#This Row],[hwycov_id]],flow0[],5,FALSE)</f>
        <v>12705</v>
      </c>
      <c r="M277" s="295">
        <f>ws[[#This Row],[flow]]/ws[[#This Row],[count]]-1</f>
        <v>2.4266365688487612E-2</v>
      </c>
      <c r="N277" s="296">
        <f>POWER((ws[[#This Row],[flow]]-ws[[#This Row],[count]]),2)</f>
        <v>90601</v>
      </c>
      <c r="O277" s="80" t="e">
        <f>VLOOKUP(ws[[#This Row],[hwycov_id]],count!$A$630:$E$652,5,FALSE)</f>
        <v>#N/A</v>
      </c>
      <c r="P277" s="80">
        <v>290</v>
      </c>
    </row>
    <row r="278" spans="1:16" x14ac:dyDescent="0.25">
      <c r="A278" s="80">
        <v>9</v>
      </c>
      <c r="B278" s="6">
        <v>2</v>
      </c>
      <c r="C278" s="80">
        <v>28587</v>
      </c>
      <c r="D278" s="80">
        <v>1</v>
      </c>
      <c r="E278" s="80">
        <v>1</v>
      </c>
      <c r="F278" s="80" t="s">
        <v>409</v>
      </c>
      <c r="G278" s="79">
        <v>23.87</v>
      </c>
      <c r="H278" s="79">
        <v>0.37787100000000001</v>
      </c>
      <c r="I278" s="79" t="s">
        <v>29</v>
      </c>
      <c r="J278" s="79" t="s">
        <v>29</v>
      </c>
      <c r="K278" s="83">
        <f>VLOOKUP(ws[[#This Row],[hwycov_id]],count[],4,FALSE)</f>
        <v>18732</v>
      </c>
      <c r="L278" s="115">
        <f>VLOOKUP(ws[[#This Row],[hwycov_id]],flow0[],5,FALSE)</f>
        <v>21740</v>
      </c>
      <c r="M278" s="295">
        <f>ws[[#This Row],[flow]]/ws[[#This Row],[count]]-1</f>
        <v>0.16058082425795428</v>
      </c>
      <c r="N278" s="296">
        <f>POWER((ws[[#This Row],[flow]]-ws[[#This Row],[count]]),2)</f>
        <v>9048064</v>
      </c>
      <c r="O278" s="80" t="e">
        <f>VLOOKUP(ws[[#This Row],[hwycov_id]],count!$A$630:$E$652,5,FALSE)</f>
        <v>#N/A</v>
      </c>
      <c r="P278" s="80">
        <v>291</v>
      </c>
    </row>
    <row r="279" spans="1:16" x14ac:dyDescent="0.25">
      <c r="A279" s="80">
        <v>9</v>
      </c>
      <c r="B279" s="6">
        <v>2</v>
      </c>
      <c r="C279" s="80">
        <v>12943</v>
      </c>
      <c r="D279" s="80">
        <v>1</v>
      </c>
      <c r="E279" s="80">
        <v>1</v>
      </c>
      <c r="F279" s="80" t="s">
        <v>409</v>
      </c>
      <c r="G279" s="79">
        <v>24.05</v>
      </c>
      <c r="H279" s="79">
        <v>0.17821500000000001</v>
      </c>
      <c r="I279" s="79" t="s">
        <v>29</v>
      </c>
      <c r="J279" s="79" t="s">
        <v>8</v>
      </c>
      <c r="K279" s="83">
        <f>VLOOKUP(ws[[#This Row],[hwycov_id]],count[],4,FALSE)</f>
        <v>18909</v>
      </c>
      <c r="L279" s="115">
        <f>VLOOKUP(ws[[#This Row],[hwycov_id]],flow0[],5,FALSE)</f>
        <v>22543</v>
      </c>
      <c r="M279" s="295">
        <f>ws[[#This Row],[flow]]/ws[[#This Row],[count]]-1</f>
        <v>0.192183616267386</v>
      </c>
      <c r="N279" s="296">
        <f>POWER((ws[[#This Row],[flow]]-ws[[#This Row],[count]]),2)</f>
        <v>13205956</v>
      </c>
      <c r="O279" s="80" t="e">
        <f>VLOOKUP(ws[[#This Row],[hwycov_id]],count!$A$630:$E$652,5,FALSE)</f>
        <v>#N/A</v>
      </c>
      <c r="P279" s="80">
        <v>292</v>
      </c>
    </row>
    <row r="280" spans="1:16" x14ac:dyDescent="0.25">
      <c r="A280" s="80">
        <v>9</v>
      </c>
      <c r="B280" s="6">
        <v>2</v>
      </c>
      <c r="C280" s="80">
        <v>12944</v>
      </c>
      <c r="D280" s="80">
        <v>1</v>
      </c>
      <c r="E280" s="80">
        <v>1</v>
      </c>
      <c r="F280" s="80" t="s">
        <v>409</v>
      </c>
      <c r="G280" s="79">
        <v>24.7</v>
      </c>
      <c r="H280" s="79">
        <v>0.64853000000000005</v>
      </c>
      <c r="I280" s="79" t="s">
        <v>8</v>
      </c>
      <c r="J280" s="79" t="s">
        <v>8</v>
      </c>
      <c r="K280" s="83">
        <f>VLOOKUP(ws[[#This Row],[hwycov_id]],count[],4,FALSE)</f>
        <v>16653</v>
      </c>
      <c r="L280" s="115">
        <f>VLOOKUP(ws[[#This Row],[hwycov_id]],flow0[],5,FALSE)</f>
        <v>21479</v>
      </c>
      <c r="M280" s="295">
        <f>ws[[#This Row],[flow]]/ws[[#This Row],[count]]-1</f>
        <v>0.28979763405992909</v>
      </c>
      <c r="N280" s="296">
        <f>POWER((ws[[#This Row],[flow]]-ws[[#This Row],[count]]),2)</f>
        <v>23290276</v>
      </c>
      <c r="O280" s="80" t="e">
        <f>VLOOKUP(ws[[#This Row],[hwycov_id]],count!$A$630:$E$652,5,FALSE)</f>
        <v>#N/A</v>
      </c>
      <c r="P280" s="80">
        <v>293</v>
      </c>
    </row>
    <row r="281" spans="1:16" x14ac:dyDescent="0.25">
      <c r="A281" s="80">
        <v>9</v>
      </c>
      <c r="B281" s="6">
        <v>2</v>
      </c>
      <c r="C281" s="80">
        <v>12946</v>
      </c>
      <c r="D281" s="80">
        <v>1</v>
      </c>
      <c r="E281" s="80">
        <v>1</v>
      </c>
      <c r="F281" s="80" t="s">
        <v>409</v>
      </c>
      <c r="G281" s="79">
        <v>25.95</v>
      </c>
      <c r="H281" s="79">
        <v>0.26438299999999998</v>
      </c>
      <c r="I281" s="79" t="s">
        <v>3</v>
      </c>
      <c r="J281" s="79" t="s">
        <v>3</v>
      </c>
      <c r="K281" s="83">
        <f>VLOOKUP(ws[[#This Row],[hwycov_id]],count[],4,FALSE)</f>
        <v>19215</v>
      </c>
      <c r="L281" s="115">
        <f>VLOOKUP(ws[[#This Row],[hwycov_id]],flow0[],5,FALSE)</f>
        <v>21518</v>
      </c>
      <c r="M281" s="295">
        <f>ws[[#This Row],[flow]]/ws[[#This Row],[count]]-1</f>
        <v>0.11985428051001823</v>
      </c>
      <c r="N281" s="296">
        <f>POWER((ws[[#This Row],[flow]]-ws[[#This Row],[count]]),2)</f>
        <v>5303809</v>
      </c>
      <c r="O281" s="80" t="e">
        <f>VLOOKUP(ws[[#This Row],[hwycov_id]],count!$A$630:$E$652,5,FALSE)</f>
        <v>#N/A</v>
      </c>
      <c r="P281" s="80">
        <v>294</v>
      </c>
    </row>
    <row r="282" spans="1:16" x14ac:dyDescent="0.25">
      <c r="A282" s="80">
        <v>9</v>
      </c>
      <c r="B282" s="6">
        <v>2</v>
      </c>
      <c r="C282" s="80">
        <v>12952</v>
      </c>
      <c r="D282" s="80">
        <v>1</v>
      </c>
      <c r="E282" s="80">
        <v>1</v>
      </c>
      <c r="F282" s="80" t="s">
        <v>409</v>
      </c>
      <c r="G282" s="79">
        <v>27.01</v>
      </c>
      <c r="H282" s="79">
        <v>1.0629519999999999</v>
      </c>
      <c r="I282" s="79" t="s">
        <v>3</v>
      </c>
      <c r="J282" s="79" t="s">
        <v>28</v>
      </c>
      <c r="K282" s="83">
        <f>VLOOKUP(ws[[#This Row],[hwycov_id]],count[],4,FALSE)</f>
        <v>19684</v>
      </c>
      <c r="L282" s="115">
        <f>VLOOKUP(ws[[#This Row],[hwycov_id]],flow0[],5,FALSE)</f>
        <v>21925</v>
      </c>
      <c r="M282" s="295">
        <f>ws[[#This Row],[flow]]/ws[[#This Row],[count]]-1</f>
        <v>0.11384881121723223</v>
      </c>
      <c r="N282" s="296">
        <f>POWER((ws[[#This Row],[flow]]-ws[[#This Row],[count]]),2)</f>
        <v>5022081</v>
      </c>
      <c r="O282" s="80" t="e">
        <f>VLOOKUP(ws[[#This Row],[hwycov_id]],count!$A$630:$E$652,5,FALSE)</f>
        <v>#N/A</v>
      </c>
      <c r="P282" s="80">
        <v>295</v>
      </c>
    </row>
    <row r="283" spans="1:16" x14ac:dyDescent="0.25">
      <c r="A283" s="80">
        <v>9</v>
      </c>
      <c r="B283" s="6">
        <v>2</v>
      </c>
      <c r="C283" s="80">
        <v>12950</v>
      </c>
      <c r="D283" s="80">
        <v>1</v>
      </c>
      <c r="E283" s="80">
        <v>1</v>
      </c>
      <c r="F283" s="80" t="s">
        <v>409</v>
      </c>
      <c r="G283" s="79">
        <v>27.31</v>
      </c>
      <c r="H283" s="79">
        <v>0.26389299999999999</v>
      </c>
      <c r="I283" s="79" t="s">
        <v>28</v>
      </c>
      <c r="J283" s="79" t="s">
        <v>13</v>
      </c>
      <c r="K283" s="83">
        <f>VLOOKUP(ws[[#This Row],[hwycov_id]],count[],4,FALSE)</f>
        <v>22029</v>
      </c>
      <c r="L283" s="115">
        <f>VLOOKUP(ws[[#This Row],[hwycov_id]],flow0[],5,FALSE)</f>
        <v>25171</v>
      </c>
      <c r="M283" s="295">
        <f>ws[[#This Row],[flow]]/ws[[#This Row],[count]]-1</f>
        <v>0.14263016932225692</v>
      </c>
      <c r="N283" s="296">
        <f>POWER((ws[[#This Row],[flow]]-ws[[#This Row],[count]]),2)</f>
        <v>9872164</v>
      </c>
      <c r="O283" s="80" t="e">
        <f>VLOOKUP(ws[[#This Row],[hwycov_id]],count!$A$630:$E$652,5,FALSE)</f>
        <v>#N/A</v>
      </c>
      <c r="P283" s="80">
        <v>296</v>
      </c>
    </row>
    <row r="284" spans="1:16" x14ac:dyDescent="0.25">
      <c r="A284" s="80">
        <v>9</v>
      </c>
      <c r="B284" s="6">
        <v>2</v>
      </c>
      <c r="C284" s="80">
        <v>26879</v>
      </c>
      <c r="D284" s="80">
        <v>1</v>
      </c>
      <c r="E284" s="80">
        <v>1</v>
      </c>
      <c r="F284" s="80" t="s">
        <v>409</v>
      </c>
      <c r="G284" s="79">
        <v>27.56</v>
      </c>
      <c r="H284" s="79">
        <v>0.25417800000000002</v>
      </c>
      <c r="I284" s="79" t="s">
        <v>13</v>
      </c>
      <c r="J284" s="79" t="s">
        <v>13</v>
      </c>
      <c r="K284" s="83">
        <f>VLOOKUP(ws[[#This Row],[hwycov_id]],count[],4,FALSE)</f>
        <v>19411</v>
      </c>
      <c r="L284" s="115">
        <f>VLOOKUP(ws[[#This Row],[hwycov_id]],flow0[],5,FALSE)</f>
        <v>23465</v>
      </c>
      <c r="M284" s="295">
        <f>ws[[#This Row],[flow]]/ws[[#This Row],[count]]-1</f>
        <v>0.20885065169233941</v>
      </c>
      <c r="N284" s="296">
        <f>POWER((ws[[#This Row],[flow]]-ws[[#This Row],[count]]),2)</f>
        <v>16434916</v>
      </c>
      <c r="O284" s="80" t="e">
        <f>VLOOKUP(ws[[#This Row],[hwycov_id]],count!$A$630:$E$652,5,FALSE)</f>
        <v>#N/A</v>
      </c>
      <c r="P284" s="80">
        <v>297</v>
      </c>
    </row>
    <row r="285" spans="1:16" x14ac:dyDescent="0.25">
      <c r="A285" s="80">
        <v>9</v>
      </c>
      <c r="B285" s="6">
        <v>2</v>
      </c>
      <c r="C285" s="80">
        <v>8808</v>
      </c>
      <c r="D285" s="80">
        <v>1</v>
      </c>
      <c r="E285" s="80">
        <v>1</v>
      </c>
      <c r="F285" s="80" t="s">
        <v>409</v>
      </c>
      <c r="G285" s="79">
        <v>28.29</v>
      </c>
      <c r="H285" s="79">
        <v>0.46240199999999998</v>
      </c>
      <c r="I285" s="79" t="s">
        <v>13</v>
      </c>
      <c r="J285" s="79" t="s">
        <v>43</v>
      </c>
      <c r="K285" s="83">
        <f>VLOOKUP(ws[[#This Row],[hwycov_id]],count[],4,FALSE)</f>
        <v>22876</v>
      </c>
      <c r="L285" s="115">
        <f>VLOOKUP(ws[[#This Row],[hwycov_id]],flow0[],5,FALSE)</f>
        <v>26100</v>
      </c>
      <c r="M285" s="295">
        <f>ws[[#This Row],[flow]]/ws[[#This Row],[count]]-1</f>
        <v>0.14093372967301976</v>
      </c>
      <c r="N285" s="296">
        <f>POWER((ws[[#This Row],[flow]]-ws[[#This Row],[count]]),2)</f>
        <v>10394176</v>
      </c>
      <c r="O285" s="80" t="e">
        <f>VLOOKUP(ws[[#This Row],[hwycov_id]],count!$A$630:$E$652,5,FALSE)</f>
        <v>#N/A</v>
      </c>
      <c r="P285" s="80">
        <v>298</v>
      </c>
    </row>
    <row r="286" spans="1:16" x14ac:dyDescent="0.25">
      <c r="A286" s="80">
        <v>9</v>
      </c>
      <c r="B286" s="6">
        <v>2</v>
      </c>
      <c r="C286" s="80">
        <v>8810</v>
      </c>
      <c r="D286" s="80">
        <v>1</v>
      </c>
      <c r="E286" s="80">
        <v>1</v>
      </c>
      <c r="F286" s="80" t="s">
        <v>409</v>
      </c>
      <c r="G286" s="79">
        <v>28.8</v>
      </c>
      <c r="H286" s="79">
        <v>0.50423200000000001</v>
      </c>
      <c r="I286" s="79" t="s">
        <v>43</v>
      </c>
      <c r="J286" s="79" t="s">
        <v>43</v>
      </c>
      <c r="K286" s="83">
        <f>VLOOKUP(ws[[#This Row],[hwycov_id]],count[],4,FALSE)</f>
        <v>20797</v>
      </c>
      <c r="L286" s="115">
        <f>VLOOKUP(ws[[#This Row],[hwycov_id]],flow0[],5,FALSE)</f>
        <v>21348</v>
      </c>
      <c r="M286" s="295">
        <f>ws[[#This Row],[flow]]/ws[[#This Row],[count]]-1</f>
        <v>2.6494205895081002E-2</v>
      </c>
      <c r="N286" s="296">
        <f>POWER((ws[[#This Row],[flow]]-ws[[#This Row],[count]]),2)</f>
        <v>303601</v>
      </c>
      <c r="O286" s="80" t="e">
        <f>VLOOKUP(ws[[#This Row],[hwycov_id]],count!$A$630:$E$652,5,FALSE)</f>
        <v>#N/A</v>
      </c>
      <c r="P286" s="80">
        <v>299</v>
      </c>
    </row>
    <row r="287" spans="1:16" x14ac:dyDescent="0.25">
      <c r="A287" s="80">
        <v>9</v>
      </c>
      <c r="B287" s="6">
        <v>2</v>
      </c>
      <c r="C287" s="80">
        <v>31207</v>
      </c>
      <c r="D287" s="80">
        <v>1</v>
      </c>
      <c r="E287" s="80">
        <v>1</v>
      </c>
      <c r="F287" s="80" t="s">
        <v>409</v>
      </c>
      <c r="G287" s="79">
        <v>30.07</v>
      </c>
      <c r="H287" s="79">
        <v>1.274532</v>
      </c>
      <c r="I287" s="79" t="s">
        <v>43</v>
      </c>
      <c r="J287" s="79" t="s">
        <v>6</v>
      </c>
      <c r="K287" s="83">
        <f>VLOOKUP(ws[[#This Row],[hwycov_id]],count[],4,FALSE)</f>
        <v>21278</v>
      </c>
      <c r="L287" s="115">
        <f>VLOOKUP(ws[[#This Row],[hwycov_id]],flow0[],5,FALSE)</f>
        <v>21689</v>
      </c>
      <c r="M287" s="295">
        <f>ws[[#This Row],[flow]]/ws[[#This Row],[count]]-1</f>
        <v>1.9315725162139197E-2</v>
      </c>
      <c r="N287" s="296">
        <f>POWER((ws[[#This Row],[flow]]-ws[[#This Row],[count]]),2)</f>
        <v>168921</v>
      </c>
      <c r="O287" s="80" t="e">
        <f>VLOOKUP(ws[[#This Row],[hwycov_id]],count!$A$630:$E$652,5,FALSE)</f>
        <v>#N/A</v>
      </c>
      <c r="P287" s="80">
        <v>300</v>
      </c>
    </row>
    <row r="288" spans="1:16" x14ac:dyDescent="0.25">
      <c r="A288" s="80">
        <v>9</v>
      </c>
      <c r="B288" s="6">
        <v>2</v>
      </c>
      <c r="C288" s="80">
        <v>568</v>
      </c>
      <c r="D288" s="80">
        <v>1</v>
      </c>
      <c r="E288" s="80">
        <v>1</v>
      </c>
      <c r="F288" s="80" t="s">
        <v>409</v>
      </c>
      <c r="G288" s="79">
        <v>30.9</v>
      </c>
      <c r="H288" s="79">
        <v>0.53279200000000004</v>
      </c>
      <c r="I288" s="79" t="s">
        <v>6</v>
      </c>
      <c r="J288" s="79" t="s">
        <v>6</v>
      </c>
      <c r="K288" s="83">
        <f>VLOOKUP(ws[[#This Row],[hwycov_id]],count[],4,FALSE)</f>
        <v>18620</v>
      </c>
      <c r="L288" s="115">
        <f>VLOOKUP(ws[[#This Row],[hwycov_id]],flow0[],5,FALSE)</f>
        <v>19931</v>
      </c>
      <c r="M288" s="295">
        <f>ws[[#This Row],[flow]]/ws[[#This Row],[count]]-1</f>
        <v>7.040816326530619E-2</v>
      </c>
      <c r="N288" s="296">
        <f>POWER((ws[[#This Row],[flow]]-ws[[#This Row],[count]]),2)</f>
        <v>1718721</v>
      </c>
      <c r="O288" s="80" t="e">
        <f>VLOOKUP(ws[[#This Row],[hwycov_id]],count!$A$630:$E$652,5,FALSE)</f>
        <v>#N/A</v>
      </c>
      <c r="P288" s="80">
        <v>301</v>
      </c>
    </row>
    <row r="289" spans="1:16" x14ac:dyDescent="0.25">
      <c r="A289" s="80">
        <v>9</v>
      </c>
      <c r="B289" s="6">
        <v>2</v>
      </c>
      <c r="C289" s="80">
        <v>13646</v>
      </c>
      <c r="D289" s="80">
        <v>1</v>
      </c>
      <c r="E289" s="80">
        <v>1</v>
      </c>
      <c r="F289" s="80" t="s">
        <v>409</v>
      </c>
      <c r="G289" s="79">
        <v>31.29</v>
      </c>
      <c r="H289" s="79">
        <v>0.38551400000000002</v>
      </c>
      <c r="I289" s="79" t="s">
        <v>6</v>
      </c>
      <c r="J289" s="79" t="s">
        <v>30</v>
      </c>
      <c r="K289" s="83">
        <f>VLOOKUP(ws[[#This Row],[hwycov_id]],count[],4,FALSE)</f>
        <v>22442</v>
      </c>
      <c r="L289" s="115">
        <f>VLOOKUP(ws[[#This Row],[hwycov_id]],flow0[],5,FALSE)</f>
        <v>22170</v>
      </c>
      <c r="M289" s="295">
        <f>ws[[#This Row],[flow]]/ws[[#This Row],[count]]-1</f>
        <v>-1.2120131895552944E-2</v>
      </c>
      <c r="N289" s="296">
        <f>POWER((ws[[#This Row],[flow]]-ws[[#This Row],[count]]),2)</f>
        <v>73984</v>
      </c>
      <c r="O289" s="80" t="e">
        <f>VLOOKUP(ws[[#This Row],[hwycov_id]],count!$A$630:$E$652,5,FALSE)</f>
        <v>#N/A</v>
      </c>
      <c r="P289" s="80">
        <v>302</v>
      </c>
    </row>
    <row r="290" spans="1:16" x14ac:dyDescent="0.25">
      <c r="A290" s="80">
        <v>9</v>
      </c>
      <c r="B290" s="6">
        <v>2</v>
      </c>
      <c r="C290" s="80">
        <v>13649</v>
      </c>
      <c r="D290" s="80">
        <v>1</v>
      </c>
      <c r="E290" s="80">
        <v>1</v>
      </c>
      <c r="F290" s="80" t="s">
        <v>409</v>
      </c>
      <c r="G290" s="79">
        <v>31.74</v>
      </c>
      <c r="H290" s="79">
        <v>0.45489400000000002</v>
      </c>
      <c r="I290" s="79" t="s">
        <v>30</v>
      </c>
      <c r="J290" s="79" t="s">
        <v>30</v>
      </c>
      <c r="K290" s="83">
        <f>VLOOKUP(ws[[#This Row],[hwycov_id]],count[],4,FALSE)</f>
        <v>20923</v>
      </c>
      <c r="L290" s="115">
        <f>VLOOKUP(ws[[#This Row],[hwycov_id]],flow0[],5,FALSE)</f>
        <v>20307</v>
      </c>
      <c r="M290" s="295">
        <f>ws[[#This Row],[flow]]/ws[[#This Row],[count]]-1</f>
        <v>-2.9441284710605586E-2</v>
      </c>
      <c r="N290" s="296">
        <f>POWER((ws[[#This Row],[flow]]-ws[[#This Row],[count]]),2)</f>
        <v>379456</v>
      </c>
      <c r="O290" s="80" t="e">
        <f>VLOOKUP(ws[[#This Row],[hwycov_id]],count!$A$630:$E$652,5,FALSE)</f>
        <v>#N/A</v>
      </c>
      <c r="P290" s="80">
        <v>303</v>
      </c>
    </row>
    <row r="291" spans="1:16" x14ac:dyDescent="0.25">
      <c r="A291" s="80">
        <v>9</v>
      </c>
      <c r="B291" s="6">
        <v>2</v>
      </c>
      <c r="C291" s="80">
        <v>13653</v>
      </c>
      <c r="D291" s="80">
        <v>1</v>
      </c>
      <c r="E291" s="80">
        <v>1</v>
      </c>
      <c r="F291" s="80" t="s">
        <v>409</v>
      </c>
      <c r="G291" s="79">
        <v>32.26</v>
      </c>
      <c r="H291" s="79">
        <v>0.51728399999999997</v>
      </c>
      <c r="I291" s="79" t="s">
        <v>30</v>
      </c>
      <c r="J291" s="79" t="s">
        <v>2</v>
      </c>
      <c r="K291" s="83">
        <f>VLOOKUP(ws[[#This Row],[hwycov_id]],count[],4,FALSE)</f>
        <v>24143</v>
      </c>
      <c r="L291" s="115">
        <f>VLOOKUP(ws[[#This Row],[hwycov_id]],flow0[],5,FALSE)</f>
        <v>21593</v>
      </c>
      <c r="M291" s="295">
        <f>ws[[#This Row],[flow]]/ws[[#This Row],[count]]-1</f>
        <v>-0.10562067680072895</v>
      </c>
      <c r="N291" s="296">
        <f>POWER((ws[[#This Row],[flow]]-ws[[#This Row],[count]]),2)</f>
        <v>6502500</v>
      </c>
      <c r="O291" s="80" t="e">
        <f>VLOOKUP(ws[[#This Row],[hwycov_id]],count!$A$630:$E$652,5,FALSE)</f>
        <v>#N/A</v>
      </c>
      <c r="P291" s="80">
        <v>304</v>
      </c>
    </row>
    <row r="292" spans="1:16" x14ac:dyDescent="0.25">
      <c r="A292" s="80">
        <v>9</v>
      </c>
      <c r="B292" s="6">
        <v>2</v>
      </c>
      <c r="C292" s="80">
        <v>13661</v>
      </c>
      <c r="D292" s="80">
        <v>1</v>
      </c>
      <c r="E292" s="80">
        <v>1</v>
      </c>
      <c r="F292" s="80" t="s">
        <v>409</v>
      </c>
      <c r="G292" s="79">
        <v>32.71</v>
      </c>
      <c r="H292" s="79">
        <v>0.13517899999999999</v>
      </c>
      <c r="I292" s="79" t="s">
        <v>2</v>
      </c>
      <c r="J292" s="79" t="s">
        <v>2</v>
      </c>
      <c r="K292" s="83">
        <f>VLOOKUP(ws[[#This Row],[hwycov_id]],count[],4,FALSE)</f>
        <v>21294</v>
      </c>
      <c r="L292" s="115">
        <f>VLOOKUP(ws[[#This Row],[hwycov_id]],flow0[],5,FALSE)</f>
        <v>20564</v>
      </c>
      <c r="M292" s="295">
        <f>ws[[#This Row],[flow]]/ws[[#This Row],[count]]-1</f>
        <v>-3.4281957358880399E-2</v>
      </c>
      <c r="N292" s="296">
        <f>POWER((ws[[#This Row],[flow]]-ws[[#This Row],[count]]),2)</f>
        <v>532900</v>
      </c>
      <c r="O292" s="80" t="e">
        <f>VLOOKUP(ws[[#This Row],[hwycov_id]],count!$A$630:$E$652,5,FALSE)</f>
        <v>#N/A</v>
      </c>
      <c r="P292" s="80">
        <v>305</v>
      </c>
    </row>
    <row r="293" spans="1:16" x14ac:dyDescent="0.25">
      <c r="A293" s="80">
        <v>9</v>
      </c>
      <c r="B293" s="6">
        <v>2</v>
      </c>
      <c r="C293" s="80">
        <v>13664</v>
      </c>
      <c r="D293" s="80">
        <v>1</v>
      </c>
      <c r="E293" s="80">
        <v>1</v>
      </c>
      <c r="F293" s="80" t="s">
        <v>409</v>
      </c>
      <c r="G293" s="79">
        <v>33.58</v>
      </c>
      <c r="H293" s="79">
        <v>0.78697099999999998</v>
      </c>
      <c r="I293" s="79" t="s">
        <v>2</v>
      </c>
      <c r="J293" s="79" t="s">
        <v>31</v>
      </c>
      <c r="K293" s="83">
        <f>VLOOKUP(ws[[#This Row],[hwycov_id]],count[],4,FALSE)</f>
        <v>26695</v>
      </c>
      <c r="L293" s="115">
        <f>VLOOKUP(ws[[#This Row],[hwycov_id]],flow0[],5,FALSE)</f>
        <v>22837</v>
      </c>
      <c r="M293" s="295">
        <f>ws[[#This Row],[flow]]/ws[[#This Row],[count]]-1</f>
        <v>-0.14452144596366356</v>
      </c>
      <c r="N293" s="296">
        <f>POWER((ws[[#This Row],[flow]]-ws[[#This Row],[count]]),2)</f>
        <v>14884164</v>
      </c>
      <c r="O293" s="80" t="e">
        <f>VLOOKUP(ws[[#This Row],[hwycov_id]],count!$A$630:$E$652,5,FALSE)</f>
        <v>#N/A</v>
      </c>
      <c r="P293" s="80">
        <v>306</v>
      </c>
    </row>
    <row r="294" spans="1:16" x14ac:dyDescent="0.25">
      <c r="A294" s="80">
        <v>9</v>
      </c>
      <c r="B294" s="6">
        <v>2</v>
      </c>
      <c r="C294" s="80">
        <v>13673</v>
      </c>
      <c r="D294" s="80">
        <v>1</v>
      </c>
      <c r="E294" s="80">
        <v>1</v>
      </c>
      <c r="F294" s="80" t="s">
        <v>409</v>
      </c>
      <c r="G294" s="79">
        <v>34.090000000000003</v>
      </c>
      <c r="H294" s="79">
        <v>0.50616399999999995</v>
      </c>
      <c r="I294" s="79" t="s">
        <v>31</v>
      </c>
      <c r="J294" s="79" t="s">
        <v>31</v>
      </c>
      <c r="K294" s="83">
        <f>VLOOKUP(ws[[#This Row],[hwycov_id]],count[],4,FALSE)</f>
        <v>23905</v>
      </c>
      <c r="L294" s="115">
        <f>VLOOKUP(ws[[#This Row],[hwycov_id]],flow0[],5,FALSE)</f>
        <v>21143</v>
      </c>
      <c r="M294" s="295">
        <f>ws[[#This Row],[flow]]/ws[[#This Row],[count]]-1</f>
        <v>-0.11554068186571842</v>
      </c>
      <c r="N294" s="296">
        <f>POWER((ws[[#This Row],[flow]]-ws[[#This Row],[count]]),2)</f>
        <v>7628644</v>
      </c>
      <c r="O294" s="80" t="e">
        <f>VLOOKUP(ws[[#This Row],[hwycov_id]],count!$A$630:$E$652,5,FALSE)</f>
        <v>#N/A</v>
      </c>
      <c r="P294" s="80">
        <v>307</v>
      </c>
    </row>
    <row r="295" spans="1:16" x14ac:dyDescent="0.25">
      <c r="A295" s="80">
        <v>9</v>
      </c>
      <c r="B295" s="6">
        <v>2</v>
      </c>
      <c r="C295" s="80">
        <v>14644</v>
      </c>
      <c r="D295" s="80">
        <v>1</v>
      </c>
      <c r="E295" s="80">
        <v>1</v>
      </c>
      <c r="F295" s="80" t="s">
        <v>409</v>
      </c>
      <c r="G295" s="79">
        <v>34.700000000000003</v>
      </c>
      <c r="H295" s="79">
        <v>0.61203200000000002</v>
      </c>
      <c r="I295" s="79" t="s">
        <v>31</v>
      </c>
      <c r="J295" s="79" t="s">
        <v>1</v>
      </c>
      <c r="K295" s="83">
        <f>VLOOKUP(ws[[#This Row],[hwycov_id]],count[],4,FALSE)</f>
        <v>35147</v>
      </c>
      <c r="L295" s="115">
        <f>VLOOKUP(ws[[#This Row],[hwycov_id]],flow0[],5,FALSE)</f>
        <v>23653</v>
      </c>
      <c r="M295" s="295">
        <f>ws[[#This Row],[flow]]/ws[[#This Row],[count]]-1</f>
        <v>-0.32702648874726148</v>
      </c>
      <c r="N295" s="296">
        <f>POWER((ws[[#This Row],[flow]]-ws[[#This Row],[count]]),2)</f>
        <v>132112036</v>
      </c>
      <c r="O295" s="80" t="e">
        <f>VLOOKUP(ws[[#This Row],[hwycov_id]],count!$A$630:$E$652,5,FALSE)</f>
        <v>#N/A</v>
      </c>
      <c r="P295" s="80">
        <v>308</v>
      </c>
    </row>
    <row r="296" spans="1:16" x14ac:dyDescent="0.25">
      <c r="A296" s="83">
        <v>9</v>
      </c>
      <c r="B296" s="350">
        <v>2</v>
      </c>
      <c r="C296" s="83">
        <v>570</v>
      </c>
      <c r="D296" s="83">
        <v>1</v>
      </c>
      <c r="E296" s="83">
        <v>1</v>
      </c>
      <c r="F296" s="83" t="s">
        <v>409</v>
      </c>
      <c r="G296" s="294">
        <v>35.74</v>
      </c>
      <c r="H296" s="294">
        <v>0.56377100000000002</v>
      </c>
      <c r="I296" s="294" t="s">
        <v>44</v>
      </c>
      <c r="J296" s="294" t="s">
        <v>0</v>
      </c>
      <c r="K296" s="83">
        <f>VLOOKUP(ws[[#This Row],[hwycov_id]],count[],4,FALSE)</f>
        <v>23156</v>
      </c>
      <c r="L296" s="115">
        <f>VLOOKUP(ws[[#This Row],[hwycov_id]],flow0[],5,FALSE)</f>
        <v>20296</v>
      </c>
      <c r="M296" s="295">
        <f>ws[[#This Row],[flow]]/ws[[#This Row],[count]]-1</f>
        <v>-0.12351010537225771</v>
      </c>
      <c r="N296" s="296">
        <f>POWER((ws[[#This Row],[flow]]-ws[[#This Row],[count]]),2)</f>
        <v>8179600</v>
      </c>
      <c r="O296" s="80" t="e">
        <f>VLOOKUP(ws[[#This Row],[hwycov_id]],count!$A$630:$E$652,5,FALSE)</f>
        <v>#N/A</v>
      </c>
      <c r="P296" s="80">
        <v>309</v>
      </c>
    </row>
    <row r="297" spans="1:16" x14ac:dyDescent="0.25">
      <c r="A297" s="83">
        <v>9</v>
      </c>
      <c r="B297" s="350">
        <v>2</v>
      </c>
      <c r="C297" s="83">
        <v>14637</v>
      </c>
      <c r="D297" s="83">
        <v>1</v>
      </c>
      <c r="E297" s="83">
        <v>1</v>
      </c>
      <c r="F297" s="83" t="s">
        <v>409</v>
      </c>
      <c r="G297" s="294">
        <v>35.96</v>
      </c>
      <c r="H297" s="83">
        <v>0.228827</v>
      </c>
      <c r="I297" s="83" t="s">
        <v>0</v>
      </c>
      <c r="J297" s="83" t="s">
        <v>45</v>
      </c>
      <c r="K297" s="83">
        <f>VLOOKUP(ws[[#This Row],[hwycov_id]],count[],4,FALSE)</f>
        <v>23205</v>
      </c>
      <c r="L297" s="115">
        <f>VLOOKUP(ws[[#This Row],[hwycov_id]],flow0[],5,FALSE)</f>
        <v>21394</v>
      </c>
      <c r="M297" s="295">
        <f>ws[[#This Row],[flow]]/ws[[#This Row],[count]]-1</f>
        <v>-7.8043525102348577E-2</v>
      </c>
      <c r="N297" s="296">
        <f>POWER((ws[[#This Row],[flow]]-ws[[#This Row],[count]]),2)</f>
        <v>3279721</v>
      </c>
      <c r="O297" s="80" t="e">
        <f>VLOOKUP(ws[[#This Row],[hwycov_id]],count!$A$630:$E$652,5,FALSE)</f>
        <v>#N/A</v>
      </c>
      <c r="P297" s="80">
        <v>310</v>
      </c>
    </row>
    <row r="298" spans="1:16" x14ac:dyDescent="0.25">
      <c r="A298" s="80">
        <v>9</v>
      </c>
      <c r="B298" s="6">
        <v>2</v>
      </c>
      <c r="C298" s="80">
        <v>14660</v>
      </c>
      <c r="D298" s="80">
        <v>1</v>
      </c>
      <c r="E298" s="80">
        <v>1</v>
      </c>
      <c r="F298" s="80" t="s">
        <v>409</v>
      </c>
      <c r="G298" s="79">
        <v>36.29</v>
      </c>
      <c r="H298" s="80">
        <v>0.32136599999999999</v>
      </c>
      <c r="I298" s="80" t="s">
        <v>45</v>
      </c>
      <c r="J298" s="80" t="s">
        <v>45</v>
      </c>
      <c r="K298" s="83">
        <f>VLOOKUP(ws[[#This Row],[hwycov_id]],count[],4,FALSE)</f>
        <v>22862</v>
      </c>
      <c r="L298" s="115">
        <f>VLOOKUP(ws[[#This Row],[hwycov_id]],flow0[],5,FALSE)</f>
        <v>20797</v>
      </c>
      <c r="M298" s="295">
        <f>ws[[#This Row],[flow]]/ws[[#This Row],[count]]-1</f>
        <v>-9.0324556031843195E-2</v>
      </c>
      <c r="N298" s="296">
        <f>POWER((ws[[#This Row],[flow]]-ws[[#This Row],[count]]),2)</f>
        <v>4264225</v>
      </c>
      <c r="O298" s="80" t="e">
        <f>VLOOKUP(ws[[#This Row],[hwycov_id]],count!$A$630:$E$652,5,FALSE)</f>
        <v>#N/A</v>
      </c>
      <c r="P298" s="80">
        <v>311</v>
      </c>
    </row>
    <row r="299" spans="1:16" x14ac:dyDescent="0.25">
      <c r="A299" s="80">
        <v>9</v>
      </c>
      <c r="B299" s="6">
        <v>2</v>
      </c>
      <c r="C299" s="80">
        <v>789</v>
      </c>
      <c r="D299" s="80">
        <v>1</v>
      </c>
      <c r="E299" s="80">
        <v>1</v>
      </c>
      <c r="F299" s="80" t="s">
        <v>409</v>
      </c>
      <c r="G299" s="79">
        <v>37.409999999999997</v>
      </c>
      <c r="H299" s="79">
        <v>0.21335899999999999</v>
      </c>
      <c r="I299" s="79" t="s">
        <v>15</v>
      </c>
      <c r="J299" s="79" t="s">
        <v>15</v>
      </c>
      <c r="K299" s="83">
        <f>VLOOKUP(ws[[#This Row],[hwycov_id]],count[],4,FALSE)</f>
        <v>26859</v>
      </c>
      <c r="L299" s="115">
        <f>VLOOKUP(ws[[#This Row],[hwycov_id]],flow0[],5,FALSE)</f>
        <v>24077</v>
      </c>
      <c r="M299" s="295">
        <f>ws[[#This Row],[flow]]/ws[[#This Row],[count]]-1</f>
        <v>-0.10357794407833498</v>
      </c>
      <c r="N299" s="296">
        <f>POWER((ws[[#This Row],[flow]]-ws[[#This Row],[count]]),2)</f>
        <v>7739524</v>
      </c>
      <c r="O299" s="80" t="e">
        <f>VLOOKUP(ws[[#This Row],[hwycov_id]],count!$A$630:$E$652,5,FALSE)</f>
        <v>#N/A</v>
      </c>
      <c r="P299" s="80">
        <v>312</v>
      </c>
    </row>
    <row r="300" spans="1:16" x14ac:dyDescent="0.25">
      <c r="A300" s="80">
        <v>9</v>
      </c>
      <c r="B300" s="6">
        <v>2</v>
      </c>
      <c r="C300" s="80">
        <v>14383</v>
      </c>
      <c r="D300" s="80">
        <v>1</v>
      </c>
      <c r="E300" s="80">
        <v>1</v>
      </c>
      <c r="F300" s="80" t="s">
        <v>409</v>
      </c>
      <c r="G300" s="79">
        <v>38.130000000000003</v>
      </c>
      <c r="H300" s="79">
        <v>0.71821100000000004</v>
      </c>
      <c r="I300" s="79" t="s">
        <v>15</v>
      </c>
      <c r="J300" s="79" t="s">
        <v>33</v>
      </c>
      <c r="K300" s="83">
        <f>VLOOKUP(ws[[#This Row],[hwycov_id]],count[],4,FALSE)</f>
        <v>31444</v>
      </c>
      <c r="L300" s="115">
        <f>VLOOKUP(ws[[#This Row],[hwycov_id]],flow0[],5,FALSE)</f>
        <v>26498</v>
      </c>
      <c r="M300" s="295">
        <f>ws[[#This Row],[flow]]/ws[[#This Row],[count]]-1</f>
        <v>-0.15729550947716575</v>
      </c>
      <c r="N300" s="296">
        <f>POWER((ws[[#This Row],[flow]]-ws[[#This Row],[count]]),2)</f>
        <v>24462916</v>
      </c>
      <c r="O300" s="80" t="e">
        <f>VLOOKUP(ws[[#This Row],[hwycov_id]],count!$A$630:$E$652,5,FALSE)</f>
        <v>#N/A</v>
      </c>
      <c r="P300" s="80">
        <v>313</v>
      </c>
    </row>
    <row r="301" spans="1:16" x14ac:dyDescent="0.25">
      <c r="A301" s="80">
        <v>9</v>
      </c>
      <c r="B301" s="6">
        <v>2</v>
      </c>
      <c r="C301" s="80">
        <v>28809</v>
      </c>
      <c r="D301" s="80">
        <v>1</v>
      </c>
      <c r="E301" s="80">
        <v>1</v>
      </c>
      <c r="F301" s="80" t="s">
        <v>409</v>
      </c>
      <c r="G301" s="79">
        <v>38.54</v>
      </c>
      <c r="H301" s="79">
        <v>0.29058800000000001</v>
      </c>
      <c r="I301" s="79" t="s">
        <v>33</v>
      </c>
      <c r="J301" s="79" t="s">
        <v>33</v>
      </c>
      <c r="K301" s="83">
        <f>VLOOKUP(ws[[#This Row],[hwycov_id]],count[],4,FALSE)</f>
        <v>23954</v>
      </c>
      <c r="L301" s="115">
        <f>VLOOKUP(ws[[#This Row],[hwycov_id]],flow0[],5,FALSE)</f>
        <v>23847</v>
      </c>
      <c r="M301" s="295">
        <f>ws[[#This Row],[flow]]/ws[[#This Row],[count]]-1</f>
        <v>-4.4668948818569199E-3</v>
      </c>
      <c r="N301" s="296">
        <f>POWER((ws[[#This Row],[flow]]-ws[[#This Row],[count]]),2)</f>
        <v>11449</v>
      </c>
      <c r="O301" s="80" t="e">
        <f>VLOOKUP(ws[[#This Row],[hwycov_id]],count!$A$630:$E$652,5,FALSE)</f>
        <v>#N/A</v>
      </c>
      <c r="P301" s="80">
        <v>314</v>
      </c>
    </row>
    <row r="302" spans="1:16" x14ac:dyDescent="0.25">
      <c r="A302" s="80">
        <v>9</v>
      </c>
      <c r="B302" s="6">
        <v>2</v>
      </c>
      <c r="C302" s="80">
        <v>8814</v>
      </c>
      <c r="D302" s="80">
        <v>1</v>
      </c>
      <c r="E302" s="80">
        <v>1</v>
      </c>
      <c r="F302" s="80" t="s">
        <v>409</v>
      </c>
      <c r="G302" s="79">
        <v>39.229999999999997</v>
      </c>
      <c r="H302" s="79">
        <v>0.44913599999999998</v>
      </c>
      <c r="I302" s="79" t="s">
        <v>33</v>
      </c>
      <c r="J302" s="79" t="s">
        <v>34</v>
      </c>
      <c r="K302" s="83">
        <f>VLOOKUP(ws[[#This Row],[hwycov_id]],count[],4,FALSE)</f>
        <v>29897</v>
      </c>
      <c r="L302" s="115">
        <f>VLOOKUP(ws[[#This Row],[hwycov_id]],flow0[],5,FALSE)</f>
        <v>29575</v>
      </c>
      <c r="M302" s="295">
        <f>ws[[#This Row],[flow]]/ws[[#This Row],[count]]-1</f>
        <v>-1.0770311402481858E-2</v>
      </c>
      <c r="N302" s="296">
        <f>POWER((ws[[#This Row],[flow]]-ws[[#This Row],[count]]),2)</f>
        <v>103684</v>
      </c>
      <c r="O302" s="80" t="e">
        <f>VLOOKUP(ws[[#This Row],[hwycov_id]],count!$A$630:$E$652,5,FALSE)</f>
        <v>#N/A</v>
      </c>
      <c r="P302" s="80">
        <v>315</v>
      </c>
    </row>
    <row r="303" spans="1:16" x14ac:dyDescent="0.25">
      <c r="A303" s="80">
        <v>9</v>
      </c>
      <c r="B303" s="6">
        <v>2</v>
      </c>
      <c r="C303" s="80">
        <v>14400</v>
      </c>
      <c r="D303" s="80">
        <v>1</v>
      </c>
      <c r="E303" s="80">
        <v>1</v>
      </c>
      <c r="F303" s="80" t="s">
        <v>409</v>
      </c>
      <c r="G303" s="79">
        <v>39.630000000000003</v>
      </c>
      <c r="H303" s="79">
        <v>0.40190700000000001</v>
      </c>
      <c r="I303" s="79" t="s">
        <v>34</v>
      </c>
      <c r="J303" s="79" t="s">
        <v>34</v>
      </c>
      <c r="K303" s="83">
        <f>VLOOKUP(ws[[#This Row],[hwycov_id]],count[],4,FALSE)</f>
        <v>28049</v>
      </c>
      <c r="L303" s="115">
        <f>VLOOKUP(ws[[#This Row],[hwycov_id]],flow0[],5,FALSE)</f>
        <v>28197</v>
      </c>
      <c r="M303" s="295">
        <f>ws[[#This Row],[flow]]/ws[[#This Row],[count]]-1</f>
        <v>5.2764804449356717E-3</v>
      </c>
      <c r="N303" s="296">
        <f>POWER((ws[[#This Row],[flow]]-ws[[#This Row],[count]]),2)</f>
        <v>21904</v>
      </c>
      <c r="O303" s="80" t="e">
        <f>VLOOKUP(ws[[#This Row],[hwycov_id]],count!$A$630:$E$652,5,FALSE)</f>
        <v>#N/A</v>
      </c>
      <c r="P303" s="80">
        <v>316</v>
      </c>
    </row>
    <row r="304" spans="1:16" x14ac:dyDescent="0.25">
      <c r="A304" s="80">
        <v>9</v>
      </c>
      <c r="B304" s="6">
        <v>2</v>
      </c>
      <c r="C304" s="80">
        <v>14407</v>
      </c>
      <c r="D304" s="80">
        <v>1</v>
      </c>
      <c r="E304" s="80">
        <v>1</v>
      </c>
      <c r="F304" s="80" t="s">
        <v>409</v>
      </c>
      <c r="G304" s="79">
        <v>40.19</v>
      </c>
      <c r="H304" s="79">
        <v>0.30479499999999998</v>
      </c>
      <c r="I304" s="79" t="s">
        <v>46</v>
      </c>
      <c r="J304" s="79" t="s">
        <v>46</v>
      </c>
      <c r="K304" s="83">
        <f>VLOOKUP(ws[[#This Row],[hwycov_id]],count[],4,FALSE)</f>
        <v>29715</v>
      </c>
      <c r="L304" s="115">
        <f>VLOOKUP(ws[[#This Row],[hwycov_id]],flow0[],5,FALSE)</f>
        <v>28918</v>
      </c>
      <c r="M304" s="295">
        <f>ws[[#This Row],[flow]]/ws[[#This Row],[count]]-1</f>
        <v>-2.6821470637725109E-2</v>
      </c>
      <c r="N304" s="296">
        <f>POWER((ws[[#This Row],[flow]]-ws[[#This Row],[count]]),2)</f>
        <v>635209</v>
      </c>
      <c r="O304" s="80" t="e">
        <f>VLOOKUP(ws[[#This Row],[hwycov_id]],count!$A$630:$E$652,5,FALSE)</f>
        <v>#N/A</v>
      </c>
      <c r="P304" s="80">
        <v>317</v>
      </c>
    </row>
    <row r="305" spans="1:16" x14ac:dyDescent="0.25">
      <c r="A305" s="80">
        <v>9</v>
      </c>
      <c r="B305" s="6">
        <v>2</v>
      </c>
      <c r="C305" s="80">
        <v>14411</v>
      </c>
      <c r="D305" s="80">
        <v>1</v>
      </c>
      <c r="E305" s="80">
        <v>1</v>
      </c>
      <c r="F305" s="80" t="s">
        <v>409</v>
      </c>
      <c r="G305" s="79">
        <v>40.409999999999997</v>
      </c>
      <c r="H305" s="79">
        <v>0.218697</v>
      </c>
      <c r="I305" s="79" t="s">
        <v>46</v>
      </c>
      <c r="J305" s="79" t="s">
        <v>46</v>
      </c>
      <c r="K305" s="83">
        <f>VLOOKUP(ws[[#This Row],[hwycov_id]],count[],4,FALSE)</f>
        <v>29666</v>
      </c>
      <c r="L305" s="115">
        <f>VLOOKUP(ws[[#This Row],[hwycov_id]],flow0[],5,FALSE)</f>
        <v>31062</v>
      </c>
      <c r="M305" s="295">
        <f>ws[[#This Row],[flow]]/ws[[#This Row],[count]]-1</f>
        <v>4.7057237241286298E-2</v>
      </c>
      <c r="N305" s="296">
        <f>POWER((ws[[#This Row],[flow]]-ws[[#This Row],[count]]),2)</f>
        <v>1948816</v>
      </c>
      <c r="O305" s="80" t="e">
        <f>VLOOKUP(ws[[#This Row],[hwycov_id]],count!$A$630:$E$652,5,FALSE)</f>
        <v>#N/A</v>
      </c>
      <c r="P305" s="80">
        <v>318</v>
      </c>
    </row>
    <row r="306" spans="1:16" x14ac:dyDescent="0.25">
      <c r="A306" s="80">
        <v>9</v>
      </c>
      <c r="B306" s="6">
        <v>2</v>
      </c>
      <c r="C306" s="80">
        <v>14412</v>
      </c>
      <c r="D306" s="80">
        <v>1</v>
      </c>
      <c r="E306" s="80">
        <v>1</v>
      </c>
      <c r="F306" s="80" t="s">
        <v>409</v>
      </c>
      <c r="G306" s="79">
        <v>40.78</v>
      </c>
      <c r="H306" s="79">
        <v>0.37073299999999998</v>
      </c>
      <c r="I306" s="79" t="s">
        <v>46</v>
      </c>
      <c r="J306" s="79" t="s">
        <v>12</v>
      </c>
      <c r="K306" s="83">
        <f>VLOOKUP(ws[[#This Row],[hwycov_id]],count[],4,FALSE)</f>
        <v>29449</v>
      </c>
      <c r="L306" s="115">
        <f>VLOOKUP(ws[[#This Row],[hwycov_id]],flow0[],5,FALSE)</f>
        <v>32232</v>
      </c>
      <c r="M306" s="295">
        <f>ws[[#This Row],[flow]]/ws[[#This Row],[count]]-1</f>
        <v>9.4502360012224562E-2</v>
      </c>
      <c r="N306" s="296">
        <f>POWER((ws[[#This Row],[flow]]-ws[[#This Row],[count]]),2)</f>
        <v>7745089</v>
      </c>
      <c r="O306" s="80" t="e">
        <f>VLOOKUP(ws[[#This Row],[hwycov_id]],count!$A$630:$E$652,5,FALSE)</f>
        <v>#N/A</v>
      </c>
      <c r="P306" s="80">
        <v>319</v>
      </c>
    </row>
    <row r="307" spans="1:16" x14ac:dyDescent="0.25">
      <c r="A307" s="80">
        <v>9</v>
      </c>
      <c r="B307" s="6">
        <v>2</v>
      </c>
      <c r="C307" s="80">
        <v>14418</v>
      </c>
      <c r="D307" s="80">
        <v>1</v>
      </c>
      <c r="E307" s="80">
        <v>1</v>
      </c>
      <c r="F307" s="80" t="s">
        <v>409</v>
      </c>
      <c r="G307" s="79">
        <v>41.44</v>
      </c>
      <c r="H307" s="79">
        <v>0.58227200000000001</v>
      </c>
      <c r="I307" s="79" t="s">
        <v>12</v>
      </c>
      <c r="J307" s="79" t="s">
        <v>12</v>
      </c>
      <c r="K307" s="83">
        <f>VLOOKUP(ws[[#This Row],[hwycov_id]],count[],4,FALSE)</f>
        <v>30667</v>
      </c>
      <c r="L307" s="115">
        <f>VLOOKUP(ws[[#This Row],[hwycov_id]],flow0[],5,FALSE)</f>
        <v>33570</v>
      </c>
      <c r="M307" s="295">
        <f>ws[[#This Row],[flow]]/ws[[#This Row],[count]]-1</f>
        <v>9.4662014543320128E-2</v>
      </c>
      <c r="N307" s="296">
        <f>POWER((ws[[#This Row],[flow]]-ws[[#This Row],[count]]),2)</f>
        <v>8427409</v>
      </c>
      <c r="O307" s="80" t="e">
        <f>VLOOKUP(ws[[#This Row],[hwycov_id]],count!$A$630:$E$652,5,FALSE)</f>
        <v>#N/A</v>
      </c>
      <c r="P307" s="80">
        <v>320</v>
      </c>
    </row>
    <row r="308" spans="1:16" x14ac:dyDescent="0.25">
      <c r="A308" s="80">
        <v>9</v>
      </c>
      <c r="B308" s="6">
        <v>2</v>
      </c>
      <c r="C308" s="80">
        <v>14419</v>
      </c>
      <c r="D308" s="80">
        <v>1</v>
      </c>
      <c r="E308" s="80">
        <v>1</v>
      </c>
      <c r="F308" s="80" t="s">
        <v>409</v>
      </c>
      <c r="G308" s="79">
        <v>42.07</v>
      </c>
      <c r="H308" s="79">
        <v>0.63197400000000004</v>
      </c>
      <c r="I308" s="79" t="s">
        <v>12</v>
      </c>
      <c r="J308" s="79" t="s">
        <v>47</v>
      </c>
      <c r="K308" s="83">
        <f>VLOOKUP(ws[[#This Row],[hwycov_id]],count[],4,FALSE)</f>
        <v>36393</v>
      </c>
      <c r="L308" s="115">
        <f>VLOOKUP(ws[[#This Row],[hwycov_id]],flow0[],5,FALSE)</f>
        <v>33941</v>
      </c>
      <c r="M308" s="295">
        <f>ws[[#This Row],[flow]]/ws[[#This Row],[count]]-1</f>
        <v>-6.7375594207677247E-2</v>
      </c>
      <c r="N308" s="296">
        <f>POWER((ws[[#This Row],[flow]]-ws[[#This Row],[count]]),2)</f>
        <v>6012304</v>
      </c>
      <c r="O308" s="80" t="e">
        <f>VLOOKUP(ws[[#This Row],[hwycov_id]],count!$A$630:$E$652,5,FALSE)</f>
        <v>#N/A</v>
      </c>
      <c r="P308" s="80">
        <v>321</v>
      </c>
    </row>
    <row r="309" spans="1:16" x14ac:dyDescent="0.25">
      <c r="A309" s="80">
        <v>9</v>
      </c>
      <c r="B309" s="6">
        <v>2</v>
      </c>
      <c r="C309" s="80">
        <v>8816</v>
      </c>
      <c r="D309" s="80">
        <v>1</v>
      </c>
      <c r="E309" s="80">
        <v>1</v>
      </c>
      <c r="F309" s="80" t="s">
        <v>409</v>
      </c>
      <c r="G309" s="79">
        <v>43.59</v>
      </c>
      <c r="H309" s="79">
        <v>0.610815</v>
      </c>
      <c r="I309" s="79" t="s">
        <v>44</v>
      </c>
      <c r="J309" s="79" t="s">
        <v>36</v>
      </c>
      <c r="K309" s="83">
        <f>VLOOKUP(ws[[#This Row],[hwycov_id]],count[],4,FALSE)</f>
        <v>12928</v>
      </c>
      <c r="L309" s="115">
        <f>VLOOKUP(ws[[#This Row],[hwycov_id]],flow0[],5,FALSE)</f>
        <v>24382</v>
      </c>
      <c r="M309" s="295">
        <f>ws[[#This Row],[flow]]/ws[[#This Row],[count]]-1</f>
        <v>0.88598391089108919</v>
      </c>
      <c r="N309" s="296">
        <f>POWER((ws[[#This Row],[flow]]-ws[[#This Row],[count]]),2)</f>
        <v>131194116</v>
      </c>
      <c r="O309" s="80" t="e">
        <f>VLOOKUP(ws[[#This Row],[hwycov_id]],count!$A$630:$E$652,5,FALSE)</f>
        <v>#N/A</v>
      </c>
      <c r="P309" s="80">
        <v>322</v>
      </c>
    </row>
    <row r="310" spans="1:16" x14ac:dyDescent="0.25">
      <c r="A310" s="80">
        <v>9</v>
      </c>
      <c r="B310" s="6">
        <v>2</v>
      </c>
      <c r="C310" s="80">
        <v>15196</v>
      </c>
      <c r="D310" s="80">
        <v>1</v>
      </c>
      <c r="E310" s="80">
        <v>1</v>
      </c>
      <c r="F310" s="80" t="s">
        <v>409</v>
      </c>
      <c r="G310" s="79">
        <v>44.76</v>
      </c>
      <c r="H310" s="79">
        <v>0.31640400000000002</v>
      </c>
      <c r="I310" s="79" t="s">
        <v>25</v>
      </c>
      <c r="J310" s="79" t="s">
        <v>25</v>
      </c>
      <c r="K310" s="83">
        <f>VLOOKUP(ws[[#This Row],[hwycov_id]],count[],4,FALSE)</f>
        <v>17034</v>
      </c>
      <c r="L310" s="115">
        <f>VLOOKUP(ws[[#This Row],[hwycov_id]],flow0[],5,FALSE)</f>
        <v>24680</v>
      </c>
      <c r="M310" s="295">
        <f>ws[[#This Row],[flow]]/ws[[#This Row],[count]]-1</f>
        <v>0.44886697193847591</v>
      </c>
      <c r="N310" s="296">
        <f>POWER((ws[[#This Row],[flow]]-ws[[#This Row],[count]]),2)</f>
        <v>58461316</v>
      </c>
      <c r="O310" s="80" t="e">
        <f>VLOOKUP(ws[[#This Row],[hwycov_id]],count!$A$630:$E$652,5,FALSE)</f>
        <v>#N/A</v>
      </c>
      <c r="P310" s="80">
        <v>323</v>
      </c>
    </row>
    <row r="311" spans="1:16" x14ac:dyDescent="0.25">
      <c r="A311" s="80">
        <v>9</v>
      </c>
      <c r="B311" s="6">
        <v>2</v>
      </c>
      <c r="C311" s="80">
        <v>15191</v>
      </c>
      <c r="D311" s="80">
        <v>1</v>
      </c>
      <c r="E311" s="80">
        <v>1</v>
      </c>
      <c r="F311" s="80" t="s">
        <v>409</v>
      </c>
      <c r="G311" s="79">
        <v>45.06</v>
      </c>
      <c r="H311" s="79">
        <v>0.29902699999999999</v>
      </c>
      <c r="I311" s="79" t="s">
        <v>25</v>
      </c>
      <c r="J311" s="79" t="s">
        <v>16</v>
      </c>
      <c r="K311" s="83">
        <f>VLOOKUP(ws[[#This Row],[hwycov_id]],count[],4,FALSE)</f>
        <v>20813</v>
      </c>
      <c r="L311" s="115">
        <f>VLOOKUP(ws[[#This Row],[hwycov_id]],flow0[],5,FALSE)</f>
        <v>28131</v>
      </c>
      <c r="M311" s="295">
        <f>ws[[#This Row],[flow]]/ws[[#This Row],[count]]-1</f>
        <v>0.35160716859655028</v>
      </c>
      <c r="N311" s="296">
        <f>POWER((ws[[#This Row],[flow]]-ws[[#This Row],[count]]),2)</f>
        <v>53553124</v>
      </c>
      <c r="O311" s="80" t="e">
        <f>VLOOKUP(ws[[#This Row],[hwycov_id]],count!$A$630:$E$652,5,FALSE)</f>
        <v>#N/A</v>
      </c>
      <c r="P311" s="80">
        <v>324</v>
      </c>
    </row>
    <row r="312" spans="1:16" x14ac:dyDescent="0.25">
      <c r="A312" s="80">
        <v>9</v>
      </c>
      <c r="B312" s="6">
        <v>2</v>
      </c>
      <c r="C312" s="80">
        <v>9343</v>
      </c>
      <c r="D312" s="80">
        <v>1</v>
      </c>
      <c r="E312" s="80">
        <v>1</v>
      </c>
      <c r="F312" s="80" t="s">
        <v>409</v>
      </c>
      <c r="G312" s="79">
        <v>45.22</v>
      </c>
      <c r="H312" s="79">
        <v>0.16425200000000001</v>
      </c>
      <c r="I312" s="79" t="s">
        <v>16</v>
      </c>
      <c r="J312" s="79" t="s">
        <v>16</v>
      </c>
      <c r="K312" s="83">
        <f>VLOOKUP(ws[[#This Row],[hwycov_id]],count[],4,FALSE)</f>
        <v>19933</v>
      </c>
      <c r="L312" s="115">
        <f>VLOOKUP(ws[[#This Row],[hwycov_id]],flow0[],5,FALSE)</f>
        <v>26716</v>
      </c>
      <c r="M312" s="295">
        <f>ws[[#This Row],[flow]]/ws[[#This Row],[count]]-1</f>
        <v>0.34028997140420403</v>
      </c>
      <c r="N312" s="296">
        <f>POWER((ws[[#This Row],[flow]]-ws[[#This Row],[count]]),2)</f>
        <v>46009089</v>
      </c>
      <c r="O312" s="80" t="e">
        <f>VLOOKUP(ws[[#This Row],[hwycov_id]],count!$A$630:$E$652,5,FALSE)</f>
        <v>#N/A</v>
      </c>
      <c r="P312" s="80">
        <v>325</v>
      </c>
    </row>
    <row r="313" spans="1:16" x14ac:dyDescent="0.25">
      <c r="A313" s="80">
        <v>9</v>
      </c>
      <c r="B313" s="6">
        <v>2</v>
      </c>
      <c r="C313" s="80">
        <v>9338</v>
      </c>
      <c r="D313" s="80">
        <v>1</v>
      </c>
      <c r="E313" s="80">
        <v>1</v>
      </c>
      <c r="F313" s="80" t="s">
        <v>409</v>
      </c>
      <c r="G313" s="79">
        <v>45.92</v>
      </c>
      <c r="H313" s="79">
        <v>0.347999</v>
      </c>
      <c r="I313" s="79" t="s">
        <v>16</v>
      </c>
      <c r="J313" s="79" t="s">
        <v>24</v>
      </c>
      <c r="K313" s="83">
        <f>VLOOKUP(ws[[#This Row],[hwycov_id]],count[],4,FALSE)</f>
        <v>26056</v>
      </c>
      <c r="L313" s="115">
        <f>VLOOKUP(ws[[#This Row],[hwycov_id]],flow0[],5,FALSE)</f>
        <v>32079</v>
      </c>
      <c r="M313" s="295">
        <f>ws[[#This Row],[flow]]/ws[[#This Row],[count]]-1</f>
        <v>0.23115597175314706</v>
      </c>
      <c r="N313" s="296">
        <f>POWER((ws[[#This Row],[flow]]-ws[[#This Row],[count]]),2)</f>
        <v>36276529</v>
      </c>
      <c r="O313" s="80" t="e">
        <f>VLOOKUP(ws[[#This Row],[hwycov_id]],count!$A$630:$E$652,5,FALSE)</f>
        <v>#N/A</v>
      </c>
      <c r="P313" s="80">
        <v>326</v>
      </c>
    </row>
    <row r="314" spans="1:16" x14ac:dyDescent="0.25">
      <c r="A314" s="80">
        <v>9</v>
      </c>
      <c r="B314" s="6">
        <v>2</v>
      </c>
      <c r="C314" s="80">
        <v>9335</v>
      </c>
      <c r="D314" s="80">
        <v>1</v>
      </c>
      <c r="E314" s="80">
        <v>1</v>
      </c>
      <c r="F314" s="80" t="s">
        <v>409</v>
      </c>
      <c r="G314" s="79">
        <v>46.43</v>
      </c>
      <c r="H314" s="79">
        <v>0.50634100000000004</v>
      </c>
      <c r="I314" s="79" t="s">
        <v>24</v>
      </c>
      <c r="J314" s="79" t="s">
        <v>24</v>
      </c>
      <c r="K314" s="83">
        <f>VLOOKUP(ws[[#This Row],[hwycov_id]],count[],4,FALSE)</f>
        <v>25927</v>
      </c>
      <c r="L314" s="115">
        <f>VLOOKUP(ws[[#This Row],[hwycov_id]],flow0[],5,FALSE)</f>
        <v>30074</v>
      </c>
      <c r="M314" s="295">
        <f>ws[[#This Row],[flow]]/ws[[#This Row],[count]]-1</f>
        <v>0.15994908782350437</v>
      </c>
      <c r="N314" s="296">
        <f>POWER((ws[[#This Row],[flow]]-ws[[#This Row],[count]]),2)</f>
        <v>17197609</v>
      </c>
      <c r="O314" s="80" t="e">
        <f>VLOOKUP(ws[[#This Row],[hwycov_id]],count!$A$630:$E$652,5,FALSE)</f>
        <v>#N/A</v>
      </c>
      <c r="P314" s="80">
        <v>327</v>
      </c>
    </row>
    <row r="315" spans="1:16" x14ac:dyDescent="0.25">
      <c r="A315" s="80">
        <v>9</v>
      </c>
      <c r="B315" s="6">
        <v>2</v>
      </c>
      <c r="C315" s="80">
        <v>15768</v>
      </c>
      <c r="D315" s="80">
        <v>1</v>
      </c>
      <c r="E315" s="80">
        <v>1</v>
      </c>
      <c r="F315" s="80" t="s">
        <v>409</v>
      </c>
      <c r="G315" s="79">
        <v>47.74</v>
      </c>
      <c r="H315" s="79">
        <v>0.27239600000000003</v>
      </c>
      <c r="I315" s="79" t="s">
        <v>22</v>
      </c>
      <c r="J315" s="79" t="s">
        <v>22</v>
      </c>
      <c r="K315" s="83">
        <f>VLOOKUP(ws[[#This Row],[hwycov_id]],count[],4,FALSE)</f>
        <v>27488</v>
      </c>
      <c r="L315" s="115">
        <f>VLOOKUP(ws[[#This Row],[hwycov_id]],flow0[],5,FALSE)</f>
        <v>30720</v>
      </c>
      <c r="M315" s="295">
        <f>ws[[#This Row],[flow]]/ws[[#This Row],[count]]-1</f>
        <v>0.11757857974388819</v>
      </c>
      <c r="N315" s="296">
        <f>POWER((ws[[#This Row],[flow]]-ws[[#This Row],[count]]),2)</f>
        <v>10445824</v>
      </c>
      <c r="O315" s="80" t="e">
        <f>VLOOKUP(ws[[#This Row],[hwycov_id]],count!$A$630:$E$652,5,FALSE)</f>
        <v>#N/A</v>
      </c>
      <c r="P315" s="80">
        <v>328</v>
      </c>
    </row>
    <row r="316" spans="1:16" x14ac:dyDescent="0.25">
      <c r="A316" s="80">
        <v>9</v>
      </c>
      <c r="B316" s="6">
        <v>2</v>
      </c>
      <c r="C316" s="80">
        <v>16570</v>
      </c>
      <c r="D316" s="80">
        <v>1</v>
      </c>
      <c r="E316" s="80">
        <v>1</v>
      </c>
      <c r="F316" s="80" t="s">
        <v>409</v>
      </c>
      <c r="G316" s="79">
        <v>47.96</v>
      </c>
      <c r="H316" s="79">
        <v>0.21804999999999999</v>
      </c>
      <c r="I316" s="79" t="s">
        <v>22</v>
      </c>
      <c r="J316" s="79" t="s">
        <v>38</v>
      </c>
      <c r="K316" s="83">
        <f>VLOOKUP(ws[[#This Row],[hwycov_id]],count[],4,FALSE)</f>
        <v>30787</v>
      </c>
      <c r="L316" s="115">
        <f>VLOOKUP(ws[[#This Row],[hwycov_id]],flow0[],5,FALSE)</f>
        <v>33362</v>
      </c>
      <c r="M316" s="295">
        <f>ws[[#This Row],[flow]]/ws[[#This Row],[count]]-1</f>
        <v>8.3639198362945422E-2</v>
      </c>
      <c r="N316" s="296">
        <f>POWER((ws[[#This Row],[flow]]-ws[[#This Row],[count]]),2)</f>
        <v>6630625</v>
      </c>
      <c r="O316" s="80" t="e">
        <f>VLOOKUP(ws[[#This Row],[hwycov_id]],count!$A$630:$E$652,5,FALSE)</f>
        <v>#N/A</v>
      </c>
      <c r="P316" s="80">
        <v>329</v>
      </c>
    </row>
    <row r="317" spans="1:16" x14ac:dyDescent="0.25">
      <c r="A317" s="80">
        <v>9</v>
      </c>
      <c r="B317" s="6">
        <v>2</v>
      </c>
      <c r="C317" s="80">
        <v>8933</v>
      </c>
      <c r="D317" s="80">
        <v>1</v>
      </c>
      <c r="E317" s="80">
        <v>1</v>
      </c>
      <c r="F317" s="80" t="s">
        <v>409</v>
      </c>
      <c r="G317" s="79">
        <v>49.15</v>
      </c>
      <c r="H317" s="79">
        <v>0.55165200000000003</v>
      </c>
      <c r="I317" s="79" t="s">
        <v>5</v>
      </c>
      <c r="J317" s="79" t="s">
        <v>4</v>
      </c>
      <c r="K317" s="83">
        <f>VLOOKUP(ws[[#This Row],[hwycov_id]],count[],4,FALSE)</f>
        <v>25927</v>
      </c>
      <c r="L317" s="115">
        <f>VLOOKUP(ws[[#This Row],[hwycov_id]],flow0[],5,FALSE)</f>
        <v>30283</v>
      </c>
      <c r="M317" s="295">
        <f>ws[[#This Row],[flow]]/ws[[#This Row],[count]]-1</f>
        <v>0.16801018243529908</v>
      </c>
      <c r="N317" s="296">
        <f>POWER((ws[[#This Row],[flow]]-ws[[#This Row],[count]]),2)</f>
        <v>18974736</v>
      </c>
      <c r="O317" s="80" t="e">
        <f>VLOOKUP(ws[[#This Row],[hwycov_id]],count!$A$630:$E$652,5,FALSE)</f>
        <v>#N/A</v>
      </c>
      <c r="P317" s="80">
        <v>330</v>
      </c>
    </row>
    <row r="318" spans="1:16" x14ac:dyDescent="0.25">
      <c r="A318" s="80">
        <v>9</v>
      </c>
      <c r="B318" s="6">
        <v>2</v>
      </c>
      <c r="C318" s="80">
        <v>8968</v>
      </c>
      <c r="D318" s="80">
        <v>1</v>
      </c>
      <c r="E318" s="80">
        <v>1</v>
      </c>
      <c r="F318" s="80" t="s">
        <v>409</v>
      </c>
      <c r="G318" s="79">
        <v>49.67</v>
      </c>
      <c r="H318" s="79">
        <v>0.23144999999999999</v>
      </c>
      <c r="I318" s="79" t="s">
        <v>4</v>
      </c>
      <c r="J318" s="79" t="s">
        <v>4</v>
      </c>
      <c r="K318" s="83">
        <f>VLOOKUP(ws[[#This Row],[hwycov_id]],count[],4,FALSE)</f>
        <v>21325</v>
      </c>
      <c r="L318" s="115">
        <f>VLOOKUP(ws[[#This Row],[hwycov_id]],flow0[],5,FALSE)</f>
        <v>25865</v>
      </c>
      <c r="M318" s="295">
        <f>ws[[#This Row],[flow]]/ws[[#This Row],[count]]-1</f>
        <v>0.21289566236811264</v>
      </c>
      <c r="N318" s="296">
        <f>POWER((ws[[#This Row],[flow]]-ws[[#This Row],[count]]),2)</f>
        <v>20611600</v>
      </c>
      <c r="O318" s="80" t="e">
        <f>VLOOKUP(ws[[#This Row],[hwycov_id]],count!$A$630:$E$652,5,FALSE)</f>
        <v>#N/A</v>
      </c>
      <c r="P318" s="80">
        <v>331</v>
      </c>
    </row>
    <row r="319" spans="1:16" x14ac:dyDescent="0.25">
      <c r="A319" s="80">
        <v>9</v>
      </c>
      <c r="B319" s="6">
        <v>2</v>
      </c>
      <c r="C319" s="80">
        <v>20463</v>
      </c>
      <c r="D319" s="80">
        <v>1</v>
      </c>
      <c r="E319" s="80">
        <v>1</v>
      </c>
      <c r="F319" s="80" t="s">
        <v>409</v>
      </c>
      <c r="G319" s="79">
        <v>50.42</v>
      </c>
      <c r="H319" s="79">
        <v>0.34800900000000001</v>
      </c>
      <c r="I319" s="79" t="s">
        <v>21</v>
      </c>
      <c r="J319" s="79" t="s">
        <v>20</v>
      </c>
      <c r="K319" s="83">
        <f>VLOOKUP(ws[[#This Row],[hwycov_id]],count[],4,FALSE)</f>
        <v>19487</v>
      </c>
      <c r="L319" s="115">
        <f>VLOOKUP(ws[[#This Row],[hwycov_id]],flow0[],5,FALSE)</f>
        <v>20781</v>
      </c>
      <c r="M319" s="295">
        <f>ws[[#This Row],[flow]]/ws[[#This Row],[count]]-1</f>
        <v>6.6403243187766137E-2</v>
      </c>
      <c r="N319" s="296">
        <f>POWER((ws[[#This Row],[flow]]-ws[[#This Row],[count]]),2)</f>
        <v>1674436</v>
      </c>
      <c r="O319" s="80" t="e">
        <f>VLOOKUP(ws[[#This Row],[hwycov_id]],count!$A$630:$E$652,5,FALSE)</f>
        <v>#N/A</v>
      </c>
      <c r="P319" s="80">
        <v>332</v>
      </c>
    </row>
    <row r="320" spans="1:16" x14ac:dyDescent="0.25">
      <c r="A320" s="80">
        <v>9</v>
      </c>
      <c r="B320" s="6">
        <v>2</v>
      </c>
      <c r="C320" s="80">
        <v>8938</v>
      </c>
      <c r="D320" s="80">
        <v>1</v>
      </c>
      <c r="E320" s="80">
        <v>1</v>
      </c>
      <c r="F320" s="80" t="s">
        <v>409</v>
      </c>
      <c r="G320" s="79">
        <v>51.08</v>
      </c>
      <c r="H320" s="79">
        <v>0.306585</v>
      </c>
      <c r="I320" s="79" t="s">
        <v>368</v>
      </c>
      <c r="J320" s="79" t="s">
        <v>48</v>
      </c>
      <c r="K320" s="83">
        <f>VLOOKUP(ws[[#This Row],[hwycov_id]],count[],4,FALSE)</f>
        <v>20263</v>
      </c>
      <c r="L320" s="115">
        <f>VLOOKUP(ws[[#This Row],[hwycov_id]],flow0[],5,FALSE)</f>
        <v>23270</v>
      </c>
      <c r="M320" s="295">
        <f>ws[[#This Row],[flow]]/ws[[#This Row],[count]]-1</f>
        <v>0.14839855894981002</v>
      </c>
      <c r="N320" s="296">
        <f>POWER((ws[[#This Row],[flow]]-ws[[#This Row],[count]]),2)</f>
        <v>9042049</v>
      </c>
      <c r="O320" s="80" t="e">
        <f>VLOOKUP(ws[[#This Row],[hwycov_id]],count!$A$630:$E$652,5,FALSE)</f>
        <v>#N/A</v>
      </c>
      <c r="P320" s="80">
        <v>333</v>
      </c>
    </row>
    <row r="321" spans="1:16" x14ac:dyDescent="0.25">
      <c r="A321" s="80">
        <v>9</v>
      </c>
      <c r="B321" s="6">
        <v>2</v>
      </c>
      <c r="C321" s="80">
        <v>22757</v>
      </c>
      <c r="D321" s="80">
        <v>1</v>
      </c>
      <c r="E321" s="80">
        <v>1</v>
      </c>
      <c r="F321" s="80" t="s">
        <v>409</v>
      </c>
      <c r="G321" s="79">
        <v>51.64</v>
      </c>
      <c r="H321" s="79">
        <v>0.56356399999999995</v>
      </c>
      <c r="I321" s="79" t="s">
        <v>48</v>
      </c>
      <c r="J321" s="79" t="s">
        <v>48</v>
      </c>
      <c r="K321" s="83">
        <f>VLOOKUP(ws[[#This Row],[hwycov_id]],count[],4,FALSE)</f>
        <v>13021</v>
      </c>
      <c r="L321" s="115">
        <f>VLOOKUP(ws[[#This Row],[hwycov_id]],flow0[],5,FALSE)</f>
        <v>10451</v>
      </c>
      <c r="M321" s="295">
        <f>ws[[#This Row],[flow]]/ws[[#This Row],[count]]-1</f>
        <v>-0.19737347361953772</v>
      </c>
      <c r="N321" s="296">
        <f>POWER((ws[[#This Row],[flow]]-ws[[#This Row],[count]]),2)</f>
        <v>6604900</v>
      </c>
      <c r="O321" s="80" t="e">
        <f>VLOOKUP(ws[[#This Row],[hwycov_id]],count!$A$630:$E$652,5,FALSE)</f>
        <v>#N/A</v>
      </c>
      <c r="P321" s="80">
        <v>334</v>
      </c>
    </row>
    <row r="322" spans="1:16" x14ac:dyDescent="0.25">
      <c r="A322" s="80">
        <v>9</v>
      </c>
      <c r="B322" s="6">
        <v>2</v>
      </c>
      <c r="C322" s="80">
        <v>15914</v>
      </c>
      <c r="D322" s="80">
        <v>1</v>
      </c>
      <c r="E322" s="80">
        <v>1</v>
      </c>
      <c r="F322" s="80" t="s">
        <v>409</v>
      </c>
      <c r="G322" s="79">
        <v>52.71</v>
      </c>
      <c r="H322" s="79">
        <v>0.80573099999999998</v>
      </c>
      <c r="I322" s="79" t="s">
        <v>48</v>
      </c>
      <c r="J322" s="79" t="s">
        <v>17</v>
      </c>
      <c r="K322" s="83">
        <f>VLOOKUP(ws[[#This Row],[hwycov_id]],count[],4,FALSE)</f>
        <v>17423</v>
      </c>
      <c r="L322" s="115">
        <f>VLOOKUP(ws[[#This Row],[hwycov_id]],flow0[],5,FALSE)</f>
        <v>16225</v>
      </c>
      <c r="M322" s="295">
        <f>ws[[#This Row],[flow]]/ws[[#This Row],[count]]-1</f>
        <v>-6.8759685473225085E-2</v>
      </c>
      <c r="N322" s="296">
        <f>POWER((ws[[#This Row],[flow]]-ws[[#This Row],[count]]),2)</f>
        <v>1435204</v>
      </c>
      <c r="O322" s="80" t="e">
        <f>VLOOKUP(ws[[#This Row],[hwycov_id]],count!$A$630:$E$652,5,FALSE)</f>
        <v>#N/A</v>
      </c>
      <c r="P322" s="80">
        <v>335</v>
      </c>
    </row>
    <row r="323" spans="1:16" x14ac:dyDescent="0.25">
      <c r="A323" s="80">
        <v>9</v>
      </c>
      <c r="B323" s="6">
        <v>2</v>
      </c>
      <c r="C323" s="80">
        <v>1173</v>
      </c>
      <c r="D323" s="80">
        <v>1</v>
      </c>
      <c r="E323" s="80">
        <v>1</v>
      </c>
      <c r="F323" s="80" t="s">
        <v>409</v>
      </c>
      <c r="G323" s="79">
        <v>53.19</v>
      </c>
      <c r="H323" s="79">
        <v>0.12806699999999999</v>
      </c>
      <c r="I323" s="79" t="s">
        <v>18</v>
      </c>
      <c r="J323" s="79" t="s">
        <v>329</v>
      </c>
      <c r="K323" s="83">
        <f>VLOOKUP(ws[[#This Row],[hwycov_id]],count[],4,FALSE)</f>
        <v>17864</v>
      </c>
      <c r="L323" s="115">
        <f>VLOOKUP(ws[[#This Row],[hwycov_id]],flow0[],5,FALSE)</f>
        <v>16576</v>
      </c>
      <c r="M323" s="295">
        <f>ws[[#This Row],[flow]]/ws[[#This Row],[count]]-1</f>
        <v>-7.2100313479623868E-2</v>
      </c>
      <c r="N323" s="296">
        <f>POWER((ws[[#This Row],[flow]]-ws[[#This Row],[count]]),2)</f>
        <v>1658944</v>
      </c>
      <c r="O323" s="80" t="e">
        <f>VLOOKUP(ws[[#This Row],[hwycov_id]],count!$A$630:$E$652,5,FALSE)</f>
        <v>#N/A</v>
      </c>
      <c r="P323" s="80">
        <v>336</v>
      </c>
    </row>
    <row r="324" spans="1:16" x14ac:dyDescent="0.25">
      <c r="A324" s="80">
        <v>9</v>
      </c>
      <c r="B324" s="6">
        <v>2</v>
      </c>
      <c r="C324" s="80">
        <v>28417</v>
      </c>
      <c r="D324" s="80">
        <v>1</v>
      </c>
      <c r="E324" s="80">
        <v>1</v>
      </c>
      <c r="F324" s="80" t="s">
        <v>409</v>
      </c>
      <c r="G324" s="79">
        <v>53.75</v>
      </c>
      <c r="H324" s="79">
        <v>0.22706699999999999</v>
      </c>
      <c r="I324" s="79" t="s">
        <v>27</v>
      </c>
      <c r="J324" s="79" t="s">
        <v>27</v>
      </c>
      <c r="K324" s="83">
        <f>VLOOKUP(ws[[#This Row],[hwycov_id]],count[],4,FALSE)</f>
        <v>16187</v>
      </c>
      <c r="L324" s="115">
        <f>VLOOKUP(ws[[#This Row],[hwycov_id]],flow0[],5,FALSE)</f>
        <v>16488</v>
      </c>
      <c r="M324" s="295">
        <f>ws[[#This Row],[flow]]/ws[[#This Row],[count]]-1</f>
        <v>1.8595168962747932E-2</v>
      </c>
      <c r="N324" s="296">
        <f>POWER((ws[[#This Row],[flow]]-ws[[#This Row],[count]]),2)</f>
        <v>90601</v>
      </c>
      <c r="O324" s="80" t="e">
        <f>VLOOKUP(ws[[#This Row],[hwycov_id]],count!$A$630:$E$652,5,FALSE)</f>
        <v>#N/A</v>
      </c>
      <c r="P324" s="80">
        <v>337</v>
      </c>
    </row>
    <row r="325" spans="1:16" x14ac:dyDescent="0.25">
      <c r="A325" s="80">
        <v>9</v>
      </c>
      <c r="B325" s="6">
        <v>2</v>
      </c>
      <c r="C325" s="80">
        <v>579</v>
      </c>
      <c r="D325" s="80">
        <v>1</v>
      </c>
      <c r="E325" s="80">
        <v>1</v>
      </c>
      <c r="F325" s="80" t="s">
        <v>409</v>
      </c>
      <c r="G325" s="79">
        <v>54.21</v>
      </c>
      <c r="H325" s="79">
        <v>0.18564600000000001</v>
      </c>
      <c r="I325" s="79" t="s">
        <v>26</v>
      </c>
      <c r="J325" s="79" t="s">
        <v>49</v>
      </c>
      <c r="K325" s="83">
        <f>VLOOKUP(ws[[#This Row],[hwycov_id]],count[],4,FALSE)</f>
        <v>14033</v>
      </c>
      <c r="L325" s="115">
        <f>VLOOKUP(ws[[#This Row],[hwycov_id]],flow0[],5,FALSE)</f>
        <v>15413</v>
      </c>
      <c r="M325" s="295">
        <f>ws[[#This Row],[flow]]/ws[[#This Row],[count]]-1</f>
        <v>9.8339628019668002E-2</v>
      </c>
      <c r="N325" s="296">
        <f>POWER((ws[[#This Row],[flow]]-ws[[#This Row],[count]]),2)</f>
        <v>1904400</v>
      </c>
      <c r="O325" s="80" t="e">
        <f>VLOOKUP(ws[[#This Row],[hwycov_id]],count!$A$630:$E$652,5,FALSE)</f>
        <v>#N/A</v>
      </c>
      <c r="P325" s="80">
        <v>338</v>
      </c>
    </row>
    <row r="326" spans="1:16" x14ac:dyDescent="0.25">
      <c r="A326" s="80">
        <v>10</v>
      </c>
      <c r="B326" s="6">
        <v>2</v>
      </c>
      <c r="C326" s="80">
        <v>20781</v>
      </c>
      <c r="D326" s="80">
        <v>1</v>
      </c>
      <c r="E326" s="80">
        <v>1</v>
      </c>
      <c r="F326" s="80" t="s">
        <v>328</v>
      </c>
      <c r="G326" s="79">
        <v>1.28</v>
      </c>
      <c r="H326" s="79">
        <v>0.95444099999999998</v>
      </c>
      <c r="I326" s="79" t="s">
        <v>49</v>
      </c>
      <c r="J326" s="79" t="s">
        <v>89</v>
      </c>
      <c r="K326" s="83">
        <f>VLOOKUP(ws[[#This Row],[hwycov_id]],count[],4,FALSE)</f>
        <v>15531</v>
      </c>
      <c r="L326" s="115">
        <f>VLOOKUP(ws[[#This Row],[hwycov_id]],flow0[],5,FALSE)</f>
        <v>16500</v>
      </c>
      <c r="M326" s="295">
        <f>ws[[#This Row],[flow]]/ws[[#This Row],[count]]-1</f>
        <v>6.2391346339578879E-2</v>
      </c>
      <c r="N326" s="296">
        <f>POWER((ws[[#This Row],[flow]]-ws[[#This Row],[count]]),2)</f>
        <v>938961</v>
      </c>
      <c r="O326" s="80" t="e">
        <f>VLOOKUP(ws[[#This Row],[hwycov_id]],count!$A$630:$E$652,5,FALSE)</f>
        <v>#N/A</v>
      </c>
      <c r="P326" s="80">
        <v>339</v>
      </c>
    </row>
    <row r="327" spans="1:16" x14ac:dyDescent="0.25">
      <c r="A327" s="80">
        <v>10</v>
      </c>
      <c r="B327" s="6">
        <v>2</v>
      </c>
      <c r="C327" s="80">
        <v>8802</v>
      </c>
      <c r="D327" s="80">
        <v>1</v>
      </c>
      <c r="E327" s="80">
        <v>1</v>
      </c>
      <c r="F327" s="80" t="s">
        <v>328</v>
      </c>
      <c r="G327" s="79">
        <v>1.85</v>
      </c>
      <c r="H327" s="79">
        <v>0.253973</v>
      </c>
      <c r="I327" s="79" t="s">
        <v>89</v>
      </c>
      <c r="J327" s="79" t="s">
        <v>89</v>
      </c>
      <c r="K327" s="83">
        <f>VLOOKUP(ws[[#This Row],[hwycov_id]],count[],4,FALSE)</f>
        <v>15989</v>
      </c>
      <c r="L327" s="115">
        <f>VLOOKUP(ws[[#This Row],[hwycov_id]],flow0[],5,FALSE)</f>
        <v>18903</v>
      </c>
      <c r="M327" s="295">
        <f>ws[[#This Row],[flow]]/ws[[#This Row],[count]]-1</f>
        <v>0.1822502970792419</v>
      </c>
      <c r="N327" s="296">
        <f>POWER((ws[[#This Row],[flow]]-ws[[#This Row],[count]]),2)</f>
        <v>8491396</v>
      </c>
      <c r="O327" s="80" t="e">
        <f>VLOOKUP(ws[[#This Row],[hwycov_id]],count!$A$630:$E$652,5,FALSE)</f>
        <v>#N/A</v>
      </c>
      <c r="P327" s="80">
        <v>340</v>
      </c>
    </row>
    <row r="328" spans="1:16" x14ac:dyDescent="0.25">
      <c r="A328" s="80">
        <v>10</v>
      </c>
      <c r="B328" s="6">
        <v>2</v>
      </c>
      <c r="C328" s="80">
        <v>24703</v>
      </c>
      <c r="D328" s="80">
        <v>1</v>
      </c>
      <c r="E328" s="80">
        <v>1</v>
      </c>
      <c r="F328" s="80" t="s">
        <v>328</v>
      </c>
      <c r="G328" s="79">
        <v>3.02</v>
      </c>
      <c r="H328" s="79">
        <v>0.55021100000000001</v>
      </c>
      <c r="I328" s="79" t="s">
        <v>87</v>
      </c>
      <c r="J328" s="79" t="s">
        <v>87</v>
      </c>
      <c r="K328" s="83">
        <f>VLOOKUP(ws[[#This Row],[hwycov_id]],count[],4,FALSE)</f>
        <v>14698</v>
      </c>
      <c r="L328" s="115">
        <f>VLOOKUP(ws[[#This Row],[hwycov_id]],flow0[],5,FALSE)</f>
        <v>20828</v>
      </c>
      <c r="M328" s="295">
        <f>ws[[#This Row],[flow]]/ws[[#This Row],[count]]-1</f>
        <v>0.41706354606068863</v>
      </c>
      <c r="N328" s="296">
        <f>POWER((ws[[#This Row],[flow]]-ws[[#This Row],[count]]),2)</f>
        <v>37576900</v>
      </c>
      <c r="O328" s="80" t="e">
        <f>VLOOKUP(ws[[#This Row],[hwycov_id]],count!$A$630:$E$652,5,FALSE)</f>
        <v>#N/A</v>
      </c>
      <c r="P328" s="80">
        <v>341</v>
      </c>
    </row>
    <row r="329" spans="1:16" x14ac:dyDescent="0.25">
      <c r="A329" s="80">
        <v>10</v>
      </c>
      <c r="B329" s="6">
        <v>2</v>
      </c>
      <c r="C329" s="80">
        <v>15065</v>
      </c>
      <c r="D329" s="80">
        <v>1</v>
      </c>
      <c r="E329" s="80">
        <v>1</v>
      </c>
      <c r="F329" s="80" t="s">
        <v>328</v>
      </c>
      <c r="G329" s="79">
        <v>3.63</v>
      </c>
      <c r="H329" s="79">
        <v>0.51024700000000001</v>
      </c>
      <c r="I329" s="79" t="s">
        <v>87</v>
      </c>
      <c r="J329" s="79" t="s">
        <v>86</v>
      </c>
      <c r="K329" s="83">
        <f>VLOOKUP(ws[[#This Row],[hwycov_id]],count[],4,FALSE)</f>
        <v>19459</v>
      </c>
      <c r="L329" s="115">
        <f>VLOOKUP(ws[[#This Row],[hwycov_id]],flow0[],5,FALSE)</f>
        <v>26520</v>
      </c>
      <c r="M329" s="295">
        <f>ws[[#This Row],[flow]]/ws[[#This Row],[count]]-1</f>
        <v>0.36286551210236917</v>
      </c>
      <c r="N329" s="296">
        <f>POWER((ws[[#This Row],[flow]]-ws[[#This Row],[count]]),2)</f>
        <v>49857721</v>
      </c>
      <c r="O329" s="80" t="e">
        <f>VLOOKUP(ws[[#This Row],[hwycov_id]],count!$A$630:$E$652,5,FALSE)</f>
        <v>#N/A</v>
      </c>
      <c r="P329" s="80">
        <v>342</v>
      </c>
    </row>
    <row r="330" spans="1:16" x14ac:dyDescent="0.25">
      <c r="A330" s="80">
        <v>10</v>
      </c>
      <c r="B330" s="6">
        <v>2</v>
      </c>
      <c r="C330" s="80">
        <v>15083</v>
      </c>
      <c r="D330" s="80">
        <v>1</v>
      </c>
      <c r="E330" s="80">
        <v>1</v>
      </c>
      <c r="F330" s="80" t="s">
        <v>328</v>
      </c>
      <c r="G330" s="79">
        <v>4.47</v>
      </c>
      <c r="H330" s="79">
        <v>7.0849999999999996E-2</v>
      </c>
      <c r="I330" s="79" t="s">
        <v>136</v>
      </c>
      <c r="J330" s="79" t="s">
        <v>136</v>
      </c>
      <c r="K330" s="83">
        <f>VLOOKUP(ws[[#This Row],[hwycov_id]],count[],4,FALSE)</f>
        <v>20342</v>
      </c>
      <c r="L330" s="115">
        <f>VLOOKUP(ws[[#This Row],[hwycov_id]],flow0[],5,FALSE)</f>
        <v>31284</v>
      </c>
      <c r="M330" s="295">
        <f>ws[[#This Row],[flow]]/ws[[#This Row],[count]]-1</f>
        <v>0.53790187788811328</v>
      </c>
      <c r="N330" s="296">
        <f>POWER((ws[[#This Row],[flow]]-ws[[#This Row],[count]]),2)</f>
        <v>119727364</v>
      </c>
      <c r="O330" s="80" t="e">
        <f>VLOOKUP(ws[[#This Row],[hwycov_id]],count!$A$630:$E$652,5,FALSE)</f>
        <v>#N/A</v>
      </c>
      <c r="P330" s="80">
        <v>343</v>
      </c>
    </row>
    <row r="331" spans="1:16" x14ac:dyDescent="0.25">
      <c r="A331" s="80">
        <v>10</v>
      </c>
      <c r="B331" s="6">
        <v>2</v>
      </c>
      <c r="C331" s="80">
        <v>771</v>
      </c>
      <c r="D331" s="80">
        <v>1</v>
      </c>
      <c r="E331" s="80">
        <v>1</v>
      </c>
      <c r="F331" s="80" t="s">
        <v>328</v>
      </c>
      <c r="G331" s="79">
        <v>5.78</v>
      </c>
      <c r="H331" s="79">
        <v>0.41744700000000001</v>
      </c>
      <c r="I331" s="79" t="s">
        <v>37</v>
      </c>
      <c r="J331" s="79" t="s">
        <v>25</v>
      </c>
      <c r="K331" s="83">
        <f>VLOOKUP(ws[[#This Row],[hwycov_id]],count[],4,FALSE)</f>
        <v>23081</v>
      </c>
      <c r="L331" s="115">
        <f>VLOOKUP(ws[[#This Row],[hwycov_id]],flow0[],5,FALSE)</f>
        <v>30884</v>
      </c>
      <c r="M331" s="295">
        <f>ws[[#This Row],[flow]]/ws[[#This Row],[count]]-1</f>
        <v>0.3380702742515489</v>
      </c>
      <c r="N331" s="296">
        <f>POWER((ws[[#This Row],[flow]]-ws[[#This Row],[count]]),2)</f>
        <v>60886809</v>
      </c>
      <c r="O331" s="80" t="e">
        <f>VLOOKUP(ws[[#This Row],[hwycov_id]],count!$A$630:$E$652,5,FALSE)</f>
        <v>#N/A</v>
      </c>
      <c r="P331" s="80">
        <v>344</v>
      </c>
    </row>
    <row r="332" spans="1:16" x14ac:dyDescent="0.25">
      <c r="A332" s="80">
        <v>10</v>
      </c>
      <c r="B332" s="6">
        <v>2</v>
      </c>
      <c r="C332" s="80">
        <v>773</v>
      </c>
      <c r="D332" s="80">
        <v>1</v>
      </c>
      <c r="E332" s="80">
        <v>1</v>
      </c>
      <c r="F332" s="80" t="s">
        <v>328</v>
      </c>
      <c r="G332" s="79">
        <v>6.51</v>
      </c>
      <c r="H332" s="79">
        <v>0.25070100000000001</v>
      </c>
      <c r="I332" s="79" t="s">
        <v>25</v>
      </c>
      <c r="J332" s="79" t="s">
        <v>25</v>
      </c>
      <c r="K332" s="83">
        <f>VLOOKUP(ws[[#This Row],[hwycov_id]],count[],4,FALSE)</f>
        <v>20221</v>
      </c>
      <c r="L332" s="115">
        <f>VLOOKUP(ws[[#This Row],[hwycov_id]],flow0[],5,FALSE)</f>
        <v>29307</v>
      </c>
      <c r="M332" s="295">
        <f>ws[[#This Row],[flow]]/ws[[#This Row],[count]]-1</f>
        <v>0.44933484990851102</v>
      </c>
      <c r="N332" s="296">
        <f>POWER((ws[[#This Row],[flow]]-ws[[#This Row],[count]]),2)</f>
        <v>82555396</v>
      </c>
      <c r="O332" s="80" t="e">
        <f>VLOOKUP(ws[[#This Row],[hwycov_id]],count!$A$630:$E$652,5,FALSE)</f>
        <v>#N/A</v>
      </c>
      <c r="P332" s="80">
        <v>345</v>
      </c>
    </row>
    <row r="333" spans="1:16" x14ac:dyDescent="0.25">
      <c r="A333" s="80">
        <v>10</v>
      </c>
      <c r="B333" s="6">
        <v>2</v>
      </c>
      <c r="C333" s="80">
        <v>777</v>
      </c>
      <c r="D333" s="80">
        <v>1</v>
      </c>
      <c r="E333" s="80">
        <v>1</v>
      </c>
      <c r="F333" s="80" t="s">
        <v>328</v>
      </c>
      <c r="G333" s="79">
        <v>7.85</v>
      </c>
      <c r="H333" s="79">
        <v>0.46066600000000002</v>
      </c>
      <c r="I333" s="79" t="s">
        <v>16</v>
      </c>
      <c r="J333" s="79" t="s">
        <v>47</v>
      </c>
      <c r="K333" s="83">
        <f>VLOOKUP(ws[[#This Row],[hwycov_id]],count[],4,FALSE)</f>
        <v>23171</v>
      </c>
      <c r="L333" s="115">
        <f>VLOOKUP(ws[[#This Row],[hwycov_id]],flow0[],5,FALSE)</f>
        <v>31447</v>
      </c>
      <c r="M333" s="295">
        <f>ws[[#This Row],[flow]]/ws[[#This Row],[count]]-1</f>
        <v>0.35717060118251265</v>
      </c>
      <c r="N333" s="296">
        <f>POWER((ws[[#This Row],[flow]]-ws[[#This Row],[count]]),2)</f>
        <v>68492176</v>
      </c>
      <c r="O333" s="80" t="e">
        <f>VLOOKUP(ws[[#This Row],[hwycov_id]],count!$A$630:$E$652,5,FALSE)</f>
        <v>#N/A</v>
      </c>
      <c r="P333" s="80">
        <v>346</v>
      </c>
    </row>
    <row r="334" spans="1:16" x14ac:dyDescent="0.25">
      <c r="A334" s="80">
        <v>10</v>
      </c>
      <c r="B334" s="6">
        <v>2</v>
      </c>
      <c r="C334" s="80">
        <v>22716</v>
      </c>
      <c r="D334" s="80">
        <v>1</v>
      </c>
      <c r="E334" s="80">
        <v>1</v>
      </c>
      <c r="F334" s="80" t="s">
        <v>328</v>
      </c>
      <c r="G334" s="79">
        <v>7.9</v>
      </c>
      <c r="H334" s="79">
        <v>5.0203999999999999E-2</v>
      </c>
      <c r="I334" s="79" t="s">
        <v>47</v>
      </c>
      <c r="J334" s="79" t="s">
        <v>47</v>
      </c>
      <c r="K334" s="83">
        <f>VLOOKUP(ws[[#This Row],[hwycov_id]],count[],4,FALSE)</f>
        <v>17503</v>
      </c>
      <c r="L334" s="115">
        <f>VLOOKUP(ws[[#This Row],[hwycov_id]],flow0[],5,FALSE)</f>
        <v>24689</v>
      </c>
      <c r="M334" s="295">
        <f>ws[[#This Row],[flow]]/ws[[#This Row],[count]]-1</f>
        <v>0.41055819002456717</v>
      </c>
      <c r="N334" s="296">
        <f>POWER((ws[[#This Row],[flow]]-ws[[#This Row],[count]]),2)</f>
        <v>51638596</v>
      </c>
      <c r="O334" s="80" t="e">
        <f>VLOOKUP(ws[[#This Row],[hwycov_id]],count!$A$630:$E$652,5,FALSE)</f>
        <v>#N/A</v>
      </c>
      <c r="P334" s="80">
        <v>347</v>
      </c>
    </row>
    <row r="335" spans="1:16" x14ac:dyDescent="0.25">
      <c r="A335" s="80">
        <v>10</v>
      </c>
      <c r="B335" s="6">
        <v>2</v>
      </c>
      <c r="C335" s="80">
        <v>778</v>
      </c>
      <c r="D335" s="80">
        <v>1</v>
      </c>
      <c r="E335" s="80">
        <v>1</v>
      </c>
      <c r="F335" s="80" t="s">
        <v>328</v>
      </c>
      <c r="G335" s="79">
        <v>8.4499999999999993</v>
      </c>
      <c r="H335" s="79">
        <v>0.55141300000000004</v>
      </c>
      <c r="I335" s="79" t="s">
        <v>47</v>
      </c>
      <c r="J335" s="79" t="s">
        <v>47</v>
      </c>
      <c r="K335" s="83">
        <f>VLOOKUP(ws[[#This Row],[hwycov_id]],count[],4,FALSE)</f>
        <v>18153</v>
      </c>
      <c r="L335" s="115">
        <f>VLOOKUP(ws[[#This Row],[hwycov_id]],flow0[],5,FALSE)</f>
        <v>24689</v>
      </c>
      <c r="M335" s="295">
        <f>ws[[#This Row],[flow]]/ws[[#This Row],[count]]-1</f>
        <v>0.36005068032832033</v>
      </c>
      <c r="N335" s="296">
        <f>POWER((ws[[#This Row],[flow]]-ws[[#This Row],[count]]),2)</f>
        <v>42719296</v>
      </c>
      <c r="O335" s="80" t="e">
        <f>VLOOKUP(ws[[#This Row],[hwycov_id]],count!$A$630:$E$652,5,FALSE)</f>
        <v>#N/A</v>
      </c>
      <c r="P335" s="80">
        <v>348</v>
      </c>
    </row>
    <row r="336" spans="1:16" x14ac:dyDescent="0.25">
      <c r="A336" s="80">
        <v>10</v>
      </c>
      <c r="B336" s="6">
        <v>2</v>
      </c>
      <c r="C336" s="80">
        <v>786</v>
      </c>
      <c r="D336" s="80">
        <v>1</v>
      </c>
      <c r="E336" s="80">
        <v>1</v>
      </c>
      <c r="F336" s="80" t="s">
        <v>328</v>
      </c>
      <c r="G336" s="79">
        <v>9.59</v>
      </c>
      <c r="H336" s="79">
        <v>0.686168</v>
      </c>
      <c r="I336" s="79" t="s">
        <v>138</v>
      </c>
      <c r="J336" s="79" t="s">
        <v>134</v>
      </c>
      <c r="K336" s="83">
        <f>VLOOKUP(ws[[#This Row],[hwycov_id]],count[],4,FALSE)</f>
        <v>29657</v>
      </c>
      <c r="L336" s="115">
        <f>VLOOKUP(ws[[#This Row],[hwycov_id]],flow0[],5,FALSE)</f>
        <v>37778</v>
      </c>
      <c r="M336" s="295">
        <f>ws[[#This Row],[flow]]/ws[[#This Row],[count]]-1</f>
        <v>0.27383079879960892</v>
      </c>
      <c r="N336" s="296">
        <f>POWER((ws[[#This Row],[flow]]-ws[[#This Row],[count]]),2)</f>
        <v>65950641</v>
      </c>
      <c r="O336" s="80" t="e">
        <f>VLOOKUP(ws[[#This Row],[hwycov_id]],count!$A$630:$E$652,5,FALSE)</f>
        <v>#N/A</v>
      </c>
      <c r="P336" s="80">
        <v>349</v>
      </c>
    </row>
    <row r="337" spans="1:16" x14ac:dyDescent="0.25">
      <c r="A337" s="80">
        <v>10</v>
      </c>
      <c r="B337" s="6">
        <v>2</v>
      </c>
      <c r="C337" s="80">
        <v>788</v>
      </c>
      <c r="D337" s="80">
        <v>1</v>
      </c>
      <c r="E337" s="80">
        <v>1</v>
      </c>
      <c r="F337" s="80" t="s">
        <v>328</v>
      </c>
      <c r="G337" s="79">
        <v>10.75</v>
      </c>
      <c r="H337" s="79">
        <v>0.56774599999999997</v>
      </c>
      <c r="I337" s="79" t="s">
        <v>134</v>
      </c>
      <c r="J337" s="79" t="s">
        <v>38</v>
      </c>
      <c r="K337" s="83">
        <f>VLOOKUP(ws[[#This Row],[hwycov_id]],count[],4,FALSE)</f>
        <v>30448</v>
      </c>
      <c r="L337" s="115">
        <f>VLOOKUP(ws[[#This Row],[hwycov_id]],flow0[],5,FALSE)</f>
        <v>37623</v>
      </c>
      <c r="M337" s="295">
        <f>ws[[#This Row],[flow]]/ws[[#This Row],[count]]-1</f>
        <v>0.23564766158696804</v>
      </c>
      <c r="N337" s="296">
        <f>POWER((ws[[#This Row],[flow]]-ws[[#This Row],[count]]),2)</f>
        <v>51480625</v>
      </c>
      <c r="O337" s="80" t="e">
        <f>VLOOKUP(ws[[#This Row],[hwycov_id]],count!$A$630:$E$652,5,FALSE)</f>
        <v>#N/A</v>
      </c>
      <c r="P337" s="80">
        <v>350</v>
      </c>
    </row>
    <row r="338" spans="1:16" x14ac:dyDescent="0.25">
      <c r="A338" s="80">
        <v>10</v>
      </c>
      <c r="B338" s="6">
        <v>2</v>
      </c>
      <c r="C338" s="80">
        <v>20782</v>
      </c>
      <c r="D338" s="80">
        <v>1</v>
      </c>
      <c r="E338" s="80">
        <v>1</v>
      </c>
      <c r="F338" s="80" t="s">
        <v>328</v>
      </c>
      <c r="G338" s="79">
        <v>11.47</v>
      </c>
      <c r="H338" s="79">
        <v>0.71871399999999996</v>
      </c>
      <c r="I338" s="79" t="s">
        <v>38</v>
      </c>
      <c r="J338" s="79" t="s">
        <v>5</v>
      </c>
      <c r="K338" s="83">
        <f>VLOOKUP(ws[[#This Row],[hwycov_id]],count[],4,FALSE)</f>
        <v>21519</v>
      </c>
      <c r="L338" s="115">
        <f>VLOOKUP(ws[[#This Row],[hwycov_id]],flow0[],5,FALSE)</f>
        <v>26238</v>
      </c>
      <c r="M338" s="295">
        <f>ws[[#This Row],[flow]]/ws[[#This Row],[count]]-1</f>
        <v>0.21929457688554299</v>
      </c>
      <c r="N338" s="296">
        <f>POWER((ws[[#This Row],[flow]]-ws[[#This Row],[count]]),2)</f>
        <v>22268961</v>
      </c>
      <c r="O338" s="80" t="e">
        <f>VLOOKUP(ws[[#This Row],[hwycov_id]],count!$A$630:$E$652,5,FALSE)</f>
        <v>#N/A</v>
      </c>
      <c r="P338" s="80">
        <v>351</v>
      </c>
    </row>
    <row r="339" spans="1:16" x14ac:dyDescent="0.25">
      <c r="A339" s="80">
        <v>10</v>
      </c>
      <c r="B339" s="6">
        <v>2</v>
      </c>
      <c r="C339" s="80">
        <v>20787</v>
      </c>
      <c r="D339" s="80">
        <v>1</v>
      </c>
      <c r="E339" s="80">
        <v>1</v>
      </c>
      <c r="F339" s="80" t="s">
        <v>328</v>
      </c>
      <c r="G339" s="79">
        <v>12.45</v>
      </c>
      <c r="H339" s="79">
        <v>0.29999799999999999</v>
      </c>
      <c r="I339" s="79" t="s">
        <v>21</v>
      </c>
      <c r="J339" s="79" t="s">
        <v>21</v>
      </c>
      <c r="K339" s="83">
        <f>VLOOKUP(ws[[#This Row],[hwycov_id]],count[],4,FALSE)</f>
        <v>25337</v>
      </c>
      <c r="L339" s="115">
        <f>VLOOKUP(ws[[#This Row],[hwycov_id]],flow0[],5,FALSE)</f>
        <v>30999</v>
      </c>
      <c r="M339" s="295">
        <f>ws[[#This Row],[flow]]/ws[[#This Row],[count]]-1</f>
        <v>0.22346765599715823</v>
      </c>
      <c r="N339" s="296">
        <f>POWER((ws[[#This Row],[flow]]-ws[[#This Row],[count]]),2)</f>
        <v>32058244</v>
      </c>
      <c r="O339" s="80" t="e">
        <f>VLOOKUP(ws[[#This Row],[hwycov_id]],count!$A$630:$E$652,5,FALSE)</f>
        <v>#N/A</v>
      </c>
      <c r="P339" s="80">
        <v>352</v>
      </c>
    </row>
    <row r="340" spans="1:16" x14ac:dyDescent="0.25">
      <c r="A340" s="80">
        <v>10</v>
      </c>
      <c r="B340" s="6">
        <v>2</v>
      </c>
      <c r="C340" s="80">
        <v>797</v>
      </c>
      <c r="D340" s="80">
        <v>1</v>
      </c>
      <c r="E340" s="80">
        <v>1</v>
      </c>
      <c r="F340" s="80" t="s">
        <v>328</v>
      </c>
      <c r="G340" s="79">
        <v>12.77</v>
      </c>
      <c r="H340" s="79">
        <v>0.311913</v>
      </c>
      <c r="I340" s="79" t="s">
        <v>21</v>
      </c>
      <c r="J340" s="79" t="s">
        <v>20</v>
      </c>
      <c r="K340" s="83">
        <f>VLOOKUP(ws[[#This Row],[hwycov_id]],count[],4,FALSE)</f>
        <v>28272</v>
      </c>
      <c r="L340" s="115">
        <f>VLOOKUP(ws[[#This Row],[hwycov_id]],flow0[],5,FALSE)</f>
        <v>34264</v>
      </c>
      <c r="M340" s="295">
        <f>ws[[#This Row],[flow]]/ws[[#This Row],[count]]-1</f>
        <v>0.21194114318053203</v>
      </c>
      <c r="N340" s="296">
        <f>POWER((ws[[#This Row],[flow]]-ws[[#This Row],[count]]),2)</f>
        <v>35904064</v>
      </c>
      <c r="O340" s="80" t="e">
        <f>VLOOKUP(ws[[#This Row],[hwycov_id]],count!$A$630:$E$652,5,FALSE)</f>
        <v>#N/A</v>
      </c>
      <c r="P340" s="80">
        <v>353</v>
      </c>
    </row>
    <row r="341" spans="1:16" x14ac:dyDescent="0.25">
      <c r="A341" s="80">
        <v>10</v>
      </c>
      <c r="B341" s="6">
        <v>2</v>
      </c>
      <c r="C341" s="80">
        <v>799</v>
      </c>
      <c r="D341" s="80">
        <v>1</v>
      </c>
      <c r="E341" s="80">
        <v>1</v>
      </c>
      <c r="F341" s="80" t="s">
        <v>328</v>
      </c>
      <c r="G341" s="79">
        <v>12.99</v>
      </c>
      <c r="H341" s="79">
        <v>0.22603300000000001</v>
      </c>
      <c r="I341" s="79" t="s">
        <v>20</v>
      </c>
      <c r="J341" s="79" t="s">
        <v>20</v>
      </c>
      <c r="K341" s="83">
        <f>VLOOKUP(ws[[#This Row],[hwycov_id]],count[],4,FALSE)</f>
        <v>25480</v>
      </c>
      <c r="L341" s="115">
        <f>VLOOKUP(ws[[#This Row],[hwycov_id]],flow0[],5,FALSE)</f>
        <v>30146</v>
      </c>
      <c r="M341" s="295">
        <f>ws[[#This Row],[flow]]/ws[[#This Row],[count]]-1</f>
        <v>0.18312401883830454</v>
      </c>
      <c r="N341" s="296">
        <f>POWER((ws[[#This Row],[flow]]-ws[[#This Row],[count]]),2)</f>
        <v>21771556</v>
      </c>
      <c r="O341" s="80" t="e">
        <f>VLOOKUP(ws[[#This Row],[hwycov_id]],count!$A$630:$E$652,5,FALSE)</f>
        <v>#N/A</v>
      </c>
      <c r="P341" s="80">
        <v>354</v>
      </c>
    </row>
    <row r="342" spans="1:16" x14ac:dyDescent="0.25">
      <c r="A342" s="80">
        <v>10</v>
      </c>
      <c r="B342" s="6">
        <v>2</v>
      </c>
      <c r="C342" s="80">
        <v>802</v>
      </c>
      <c r="D342" s="80">
        <v>1</v>
      </c>
      <c r="E342" s="80">
        <v>1</v>
      </c>
      <c r="F342" s="80" t="s">
        <v>328</v>
      </c>
      <c r="G342" s="79">
        <v>14.46</v>
      </c>
      <c r="H342" s="79">
        <v>0.49741200000000002</v>
      </c>
      <c r="I342" s="79" t="s">
        <v>68</v>
      </c>
      <c r="J342" s="79" t="s">
        <v>132</v>
      </c>
      <c r="K342" s="83">
        <f>VLOOKUP(ws[[#This Row],[hwycov_id]],count[],4,FALSE)</f>
        <v>32502</v>
      </c>
      <c r="L342" s="115">
        <f>VLOOKUP(ws[[#This Row],[hwycov_id]],flow0[],5,FALSE)</f>
        <v>40048</v>
      </c>
      <c r="M342" s="295">
        <f>ws[[#This Row],[flow]]/ws[[#This Row],[count]]-1</f>
        <v>0.23217032797981663</v>
      </c>
      <c r="N342" s="296">
        <f>POWER((ws[[#This Row],[flow]]-ws[[#This Row],[count]]),2)</f>
        <v>56942116</v>
      </c>
      <c r="O342" s="80" t="e">
        <f>VLOOKUP(ws[[#This Row],[hwycov_id]],count!$A$630:$E$652,5,FALSE)</f>
        <v>#N/A</v>
      </c>
      <c r="P342" s="80">
        <v>355</v>
      </c>
    </row>
    <row r="343" spans="1:16" x14ac:dyDescent="0.25">
      <c r="A343" s="80">
        <v>10</v>
      </c>
      <c r="B343" s="6">
        <v>2</v>
      </c>
      <c r="C343" s="80">
        <v>807</v>
      </c>
      <c r="D343" s="80">
        <v>1</v>
      </c>
      <c r="E343" s="80">
        <v>1</v>
      </c>
      <c r="F343" s="80" t="s">
        <v>328</v>
      </c>
      <c r="G343" s="79">
        <v>15.94</v>
      </c>
      <c r="H343" s="79">
        <v>0.212786</v>
      </c>
      <c r="I343" s="79" t="s">
        <v>18</v>
      </c>
      <c r="J343" s="79" t="s">
        <v>329</v>
      </c>
      <c r="K343" s="83">
        <f>VLOOKUP(ws[[#This Row],[hwycov_id]],count[],4,FALSE)</f>
        <v>32011</v>
      </c>
      <c r="L343" s="115">
        <f>VLOOKUP(ws[[#This Row],[hwycov_id]],flow0[],5,FALSE)</f>
        <v>35761</v>
      </c>
      <c r="M343" s="295">
        <f>ws[[#This Row],[flow]]/ws[[#This Row],[count]]-1</f>
        <v>0.11714723063946764</v>
      </c>
      <c r="N343" s="296">
        <f>POWER((ws[[#This Row],[flow]]-ws[[#This Row],[count]]),2)</f>
        <v>14062500</v>
      </c>
      <c r="O343" s="80" t="e">
        <f>VLOOKUP(ws[[#This Row],[hwycov_id]],count!$A$630:$E$652,5,FALSE)</f>
        <v>#N/A</v>
      </c>
      <c r="P343" s="80">
        <v>356</v>
      </c>
    </row>
    <row r="344" spans="1:16" x14ac:dyDescent="0.25">
      <c r="A344" s="80">
        <v>10</v>
      </c>
      <c r="B344" s="6">
        <v>2</v>
      </c>
      <c r="C344" s="80">
        <v>3222</v>
      </c>
      <c r="D344" s="80">
        <v>1</v>
      </c>
      <c r="E344" s="80">
        <v>1</v>
      </c>
      <c r="F344" s="80" t="s">
        <v>328</v>
      </c>
      <c r="G344" s="79">
        <v>17.309999999999999</v>
      </c>
      <c r="H344" s="79">
        <v>0.21600800000000001</v>
      </c>
      <c r="I344" s="79" t="s">
        <v>131</v>
      </c>
      <c r="J344" s="79" t="s">
        <v>131</v>
      </c>
      <c r="K344" s="83">
        <f>VLOOKUP(ws[[#This Row],[hwycov_id]],count[],4,FALSE)</f>
        <v>21083</v>
      </c>
      <c r="L344" s="115">
        <f>VLOOKUP(ws[[#This Row],[hwycov_id]],flow0[],5,FALSE)</f>
        <v>30105</v>
      </c>
      <c r="M344" s="295">
        <f>ws[[#This Row],[flow]]/ws[[#This Row],[count]]-1</f>
        <v>0.42792771427216247</v>
      </c>
      <c r="N344" s="296">
        <f>POWER((ws[[#This Row],[flow]]-ws[[#This Row],[count]]),2)</f>
        <v>81396484</v>
      </c>
      <c r="O344" s="80" t="e">
        <f>VLOOKUP(ws[[#This Row],[hwycov_id]],count!$A$630:$E$652,5,FALSE)</f>
        <v>#N/A</v>
      </c>
      <c r="P344" s="80">
        <v>357</v>
      </c>
    </row>
    <row r="345" spans="1:16" x14ac:dyDescent="0.25">
      <c r="A345" s="80">
        <v>10</v>
      </c>
      <c r="B345" s="6">
        <v>2</v>
      </c>
      <c r="C345" s="80">
        <v>813</v>
      </c>
      <c r="D345" s="80">
        <v>1</v>
      </c>
      <c r="E345" s="80">
        <v>1</v>
      </c>
      <c r="F345" s="80" t="s">
        <v>328</v>
      </c>
      <c r="G345" s="79">
        <v>17.82</v>
      </c>
      <c r="H345" s="79">
        <v>0.247803</v>
      </c>
      <c r="I345" s="79" t="s">
        <v>131</v>
      </c>
      <c r="J345" s="79" t="s">
        <v>130</v>
      </c>
      <c r="K345" s="83">
        <f>VLOOKUP(ws[[#This Row],[hwycov_id]],count[],4,FALSE)</f>
        <v>26681</v>
      </c>
      <c r="L345" s="115">
        <f>VLOOKUP(ws[[#This Row],[hwycov_id]],flow0[],5,FALSE)</f>
        <v>31145</v>
      </c>
      <c r="M345" s="295">
        <f>ws[[#This Row],[flow]]/ws[[#This Row],[count]]-1</f>
        <v>0.16731007083692506</v>
      </c>
      <c r="N345" s="296">
        <f>POWER((ws[[#This Row],[flow]]-ws[[#This Row],[count]]),2)</f>
        <v>19927296</v>
      </c>
      <c r="O345" s="80" t="e">
        <f>VLOOKUP(ws[[#This Row],[hwycov_id]],count!$A$630:$E$652,5,FALSE)</f>
        <v>#N/A</v>
      </c>
      <c r="P345" s="80">
        <v>358</v>
      </c>
    </row>
    <row r="346" spans="1:16" x14ac:dyDescent="0.25">
      <c r="A346" s="80">
        <v>10</v>
      </c>
      <c r="B346" s="6">
        <v>2</v>
      </c>
      <c r="C346" s="80">
        <v>815</v>
      </c>
      <c r="D346" s="80">
        <v>1</v>
      </c>
      <c r="E346" s="80">
        <v>1</v>
      </c>
      <c r="F346" s="80" t="s">
        <v>328</v>
      </c>
      <c r="G346" s="79">
        <v>18.22</v>
      </c>
      <c r="H346" s="79">
        <v>0.39172800000000002</v>
      </c>
      <c r="I346" s="79" t="s">
        <v>130</v>
      </c>
      <c r="J346" s="79" t="s">
        <v>129</v>
      </c>
      <c r="K346" s="83">
        <f>VLOOKUP(ws[[#This Row],[hwycov_id]],count[],4,FALSE)</f>
        <v>31203</v>
      </c>
      <c r="L346" s="115">
        <f>VLOOKUP(ws[[#This Row],[hwycov_id]],flow0[],5,FALSE)</f>
        <v>32872</v>
      </c>
      <c r="M346" s="295">
        <f>ws[[#This Row],[flow]]/ws[[#This Row],[count]]-1</f>
        <v>5.3488446623721986E-2</v>
      </c>
      <c r="N346" s="296">
        <f>POWER((ws[[#This Row],[flow]]-ws[[#This Row],[count]]),2)</f>
        <v>2785561</v>
      </c>
      <c r="O346" s="80" t="e">
        <f>VLOOKUP(ws[[#This Row],[hwycov_id]],count!$A$630:$E$652,5,FALSE)</f>
        <v>#N/A</v>
      </c>
      <c r="P346" s="80">
        <v>359</v>
      </c>
    </row>
    <row r="347" spans="1:16" x14ac:dyDescent="0.25">
      <c r="A347" s="80">
        <v>10</v>
      </c>
      <c r="B347" s="6">
        <v>2</v>
      </c>
      <c r="C347" s="80">
        <v>20789</v>
      </c>
      <c r="D347" s="80">
        <v>1</v>
      </c>
      <c r="E347" s="80">
        <v>1</v>
      </c>
      <c r="F347" s="80" t="s">
        <v>328</v>
      </c>
      <c r="G347" s="79">
        <v>18.649999999999999</v>
      </c>
      <c r="H347" s="79">
        <v>0.43068400000000001</v>
      </c>
      <c r="I347" s="79" t="s">
        <v>129</v>
      </c>
      <c r="J347" s="79" t="s">
        <v>129</v>
      </c>
      <c r="K347" s="83">
        <f>VLOOKUP(ws[[#This Row],[hwycov_id]],count[],4,FALSE)</f>
        <v>25737</v>
      </c>
      <c r="L347" s="115">
        <f>VLOOKUP(ws[[#This Row],[hwycov_id]],flow0[],5,FALSE)</f>
        <v>28869</v>
      </c>
      <c r="M347" s="295">
        <f>ws[[#This Row],[flow]]/ws[[#This Row],[count]]-1</f>
        <v>0.12169250495395745</v>
      </c>
      <c r="N347" s="296">
        <f>POWER((ws[[#This Row],[flow]]-ws[[#This Row],[count]]),2)</f>
        <v>9809424</v>
      </c>
      <c r="O347" s="80" t="e">
        <f>VLOOKUP(ws[[#This Row],[hwycov_id]],count!$A$630:$E$652,5,FALSE)</f>
        <v>#N/A</v>
      </c>
      <c r="P347" s="80">
        <v>360</v>
      </c>
    </row>
    <row r="348" spans="1:16" x14ac:dyDescent="0.25">
      <c r="A348" s="80">
        <v>10</v>
      </c>
      <c r="B348" s="6">
        <v>2</v>
      </c>
      <c r="C348" s="80">
        <v>20790</v>
      </c>
      <c r="D348" s="80">
        <v>1</v>
      </c>
      <c r="E348" s="80">
        <v>1</v>
      </c>
      <c r="F348" s="80" t="s">
        <v>328</v>
      </c>
      <c r="G348" s="79">
        <v>19.32</v>
      </c>
      <c r="H348" s="79">
        <v>0.67071400000000003</v>
      </c>
      <c r="I348" s="79" t="s">
        <v>129</v>
      </c>
      <c r="J348" s="79" t="s">
        <v>64</v>
      </c>
      <c r="K348" s="83">
        <f>VLOOKUP(ws[[#This Row],[hwycov_id]],count[],4,FALSE)</f>
        <v>30384</v>
      </c>
      <c r="L348" s="115">
        <f>VLOOKUP(ws[[#This Row],[hwycov_id]],flow0[],5,FALSE)</f>
        <v>31161</v>
      </c>
      <c r="M348" s="295">
        <f>ws[[#This Row],[flow]]/ws[[#This Row],[count]]-1</f>
        <v>2.5572669826224415E-2</v>
      </c>
      <c r="N348" s="296">
        <f>POWER((ws[[#This Row],[flow]]-ws[[#This Row],[count]]),2)</f>
        <v>603729</v>
      </c>
      <c r="O348" s="80" t="e">
        <f>VLOOKUP(ws[[#This Row],[hwycov_id]],count!$A$630:$E$652,5,FALSE)</f>
        <v>#N/A</v>
      </c>
      <c r="P348" s="80">
        <v>361</v>
      </c>
    </row>
    <row r="349" spans="1:16" x14ac:dyDescent="0.25">
      <c r="A349" s="80">
        <v>10</v>
      </c>
      <c r="B349" s="6">
        <v>2</v>
      </c>
      <c r="C349" s="80">
        <v>822</v>
      </c>
      <c r="D349" s="80">
        <v>1</v>
      </c>
      <c r="E349" s="80">
        <v>1</v>
      </c>
      <c r="F349" s="80" t="s">
        <v>328</v>
      </c>
      <c r="G349" s="79">
        <v>19.45</v>
      </c>
      <c r="H349" s="79">
        <v>0.135126</v>
      </c>
      <c r="I349" s="79" t="s">
        <v>64</v>
      </c>
      <c r="J349" s="79" t="s">
        <v>128</v>
      </c>
      <c r="K349" s="83">
        <f>VLOOKUP(ws[[#This Row],[hwycov_id]],count[],4,FALSE)</f>
        <v>21753</v>
      </c>
      <c r="L349" s="115">
        <f>VLOOKUP(ws[[#This Row],[hwycov_id]],flow0[],5,FALSE)</f>
        <v>25240</v>
      </c>
      <c r="M349" s="295">
        <f>ws[[#This Row],[flow]]/ws[[#This Row],[count]]-1</f>
        <v>0.16029972877304277</v>
      </c>
      <c r="N349" s="296">
        <f>POWER((ws[[#This Row],[flow]]-ws[[#This Row],[count]]),2)</f>
        <v>12159169</v>
      </c>
      <c r="O349" s="80" t="e">
        <f>VLOOKUP(ws[[#This Row],[hwycov_id]],count!$A$630:$E$652,5,FALSE)</f>
        <v>#N/A</v>
      </c>
      <c r="P349" s="80">
        <v>362</v>
      </c>
    </row>
    <row r="350" spans="1:16" x14ac:dyDescent="0.25">
      <c r="A350" s="80">
        <v>10</v>
      </c>
      <c r="B350" s="6">
        <v>2</v>
      </c>
      <c r="C350" s="80">
        <v>835</v>
      </c>
      <c r="D350" s="80">
        <v>1</v>
      </c>
      <c r="E350" s="80">
        <v>1</v>
      </c>
      <c r="F350" s="80" t="s">
        <v>328</v>
      </c>
      <c r="G350" s="79">
        <v>20.64</v>
      </c>
      <c r="H350" s="79">
        <v>0.35153400000000001</v>
      </c>
      <c r="I350" s="79" t="s">
        <v>63</v>
      </c>
      <c r="J350" s="79" t="s">
        <v>127</v>
      </c>
      <c r="K350" s="83">
        <f>VLOOKUP(ws[[#This Row],[hwycov_id]],count[],4,FALSE)</f>
        <v>35806</v>
      </c>
      <c r="L350" s="115">
        <f>VLOOKUP(ws[[#This Row],[hwycov_id]],flow0[],5,FALSE)</f>
        <v>32237</v>
      </c>
      <c r="M350" s="295">
        <f>ws[[#This Row],[flow]]/ws[[#This Row],[count]]-1</f>
        <v>-9.9676031949952559E-2</v>
      </c>
      <c r="N350" s="296">
        <f>POWER((ws[[#This Row],[flow]]-ws[[#This Row],[count]]),2)</f>
        <v>12737761</v>
      </c>
      <c r="O350" s="80" t="e">
        <f>VLOOKUP(ws[[#This Row],[hwycov_id]],count!$A$630:$E$652,5,FALSE)</f>
        <v>#N/A</v>
      </c>
      <c r="P350" s="80">
        <v>363</v>
      </c>
    </row>
    <row r="351" spans="1:16" x14ac:dyDescent="0.25">
      <c r="A351" s="80">
        <v>10</v>
      </c>
      <c r="B351" s="6">
        <v>2</v>
      </c>
      <c r="C351" s="80">
        <v>836</v>
      </c>
      <c r="D351" s="80">
        <v>1</v>
      </c>
      <c r="E351" s="80">
        <v>1</v>
      </c>
      <c r="F351" s="80" t="s">
        <v>328</v>
      </c>
      <c r="G351" s="79">
        <v>21.1</v>
      </c>
      <c r="H351" s="79">
        <v>0.46614699999999998</v>
      </c>
      <c r="I351" s="79" t="s">
        <v>127</v>
      </c>
      <c r="J351" s="79" t="s">
        <v>127</v>
      </c>
      <c r="K351" s="83">
        <f>VLOOKUP(ws[[#This Row],[hwycov_id]],count[],4,FALSE)</f>
        <v>29743</v>
      </c>
      <c r="L351" s="115">
        <f>VLOOKUP(ws[[#This Row],[hwycov_id]],flow0[],5,FALSE)</f>
        <v>29444</v>
      </c>
      <c r="M351" s="295">
        <f>ws[[#This Row],[flow]]/ws[[#This Row],[count]]-1</f>
        <v>-1.005278552936828E-2</v>
      </c>
      <c r="N351" s="296">
        <f>POWER((ws[[#This Row],[flow]]-ws[[#This Row],[count]]),2)</f>
        <v>89401</v>
      </c>
      <c r="O351" s="80" t="e">
        <f>VLOOKUP(ws[[#This Row],[hwycov_id]],count!$A$630:$E$652,5,FALSE)</f>
        <v>#N/A</v>
      </c>
      <c r="P351" s="80">
        <v>364</v>
      </c>
    </row>
    <row r="352" spans="1:16" x14ac:dyDescent="0.25">
      <c r="A352" s="80">
        <v>10</v>
      </c>
      <c r="B352" s="6">
        <v>2</v>
      </c>
      <c r="C352" s="80">
        <v>22157</v>
      </c>
      <c r="D352" s="80">
        <v>1</v>
      </c>
      <c r="E352" s="80">
        <v>1</v>
      </c>
      <c r="F352" s="80" t="s">
        <v>328</v>
      </c>
      <c r="G352" s="79">
        <v>21.67</v>
      </c>
      <c r="H352" s="79">
        <v>0.15961800000000001</v>
      </c>
      <c r="I352" s="79" t="s">
        <v>61</v>
      </c>
      <c r="J352" s="79" t="s">
        <v>61</v>
      </c>
      <c r="K352" s="83">
        <f>VLOOKUP(ws[[#This Row],[hwycov_id]],count[],4,FALSE)</f>
        <v>26386</v>
      </c>
      <c r="L352" s="115">
        <f>VLOOKUP(ws[[#This Row],[hwycov_id]],flow0[],5,FALSE)</f>
        <v>24298</v>
      </c>
      <c r="M352" s="295">
        <f>ws[[#This Row],[flow]]/ws[[#This Row],[count]]-1</f>
        <v>-7.9132873493519273E-2</v>
      </c>
      <c r="N352" s="296">
        <f>POWER((ws[[#This Row],[flow]]-ws[[#This Row],[count]]),2)</f>
        <v>4359744</v>
      </c>
      <c r="O352" s="80" t="e">
        <f>VLOOKUP(ws[[#This Row],[hwycov_id]],count!$A$630:$E$652,5,FALSE)</f>
        <v>#N/A</v>
      </c>
      <c r="P352" s="80">
        <v>365</v>
      </c>
    </row>
    <row r="353" spans="1:16" x14ac:dyDescent="0.25">
      <c r="A353" s="80">
        <v>10</v>
      </c>
      <c r="B353" s="6">
        <v>2</v>
      </c>
      <c r="C353" s="80">
        <v>841</v>
      </c>
      <c r="D353" s="80">
        <v>1</v>
      </c>
      <c r="E353" s="80">
        <v>1</v>
      </c>
      <c r="F353" s="80" t="s">
        <v>328</v>
      </c>
      <c r="G353" s="79">
        <v>22.29</v>
      </c>
      <c r="H353" s="79">
        <v>0.45580999999999999</v>
      </c>
      <c r="I353" s="79" t="s">
        <v>61</v>
      </c>
      <c r="J353" s="79" t="s">
        <v>126</v>
      </c>
      <c r="K353" s="83">
        <f>VLOOKUP(ws[[#This Row],[hwycov_id]],count[],4,FALSE)</f>
        <v>25637</v>
      </c>
      <c r="L353" s="115">
        <f>VLOOKUP(ws[[#This Row],[hwycov_id]],flow0[],5,FALSE)</f>
        <v>25933</v>
      </c>
      <c r="M353" s="295">
        <f>ws[[#This Row],[flow]]/ws[[#This Row],[count]]-1</f>
        <v>1.1545812692592694E-2</v>
      </c>
      <c r="N353" s="296">
        <f>POWER((ws[[#This Row],[flow]]-ws[[#This Row],[count]]),2)</f>
        <v>87616</v>
      </c>
      <c r="O353" s="80" t="e">
        <f>VLOOKUP(ws[[#This Row],[hwycov_id]],count!$A$630:$E$652,5,FALSE)</f>
        <v>#N/A</v>
      </c>
      <c r="P353" s="80">
        <v>366</v>
      </c>
    </row>
    <row r="354" spans="1:16" x14ac:dyDescent="0.25">
      <c r="A354" s="80">
        <v>10</v>
      </c>
      <c r="B354" s="6">
        <v>2</v>
      </c>
      <c r="C354" s="80">
        <v>843</v>
      </c>
      <c r="D354" s="80">
        <v>1</v>
      </c>
      <c r="E354" s="80">
        <v>1</v>
      </c>
      <c r="F354" s="80" t="s">
        <v>328</v>
      </c>
      <c r="G354" s="79">
        <v>23.45</v>
      </c>
      <c r="H354" s="79">
        <v>0.54157299999999997</v>
      </c>
      <c r="I354" s="79" t="s">
        <v>126</v>
      </c>
      <c r="J354" s="79" t="s">
        <v>58</v>
      </c>
      <c r="K354" s="83">
        <f>VLOOKUP(ws[[#This Row],[hwycov_id]],count[],4,FALSE)</f>
        <v>21886</v>
      </c>
      <c r="L354" s="115">
        <f>VLOOKUP(ws[[#This Row],[hwycov_id]],flow0[],5,FALSE)</f>
        <v>17522</v>
      </c>
      <c r="M354" s="295">
        <f>ws[[#This Row],[flow]]/ws[[#This Row],[count]]-1</f>
        <v>-0.19939687471442935</v>
      </c>
      <c r="N354" s="296">
        <f>POWER((ws[[#This Row],[flow]]-ws[[#This Row],[count]]),2)</f>
        <v>19044496</v>
      </c>
      <c r="O354" s="80" t="e">
        <f>VLOOKUP(ws[[#This Row],[hwycov_id]],count!$A$630:$E$652,5,FALSE)</f>
        <v>#N/A</v>
      </c>
      <c r="P354" s="80">
        <v>367</v>
      </c>
    </row>
    <row r="355" spans="1:16" x14ac:dyDescent="0.25">
      <c r="A355" s="80">
        <v>10</v>
      </c>
      <c r="B355" s="6">
        <v>2</v>
      </c>
      <c r="C355" s="80">
        <v>851</v>
      </c>
      <c r="D355" s="80">
        <v>1</v>
      </c>
      <c r="E355" s="80">
        <v>1</v>
      </c>
      <c r="F355" s="80" t="s">
        <v>328</v>
      </c>
      <c r="G355" s="79">
        <v>25.26</v>
      </c>
      <c r="H355" s="79">
        <v>0.42006900000000003</v>
      </c>
      <c r="I355" s="79" t="s">
        <v>125</v>
      </c>
      <c r="J355" s="79" t="s">
        <v>125</v>
      </c>
      <c r="K355" s="83">
        <f>VLOOKUP(ws[[#This Row],[hwycov_id]],count[],4,FALSE)</f>
        <v>17688</v>
      </c>
      <c r="L355" s="115">
        <f>VLOOKUP(ws[[#This Row],[hwycov_id]],flow0[],5,FALSE)</f>
        <v>17494</v>
      </c>
      <c r="M355" s="295">
        <f>ws[[#This Row],[flow]]/ws[[#This Row],[count]]-1</f>
        <v>-1.0967887833559509E-2</v>
      </c>
      <c r="N355" s="296">
        <f>POWER((ws[[#This Row],[flow]]-ws[[#This Row],[count]]),2)</f>
        <v>37636</v>
      </c>
      <c r="O355" s="80" t="e">
        <f>VLOOKUP(ws[[#This Row],[hwycov_id]],count!$A$630:$E$652,5,FALSE)</f>
        <v>#N/A</v>
      </c>
      <c r="P355" s="80">
        <v>368</v>
      </c>
    </row>
    <row r="356" spans="1:16" x14ac:dyDescent="0.25">
      <c r="A356" s="80">
        <v>10</v>
      </c>
      <c r="B356" s="6">
        <v>2</v>
      </c>
      <c r="C356" s="80">
        <v>853</v>
      </c>
      <c r="D356" s="80">
        <v>1</v>
      </c>
      <c r="E356" s="80">
        <v>1</v>
      </c>
      <c r="F356" s="80" t="s">
        <v>328</v>
      </c>
      <c r="G356" s="79">
        <v>26.06</v>
      </c>
      <c r="H356" s="79">
        <v>0.52991999999999995</v>
      </c>
      <c r="I356" s="79" t="s">
        <v>56</v>
      </c>
      <c r="J356" s="79" t="s">
        <v>56</v>
      </c>
      <c r="K356" s="83">
        <f>VLOOKUP(ws[[#This Row],[hwycov_id]],count[],4,FALSE)</f>
        <v>13506</v>
      </c>
      <c r="L356" s="115">
        <f>VLOOKUP(ws[[#This Row],[hwycov_id]],flow0[],5,FALSE)</f>
        <v>15154</v>
      </c>
      <c r="M356" s="295">
        <f>ws[[#This Row],[flow]]/ws[[#This Row],[count]]-1</f>
        <v>0.12201984303272617</v>
      </c>
      <c r="N356" s="296">
        <f>POWER((ws[[#This Row],[flow]]-ws[[#This Row],[count]]),2)</f>
        <v>2715904</v>
      </c>
      <c r="O356" s="80" t="e">
        <f>VLOOKUP(ws[[#This Row],[hwycov_id]],count!$A$630:$E$652,5,FALSE)</f>
        <v>#N/A</v>
      </c>
      <c r="P356" s="80">
        <v>369</v>
      </c>
    </row>
    <row r="357" spans="1:16" x14ac:dyDescent="0.25">
      <c r="A357" s="80">
        <v>10</v>
      </c>
      <c r="B357" s="6">
        <v>2</v>
      </c>
      <c r="C357" s="80">
        <v>855</v>
      </c>
      <c r="D357" s="80">
        <v>1</v>
      </c>
      <c r="E357" s="80">
        <v>1</v>
      </c>
      <c r="F357" s="80" t="s">
        <v>328</v>
      </c>
      <c r="G357" s="79">
        <v>27.05</v>
      </c>
      <c r="H357" s="79">
        <v>0.19140599999999999</v>
      </c>
      <c r="I357" s="79" t="s">
        <v>54</v>
      </c>
      <c r="J357" s="79" t="s">
        <v>54</v>
      </c>
      <c r="K357" s="83">
        <f>VLOOKUP(ws[[#This Row],[hwycov_id]],count[],4,FALSE)</f>
        <v>8717</v>
      </c>
      <c r="L357" s="115">
        <f>VLOOKUP(ws[[#This Row],[hwycov_id]],flow0[],5,FALSE)</f>
        <v>7397</v>
      </c>
      <c r="M357" s="295">
        <f>ws[[#This Row],[flow]]/ws[[#This Row],[count]]-1</f>
        <v>-0.15142824366181029</v>
      </c>
      <c r="N357" s="296">
        <f>POWER((ws[[#This Row],[flow]]-ws[[#This Row],[count]]),2)</f>
        <v>1742400</v>
      </c>
      <c r="O357" s="80" t="e">
        <f>VLOOKUP(ws[[#This Row],[hwycov_id]],count!$A$630:$E$652,5,FALSE)</f>
        <v>#N/A</v>
      </c>
      <c r="P357" s="80">
        <v>370</v>
      </c>
    </row>
    <row r="358" spans="1:16" x14ac:dyDescent="0.25">
      <c r="A358" s="80">
        <v>10</v>
      </c>
      <c r="B358" s="6">
        <v>2</v>
      </c>
      <c r="C358" s="80">
        <v>857</v>
      </c>
      <c r="D358" s="80">
        <v>1</v>
      </c>
      <c r="E358" s="80">
        <v>1</v>
      </c>
      <c r="F358" s="80" t="s">
        <v>328</v>
      </c>
      <c r="G358" s="79">
        <v>27.7</v>
      </c>
      <c r="H358" s="79">
        <v>0.334088</v>
      </c>
      <c r="I358" s="79" t="s">
        <v>53</v>
      </c>
      <c r="J358" s="79" t="s">
        <v>50</v>
      </c>
      <c r="K358" s="83">
        <f>VLOOKUP(ws[[#This Row],[hwycov_id]],count[],4,FALSE)</f>
        <v>9871</v>
      </c>
      <c r="L358" s="115">
        <f>VLOOKUP(ws[[#This Row],[hwycov_id]],flow0[],5,FALSE)</f>
        <v>8532</v>
      </c>
      <c r="M358" s="295">
        <f>ws[[#This Row],[flow]]/ws[[#This Row],[count]]-1</f>
        <v>-0.13564988349711271</v>
      </c>
      <c r="N358" s="296">
        <f>POWER((ws[[#This Row],[flow]]-ws[[#This Row],[count]]),2)</f>
        <v>1792921</v>
      </c>
      <c r="O358" s="80" t="e">
        <f>VLOOKUP(ws[[#This Row],[hwycov_id]],count!$A$630:$E$652,5,FALSE)</f>
        <v>#N/A</v>
      </c>
      <c r="P358" s="80">
        <v>371</v>
      </c>
    </row>
    <row r="359" spans="1:16" x14ac:dyDescent="0.25">
      <c r="A359" s="80">
        <v>10</v>
      </c>
      <c r="B359" s="6">
        <v>2</v>
      </c>
      <c r="C359" s="80">
        <v>858</v>
      </c>
      <c r="D359" s="80">
        <v>1</v>
      </c>
      <c r="E359" s="80">
        <v>1</v>
      </c>
      <c r="F359" s="80" t="s">
        <v>328</v>
      </c>
      <c r="G359" s="79">
        <v>28.25</v>
      </c>
      <c r="H359" s="79">
        <v>0.542937</v>
      </c>
      <c r="I359" s="79" t="s">
        <v>50</v>
      </c>
      <c r="J359" s="79" t="s">
        <v>50</v>
      </c>
      <c r="K359" s="83">
        <f>VLOOKUP(ws[[#This Row],[hwycov_id]],count[],4,FALSE)</f>
        <v>6537</v>
      </c>
      <c r="L359" s="115">
        <f>VLOOKUP(ws[[#This Row],[hwycov_id]],flow0[],5,FALSE)</f>
        <v>6676</v>
      </c>
      <c r="M359" s="295">
        <f>ws[[#This Row],[flow]]/ws[[#This Row],[count]]-1</f>
        <v>2.1263576564173103E-2</v>
      </c>
      <c r="N359" s="296">
        <f>POWER((ws[[#This Row],[flow]]-ws[[#This Row],[count]]),2)</f>
        <v>19321</v>
      </c>
      <c r="O359" s="80" t="e">
        <f>VLOOKUP(ws[[#This Row],[hwycov_id]],count!$A$630:$E$652,5,FALSE)</f>
        <v>#N/A</v>
      </c>
      <c r="P359" s="80">
        <v>372</v>
      </c>
    </row>
    <row r="360" spans="1:16" x14ac:dyDescent="0.25">
      <c r="A360" s="80">
        <v>11</v>
      </c>
      <c r="B360" s="6">
        <v>2</v>
      </c>
      <c r="C360" s="80">
        <v>16162</v>
      </c>
      <c r="D360" s="80">
        <v>1</v>
      </c>
      <c r="E360" s="80">
        <v>1</v>
      </c>
      <c r="F360" s="80" t="s">
        <v>330</v>
      </c>
      <c r="G360" s="79">
        <v>0.91</v>
      </c>
      <c r="H360" s="79">
        <v>0.21559700000000001</v>
      </c>
      <c r="I360" s="79" t="s">
        <v>44</v>
      </c>
      <c r="J360" s="79" t="s">
        <v>135</v>
      </c>
      <c r="K360" s="83">
        <f>VLOOKUP(ws[[#This Row],[hwycov_id]],count[],4,FALSE)</f>
        <v>20502</v>
      </c>
      <c r="L360" s="115">
        <f>VLOOKUP(ws[[#This Row],[hwycov_id]],flow0[],5,FALSE)</f>
        <v>13152</v>
      </c>
      <c r="M360" s="295">
        <f>ws[[#This Row],[flow]]/ws[[#This Row],[count]]-1</f>
        <v>-0.35850160959906352</v>
      </c>
      <c r="N360" s="296">
        <f>POWER((ws[[#This Row],[flow]]-ws[[#This Row],[count]]),2)</f>
        <v>54022500</v>
      </c>
      <c r="O360" s="80" t="e">
        <f>VLOOKUP(ws[[#This Row],[hwycov_id]],count!$A$630:$E$652,5,FALSE)</f>
        <v>#N/A</v>
      </c>
      <c r="P360" s="80">
        <v>373</v>
      </c>
    </row>
    <row r="361" spans="1:16" x14ac:dyDescent="0.25">
      <c r="A361" s="80">
        <v>11</v>
      </c>
      <c r="B361" s="6">
        <v>2</v>
      </c>
      <c r="C361" s="80">
        <v>16164</v>
      </c>
      <c r="D361" s="80">
        <v>1</v>
      </c>
      <c r="E361" s="80">
        <v>1</v>
      </c>
      <c r="F361" s="80" t="s">
        <v>330</v>
      </c>
      <c r="G361" s="79">
        <v>1.23</v>
      </c>
      <c r="H361" s="79">
        <v>0.31788499999999997</v>
      </c>
      <c r="I361" s="79" t="s">
        <v>135</v>
      </c>
      <c r="J361" s="79" t="s">
        <v>135</v>
      </c>
      <c r="K361" s="83">
        <f>VLOOKUP(ws[[#This Row],[hwycov_id]],count[],4,FALSE)</f>
        <v>20096</v>
      </c>
      <c r="L361" s="115">
        <f>VLOOKUP(ws[[#This Row],[hwycov_id]],flow0[],5,FALSE)</f>
        <v>13152</v>
      </c>
      <c r="M361" s="295">
        <f>ws[[#This Row],[flow]]/ws[[#This Row],[count]]-1</f>
        <v>-0.34554140127388533</v>
      </c>
      <c r="N361" s="296">
        <f>POWER((ws[[#This Row],[flow]]-ws[[#This Row],[count]]),2)</f>
        <v>48219136</v>
      </c>
      <c r="O361" s="80" t="e">
        <f>VLOOKUP(ws[[#This Row],[hwycov_id]],count!$A$630:$E$652,5,FALSE)</f>
        <v>#N/A</v>
      </c>
      <c r="P361" s="80">
        <v>374</v>
      </c>
    </row>
    <row r="362" spans="1:16" x14ac:dyDescent="0.25">
      <c r="A362" s="80">
        <v>11</v>
      </c>
      <c r="B362" s="6">
        <v>2</v>
      </c>
      <c r="C362" s="80">
        <v>16163</v>
      </c>
      <c r="D362" s="80">
        <v>1</v>
      </c>
      <c r="E362" s="80">
        <v>1</v>
      </c>
      <c r="F362" s="80" t="s">
        <v>330</v>
      </c>
      <c r="G362" s="79">
        <v>2.11</v>
      </c>
      <c r="H362" s="79">
        <v>0.87662799999999996</v>
      </c>
      <c r="I362" s="79" t="s">
        <v>135</v>
      </c>
      <c r="J362" s="79" t="s">
        <v>36</v>
      </c>
      <c r="K362" s="83">
        <f>VLOOKUP(ws[[#This Row],[hwycov_id]],count[],4,FALSE)</f>
        <v>24233</v>
      </c>
      <c r="L362" s="115">
        <f>VLOOKUP(ws[[#This Row],[hwycov_id]],flow0[],5,FALSE)</f>
        <v>15329</v>
      </c>
      <c r="M362" s="295">
        <f>ws[[#This Row],[flow]]/ws[[#This Row],[count]]-1</f>
        <v>-0.36743283951636196</v>
      </c>
      <c r="N362" s="296">
        <f>POWER((ws[[#This Row],[flow]]-ws[[#This Row],[count]]),2)</f>
        <v>79281216</v>
      </c>
      <c r="O362" s="80" t="e">
        <f>VLOOKUP(ws[[#This Row],[hwycov_id]],count!$A$630:$E$652,5,FALSE)</f>
        <v>#N/A</v>
      </c>
      <c r="P362" s="80">
        <v>375</v>
      </c>
    </row>
    <row r="363" spans="1:16" x14ac:dyDescent="0.25">
      <c r="A363" s="80">
        <v>11</v>
      </c>
      <c r="B363" s="6">
        <v>2</v>
      </c>
      <c r="C363" s="80">
        <v>8820</v>
      </c>
      <c r="D363" s="80">
        <v>1</v>
      </c>
      <c r="E363" s="80">
        <v>1</v>
      </c>
      <c r="F363" s="80" t="s">
        <v>330</v>
      </c>
      <c r="G363" s="79">
        <v>3.6</v>
      </c>
      <c r="H363" s="79">
        <v>0.196437</v>
      </c>
      <c r="I363" s="79" t="s">
        <v>25</v>
      </c>
      <c r="J363" s="79" t="s">
        <v>16</v>
      </c>
      <c r="K363" s="83">
        <f>VLOOKUP(ws[[#This Row],[hwycov_id]],count[],4,FALSE)</f>
        <v>22699</v>
      </c>
      <c r="L363" s="115">
        <f>VLOOKUP(ws[[#This Row],[hwycov_id]],flow0[],5,FALSE)</f>
        <v>19254</v>
      </c>
      <c r="M363" s="295">
        <f>ws[[#This Row],[flow]]/ws[[#This Row],[count]]-1</f>
        <v>-0.15176880038768226</v>
      </c>
      <c r="N363" s="296">
        <f>POWER((ws[[#This Row],[flow]]-ws[[#This Row],[count]]),2)</f>
        <v>11868025</v>
      </c>
      <c r="O363" s="80" t="e">
        <f>VLOOKUP(ws[[#This Row],[hwycov_id]],count!$A$630:$E$652,5,FALSE)</f>
        <v>#N/A</v>
      </c>
      <c r="P363" s="80">
        <v>376</v>
      </c>
    </row>
    <row r="364" spans="1:16" x14ac:dyDescent="0.25">
      <c r="A364" s="80">
        <v>11</v>
      </c>
      <c r="B364" s="6">
        <v>2</v>
      </c>
      <c r="C364" s="80">
        <v>31184</v>
      </c>
      <c r="D364" s="80">
        <v>1</v>
      </c>
      <c r="E364" s="80">
        <v>1</v>
      </c>
      <c r="F364" s="80" t="s">
        <v>330</v>
      </c>
      <c r="G364" s="79">
        <v>5.33</v>
      </c>
      <c r="H364" s="79">
        <v>0.340727</v>
      </c>
      <c r="I364" s="79" t="s">
        <v>48</v>
      </c>
      <c r="J364" s="79" t="s">
        <v>138</v>
      </c>
      <c r="K364" s="83">
        <f>VLOOKUP(ws[[#This Row],[hwycov_id]],count[],4,FALSE)</f>
        <v>20426</v>
      </c>
      <c r="L364" s="115">
        <f>VLOOKUP(ws[[#This Row],[hwycov_id]],flow0[],5,FALSE)</f>
        <v>20488</v>
      </c>
      <c r="M364" s="295">
        <f>ws[[#This Row],[flow]]/ws[[#This Row],[count]]-1</f>
        <v>3.035347106628894E-3</v>
      </c>
      <c r="N364" s="296">
        <f>POWER((ws[[#This Row],[flow]]-ws[[#This Row],[count]]),2)</f>
        <v>3844</v>
      </c>
      <c r="O364" s="80" t="e">
        <f>VLOOKUP(ws[[#This Row],[hwycov_id]],count!$A$630:$E$652,5,FALSE)</f>
        <v>#N/A</v>
      </c>
      <c r="P364" s="80">
        <v>377</v>
      </c>
    </row>
    <row r="365" spans="1:16" x14ac:dyDescent="0.25">
      <c r="A365" s="80">
        <v>11</v>
      </c>
      <c r="B365" s="6">
        <v>2</v>
      </c>
      <c r="C365" s="80">
        <v>15709</v>
      </c>
      <c r="D365" s="80">
        <v>1</v>
      </c>
      <c r="E365" s="80">
        <v>1</v>
      </c>
      <c r="F365" s="80" t="s">
        <v>330</v>
      </c>
      <c r="G365" s="79">
        <v>6.33</v>
      </c>
      <c r="H365" s="79">
        <v>0.185056</v>
      </c>
      <c r="I365" s="79" t="s">
        <v>88</v>
      </c>
      <c r="J365" s="79" t="s">
        <v>88</v>
      </c>
      <c r="K365" s="83">
        <f>VLOOKUP(ws[[#This Row],[hwycov_id]],count[],4,FALSE)</f>
        <v>16624</v>
      </c>
      <c r="L365" s="115">
        <f>VLOOKUP(ws[[#This Row],[hwycov_id]],flow0[],5,FALSE)</f>
        <v>24337</v>
      </c>
      <c r="M365" s="295">
        <f>ws[[#This Row],[flow]]/ws[[#This Row],[count]]-1</f>
        <v>0.46396775745909524</v>
      </c>
      <c r="N365" s="296">
        <f>POWER((ws[[#This Row],[flow]]-ws[[#This Row],[count]]),2)</f>
        <v>59490369</v>
      </c>
      <c r="O365" s="80" t="e">
        <f>VLOOKUP(ws[[#This Row],[hwycov_id]],count!$A$630:$E$652,5,FALSE)</f>
        <v>#N/A</v>
      </c>
      <c r="P365" s="80">
        <v>378</v>
      </c>
    </row>
    <row r="366" spans="1:16" x14ac:dyDescent="0.25">
      <c r="A366" s="80">
        <v>11</v>
      </c>
      <c r="B366" s="6">
        <v>2</v>
      </c>
      <c r="C366" s="80">
        <v>25142</v>
      </c>
      <c r="D366" s="80">
        <v>1</v>
      </c>
      <c r="E366" s="80">
        <v>1</v>
      </c>
      <c r="F366" s="80" t="s">
        <v>330</v>
      </c>
      <c r="G366" s="79">
        <v>6.86</v>
      </c>
      <c r="H366" s="79">
        <v>0.53061800000000003</v>
      </c>
      <c r="I366" s="79" t="s">
        <v>88</v>
      </c>
      <c r="J366" s="79" t="s">
        <v>22</v>
      </c>
      <c r="K366" s="83">
        <f>VLOOKUP(ws[[#This Row],[hwycov_id]],count[],4,FALSE)</f>
        <v>22351</v>
      </c>
      <c r="L366" s="115">
        <f>VLOOKUP(ws[[#This Row],[hwycov_id]],flow0[],5,FALSE)</f>
        <v>25473</v>
      </c>
      <c r="M366" s="295">
        <f>ws[[#This Row],[flow]]/ws[[#This Row],[count]]-1</f>
        <v>0.13968055120576262</v>
      </c>
      <c r="N366" s="296">
        <f>POWER((ws[[#This Row],[flow]]-ws[[#This Row],[count]]),2)</f>
        <v>9746884</v>
      </c>
      <c r="O366" s="80" t="e">
        <f>VLOOKUP(ws[[#This Row],[hwycov_id]],count!$A$630:$E$652,5,FALSE)</f>
        <v>#N/A</v>
      </c>
      <c r="P366" s="80">
        <v>379</v>
      </c>
    </row>
    <row r="367" spans="1:16" x14ac:dyDescent="0.25">
      <c r="A367" s="80">
        <v>11</v>
      </c>
      <c r="B367" s="6">
        <v>2</v>
      </c>
      <c r="C367" s="80">
        <v>8887</v>
      </c>
      <c r="D367" s="80">
        <v>1</v>
      </c>
      <c r="E367" s="80">
        <v>1</v>
      </c>
      <c r="F367" s="80" t="s">
        <v>330</v>
      </c>
      <c r="G367" s="79">
        <v>8.65</v>
      </c>
      <c r="H367" s="79">
        <v>0.23840900000000001</v>
      </c>
      <c r="I367" s="79" t="s">
        <v>5</v>
      </c>
      <c r="J367" s="79" t="s">
        <v>140</v>
      </c>
      <c r="K367" s="83">
        <f>VLOOKUP(ws[[#This Row],[hwycov_id]],count[],4,FALSE)</f>
        <v>22081</v>
      </c>
      <c r="L367" s="115">
        <f>VLOOKUP(ws[[#This Row],[hwycov_id]],flow0[],5,FALSE)</f>
        <v>22881</v>
      </c>
      <c r="M367" s="295">
        <f>ws[[#This Row],[flow]]/ws[[#This Row],[count]]-1</f>
        <v>3.6230243195507494E-2</v>
      </c>
      <c r="N367" s="296">
        <f>POWER((ws[[#This Row],[flow]]-ws[[#This Row],[count]]),2)</f>
        <v>640000</v>
      </c>
      <c r="O367" s="80" t="e">
        <f>VLOOKUP(ws[[#This Row],[hwycov_id]],count!$A$630:$E$652,5,FALSE)</f>
        <v>#N/A</v>
      </c>
      <c r="P367" s="80">
        <v>380</v>
      </c>
    </row>
    <row r="368" spans="1:16" x14ac:dyDescent="0.25">
      <c r="A368" s="80">
        <v>11</v>
      </c>
      <c r="B368" s="6">
        <v>2</v>
      </c>
      <c r="C368" s="80">
        <v>16045</v>
      </c>
      <c r="D368" s="80">
        <v>1</v>
      </c>
      <c r="E368" s="80">
        <v>1</v>
      </c>
      <c r="F368" s="80" t="s">
        <v>330</v>
      </c>
      <c r="G368" s="79">
        <v>9.19</v>
      </c>
      <c r="H368" s="79">
        <v>0.28279799999999999</v>
      </c>
      <c r="I368" s="79" t="s">
        <v>80</v>
      </c>
      <c r="J368" s="79" t="s">
        <v>80</v>
      </c>
      <c r="K368" s="83">
        <f>VLOOKUP(ws[[#This Row],[hwycov_id]],count[],4,FALSE)</f>
        <v>10546</v>
      </c>
      <c r="L368" s="115">
        <f>VLOOKUP(ws[[#This Row],[hwycov_id]],flow0[],5,FALSE)</f>
        <v>12797</v>
      </c>
      <c r="M368" s="295">
        <f>ws[[#This Row],[flow]]/ws[[#This Row],[count]]-1</f>
        <v>0.21344585624881462</v>
      </c>
      <c r="N368" s="296">
        <f>POWER((ws[[#This Row],[flow]]-ws[[#This Row],[count]]),2)</f>
        <v>5067001</v>
      </c>
      <c r="O368" s="80" t="e">
        <f>VLOOKUP(ws[[#This Row],[hwycov_id]],count!$A$630:$E$652,5,FALSE)</f>
        <v>#N/A</v>
      </c>
      <c r="P368" s="80">
        <v>381</v>
      </c>
    </row>
    <row r="369" spans="1:16" x14ac:dyDescent="0.25">
      <c r="A369" s="80">
        <v>11</v>
      </c>
      <c r="B369" s="6">
        <v>2</v>
      </c>
      <c r="C369" s="80">
        <v>21848</v>
      </c>
      <c r="D369" s="80">
        <v>1</v>
      </c>
      <c r="E369" s="80">
        <v>1</v>
      </c>
      <c r="F369" s="80" t="s">
        <v>330</v>
      </c>
      <c r="G369" s="79">
        <v>9.5399999999999991</v>
      </c>
      <c r="H369" s="79">
        <v>0.16963300000000001</v>
      </c>
      <c r="I369" s="79" t="s">
        <v>20</v>
      </c>
      <c r="J369" s="79" t="s">
        <v>331</v>
      </c>
      <c r="K369" s="83">
        <f>VLOOKUP(ws[[#This Row],[hwycov_id]],count[],4,FALSE)</f>
        <v>11803</v>
      </c>
      <c r="L369" s="115">
        <f>VLOOKUP(ws[[#This Row],[hwycov_id]],flow0[],5,FALSE)</f>
        <v>13057</v>
      </c>
      <c r="M369" s="295">
        <f>ws[[#This Row],[flow]]/ws[[#This Row],[count]]-1</f>
        <v>0.10624417520969254</v>
      </c>
      <c r="N369" s="296">
        <f>POWER((ws[[#This Row],[flow]]-ws[[#This Row],[count]]),2)</f>
        <v>1572516</v>
      </c>
      <c r="O369" s="80" t="e">
        <f>VLOOKUP(ws[[#This Row],[hwycov_id]],count!$A$630:$E$652,5,FALSE)</f>
        <v>#N/A</v>
      </c>
      <c r="P369" s="80">
        <v>382</v>
      </c>
    </row>
    <row r="370" spans="1:16" x14ac:dyDescent="0.25">
      <c r="A370" s="80">
        <v>12</v>
      </c>
      <c r="B370" s="6">
        <v>2</v>
      </c>
      <c r="C370" s="80">
        <v>28925</v>
      </c>
      <c r="D370" s="80">
        <v>1</v>
      </c>
      <c r="E370" s="80">
        <v>1</v>
      </c>
      <c r="F370" s="80" t="s">
        <v>333</v>
      </c>
      <c r="G370" s="79">
        <v>0.53</v>
      </c>
      <c r="H370" s="79">
        <v>0.34565299999999999</v>
      </c>
      <c r="I370" s="79" t="s">
        <v>36</v>
      </c>
      <c r="J370" s="79" t="s">
        <v>37</v>
      </c>
      <c r="K370" s="83">
        <f>VLOOKUP(ws[[#This Row],[hwycov_id]],count[],4,FALSE)</f>
        <v>5340</v>
      </c>
      <c r="L370" s="115">
        <f>VLOOKUP(ws[[#This Row],[hwycov_id]],flow0[],5,FALSE)</f>
        <v>4880</v>
      </c>
      <c r="M370" s="295">
        <f>ws[[#This Row],[flow]]/ws[[#This Row],[count]]-1</f>
        <v>-8.6142322097378266E-2</v>
      </c>
      <c r="N370" s="296">
        <f>POWER((ws[[#This Row],[flow]]-ws[[#This Row],[count]]),2)</f>
        <v>211600</v>
      </c>
      <c r="O370" s="80" t="e">
        <f>VLOOKUP(ws[[#This Row],[hwycov_id]],count!$A$630:$E$652,5,FALSE)</f>
        <v>#N/A</v>
      </c>
      <c r="P370" s="80">
        <v>384</v>
      </c>
    </row>
    <row r="371" spans="1:16" x14ac:dyDescent="0.25">
      <c r="A371" s="80">
        <v>12</v>
      </c>
      <c r="B371" s="6">
        <v>2</v>
      </c>
      <c r="C371" s="80">
        <v>28950</v>
      </c>
      <c r="D371" s="80">
        <v>1</v>
      </c>
      <c r="E371" s="80">
        <v>1</v>
      </c>
      <c r="F371" s="80" t="s">
        <v>333</v>
      </c>
      <c r="G371" s="79">
        <v>1.61</v>
      </c>
      <c r="H371" s="79">
        <v>1.078444</v>
      </c>
      <c r="I371" s="79" t="s">
        <v>37</v>
      </c>
      <c r="J371" s="79" t="s">
        <v>150</v>
      </c>
      <c r="K371" s="83">
        <f>VLOOKUP(ws[[#This Row],[hwycov_id]],count[],4,FALSE)</f>
        <v>10546</v>
      </c>
      <c r="L371" s="115">
        <f>VLOOKUP(ws[[#This Row],[hwycov_id]],flow0[],5,FALSE)</f>
        <v>7928</v>
      </c>
      <c r="M371" s="295">
        <f>ws[[#This Row],[flow]]/ws[[#This Row],[count]]-1</f>
        <v>-0.24824578039066947</v>
      </c>
      <c r="N371" s="296">
        <f>POWER((ws[[#This Row],[flow]]-ws[[#This Row],[count]]),2)</f>
        <v>6853924</v>
      </c>
      <c r="O371" s="80" t="e">
        <f>VLOOKUP(ws[[#This Row],[hwycov_id]],count!$A$630:$E$652,5,FALSE)</f>
        <v>#N/A</v>
      </c>
      <c r="P371" s="80">
        <v>385</v>
      </c>
    </row>
    <row r="372" spans="1:16" x14ac:dyDescent="0.25">
      <c r="A372" s="80">
        <v>12</v>
      </c>
      <c r="B372" s="6">
        <v>2</v>
      </c>
      <c r="C372" s="80">
        <v>28949</v>
      </c>
      <c r="D372" s="80">
        <v>1</v>
      </c>
      <c r="E372" s="80">
        <v>1</v>
      </c>
      <c r="F372" s="80" t="s">
        <v>333</v>
      </c>
      <c r="G372" s="79">
        <v>2.35</v>
      </c>
      <c r="H372" s="79">
        <v>0.51616700000000004</v>
      </c>
      <c r="I372" s="79" t="s">
        <v>150</v>
      </c>
      <c r="J372" s="79" t="s">
        <v>149</v>
      </c>
      <c r="K372" s="83">
        <f>VLOOKUP(ws[[#This Row],[hwycov_id]],count[],4,FALSE)</f>
        <v>7573</v>
      </c>
      <c r="L372" s="115">
        <f>VLOOKUP(ws[[#This Row],[hwycov_id]],flow0[],5,FALSE)</f>
        <v>5336</v>
      </c>
      <c r="M372" s="295">
        <f>ws[[#This Row],[flow]]/ws[[#This Row],[count]]-1</f>
        <v>-0.2953915225141952</v>
      </c>
      <c r="N372" s="296">
        <f>POWER((ws[[#This Row],[flow]]-ws[[#This Row],[count]]),2)</f>
        <v>5004169</v>
      </c>
      <c r="O372" s="80" t="e">
        <f>VLOOKUP(ws[[#This Row],[hwycov_id]],count!$A$630:$E$652,5,FALSE)</f>
        <v>#N/A</v>
      </c>
      <c r="P372" s="80">
        <v>386</v>
      </c>
    </row>
    <row r="373" spans="1:16" x14ac:dyDescent="0.25">
      <c r="A373" s="80">
        <v>12</v>
      </c>
      <c r="B373" s="6">
        <v>2</v>
      </c>
      <c r="C373" s="80">
        <v>12065</v>
      </c>
      <c r="D373" s="80">
        <v>1</v>
      </c>
      <c r="E373" s="80">
        <v>1</v>
      </c>
      <c r="F373" s="80" t="s">
        <v>333</v>
      </c>
      <c r="G373" s="79">
        <v>2.78</v>
      </c>
      <c r="H373" s="79">
        <v>0.28251500000000002</v>
      </c>
      <c r="I373" s="79" t="s">
        <v>149</v>
      </c>
      <c r="J373" s="79" t="s">
        <v>149</v>
      </c>
      <c r="K373" s="83">
        <f>VLOOKUP(ws[[#This Row],[hwycov_id]],count[],4,FALSE)</f>
        <v>9357</v>
      </c>
      <c r="L373" s="115">
        <f>VLOOKUP(ws[[#This Row],[hwycov_id]],flow0[],5,FALSE)</f>
        <v>7726</v>
      </c>
      <c r="M373" s="295">
        <f>ws[[#This Row],[flow]]/ws[[#This Row],[count]]-1</f>
        <v>-0.17430800470236185</v>
      </c>
      <c r="N373" s="296">
        <f>POWER((ws[[#This Row],[flow]]-ws[[#This Row],[count]]),2)</f>
        <v>2660161</v>
      </c>
      <c r="O373" s="80" t="e">
        <f>VLOOKUP(ws[[#This Row],[hwycov_id]],count!$A$630:$E$652,5,FALSE)</f>
        <v>#N/A</v>
      </c>
      <c r="P373" s="80">
        <v>387</v>
      </c>
    </row>
    <row r="374" spans="1:16" x14ac:dyDescent="0.25">
      <c r="A374" s="80">
        <v>12</v>
      </c>
      <c r="B374" s="6">
        <v>2</v>
      </c>
      <c r="C374" s="80">
        <v>28941</v>
      </c>
      <c r="D374" s="80">
        <v>1</v>
      </c>
      <c r="E374" s="80">
        <v>1</v>
      </c>
      <c r="F374" s="80" t="s">
        <v>333</v>
      </c>
      <c r="G374" s="79">
        <v>3.33</v>
      </c>
      <c r="H374" s="79">
        <v>0.50081500000000001</v>
      </c>
      <c r="I374" s="79" t="s">
        <v>149</v>
      </c>
      <c r="J374" s="79" t="s">
        <v>148</v>
      </c>
      <c r="K374" s="83">
        <f>VLOOKUP(ws[[#This Row],[hwycov_id]],count[],4,FALSE)</f>
        <v>13100</v>
      </c>
      <c r="L374" s="115">
        <f>VLOOKUP(ws[[#This Row],[hwycov_id]],flow0[],5,FALSE)</f>
        <v>10970</v>
      </c>
      <c r="M374" s="295">
        <f>ws[[#This Row],[flow]]/ws[[#This Row],[count]]-1</f>
        <v>-0.16259541984732828</v>
      </c>
      <c r="N374" s="296">
        <f>POWER((ws[[#This Row],[flow]]-ws[[#This Row],[count]]),2)</f>
        <v>4536900</v>
      </c>
      <c r="O374" s="80" t="e">
        <f>VLOOKUP(ws[[#This Row],[hwycov_id]],count!$A$630:$E$652,5,FALSE)</f>
        <v>#N/A</v>
      </c>
      <c r="P374" s="80">
        <v>388</v>
      </c>
    </row>
    <row r="375" spans="1:16" x14ac:dyDescent="0.25">
      <c r="A375" s="80">
        <v>12</v>
      </c>
      <c r="B375" s="6">
        <v>2</v>
      </c>
      <c r="C375" s="80">
        <v>28938</v>
      </c>
      <c r="D375" s="80">
        <v>1</v>
      </c>
      <c r="E375" s="80">
        <v>1</v>
      </c>
      <c r="F375" s="80" t="s">
        <v>333</v>
      </c>
      <c r="G375" s="79">
        <v>3.64</v>
      </c>
      <c r="H375" s="79">
        <v>0.317191</v>
      </c>
      <c r="I375" s="79" t="s">
        <v>148</v>
      </c>
      <c r="J375" s="79" t="s">
        <v>148</v>
      </c>
      <c r="K375" s="83">
        <f>VLOOKUP(ws[[#This Row],[hwycov_id]],count[],4,FALSE)</f>
        <v>10673</v>
      </c>
      <c r="L375" s="115">
        <f>VLOOKUP(ws[[#This Row],[hwycov_id]],flow0[],5,FALSE)</f>
        <v>10119</v>
      </c>
      <c r="M375" s="295">
        <f>ws[[#This Row],[flow]]/ws[[#This Row],[count]]-1</f>
        <v>-5.1906680408507433E-2</v>
      </c>
      <c r="N375" s="296">
        <f>POWER((ws[[#This Row],[flow]]-ws[[#This Row],[count]]),2)</f>
        <v>306916</v>
      </c>
      <c r="O375" s="80" t="e">
        <f>VLOOKUP(ws[[#This Row],[hwycov_id]],count!$A$630:$E$652,5,FALSE)</f>
        <v>#N/A</v>
      </c>
      <c r="P375" s="80">
        <v>389</v>
      </c>
    </row>
    <row r="376" spans="1:16" x14ac:dyDescent="0.25">
      <c r="A376" s="80">
        <v>12</v>
      </c>
      <c r="B376" s="6">
        <v>2</v>
      </c>
      <c r="C376" s="80">
        <v>11284</v>
      </c>
      <c r="D376" s="80">
        <v>1</v>
      </c>
      <c r="E376" s="80">
        <v>1</v>
      </c>
      <c r="F376" s="80" t="s">
        <v>333</v>
      </c>
      <c r="G376" s="79">
        <v>4.37</v>
      </c>
      <c r="H376" s="79">
        <v>0.37819799999999998</v>
      </c>
      <c r="I376" s="79" t="s">
        <v>38</v>
      </c>
      <c r="J376" s="79" t="s">
        <v>147</v>
      </c>
      <c r="K376" s="83">
        <f>VLOOKUP(ws[[#This Row],[hwycov_id]],count[],4,FALSE)</f>
        <v>6385</v>
      </c>
      <c r="L376" s="115">
        <f>VLOOKUP(ws[[#This Row],[hwycov_id]],flow0[],5,FALSE)</f>
        <v>8158</v>
      </c>
      <c r="M376" s="295">
        <f>ws[[#This Row],[flow]]/ws[[#This Row],[count]]-1</f>
        <v>0.27768206734534062</v>
      </c>
      <c r="N376" s="296">
        <f>POWER((ws[[#This Row],[flow]]-ws[[#This Row],[count]]),2)</f>
        <v>3143529</v>
      </c>
      <c r="O376" s="80" t="e">
        <f>VLOOKUP(ws[[#This Row],[hwycov_id]],count!$A$630:$E$652,5,FALSE)</f>
        <v>#N/A</v>
      </c>
      <c r="P376" s="80">
        <v>390</v>
      </c>
    </row>
    <row r="377" spans="1:16" x14ac:dyDescent="0.25">
      <c r="A377" s="80">
        <v>12</v>
      </c>
      <c r="B377" s="6">
        <v>2</v>
      </c>
      <c r="C377" s="80">
        <v>11294</v>
      </c>
      <c r="D377" s="80">
        <v>1</v>
      </c>
      <c r="E377" s="80">
        <v>1</v>
      </c>
      <c r="F377" s="80" t="s">
        <v>333</v>
      </c>
      <c r="G377" s="79">
        <v>4.79</v>
      </c>
      <c r="H377" s="79">
        <v>0.211953</v>
      </c>
      <c r="I377" s="79" t="s">
        <v>5</v>
      </c>
      <c r="J377" s="79" t="s">
        <v>147</v>
      </c>
      <c r="K377" s="83">
        <f>VLOOKUP(ws[[#This Row],[hwycov_id]],count[],4,FALSE)</f>
        <v>9706</v>
      </c>
      <c r="L377" s="115">
        <f>VLOOKUP(ws[[#This Row],[hwycov_id]],flow0[],5,FALSE)</f>
        <v>19946</v>
      </c>
      <c r="M377" s="295">
        <f>ws[[#This Row],[flow]]/ws[[#This Row],[count]]-1</f>
        <v>1.0550175149392129</v>
      </c>
      <c r="N377" s="296">
        <f>POWER((ws[[#This Row],[flow]]-ws[[#This Row],[count]]),2)</f>
        <v>104857600</v>
      </c>
      <c r="O377" s="80" t="e">
        <f>VLOOKUP(ws[[#This Row],[hwycov_id]],count!$A$630:$E$652,5,FALSE)</f>
        <v>#N/A</v>
      </c>
      <c r="P377" s="80">
        <v>391</v>
      </c>
    </row>
    <row r="378" spans="1:16" x14ac:dyDescent="0.25">
      <c r="A378" s="80">
        <v>12</v>
      </c>
      <c r="B378" s="6">
        <v>2</v>
      </c>
      <c r="C378" s="80">
        <v>13099</v>
      </c>
      <c r="D378" s="80">
        <v>1</v>
      </c>
      <c r="E378" s="80">
        <v>1</v>
      </c>
      <c r="F378" s="80" t="s">
        <v>333</v>
      </c>
      <c r="G378" s="79">
        <v>5.2</v>
      </c>
      <c r="H378" s="79">
        <v>0.40971800000000003</v>
      </c>
      <c r="I378" s="79" t="s">
        <v>147</v>
      </c>
      <c r="J378" s="79" t="s">
        <v>146</v>
      </c>
      <c r="K378" s="83">
        <f>VLOOKUP(ws[[#This Row],[hwycov_id]],count[],4,FALSE)</f>
        <v>18706</v>
      </c>
      <c r="L378" s="115">
        <f>VLOOKUP(ws[[#This Row],[hwycov_id]],flow0[],5,FALSE)</f>
        <v>22236</v>
      </c>
      <c r="M378" s="295">
        <f>ws[[#This Row],[flow]]/ws[[#This Row],[count]]-1</f>
        <v>0.18870950497166694</v>
      </c>
      <c r="N378" s="296">
        <f>POWER((ws[[#This Row],[flow]]-ws[[#This Row],[count]]),2)</f>
        <v>12460900</v>
      </c>
      <c r="O378" s="80" t="e">
        <f>VLOOKUP(ws[[#This Row],[hwycov_id]],count!$A$630:$E$652,5,FALSE)</f>
        <v>#N/A</v>
      </c>
      <c r="P378" s="80">
        <v>392</v>
      </c>
    </row>
    <row r="379" spans="1:16" x14ac:dyDescent="0.25">
      <c r="A379" s="80">
        <v>12</v>
      </c>
      <c r="B379" s="6">
        <v>2</v>
      </c>
      <c r="C379" s="80">
        <v>11297</v>
      </c>
      <c r="D379" s="80">
        <v>1</v>
      </c>
      <c r="E379" s="80">
        <v>1</v>
      </c>
      <c r="F379" s="80" t="s">
        <v>333</v>
      </c>
      <c r="G379" s="79">
        <v>5.83</v>
      </c>
      <c r="H379" s="79">
        <v>0.38629400000000003</v>
      </c>
      <c r="I379" s="79" t="s">
        <v>146</v>
      </c>
      <c r="J379" s="79" t="s">
        <v>18</v>
      </c>
      <c r="K379" s="83">
        <f>VLOOKUP(ws[[#This Row],[hwycov_id]],count[],4,FALSE)</f>
        <v>21376</v>
      </c>
      <c r="L379" s="115">
        <f>VLOOKUP(ws[[#This Row],[hwycov_id]],flow0[],5,FALSE)</f>
        <v>23301</v>
      </c>
      <c r="M379" s="295">
        <f>ws[[#This Row],[flow]]/ws[[#This Row],[count]]-1</f>
        <v>9.0054266467065824E-2</v>
      </c>
      <c r="N379" s="296">
        <f>POWER((ws[[#This Row],[flow]]-ws[[#This Row],[count]]),2)</f>
        <v>3705625</v>
      </c>
      <c r="O379" s="80" t="e">
        <f>VLOOKUP(ws[[#This Row],[hwycov_id]],count!$A$630:$E$652,5,FALSE)</f>
        <v>#N/A</v>
      </c>
      <c r="P379" s="80">
        <v>393</v>
      </c>
    </row>
    <row r="380" spans="1:16" x14ac:dyDescent="0.25">
      <c r="A380" s="80">
        <v>12</v>
      </c>
      <c r="B380" s="6">
        <v>2</v>
      </c>
      <c r="C380" s="80">
        <v>7259</v>
      </c>
      <c r="D380" s="80">
        <v>1</v>
      </c>
      <c r="E380" s="80">
        <v>1</v>
      </c>
      <c r="F380" s="80" t="s">
        <v>333</v>
      </c>
      <c r="G380" s="79">
        <v>10.19</v>
      </c>
      <c r="H380" s="79">
        <v>0.42980600000000002</v>
      </c>
      <c r="I380" s="79" t="s">
        <v>143</v>
      </c>
      <c r="J380" s="79" t="s">
        <v>142</v>
      </c>
      <c r="K380" s="83">
        <f>VLOOKUP(ws[[#This Row],[hwycov_id]],count[],4,FALSE)</f>
        <v>15658</v>
      </c>
      <c r="L380" s="115">
        <f>VLOOKUP(ws[[#This Row],[hwycov_id]],flow0[],5,FALSE)</f>
        <v>12444</v>
      </c>
      <c r="M380" s="295">
        <f>ws[[#This Row],[flow]]/ws[[#This Row],[count]]-1</f>
        <v>-0.20526248563034866</v>
      </c>
      <c r="N380" s="296">
        <f>POWER((ws[[#This Row],[flow]]-ws[[#This Row],[count]]),2)</f>
        <v>10329796</v>
      </c>
      <c r="O380" s="80" t="e">
        <f>VLOOKUP(ws[[#This Row],[hwycov_id]],count!$A$630:$E$652,5,FALSE)</f>
        <v>#N/A</v>
      </c>
      <c r="P380" s="80">
        <v>394</v>
      </c>
    </row>
    <row r="381" spans="1:16" x14ac:dyDescent="0.25">
      <c r="A381" s="80">
        <v>12</v>
      </c>
      <c r="B381" s="6">
        <v>2</v>
      </c>
      <c r="C381" s="80">
        <v>9012</v>
      </c>
      <c r="D381" s="80">
        <v>1</v>
      </c>
      <c r="E381" s="80">
        <v>4</v>
      </c>
      <c r="F381" s="80" t="s">
        <v>333</v>
      </c>
      <c r="G381" s="79">
        <v>13.26</v>
      </c>
      <c r="H381" s="79">
        <v>2.3394759999999999</v>
      </c>
      <c r="I381" s="79" t="s">
        <v>63</v>
      </c>
      <c r="J381" s="79" t="s">
        <v>294</v>
      </c>
      <c r="K381" s="83">
        <f>VLOOKUP(ws[[#This Row],[hwycov_id]],count[],4,FALSE)</f>
        <v>5914</v>
      </c>
      <c r="L381" s="115">
        <f>VLOOKUP(ws[[#This Row],[hwycov_id]],flow0[],5,FALSE)</f>
        <v>4761</v>
      </c>
      <c r="M381" s="295">
        <f>ws[[#This Row],[flow]]/ws[[#This Row],[count]]-1</f>
        <v>-0.19496110923233001</v>
      </c>
      <c r="N381" s="296">
        <f>POWER((ws[[#This Row],[flow]]-ws[[#This Row],[count]]),2)</f>
        <v>1329409</v>
      </c>
      <c r="O381" s="80" t="e">
        <f>VLOOKUP(ws[[#This Row],[hwycov_id]],count!$A$630:$E$652,5,FALSE)</f>
        <v>#N/A</v>
      </c>
      <c r="P381" s="80">
        <v>395</v>
      </c>
    </row>
    <row r="382" spans="1:16" x14ac:dyDescent="0.25">
      <c r="A382" s="80">
        <v>12</v>
      </c>
      <c r="B382" s="6">
        <v>2</v>
      </c>
      <c r="C382" s="80">
        <v>30782</v>
      </c>
      <c r="D382" s="80">
        <v>1</v>
      </c>
      <c r="E382" s="80">
        <v>4</v>
      </c>
      <c r="F382" s="80" t="s">
        <v>333</v>
      </c>
      <c r="G382" s="79">
        <v>14.28</v>
      </c>
      <c r="H382" s="79">
        <v>0.54685700000000004</v>
      </c>
      <c r="I382" s="79" t="s">
        <v>294</v>
      </c>
      <c r="J382" s="79" t="s">
        <v>61</v>
      </c>
      <c r="K382" s="83">
        <f>VLOOKUP(ws[[#This Row],[hwycov_id]],count[],4,FALSE)</f>
        <v>5332</v>
      </c>
      <c r="L382" s="115">
        <f>VLOOKUP(ws[[#This Row],[hwycov_id]],flow0[],5,FALSE)</f>
        <v>4391</v>
      </c>
      <c r="M382" s="295">
        <f>ws[[#This Row],[flow]]/ws[[#This Row],[count]]-1</f>
        <v>-0.17648162040510129</v>
      </c>
      <c r="N382" s="296">
        <f>POWER((ws[[#This Row],[flow]]-ws[[#This Row],[count]]),2)</f>
        <v>885481</v>
      </c>
      <c r="O382" s="80" t="e">
        <f>VLOOKUP(ws[[#This Row],[hwycov_id]],count!$A$630:$E$652,5,FALSE)</f>
        <v>#N/A</v>
      </c>
      <c r="P382" s="80">
        <v>396</v>
      </c>
    </row>
    <row r="383" spans="1:16" x14ac:dyDescent="0.25">
      <c r="A383" s="80">
        <v>12</v>
      </c>
      <c r="B383" s="6">
        <v>2</v>
      </c>
      <c r="C383" s="80">
        <v>9142</v>
      </c>
      <c r="D383" s="80">
        <v>1</v>
      </c>
      <c r="E383" s="80">
        <v>4</v>
      </c>
      <c r="F383" s="80" t="s">
        <v>333</v>
      </c>
      <c r="G383" s="79">
        <v>15.32</v>
      </c>
      <c r="H383" s="79">
        <v>0.42446899999999999</v>
      </c>
      <c r="I383" s="79" t="s">
        <v>61</v>
      </c>
      <c r="J383" s="79" t="s">
        <v>126</v>
      </c>
      <c r="K383" s="83">
        <f>VLOOKUP(ws[[#This Row],[hwycov_id]],count[],4,FALSE)</f>
        <v>4233</v>
      </c>
      <c r="L383" s="115">
        <f>VLOOKUP(ws[[#This Row],[hwycov_id]],flow0[],5,FALSE)</f>
        <v>3133</v>
      </c>
      <c r="M383" s="295">
        <f>ws[[#This Row],[flow]]/ws[[#This Row],[count]]-1</f>
        <v>-0.25986298133711316</v>
      </c>
      <c r="N383" s="296">
        <f>POWER((ws[[#This Row],[flow]]-ws[[#This Row],[count]]),2)</f>
        <v>1210000</v>
      </c>
      <c r="O383" s="80" t="e">
        <f>VLOOKUP(ws[[#This Row],[hwycov_id]],count!$A$630:$E$652,5,FALSE)</f>
        <v>#N/A</v>
      </c>
      <c r="P383" s="80">
        <v>397</v>
      </c>
    </row>
    <row r="384" spans="1:16" x14ac:dyDescent="0.25">
      <c r="A384" s="80">
        <v>12</v>
      </c>
      <c r="B384" s="6">
        <v>2</v>
      </c>
      <c r="C384" s="80">
        <v>9516</v>
      </c>
      <c r="D384" s="80">
        <v>1</v>
      </c>
      <c r="E384" s="80">
        <v>4</v>
      </c>
      <c r="F384" s="80" t="s">
        <v>333</v>
      </c>
      <c r="G384" s="79">
        <v>16.260000000000002</v>
      </c>
      <c r="H384" s="79">
        <v>0.30054199999999998</v>
      </c>
      <c r="I384" s="79" t="s">
        <v>126</v>
      </c>
      <c r="J384" s="79" t="s">
        <v>292</v>
      </c>
      <c r="K384" s="83">
        <f>VLOOKUP(ws[[#This Row],[hwycov_id]],count[],4,FALSE)</f>
        <v>2769</v>
      </c>
      <c r="L384" s="115">
        <f>VLOOKUP(ws[[#This Row],[hwycov_id]],flow0[],5,FALSE)</f>
        <v>2142</v>
      </c>
      <c r="M384" s="295">
        <f>ws[[#This Row],[flow]]/ws[[#This Row],[count]]-1</f>
        <v>-0.22643553629469126</v>
      </c>
      <c r="N384" s="296">
        <f>POWER((ws[[#This Row],[flow]]-ws[[#This Row],[count]]),2)</f>
        <v>393129</v>
      </c>
      <c r="O384" s="80" t="e">
        <f>VLOOKUP(ws[[#This Row],[hwycov_id]],count!$A$630:$E$652,5,FALSE)</f>
        <v>#N/A</v>
      </c>
      <c r="P384" s="80">
        <v>398</v>
      </c>
    </row>
    <row r="385" spans="1:16" x14ac:dyDescent="0.25">
      <c r="A385" s="80">
        <v>12</v>
      </c>
      <c r="B385" s="6">
        <v>2</v>
      </c>
      <c r="C385" s="80">
        <v>9510</v>
      </c>
      <c r="D385" s="80">
        <v>1</v>
      </c>
      <c r="E385" s="80">
        <v>4</v>
      </c>
      <c r="F385" s="80" t="s">
        <v>333</v>
      </c>
      <c r="G385" s="79">
        <v>17.079999999999998</v>
      </c>
      <c r="H385" s="79">
        <v>0.28976400000000002</v>
      </c>
      <c r="I385" s="79" t="s">
        <v>291</v>
      </c>
      <c r="J385" s="79" t="s">
        <v>290</v>
      </c>
      <c r="K385" s="83">
        <f>VLOOKUP(ws[[#This Row],[hwycov_id]],count[],4,FALSE)</f>
        <v>1552</v>
      </c>
      <c r="L385" s="115">
        <f>VLOOKUP(ws[[#This Row],[hwycov_id]],flow0[],5,FALSE)</f>
        <v>1212</v>
      </c>
      <c r="M385" s="295">
        <f>ws[[#This Row],[flow]]/ws[[#This Row],[count]]-1</f>
        <v>-0.21907216494845361</v>
      </c>
      <c r="N385" s="296">
        <f>POWER((ws[[#This Row],[flow]]-ws[[#This Row],[count]]),2)</f>
        <v>115600</v>
      </c>
      <c r="O385" s="80" t="e">
        <f>VLOOKUP(ws[[#This Row],[hwycov_id]],count!$A$630:$E$652,5,FALSE)</f>
        <v>#N/A</v>
      </c>
      <c r="P385" s="80">
        <v>399</v>
      </c>
    </row>
    <row r="386" spans="1:16" x14ac:dyDescent="0.25">
      <c r="A386" s="80">
        <v>12</v>
      </c>
      <c r="B386" s="6">
        <v>2</v>
      </c>
      <c r="C386" s="80">
        <v>9488</v>
      </c>
      <c r="D386" s="80">
        <v>1</v>
      </c>
      <c r="E386" s="80">
        <v>4</v>
      </c>
      <c r="F386" s="80" t="s">
        <v>333</v>
      </c>
      <c r="G386" s="79">
        <v>18</v>
      </c>
      <c r="H386" s="79">
        <v>0.30573299999999998</v>
      </c>
      <c r="I386" s="79" t="s">
        <v>290</v>
      </c>
      <c r="J386" s="79" t="s">
        <v>289</v>
      </c>
      <c r="K386" s="83">
        <f>VLOOKUP(ws[[#This Row],[hwycov_id]],count[],4,FALSE)</f>
        <v>757</v>
      </c>
      <c r="L386" s="115">
        <f>VLOOKUP(ws[[#This Row],[hwycov_id]],flow0[],5,FALSE)</f>
        <v>896</v>
      </c>
      <c r="M386" s="295">
        <f>ws[[#This Row],[flow]]/ws[[#This Row],[count]]-1</f>
        <v>0.18361955085865267</v>
      </c>
      <c r="N386" s="296">
        <f>POWER((ws[[#This Row],[flow]]-ws[[#This Row],[count]]),2)</f>
        <v>19321</v>
      </c>
      <c r="O386" s="80" t="e">
        <f>VLOOKUP(ws[[#This Row],[hwycov_id]],count!$A$630:$E$652,5,FALSE)</f>
        <v>#N/A</v>
      </c>
      <c r="P386" s="80">
        <v>400</v>
      </c>
    </row>
    <row r="387" spans="1:16" x14ac:dyDescent="0.25">
      <c r="A387" s="80">
        <v>13</v>
      </c>
      <c r="B387" s="6">
        <v>2</v>
      </c>
      <c r="C387" s="80">
        <v>9033</v>
      </c>
      <c r="D387" s="80">
        <v>1</v>
      </c>
      <c r="E387" s="80">
        <v>1</v>
      </c>
      <c r="F387" s="80" t="s">
        <v>334</v>
      </c>
      <c r="G387" s="79">
        <v>3.17</v>
      </c>
      <c r="H387" s="79">
        <v>0.56292900000000001</v>
      </c>
      <c r="I387" s="79" t="s">
        <v>335</v>
      </c>
      <c r="J387" s="79" t="s">
        <v>36</v>
      </c>
      <c r="K387" s="83">
        <f>VLOOKUP(ws[[#This Row],[hwycov_id]],count[],4,FALSE)</f>
        <v>8372</v>
      </c>
      <c r="L387" s="115">
        <f>VLOOKUP(ws[[#This Row],[hwycov_id]],flow0[],5,FALSE)</f>
        <v>8258</v>
      </c>
      <c r="M387" s="295">
        <f>ws[[#This Row],[flow]]/ws[[#This Row],[count]]-1</f>
        <v>-1.361681796464409E-2</v>
      </c>
      <c r="N387" s="296">
        <f>POWER((ws[[#This Row],[flow]]-ws[[#This Row],[count]]),2)</f>
        <v>12996</v>
      </c>
      <c r="O387" s="80" t="e">
        <f>VLOOKUP(ws[[#This Row],[hwycov_id]],count!$A$630:$E$652,5,FALSE)</f>
        <v>#N/A</v>
      </c>
      <c r="P387" s="80">
        <v>401</v>
      </c>
    </row>
    <row r="388" spans="1:16" x14ac:dyDescent="0.25">
      <c r="A388" s="80">
        <v>13</v>
      </c>
      <c r="B388" s="6">
        <v>2</v>
      </c>
      <c r="C388" s="80">
        <v>13035</v>
      </c>
      <c r="D388" s="80">
        <v>1</v>
      </c>
      <c r="E388" s="80">
        <v>1</v>
      </c>
      <c r="F388" s="80" t="s">
        <v>334</v>
      </c>
      <c r="G388" s="79">
        <v>4.18</v>
      </c>
      <c r="H388" s="79">
        <v>0.48090899999999998</v>
      </c>
      <c r="I388" s="79" t="s">
        <v>37</v>
      </c>
      <c r="J388" s="79" t="s">
        <v>336</v>
      </c>
      <c r="K388" s="83">
        <f>VLOOKUP(ws[[#This Row],[hwycov_id]],count[],4,FALSE)</f>
        <v>13580</v>
      </c>
      <c r="L388" s="115">
        <f>VLOOKUP(ws[[#This Row],[hwycov_id]],flow0[],5,FALSE)</f>
        <v>17355</v>
      </c>
      <c r="M388" s="295">
        <f>ws[[#This Row],[flow]]/ws[[#This Row],[count]]-1</f>
        <v>0.27798232695139902</v>
      </c>
      <c r="N388" s="296">
        <f>POWER((ws[[#This Row],[flow]]-ws[[#This Row],[count]]),2)</f>
        <v>14250625</v>
      </c>
      <c r="O388" s="80" t="e">
        <f>VLOOKUP(ws[[#This Row],[hwycov_id]],count!$A$630:$E$652,5,FALSE)</f>
        <v>#N/A</v>
      </c>
      <c r="P388" s="80">
        <v>402</v>
      </c>
    </row>
    <row r="389" spans="1:16" x14ac:dyDescent="0.25">
      <c r="A389" s="80">
        <v>14</v>
      </c>
      <c r="B389" s="6">
        <v>2</v>
      </c>
      <c r="C389" s="80">
        <v>7724</v>
      </c>
      <c r="D389" s="80">
        <v>1</v>
      </c>
      <c r="E389" s="80">
        <v>1</v>
      </c>
      <c r="F389" s="80" t="s">
        <v>337</v>
      </c>
      <c r="G389" s="79">
        <v>1.93</v>
      </c>
      <c r="H389" s="79">
        <v>7.5886999999999996E-2</v>
      </c>
      <c r="I389" s="79" t="s">
        <v>49</v>
      </c>
      <c r="J389" s="79" t="s">
        <v>338</v>
      </c>
      <c r="K389" s="83">
        <f>VLOOKUP(ws[[#This Row],[hwycov_id]],count[],4,FALSE)</f>
        <v>11465</v>
      </c>
      <c r="L389" s="115">
        <f>VLOOKUP(ws[[#This Row],[hwycov_id]],flow0[],5,FALSE)</f>
        <v>10598</v>
      </c>
      <c r="M389" s="295">
        <f>ws[[#This Row],[flow]]/ws[[#This Row],[count]]-1</f>
        <v>-7.5621456607064985E-2</v>
      </c>
      <c r="N389" s="296">
        <f>POWER((ws[[#This Row],[flow]]-ws[[#This Row],[count]]),2)</f>
        <v>751689</v>
      </c>
      <c r="O389" s="80" t="e">
        <f>VLOOKUP(ws[[#This Row],[hwycov_id]],count!$A$630:$E$652,5,FALSE)</f>
        <v>#N/A</v>
      </c>
      <c r="P389" s="80">
        <v>403</v>
      </c>
    </row>
    <row r="390" spans="1:16" x14ac:dyDescent="0.25">
      <c r="A390" s="80">
        <v>30</v>
      </c>
      <c r="B390" s="6">
        <v>2</v>
      </c>
      <c r="C390" s="80">
        <v>25749</v>
      </c>
      <c r="D390" s="80">
        <v>1</v>
      </c>
      <c r="E390" s="80">
        <v>2</v>
      </c>
      <c r="F390" s="80" t="s">
        <v>44</v>
      </c>
      <c r="G390" s="79">
        <v>3.71</v>
      </c>
      <c r="H390" s="79">
        <v>2.1707429999999999</v>
      </c>
      <c r="I390" s="79" t="s">
        <v>296</v>
      </c>
      <c r="J390" s="79" t="s">
        <v>29</v>
      </c>
      <c r="K390" s="83">
        <f>VLOOKUP(ws[[#This Row],[hwycov_id]],count[],4,FALSE)</f>
        <v>3117</v>
      </c>
      <c r="L390" s="115">
        <f>VLOOKUP(ws[[#This Row],[hwycov_id]],flow0[],5,FALSE)</f>
        <v>2504</v>
      </c>
      <c r="M390" s="295">
        <f>ws[[#This Row],[flow]]/ws[[#This Row],[count]]-1</f>
        <v>-0.1966634584536413</v>
      </c>
      <c r="N390" s="296">
        <f>POWER((ws[[#This Row],[flow]]-ws[[#This Row],[count]]),2)</f>
        <v>375769</v>
      </c>
      <c r="O390" s="80" t="e">
        <f>VLOOKUP(ws[[#This Row],[hwycov_id]],count!$A$630:$E$652,5,FALSE)</f>
        <v>#N/A</v>
      </c>
      <c r="P390" s="80">
        <v>404</v>
      </c>
    </row>
    <row r="391" spans="1:16" x14ac:dyDescent="0.25">
      <c r="A391" s="80">
        <v>30</v>
      </c>
      <c r="B391" s="6">
        <v>2</v>
      </c>
      <c r="C391" s="80">
        <v>29442</v>
      </c>
      <c r="D391" s="80">
        <v>1</v>
      </c>
      <c r="E391" s="80">
        <v>2</v>
      </c>
      <c r="F391" s="80" t="s">
        <v>44</v>
      </c>
      <c r="G391" s="79">
        <v>3.93</v>
      </c>
      <c r="H391" s="79">
        <v>1.361645</v>
      </c>
      <c r="I391" s="79" t="s">
        <v>3</v>
      </c>
      <c r="J391" s="79" t="s">
        <v>3</v>
      </c>
      <c r="K391" s="83">
        <f>VLOOKUP(ws[[#This Row],[hwycov_id]],count[],4,FALSE)</f>
        <v>4028</v>
      </c>
      <c r="L391" s="115">
        <f>VLOOKUP(ws[[#This Row],[hwycov_id]],flow0[],5,FALSE)</f>
        <v>2358</v>
      </c>
      <c r="M391" s="295">
        <f>ws[[#This Row],[flow]]/ws[[#This Row],[count]]-1</f>
        <v>-0.41459781529294937</v>
      </c>
      <c r="N391" s="296">
        <f>POWER((ws[[#This Row],[flow]]-ws[[#This Row],[count]]),2)</f>
        <v>2788900</v>
      </c>
      <c r="O391" s="80" t="e">
        <f>VLOOKUP(ws[[#This Row],[hwycov_id]],count!$A$630:$E$652,5,FALSE)</f>
        <v>#N/A</v>
      </c>
      <c r="P391" s="80">
        <v>405</v>
      </c>
    </row>
    <row r="392" spans="1:16" x14ac:dyDescent="0.25">
      <c r="A392" s="80">
        <v>30</v>
      </c>
      <c r="B392" s="6">
        <v>2</v>
      </c>
      <c r="C392" s="80">
        <v>513</v>
      </c>
      <c r="D392" s="80">
        <v>1</v>
      </c>
      <c r="E392" s="80">
        <v>2</v>
      </c>
      <c r="F392" s="80" t="s">
        <v>44</v>
      </c>
      <c r="G392" s="79">
        <v>6.74</v>
      </c>
      <c r="H392" s="79">
        <v>0.221826</v>
      </c>
      <c r="I392" s="79" t="s">
        <v>13</v>
      </c>
      <c r="J392" s="79" t="s">
        <v>13</v>
      </c>
      <c r="K392" s="83">
        <f>VLOOKUP(ws[[#This Row],[hwycov_id]],count[],4,FALSE)</f>
        <v>3426</v>
      </c>
      <c r="L392" s="115">
        <f>VLOOKUP(ws[[#This Row],[hwycov_id]],flow0[],5,FALSE)</f>
        <v>2019</v>
      </c>
      <c r="M392" s="295">
        <f>ws[[#This Row],[flow]]/ws[[#This Row],[count]]-1</f>
        <v>-0.41068301225919435</v>
      </c>
      <c r="N392" s="296">
        <f>POWER((ws[[#This Row],[flow]]-ws[[#This Row],[count]]),2)</f>
        <v>1979649</v>
      </c>
      <c r="O392" s="80" t="e">
        <f>VLOOKUP(ws[[#This Row],[hwycov_id]],count!$A$630:$E$652,5,FALSE)</f>
        <v>#N/A</v>
      </c>
      <c r="P392" s="80">
        <v>406</v>
      </c>
    </row>
    <row r="393" spans="1:16" x14ac:dyDescent="0.25">
      <c r="A393" s="80">
        <v>30</v>
      </c>
      <c r="B393" s="6">
        <v>2</v>
      </c>
      <c r="C393" s="80">
        <v>23128</v>
      </c>
      <c r="D393" s="80">
        <v>1</v>
      </c>
      <c r="E393" s="80">
        <v>2</v>
      </c>
      <c r="F393" s="80" t="s">
        <v>44</v>
      </c>
      <c r="G393" s="79">
        <v>7.69</v>
      </c>
      <c r="H393" s="79">
        <v>2.8091659999999998</v>
      </c>
      <c r="I393" s="79" t="s">
        <v>13</v>
      </c>
      <c r="J393" s="79" t="s">
        <v>13</v>
      </c>
      <c r="K393" s="83">
        <f>VLOOKUP(ws[[#This Row],[hwycov_id]],count[],4,FALSE)</f>
        <v>4267</v>
      </c>
      <c r="L393" s="115">
        <f>VLOOKUP(ws[[#This Row],[hwycov_id]],flow0[],5,FALSE)</f>
        <v>3721</v>
      </c>
      <c r="M393" s="295">
        <f>ws[[#This Row],[flow]]/ws[[#This Row],[count]]-1</f>
        <v>-0.12795875322240446</v>
      </c>
      <c r="N393" s="296">
        <f>POWER((ws[[#This Row],[flow]]-ws[[#This Row],[count]]),2)</f>
        <v>298116</v>
      </c>
      <c r="O393" s="80" t="e">
        <f>VLOOKUP(ws[[#This Row],[hwycov_id]],count!$A$630:$E$652,5,FALSE)</f>
        <v>#N/A</v>
      </c>
      <c r="P393" s="80">
        <v>407</v>
      </c>
    </row>
    <row r="394" spans="1:16" x14ac:dyDescent="0.25">
      <c r="A394" s="80">
        <v>30</v>
      </c>
      <c r="B394" s="6">
        <v>2</v>
      </c>
      <c r="C394" s="80">
        <v>517</v>
      </c>
      <c r="D394" s="80">
        <v>1</v>
      </c>
      <c r="E394" s="80">
        <v>2</v>
      </c>
      <c r="F394" s="80" t="s">
        <v>44</v>
      </c>
      <c r="G394" s="79">
        <v>9.33</v>
      </c>
      <c r="H394" s="79">
        <v>0.32064599999999999</v>
      </c>
      <c r="I394" s="79" t="s">
        <v>13</v>
      </c>
      <c r="J394" s="79" t="s">
        <v>7</v>
      </c>
      <c r="K394" s="83">
        <f>VLOOKUP(ws[[#This Row],[hwycov_id]],count[],4,FALSE)</f>
        <v>3786</v>
      </c>
      <c r="L394" s="115">
        <f>VLOOKUP(ws[[#This Row],[hwycov_id]],flow0[],5,FALSE)</f>
        <v>2687</v>
      </c>
      <c r="M394" s="295">
        <f>ws[[#This Row],[flow]]/ws[[#This Row],[count]]-1</f>
        <v>-0.29027997886951928</v>
      </c>
      <c r="N394" s="296">
        <f>POWER((ws[[#This Row],[flow]]-ws[[#This Row],[count]]),2)</f>
        <v>1207801</v>
      </c>
      <c r="O394" s="80" t="e">
        <f>VLOOKUP(ws[[#This Row],[hwycov_id]],count!$A$630:$E$652,5,FALSE)</f>
        <v>#N/A</v>
      </c>
      <c r="P394" s="80">
        <v>408</v>
      </c>
    </row>
    <row r="395" spans="1:16" x14ac:dyDescent="0.25">
      <c r="A395" s="80">
        <v>30</v>
      </c>
      <c r="B395" s="6">
        <v>2</v>
      </c>
      <c r="C395" s="80">
        <v>520</v>
      </c>
      <c r="D395" s="80">
        <v>1</v>
      </c>
      <c r="E395" s="80">
        <v>2</v>
      </c>
      <c r="F395" s="80" t="s">
        <v>44</v>
      </c>
      <c r="G395" s="79">
        <v>11.67</v>
      </c>
      <c r="H395" s="79">
        <v>2.1994419999999999</v>
      </c>
      <c r="I395" s="79" t="s">
        <v>6</v>
      </c>
      <c r="J395" s="79" t="s">
        <v>2</v>
      </c>
      <c r="K395" s="83">
        <f>VLOOKUP(ws[[#This Row],[hwycov_id]],count[],4,FALSE)</f>
        <v>4503</v>
      </c>
      <c r="L395" s="115">
        <f>VLOOKUP(ws[[#This Row],[hwycov_id]],flow0[],5,FALSE)</f>
        <v>2869</v>
      </c>
      <c r="M395" s="295">
        <f>ws[[#This Row],[flow]]/ws[[#This Row],[count]]-1</f>
        <v>-0.3628691983122363</v>
      </c>
      <c r="N395" s="296">
        <f>POWER((ws[[#This Row],[flow]]-ws[[#This Row],[count]]),2)</f>
        <v>2669956</v>
      </c>
      <c r="O395" s="80" t="e">
        <f>VLOOKUP(ws[[#This Row],[hwycov_id]],count!$A$630:$E$652,5,FALSE)</f>
        <v>#N/A</v>
      </c>
      <c r="P395" s="80">
        <v>409</v>
      </c>
    </row>
    <row r="396" spans="1:16" x14ac:dyDescent="0.25">
      <c r="A396" s="80">
        <v>30</v>
      </c>
      <c r="B396" s="6">
        <v>2</v>
      </c>
      <c r="C396" s="80">
        <v>525</v>
      </c>
      <c r="D396" s="80">
        <v>1</v>
      </c>
      <c r="E396" s="80">
        <v>2</v>
      </c>
      <c r="F396" s="80" t="s">
        <v>44</v>
      </c>
      <c r="G396" s="79">
        <v>14.91</v>
      </c>
      <c r="H396" s="79">
        <v>1.6515390000000001</v>
      </c>
      <c r="I396" s="79" t="s">
        <v>167</v>
      </c>
      <c r="J396" s="79" t="s">
        <v>45</v>
      </c>
      <c r="K396" s="83">
        <f>VLOOKUP(ws[[#This Row],[hwycov_id]],count[],4,FALSE)</f>
        <v>8794</v>
      </c>
      <c r="L396" s="115">
        <f>VLOOKUP(ws[[#This Row],[hwycov_id]],flow0[],5,FALSE)</f>
        <v>4674</v>
      </c>
      <c r="M396" s="295">
        <f>ws[[#This Row],[flow]]/ws[[#This Row],[count]]-1</f>
        <v>-0.46850125085285421</v>
      </c>
      <c r="N396" s="296">
        <f>POWER((ws[[#This Row],[flow]]-ws[[#This Row],[count]]),2)</f>
        <v>16974400</v>
      </c>
      <c r="O396" s="80" t="e">
        <f>VLOOKUP(ws[[#This Row],[hwycov_id]],count!$A$630:$E$652,5,FALSE)</f>
        <v>#N/A</v>
      </c>
      <c r="P396" s="80">
        <v>410</v>
      </c>
    </row>
    <row r="397" spans="1:16" x14ac:dyDescent="0.25">
      <c r="A397" s="80">
        <v>30</v>
      </c>
      <c r="B397" s="6">
        <v>2</v>
      </c>
      <c r="C397" s="80">
        <v>553</v>
      </c>
      <c r="D397" s="80">
        <v>1</v>
      </c>
      <c r="E397" s="80">
        <v>2</v>
      </c>
      <c r="F397" s="80" t="s">
        <v>44</v>
      </c>
      <c r="G397" s="79">
        <v>15.32</v>
      </c>
      <c r="H397" s="79">
        <v>1.0526690000000001</v>
      </c>
      <c r="I397" s="79" t="s">
        <v>167</v>
      </c>
      <c r="J397" s="79" t="s">
        <v>45</v>
      </c>
      <c r="K397" s="83">
        <f>VLOOKUP(ws[[#This Row],[hwycov_id]],count[],4,FALSE)</f>
        <v>6103</v>
      </c>
      <c r="L397" s="115">
        <f>VLOOKUP(ws[[#This Row],[hwycov_id]],flow0[],5,FALSE)</f>
        <v>4012</v>
      </c>
      <c r="M397" s="295">
        <f>ws[[#This Row],[flow]]/ws[[#This Row],[count]]-1</f>
        <v>-0.34261838440111425</v>
      </c>
      <c r="N397" s="296">
        <f>POWER((ws[[#This Row],[flow]]-ws[[#This Row],[count]]),2)</f>
        <v>4372281</v>
      </c>
      <c r="O397" s="80" t="e">
        <f>VLOOKUP(ws[[#This Row],[hwycov_id]],count!$A$630:$E$652,5,FALSE)</f>
        <v>#N/A</v>
      </c>
      <c r="P397" s="80">
        <v>411</v>
      </c>
    </row>
    <row r="398" spans="1:16" x14ac:dyDescent="0.25">
      <c r="A398" s="80">
        <v>30</v>
      </c>
      <c r="B398" s="6">
        <v>2</v>
      </c>
      <c r="C398" s="80">
        <v>23142</v>
      </c>
      <c r="D398" s="80">
        <v>1</v>
      </c>
      <c r="E398" s="80">
        <v>2</v>
      </c>
      <c r="F398" s="80" t="s">
        <v>44</v>
      </c>
      <c r="G398" s="79">
        <v>19.05</v>
      </c>
      <c r="H398" s="79">
        <v>1.9113180000000001</v>
      </c>
      <c r="I398" s="79" t="s">
        <v>33</v>
      </c>
      <c r="J398" s="79" t="s">
        <v>7</v>
      </c>
      <c r="K398" s="83">
        <f>VLOOKUP(ws[[#This Row],[hwycov_id]],count[],4,FALSE)</f>
        <v>6298</v>
      </c>
      <c r="L398" s="115">
        <f>VLOOKUP(ws[[#This Row],[hwycov_id]],flow0[],5,FALSE)</f>
        <v>5212</v>
      </c>
      <c r="M398" s="295">
        <f>ws[[#This Row],[flow]]/ws[[#This Row],[count]]-1</f>
        <v>-0.17243569387107016</v>
      </c>
      <c r="N398" s="296">
        <f>POWER((ws[[#This Row],[flow]]-ws[[#This Row],[count]]),2)</f>
        <v>1179396</v>
      </c>
      <c r="O398" s="80" t="e">
        <f>VLOOKUP(ws[[#This Row],[hwycov_id]],count!$A$630:$E$652,5,FALSE)</f>
        <v>#N/A</v>
      </c>
      <c r="P398" s="80">
        <v>412</v>
      </c>
    </row>
    <row r="399" spans="1:16" x14ac:dyDescent="0.25">
      <c r="A399" s="80">
        <v>30</v>
      </c>
      <c r="B399" s="6">
        <v>2</v>
      </c>
      <c r="C399" s="80">
        <v>29415</v>
      </c>
      <c r="D399" s="80">
        <v>1</v>
      </c>
      <c r="E399" s="80">
        <v>2</v>
      </c>
      <c r="F399" s="80" t="s">
        <v>44</v>
      </c>
      <c r="G399" s="79">
        <v>19.57</v>
      </c>
      <c r="H399" s="79">
        <v>1.544343</v>
      </c>
      <c r="I399" s="79" t="s">
        <v>46</v>
      </c>
      <c r="J399" s="79" t="s">
        <v>12</v>
      </c>
      <c r="K399" s="83">
        <f>VLOOKUP(ws[[#This Row],[hwycov_id]],count[],4,FALSE)</f>
        <v>12654</v>
      </c>
      <c r="L399" s="115">
        <f>VLOOKUP(ws[[#This Row],[hwycov_id]],flow0[],5,FALSE)</f>
        <v>3593</v>
      </c>
      <c r="M399" s="295">
        <f>ws[[#This Row],[flow]]/ws[[#This Row],[count]]-1</f>
        <v>-0.71605816342658446</v>
      </c>
      <c r="N399" s="296">
        <f>POWER((ws[[#This Row],[flow]]-ws[[#This Row],[count]]),2)</f>
        <v>82101721</v>
      </c>
      <c r="O399" s="80" t="e">
        <f>VLOOKUP(ws[[#This Row],[hwycov_id]],count!$A$630:$E$652,5,FALSE)</f>
        <v>#N/A</v>
      </c>
      <c r="P399" s="80">
        <v>413</v>
      </c>
    </row>
    <row r="400" spans="1:16" x14ac:dyDescent="0.25">
      <c r="A400" s="80">
        <v>32</v>
      </c>
      <c r="B400" s="6">
        <v>2</v>
      </c>
      <c r="C400" s="80">
        <v>26117</v>
      </c>
      <c r="D400" s="80">
        <v>1</v>
      </c>
      <c r="E400" s="80">
        <v>2</v>
      </c>
      <c r="F400" s="80" t="s">
        <v>398</v>
      </c>
      <c r="G400" s="79">
        <v>5.54</v>
      </c>
      <c r="H400" s="79">
        <v>0.68037899999999996</v>
      </c>
      <c r="I400" s="79" t="s">
        <v>90</v>
      </c>
      <c r="J400" s="79" t="s">
        <v>297</v>
      </c>
      <c r="K400" s="83">
        <f>VLOOKUP(ws[[#This Row],[hwycov_id]],count[],4,FALSE)</f>
        <v>1662</v>
      </c>
      <c r="L400" s="115">
        <f>VLOOKUP(ws[[#This Row],[hwycov_id]],flow0[],5,FALSE)</f>
        <v>3163</v>
      </c>
      <c r="M400" s="295">
        <f>ws[[#This Row],[flow]]/ws[[#This Row],[count]]-1</f>
        <v>0.90312876052948265</v>
      </c>
      <c r="N400" s="296">
        <f>POWER((ws[[#This Row],[flow]]-ws[[#This Row],[count]]),2)</f>
        <v>2253001</v>
      </c>
      <c r="O400" s="80" t="e">
        <f>VLOOKUP(ws[[#This Row],[hwycov_id]],count!$A$630:$E$652,5,FALSE)</f>
        <v>#N/A</v>
      </c>
      <c r="P400" s="80">
        <v>416</v>
      </c>
    </row>
    <row r="401" spans="1:16" x14ac:dyDescent="0.25">
      <c r="A401" s="80">
        <v>15</v>
      </c>
      <c r="B401" s="6">
        <v>3</v>
      </c>
      <c r="C401" s="80">
        <v>27540</v>
      </c>
      <c r="D401" s="80">
        <v>1</v>
      </c>
      <c r="E401" s="80">
        <v>1</v>
      </c>
      <c r="F401" s="80" t="s">
        <v>339</v>
      </c>
      <c r="G401" s="79">
        <v>11.59</v>
      </c>
      <c r="H401" s="79">
        <v>7.598293</v>
      </c>
      <c r="I401" s="79" t="s">
        <v>340</v>
      </c>
      <c r="J401" s="79" t="s">
        <v>341</v>
      </c>
      <c r="K401" s="83">
        <f>VLOOKUP(ws[[#This Row],[hwycov_id]],count[],4,FALSE)</f>
        <v>1614</v>
      </c>
      <c r="L401" s="115">
        <f>VLOOKUP(ws[[#This Row],[hwycov_id]],flow0[],5,FALSE)</f>
        <v>688</v>
      </c>
      <c r="M401" s="295">
        <f>ws[[#This Row],[flow]]/ws[[#This Row],[count]]-1</f>
        <v>-0.57372986369268897</v>
      </c>
      <c r="N401" s="296">
        <f>POWER((ws[[#This Row],[flow]]-ws[[#This Row],[count]]),2)</f>
        <v>857476</v>
      </c>
      <c r="O401" s="80" t="e">
        <f>VLOOKUP(ws[[#This Row],[hwycov_id]],count!$A$630:$E$652,5,FALSE)</f>
        <v>#N/A</v>
      </c>
      <c r="P401" s="80">
        <v>417</v>
      </c>
    </row>
    <row r="402" spans="1:16" x14ac:dyDescent="0.25">
      <c r="A402" s="80">
        <v>15</v>
      </c>
      <c r="B402" s="6">
        <v>3</v>
      </c>
      <c r="C402" s="80">
        <v>28270</v>
      </c>
      <c r="D402" s="80">
        <v>1</v>
      </c>
      <c r="E402" s="80">
        <v>1</v>
      </c>
      <c r="F402" s="80" t="s">
        <v>339</v>
      </c>
      <c r="G402" s="79">
        <v>26.32</v>
      </c>
      <c r="H402" s="79">
        <v>2.591011</v>
      </c>
      <c r="I402" s="79" t="s">
        <v>342</v>
      </c>
      <c r="J402" s="79" t="s">
        <v>343</v>
      </c>
      <c r="K402" s="83">
        <f>VLOOKUP(ws[[#This Row],[hwycov_id]],count[],4,FALSE)</f>
        <v>1811</v>
      </c>
      <c r="L402" s="115">
        <f>VLOOKUP(ws[[#This Row],[hwycov_id]],flow0[],5,FALSE)</f>
        <v>933</v>
      </c>
      <c r="M402" s="295">
        <f>ws[[#This Row],[flow]]/ws[[#This Row],[count]]-1</f>
        <v>-0.48481501932633908</v>
      </c>
      <c r="N402" s="296">
        <f>POWER((ws[[#This Row],[flow]]-ws[[#This Row],[count]]),2)</f>
        <v>770884</v>
      </c>
      <c r="O402" s="80" t="e">
        <f>VLOOKUP(ws[[#This Row],[hwycov_id]],count!$A$630:$E$652,5,FALSE)</f>
        <v>#N/A</v>
      </c>
      <c r="P402" s="80">
        <v>418</v>
      </c>
    </row>
    <row r="403" spans="1:16" x14ac:dyDescent="0.25">
      <c r="A403" s="80">
        <v>15</v>
      </c>
      <c r="B403" s="6">
        <v>3</v>
      </c>
      <c r="C403" s="80">
        <v>28254</v>
      </c>
      <c r="D403" s="80">
        <v>1</v>
      </c>
      <c r="E403" s="80">
        <v>1</v>
      </c>
      <c r="F403" s="80" t="s">
        <v>339</v>
      </c>
      <c r="G403" s="79">
        <v>37.26</v>
      </c>
      <c r="H403" s="79">
        <v>5.0062850000000001</v>
      </c>
      <c r="I403" s="79" t="s">
        <v>344</v>
      </c>
      <c r="J403" s="79" t="s">
        <v>345</v>
      </c>
      <c r="K403" s="83">
        <f>VLOOKUP(ws[[#This Row],[hwycov_id]],count[],4,FALSE)</f>
        <v>2191</v>
      </c>
      <c r="L403" s="115">
        <f>VLOOKUP(ws[[#This Row],[hwycov_id]],flow0[],5,FALSE)</f>
        <v>1320</v>
      </c>
      <c r="M403" s="295">
        <f>ws[[#This Row],[flow]]/ws[[#This Row],[count]]-1</f>
        <v>-0.39753537197626654</v>
      </c>
      <c r="N403" s="296">
        <f>POWER((ws[[#This Row],[flow]]-ws[[#This Row],[count]]),2)</f>
        <v>758641</v>
      </c>
      <c r="O403" s="80" t="e">
        <f>VLOOKUP(ws[[#This Row],[hwycov_id]],count!$A$630:$E$652,5,FALSE)</f>
        <v>#N/A</v>
      </c>
      <c r="P403" s="80">
        <v>419</v>
      </c>
    </row>
    <row r="404" spans="1:16" x14ac:dyDescent="0.25">
      <c r="A404" s="80">
        <v>15</v>
      </c>
      <c r="B404" s="6">
        <v>3</v>
      </c>
      <c r="C404" s="80">
        <v>28215</v>
      </c>
      <c r="D404" s="80">
        <v>1</v>
      </c>
      <c r="E404" s="80">
        <v>1</v>
      </c>
      <c r="F404" s="80" t="s">
        <v>339</v>
      </c>
      <c r="G404" s="79">
        <v>53.33</v>
      </c>
      <c r="H404" s="79">
        <v>3.3773019999999998</v>
      </c>
      <c r="I404" s="79" t="s">
        <v>346</v>
      </c>
      <c r="J404" s="79" t="s">
        <v>174</v>
      </c>
      <c r="K404" s="83">
        <f>VLOOKUP(ws[[#This Row],[hwycov_id]],count[],4,FALSE)</f>
        <v>5692</v>
      </c>
      <c r="L404" s="115">
        <f>VLOOKUP(ws[[#This Row],[hwycov_id]],flow0[],5,FALSE)</f>
        <v>5323</v>
      </c>
      <c r="M404" s="295">
        <f>ws[[#This Row],[flow]]/ws[[#This Row],[count]]-1</f>
        <v>-6.4827828531272003E-2</v>
      </c>
      <c r="N404" s="296">
        <f>POWER((ws[[#This Row],[flow]]-ws[[#This Row],[count]]),2)</f>
        <v>136161</v>
      </c>
      <c r="O404" s="80" t="e">
        <f>VLOOKUP(ws[[#This Row],[hwycov_id]],count!$A$630:$E$652,5,FALSE)</f>
        <v>#N/A</v>
      </c>
      <c r="P404" s="80">
        <v>420</v>
      </c>
    </row>
    <row r="405" spans="1:16" x14ac:dyDescent="0.25">
      <c r="A405" s="80">
        <v>15</v>
      </c>
      <c r="B405" s="6">
        <v>3</v>
      </c>
      <c r="C405" s="80">
        <v>28211</v>
      </c>
      <c r="D405" s="80">
        <v>1</v>
      </c>
      <c r="E405" s="80">
        <v>1</v>
      </c>
      <c r="F405" s="80" t="s">
        <v>339</v>
      </c>
      <c r="G405" s="79">
        <v>53.56</v>
      </c>
      <c r="H405" s="79">
        <v>0.22975499999999999</v>
      </c>
      <c r="I405" s="79" t="s">
        <v>174</v>
      </c>
      <c r="J405" s="79" t="s">
        <v>174</v>
      </c>
      <c r="K405" s="83">
        <f>VLOOKUP(ws[[#This Row],[hwycov_id]],count[],4,FALSE)</f>
        <v>4977</v>
      </c>
      <c r="L405" s="115">
        <f>VLOOKUP(ws[[#This Row],[hwycov_id]],flow0[],5,FALSE)</f>
        <v>4396</v>
      </c>
      <c r="M405" s="295">
        <f>ws[[#This Row],[flow]]/ws[[#This Row],[count]]-1</f>
        <v>-0.11673699015471173</v>
      </c>
      <c r="N405" s="296">
        <f>POWER((ws[[#This Row],[flow]]-ws[[#This Row],[count]]),2)</f>
        <v>337561</v>
      </c>
      <c r="O405" s="80" t="e">
        <f>VLOOKUP(ws[[#This Row],[hwycov_id]],count!$A$630:$E$652,5,FALSE)</f>
        <v>#N/A</v>
      </c>
      <c r="P405" s="80">
        <v>421</v>
      </c>
    </row>
    <row r="406" spans="1:16" x14ac:dyDescent="0.25">
      <c r="A406" s="80">
        <v>15</v>
      </c>
      <c r="B406" s="6">
        <v>3</v>
      </c>
      <c r="C406" s="80">
        <v>28638</v>
      </c>
      <c r="D406" s="80">
        <v>1</v>
      </c>
      <c r="E406" s="80">
        <v>1</v>
      </c>
      <c r="F406" s="80" t="s">
        <v>339</v>
      </c>
      <c r="G406" s="79">
        <v>55.57</v>
      </c>
      <c r="H406" s="79">
        <v>0.40668500000000002</v>
      </c>
      <c r="I406" s="79" t="s">
        <v>175</v>
      </c>
      <c r="J406" s="79" t="s">
        <v>175</v>
      </c>
      <c r="K406" s="83">
        <f>VLOOKUP(ws[[#This Row],[hwycov_id]],count[],4,FALSE)</f>
        <v>6666</v>
      </c>
      <c r="L406" s="115">
        <f>VLOOKUP(ws[[#This Row],[hwycov_id]],flow0[],5,FALSE)</f>
        <v>5684</v>
      </c>
      <c r="M406" s="295">
        <f>ws[[#This Row],[flow]]/ws[[#This Row],[count]]-1</f>
        <v>-0.14731473147314733</v>
      </c>
      <c r="N406" s="296">
        <f>POWER((ws[[#This Row],[flow]]-ws[[#This Row],[count]]),2)</f>
        <v>964324</v>
      </c>
      <c r="O406" s="80" t="e">
        <f>VLOOKUP(ws[[#This Row],[hwycov_id]],count!$A$630:$E$652,5,FALSE)</f>
        <v>#N/A</v>
      </c>
      <c r="P406" s="80">
        <v>422</v>
      </c>
    </row>
    <row r="407" spans="1:16" x14ac:dyDescent="0.25">
      <c r="A407" s="80">
        <v>15</v>
      </c>
      <c r="B407" s="6">
        <v>3</v>
      </c>
      <c r="C407" s="80">
        <v>28637</v>
      </c>
      <c r="D407" s="80">
        <v>1</v>
      </c>
      <c r="E407" s="80">
        <v>1</v>
      </c>
      <c r="F407" s="80" t="s">
        <v>339</v>
      </c>
      <c r="G407" s="79">
        <v>56.43</v>
      </c>
      <c r="H407" s="79">
        <v>0.85814000000000001</v>
      </c>
      <c r="I407" s="79" t="s">
        <v>175</v>
      </c>
      <c r="J407" s="79" t="s">
        <v>176</v>
      </c>
      <c r="K407" s="83">
        <f>VLOOKUP(ws[[#This Row],[hwycov_id]],count[],4,FALSE)</f>
        <v>8666</v>
      </c>
      <c r="L407" s="115">
        <f>VLOOKUP(ws[[#This Row],[hwycov_id]],flow0[],5,FALSE)</f>
        <v>7496</v>
      </c>
      <c r="M407" s="295">
        <f>ws[[#This Row],[flow]]/ws[[#This Row],[count]]-1</f>
        <v>-0.13501038541426269</v>
      </c>
      <c r="N407" s="296">
        <f>POWER((ws[[#This Row],[flow]]-ws[[#This Row],[count]]),2)</f>
        <v>1368900</v>
      </c>
      <c r="O407" s="80" t="e">
        <f>VLOOKUP(ws[[#This Row],[hwycov_id]],count!$A$630:$E$652,5,FALSE)</f>
        <v>#N/A</v>
      </c>
      <c r="P407" s="80">
        <v>423</v>
      </c>
    </row>
    <row r="408" spans="1:16" x14ac:dyDescent="0.25">
      <c r="A408" s="80">
        <v>15</v>
      </c>
      <c r="B408" s="6">
        <v>3</v>
      </c>
      <c r="C408" s="80">
        <v>28200</v>
      </c>
      <c r="D408" s="80">
        <v>1</v>
      </c>
      <c r="E408" s="80">
        <v>1</v>
      </c>
      <c r="F408" s="80" t="s">
        <v>339</v>
      </c>
      <c r="G408" s="79">
        <v>56.92</v>
      </c>
      <c r="H408" s="79">
        <v>0.49111300000000002</v>
      </c>
      <c r="I408" s="79" t="s">
        <v>176</v>
      </c>
      <c r="J408" s="79" t="s">
        <v>176</v>
      </c>
      <c r="K408" s="83">
        <f>VLOOKUP(ws[[#This Row],[hwycov_id]],count[],4,FALSE)</f>
        <v>7643</v>
      </c>
      <c r="L408" s="115">
        <f>VLOOKUP(ws[[#This Row],[hwycov_id]],flow0[],5,FALSE)</f>
        <v>7211</v>
      </c>
      <c r="M408" s="295">
        <f>ws[[#This Row],[flow]]/ws[[#This Row],[count]]-1</f>
        <v>-5.6522307994243071E-2</v>
      </c>
      <c r="N408" s="296">
        <f>POWER((ws[[#This Row],[flow]]-ws[[#This Row],[count]]),2)</f>
        <v>186624</v>
      </c>
      <c r="O408" s="80" t="e">
        <f>VLOOKUP(ws[[#This Row],[hwycov_id]],count!$A$630:$E$652,5,FALSE)</f>
        <v>#N/A</v>
      </c>
      <c r="P408" s="80">
        <v>424</v>
      </c>
    </row>
    <row r="409" spans="1:16" x14ac:dyDescent="0.25">
      <c r="A409" s="80">
        <v>15</v>
      </c>
      <c r="B409" s="6">
        <v>3</v>
      </c>
      <c r="C409" s="80">
        <v>28197</v>
      </c>
      <c r="D409" s="80">
        <v>1</v>
      </c>
      <c r="E409" s="80">
        <v>1</v>
      </c>
      <c r="F409" s="80" t="s">
        <v>339</v>
      </c>
      <c r="G409" s="79">
        <v>57.18</v>
      </c>
      <c r="H409" s="79">
        <v>0.26616000000000001</v>
      </c>
      <c r="I409" s="79" t="s">
        <v>176</v>
      </c>
      <c r="J409" s="79" t="s">
        <v>143</v>
      </c>
      <c r="K409" s="83">
        <f>VLOOKUP(ws[[#This Row],[hwycov_id]],count[],4,FALSE)</f>
        <v>9752</v>
      </c>
      <c r="L409" s="115">
        <f>VLOOKUP(ws[[#This Row],[hwycov_id]],flow0[],5,FALSE)</f>
        <v>9112</v>
      </c>
      <c r="M409" s="295">
        <f>ws[[#This Row],[flow]]/ws[[#This Row],[count]]-1</f>
        <v>-6.5627563576702186E-2</v>
      </c>
      <c r="N409" s="296">
        <f>POWER((ws[[#This Row],[flow]]-ws[[#This Row],[count]]),2)</f>
        <v>409600</v>
      </c>
      <c r="O409" s="80" t="e">
        <f>VLOOKUP(ws[[#This Row],[hwycov_id]],count!$A$630:$E$652,5,FALSE)</f>
        <v>#N/A</v>
      </c>
      <c r="P409" s="80">
        <v>425</v>
      </c>
    </row>
    <row r="410" spans="1:16" x14ac:dyDescent="0.25">
      <c r="A410" s="80">
        <v>15</v>
      </c>
      <c r="B410" s="6">
        <v>3</v>
      </c>
      <c r="C410" s="80">
        <v>28195</v>
      </c>
      <c r="D410" s="80">
        <v>1</v>
      </c>
      <c r="E410" s="80">
        <v>1</v>
      </c>
      <c r="F410" s="80" t="s">
        <v>339</v>
      </c>
      <c r="G410" s="79">
        <v>57.29</v>
      </c>
      <c r="H410" s="79">
        <v>0.106324</v>
      </c>
      <c r="I410" s="79" t="s">
        <v>143</v>
      </c>
      <c r="J410" s="79" t="s">
        <v>57</v>
      </c>
      <c r="K410" s="83">
        <f>VLOOKUP(ws[[#This Row],[hwycov_id]],count[],4,FALSE)</f>
        <v>9806</v>
      </c>
      <c r="L410" s="115">
        <f>VLOOKUP(ws[[#This Row],[hwycov_id]],flow0[],5,FALSE)</f>
        <v>9112</v>
      </c>
      <c r="M410" s="295">
        <f>ws[[#This Row],[flow]]/ws[[#This Row],[count]]-1</f>
        <v>-7.0772996124821574E-2</v>
      </c>
      <c r="N410" s="296">
        <f>POWER((ws[[#This Row],[flow]]-ws[[#This Row],[count]]),2)</f>
        <v>481636</v>
      </c>
      <c r="O410" s="80" t="e">
        <f>VLOOKUP(ws[[#This Row],[hwycov_id]],count!$A$630:$E$652,5,FALSE)</f>
        <v>#N/A</v>
      </c>
      <c r="P410" s="80">
        <v>426</v>
      </c>
    </row>
    <row r="411" spans="1:16" x14ac:dyDescent="0.25">
      <c r="A411" s="80">
        <v>15</v>
      </c>
      <c r="B411" s="6">
        <v>3</v>
      </c>
      <c r="C411" s="80">
        <v>28379</v>
      </c>
      <c r="D411" s="80">
        <v>1</v>
      </c>
      <c r="E411" s="80">
        <v>1</v>
      </c>
      <c r="F411" s="80" t="s">
        <v>339</v>
      </c>
      <c r="G411" s="79">
        <v>57.78</v>
      </c>
      <c r="H411" s="79">
        <v>0.223936</v>
      </c>
      <c r="I411" s="79" t="s">
        <v>57</v>
      </c>
      <c r="J411" s="79" t="s">
        <v>143</v>
      </c>
      <c r="K411" s="83">
        <f>VLOOKUP(ws[[#This Row],[hwycov_id]],count[],4,FALSE)</f>
        <v>8828</v>
      </c>
      <c r="L411" s="115">
        <f>VLOOKUP(ws[[#This Row],[hwycov_id]],flow0[],5,FALSE)</f>
        <v>8177</v>
      </c>
      <c r="M411" s="295">
        <f>ws[[#This Row],[flow]]/ws[[#This Row],[count]]-1</f>
        <v>-7.3742637063887617E-2</v>
      </c>
      <c r="N411" s="296">
        <f>POWER((ws[[#This Row],[flow]]-ws[[#This Row],[count]]),2)</f>
        <v>423801</v>
      </c>
      <c r="O411" s="80" t="e">
        <f>VLOOKUP(ws[[#This Row],[hwycov_id]],count!$A$630:$E$652,5,FALSE)</f>
        <v>#N/A</v>
      </c>
      <c r="P411" s="80">
        <v>427</v>
      </c>
    </row>
    <row r="412" spans="1:16" x14ac:dyDescent="0.25">
      <c r="A412" s="80">
        <v>15</v>
      </c>
      <c r="B412" s="6">
        <v>3</v>
      </c>
      <c r="C412" s="80">
        <v>28188</v>
      </c>
      <c r="D412" s="80">
        <v>1</v>
      </c>
      <c r="E412" s="80">
        <v>1</v>
      </c>
      <c r="F412" s="80" t="s">
        <v>339</v>
      </c>
      <c r="G412" s="79">
        <v>58.64</v>
      </c>
      <c r="H412" s="79">
        <v>0.30025299999999999</v>
      </c>
      <c r="I412" s="79" t="s">
        <v>177</v>
      </c>
      <c r="J412" s="79" t="s">
        <v>178</v>
      </c>
      <c r="K412" s="83">
        <f>VLOOKUP(ws[[#This Row],[hwycov_id]],count[],4,FALSE)</f>
        <v>12759</v>
      </c>
      <c r="L412" s="115">
        <f>VLOOKUP(ws[[#This Row],[hwycov_id]],flow0[],5,FALSE)</f>
        <v>10480</v>
      </c>
      <c r="M412" s="295">
        <f>ws[[#This Row],[flow]]/ws[[#This Row],[count]]-1</f>
        <v>-0.17861901402931268</v>
      </c>
      <c r="N412" s="296">
        <f>POWER((ws[[#This Row],[flow]]-ws[[#This Row],[count]]),2)</f>
        <v>5193841</v>
      </c>
      <c r="O412" s="80" t="e">
        <f>VLOOKUP(ws[[#This Row],[hwycov_id]],count!$A$630:$E$652,5,FALSE)</f>
        <v>#N/A</v>
      </c>
      <c r="P412" s="80">
        <v>428</v>
      </c>
    </row>
    <row r="413" spans="1:16" x14ac:dyDescent="0.25">
      <c r="A413" s="80">
        <v>15</v>
      </c>
      <c r="B413" s="6">
        <v>3</v>
      </c>
      <c r="C413" s="80">
        <v>28182</v>
      </c>
      <c r="D413" s="80">
        <v>1</v>
      </c>
      <c r="E413" s="80">
        <v>1</v>
      </c>
      <c r="F413" s="80" t="s">
        <v>339</v>
      </c>
      <c r="G413" s="79">
        <v>59.17</v>
      </c>
      <c r="H413" s="79">
        <v>0.53227599999999997</v>
      </c>
      <c r="I413" s="79" t="s">
        <v>178</v>
      </c>
      <c r="J413" s="79" t="s">
        <v>178</v>
      </c>
      <c r="K413" s="83">
        <f>VLOOKUP(ws[[#This Row],[hwycov_id]],count[],4,FALSE)</f>
        <v>12095</v>
      </c>
      <c r="L413" s="115">
        <f>VLOOKUP(ws[[#This Row],[hwycov_id]],flow0[],5,FALSE)</f>
        <v>9956</v>
      </c>
      <c r="M413" s="295">
        <f>ws[[#This Row],[flow]]/ws[[#This Row],[count]]-1</f>
        <v>-0.17684993799090531</v>
      </c>
      <c r="N413" s="296">
        <f>POWER((ws[[#This Row],[flow]]-ws[[#This Row],[count]]),2)</f>
        <v>4575321</v>
      </c>
      <c r="O413" s="80" t="e">
        <f>VLOOKUP(ws[[#This Row],[hwycov_id]],count!$A$630:$E$652,5,FALSE)</f>
        <v>#N/A</v>
      </c>
      <c r="P413" s="80">
        <v>429</v>
      </c>
    </row>
    <row r="414" spans="1:16" x14ac:dyDescent="0.25">
      <c r="A414" s="80">
        <v>15</v>
      </c>
      <c r="B414" s="6">
        <v>3</v>
      </c>
      <c r="C414" s="80">
        <v>28178</v>
      </c>
      <c r="D414" s="80">
        <v>1</v>
      </c>
      <c r="E414" s="80">
        <v>1</v>
      </c>
      <c r="F414" s="80" t="s">
        <v>339</v>
      </c>
      <c r="G414" s="79">
        <v>59.37</v>
      </c>
      <c r="H414" s="79">
        <v>0.195544</v>
      </c>
      <c r="I414" s="79" t="s">
        <v>178</v>
      </c>
      <c r="J414" s="79" t="s">
        <v>179</v>
      </c>
      <c r="K414" s="83">
        <f>VLOOKUP(ws[[#This Row],[hwycov_id]],count[],4,FALSE)</f>
        <v>10007</v>
      </c>
      <c r="L414" s="115">
        <f>VLOOKUP(ws[[#This Row],[hwycov_id]],flow0[],5,FALSE)</f>
        <v>11979</v>
      </c>
      <c r="M414" s="295">
        <f>ws[[#This Row],[flow]]/ws[[#This Row],[count]]-1</f>
        <v>0.19706205656040776</v>
      </c>
      <c r="N414" s="296">
        <f>POWER((ws[[#This Row],[flow]]-ws[[#This Row],[count]]),2)</f>
        <v>3888784</v>
      </c>
      <c r="O414" s="80" t="e">
        <f>VLOOKUP(ws[[#This Row],[hwycov_id]],count!$A$630:$E$652,5,FALSE)</f>
        <v>#N/A</v>
      </c>
      <c r="P414" s="80">
        <v>430</v>
      </c>
    </row>
    <row r="415" spans="1:16" x14ac:dyDescent="0.25">
      <c r="A415" s="80">
        <v>15</v>
      </c>
      <c r="B415" s="6">
        <v>3</v>
      </c>
      <c r="C415" s="80">
        <v>20727</v>
      </c>
      <c r="D415" s="80">
        <v>1</v>
      </c>
      <c r="E415" s="80">
        <v>1</v>
      </c>
      <c r="F415" s="80" t="s">
        <v>339</v>
      </c>
      <c r="G415" s="79">
        <v>59.91</v>
      </c>
      <c r="H415" s="79">
        <v>0.54095599999999999</v>
      </c>
      <c r="I415" s="79" t="s">
        <v>179</v>
      </c>
      <c r="J415" s="79" t="s">
        <v>180</v>
      </c>
      <c r="K415" s="83">
        <f>VLOOKUP(ws[[#This Row],[hwycov_id]],count[],4,FALSE)</f>
        <v>10067</v>
      </c>
      <c r="L415" s="115">
        <f>VLOOKUP(ws[[#This Row],[hwycov_id]],flow0[],5,FALSE)</f>
        <v>8404</v>
      </c>
      <c r="M415" s="295">
        <f>ws[[#This Row],[flow]]/ws[[#This Row],[count]]-1</f>
        <v>-0.16519320552299588</v>
      </c>
      <c r="N415" s="296">
        <f>POWER((ws[[#This Row],[flow]]-ws[[#This Row],[count]]),2)</f>
        <v>2765569</v>
      </c>
      <c r="O415" s="80" t="e">
        <f>VLOOKUP(ws[[#This Row],[hwycov_id]],count!$A$630:$E$652,5,FALSE)</f>
        <v>#N/A</v>
      </c>
      <c r="P415" s="80">
        <v>431</v>
      </c>
    </row>
    <row r="416" spans="1:16" x14ac:dyDescent="0.25">
      <c r="A416" s="80">
        <v>15</v>
      </c>
      <c r="B416" s="6">
        <v>3</v>
      </c>
      <c r="C416" s="80">
        <v>20730</v>
      </c>
      <c r="D416" s="80">
        <v>1</v>
      </c>
      <c r="E416" s="80">
        <v>1</v>
      </c>
      <c r="F416" s="80" t="s">
        <v>339</v>
      </c>
      <c r="G416" s="79">
        <v>60.3</v>
      </c>
      <c r="H416" s="79">
        <v>0.38928499999999999</v>
      </c>
      <c r="I416" s="79" t="s">
        <v>180</v>
      </c>
      <c r="J416" s="79" t="s">
        <v>181</v>
      </c>
      <c r="K416" s="83">
        <f>VLOOKUP(ws[[#This Row],[hwycov_id]],count[],4,FALSE)</f>
        <v>18238</v>
      </c>
      <c r="L416" s="115">
        <f>VLOOKUP(ws[[#This Row],[hwycov_id]],flow0[],5,FALSE)</f>
        <v>17464</v>
      </c>
      <c r="M416" s="295">
        <f>ws[[#This Row],[flow]]/ws[[#This Row],[count]]-1</f>
        <v>-4.2438863910516544E-2</v>
      </c>
      <c r="N416" s="296">
        <f>POWER((ws[[#This Row],[flow]]-ws[[#This Row],[count]]),2)</f>
        <v>599076</v>
      </c>
      <c r="O416" s="80" t="e">
        <f>VLOOKUP(ws[[#This Row],[hwycov_id]],count!$A$630:$E$652,5,FALSE)</f>
        <v>#N/A</v>
      </c>
      <c r="P416" s="80">
        <v>432</v>
      </c>
    </row>
    <row r="417" spans="1:16" x14ac:dyDescent="0.25">
      <c r="A417" s="80">
        <v>15</v>
      </c>
      <c r="B417" s="6">
        <v>3</v>
      </c>
      <c r="C417" s="80">
        <v>11056</v>
      </c>
      <c r="D417" s="80">
        <v>1</v>
      </c>
      <c r="E417" s="80">
        <v>1</v>
      </c>
      <c r="F417" s="80" t="s">
        <v>339</v>
      </c>
      <c r="G417" s="79">
        <v>61.05</v>
      </c>
      <c r="H417" s="79">
        <v>0.42535800000000001</v>
      </c>
      <c r="I417" s="79" t="s">
        <v>57</v>
      </c>
      <c r="J417" s="79" t="s">
        <v>57</v>
      </c>
      <c r="K417" s="83">
        <f>VLOOKUP(ws[[#This Row],[hwycov_id]],count[],4,FALSE)</f>
        <v>19030</v>
      </c>
      <c r="L417" s="115">
        <f>VLOOKUP(ws[[#This Row],[hwycov_id]],flow0[],5,FALSE)</f>
        <v>19152</v>
      </c>
      <c r="M417" s="295">
        <f>ws[[#This Row],[flow]]/ws[[#This Row],[count]]-1</f>
        <v>6.4109301103520977E-3</v>
      </c>
      <c r="N417" s="296">
        <f>POWER((ws[[#This Row],[flow]]-ws[[#This Row],[count]]),2)</f>
        <v>14884</v>
      </c>
      <c r="O417" s="80" t="e">
        <f>VLOOKUP(ws[[#This Row],[hwycov_id]],count!$A$630:$E$652,5,FALSE)</f>
        <v>#N/A</v>
      </c>
      <c r="P417" s="80">
        <v>433</v>
      </c>
    </row>
    <row r="418" spans="1:16" x14ac:dyDescent="0.25">
      <c r="A418" s="80">
        <v>15</v>
      </c>
      <c r="B418" s="6">
        <v>3</v>
      </c>
      <c r="C418" s="80">
        <v>11263</v>
      </c>
      <c r="D418" s="80">
        <v>1</v>
      </c>
      <c r="E418" s="80">
        <v>1</v>
      </c>
      <c r="F418" s="80" t="s">
        <v>339</v>
      </c>
      <c r="G418" s="79">
        <v>62.07</v>
      </c>
      <c r="H418" s="79">
        <v>1.027412</v>
      </c>
      <c r="I418" s="79" t="s">
        <v>57</v>
      </c>
      <c r="J418" s="79" t="s">
        <v>21</v>
      </c>
      <c r="K418" s="83">
        <f>VLOOKUP(ws[[#This Row],[hwycov_id]],count[],4,FALSE)</f>
        <v>20551</v>
      </c>
      <c r="L418" s="115">
        <f>VLOOKUP(ws[[#This Row],[hwycov_id]],flow0[],5,FALSE)</f>
        <v>20852</v>
      </c>
      <c r="M418" s="295">
        <f>ws[[#This Row],[flow]]/ws[[#This Row],[count]]-1</f>
        <v>1.4646489221935566E-2</v>
      </c>
      <c r="N418" s="296">
        <f>POWER((ws[[#This Row],[flow]]-ws[[#This Row],[count]]),2)</f>
        <v>90601</v>
      </c>
      <c r="O418" s="80" t="e">
        <f>VLOOKUP(ws[[#This Row],[hwycov_id]],count!$A$630:$E$652,5,FALSE)</f>
        <v>#N/A</v>
      </c>
      <c r="P418" s="80">
        <v>434</v>
      </c>
    </row>
    <row r="419" spans="1:16" x14ac:dyDescent="0.25">
      <c r="A419" s="80">
        <v>15</v>
      </c>
      <c r="B419" s="6">
        <v>3</v>
      </c>
      <c r="C419" s="80">
        <v>11266</v>
      </c>
      <c r="D419" s="80">
        <v>1</v>
      </c>
      <c r="E419" s="80">
        <v>1</v>
      </c>
      <c r="F419" s="80" t="s">
        <v>339</v>
      </c>
      <c r="G419" s="79">
        <v>62.49</v>
      </c>
      <c r="H419" s="79">
        <v>0.41959800000000003</v>
      </c>
      <c r="I419" s="79" t="s">
        <v>21</v>
      </c>
      <c r="J419" s="79" t="s">
        <v>347</v>
      </c>
      <c r="K419" s="83">
        <f>VLOOKUP(ws[[#This Row],[hwycov_id]],count[],4,FALSE)</f>
        <v>26051</v>
      </c>
      <c r="L419" s="115">
        <f>VLOOKUP(ws[[#This Row],[hwycov_id]],flow0[],5,FALSE)</f>
        <v>23582</v>
      </c>
      <c r="M419" s="295">
        <f>ws[[#This Row],[flow]]/ws[[#This Row],[count]]-1</f>
        <v>-9.4775632413343081E-2</v>
      </c>
      <c r="N419" s="296">
        <f>POWER((ws[[#This Row],[flow]]-ws[[#This Row],[count]]),2)</f>
        <v>6095961</v>
      </c>
      <c r="O419" s="80" t="e">
        <f>VLOOKUP(ws[[#This Row],[hwycov_id]],count!$A$630:$E$652,5,FALSE)</f>
        <v>#N/A</v>
      </c>
      <c r="P419" s="80">
        <v>435</v>
      </c>
    </row>
    <row r="420" spans="1:16" x14ac:dyDescent="0.25">
      <c r="A420" s="80">
        <v>15</v>
      </c>
      <c r="B420" s="6">
        <v>3</v>
      </c>
      <c r="C420" s="80">
        <v>28397</v>
      </c>
      <c r="D420" s="80">
        <v>1</v>
      </c>
      <c r="E420" s="80">
        <v>1</v>
      </c>
      <c r="F420" s="80" t="s">
        <v>339</v>
      </c>
      <c r="G420" s="79">
        <v>63.89</v>
      </c>
      <c r="H420" s="79">
        <v>0.32754899999999998</v>
      </c>
      <c r="I420" s="79" t="s">
        <v>183</v>
      </c>
      <c r="J420" s="79" t="s">
        <v>183</v>
      </c>
      <c r="K420" s="83">
        <f>VLOOKUP(ws[[#This Row],[hwycov_id]],count[],4,FALSE)</f>
        <v>18726</v>
      </c>
      <c r="L420" s="115">
        <f>VLOOKUP(ws[[#This Row],[hwycov_id]],flow0[],5,FALSE)</f>
        <v>15777</v>
      </c>
      <c r="M420" s="295">
        <f>ws[[#This Row],[flow]]/ws[[#This Row],[count]]-1</f>
        <v>-0.15748157641781479</v>
      </c>
      <c r="N420" s="296">
        <f>POWER((ws[[#This Row],[flow]]-ws[[#This Row],[count]]),2)</f>
        <v>8696601</v>
      </c>
      <c r="O420" s="80" t="e">
        <f>VLOOKUP(ws[[#This Row],[hwycov_id]],count!$A$630:$E$652,5,FALSE)</f>
        <v>#N/A</v>
      </c>
      <c r="P420" s="80">
        <v>436</v>
      </c>
    </row>
    <row r="421" spans="1:16" x14ac:dyDescent="0.25">
      <c r="A421" s="80">
        <v>15</v>
      </c>
      <c r="B421" s="6">
        <v>3</v>
      </c>
      <c r="C421" s="80">
        <v>28144</v>
      </c>
      <c r="D421" s="80">
        <v>1</v>
      </c>
      <c r="E421" s="80">
        <v>1</v>
      </c>
      <c r="F421" s="80" t="s">
        <v>339</v>
      </c>
      <c r="G421" s="79">
        <v>64.02</v>
      </c>
      <c r="H421" s="79">
        <v>0.13120499999999999</v>
      </c>
      <c r="I421" s="79" t="s">
        <v>183</v>
      </c>
      <c r="J421" s="79" t="s">
        <v>21</v>
      </c>
      <c r="K421" s="83">
        <f>VLOOKUP(ws[[#This Row],[hwycov_id]],count[],4,FALSE)</f>
        <v>20572</v>
      </c>
      <c r="L421" s="115">
        <f>VLOOKUP(ws[[#This Row],[hwycov_id]],flow0[],5,FALSE)</f>
        <v>17506</v>
      </c>
      <c r="M421" s="295">
        <f>ws[[#This Row],[flow]]/ws[[#This Row],[count]]-1</f>
        <v>-0.14903752673536841</v>
      </c>
      <c r="N421" s="296">
        <f>POWER((ws[[#This Row],[flow]]-ws[[#This Row],[count]]),2)</f>
        <v>9400356</v>
      </c>
      <c r="O421" s="80" t="e">
        <f>VLOOKUP(ws[[#This Row],[hwycov_id]],count!$A$630:$E$652,5,FALSE)</f>
        <v>#N/A</v>
      </c>
      <c r="P421" s="80">
        <v>437</v>
      </c>
    </row>
    <row r="422" spans="1:16" x14ac:dyDescent="0.25">
      <c r="A422" s="80">
        <v>15</v>
      </c>
      <c r="B422" s="6">
        <v>3</v>
      </c>
      <c r="C422" s="80">
        <v>20731</v>
      </c>
      <c r="D422" s="80">
        <v>1</v>
      </c>
      <c r="E422" s="80">
        <v>1</v>
      </c>
      <c r="F422" s="80" t="s">
        <v>339</v>
      </c>
      <c r="G422" s="79">
        <v>64.56</v>
      </c>
      <c r="H422" s="79">
        <v>0.538157</v>
      </c>
      <c r="I422" s="79" t="s">
        <v>21</v>
      </c>
      <c r="J422" s="79" t="s">
        <v>151</v>
      </c>
      <c r="K422" s="83">
        <f>VLOOKUP(ws[[#This Row],[hwycov_id]],count[],4,FALSE)</f>
        <v>16177</v>
      </c>
      <c r="L422" s="115">
        <f>VLOOKUP(ws[[#This Row],[hwycov_id]],flow0[],5,FALSE)</f>
        <v>15464</v>
      </c>
      <c r="M422" s="295">
        <f>ws[[#This Row],[flow]]/ws[[#This Row],[count]]-1</f>
        <v>-4.4074921184397597E-2</v>
      </c>
      <c r="N422" s="296">
        <f>POWER((ws[[#This Row],[flow]]-ws[[#This Row],[count]]),2)</f>
        <v>508369</v>
      </c>
      <c r="O422" s="80" t="e">
        <f>VLOOKUP(ws[[#This Row],[hwycov_id]],count!$A$630:$E$652,5,FALSE)</f>
        <v>#N/A</v>
      </c>
      <c r="P422" s="80">
        <v>438</v>
      </c>
    </row>
    <row r="423" spans="1:16" x14ac:dyDescent="0.25">
      <c r="A423" s="80">
        <v>15</v>
      </c>
      <c r="B423" s="6">
        <v>3</v>
      </c>
      <c r="C423" s="80">
        <v>28124</v>
      </c>
      <c r="D423" s="80">
        <v>1</v>
      </c>
      <c r="E423" s="80">
        <v>1</v>
      </c>
      <c r="F423" s="80" t="s">
        <v>339</v>
      </c>
      <c r="G423" s="79">
        <v>65.14</v>
      </c>
      <c r="H423" s="79">
        <v>0.451179</v>
      </c>
      <c r="I423" s="79" t="s">
        <v>184</v>
      </c>
      <c r="J423" s="79" t="s">
        <v>184</v>
      </c>
      <c r="K423" s="83">
        <f>VLOOKUP(ws[[#This Row],[hwycov_id]],count[],4,FALSE)</f>
        <v>16615</v>
      </c>
      <c r="L423" s="115">
        <f>VLOOKUP(ws[[#This Row],[hwycov_id]],flow0[],5,FALSE)</f>
        <v>17153</v>
      </c>
      <c r="M423" s="295">
        <f>ws[[#This Row],[flow]]/ws[[#This Row],[count]]-1</f>
        <v>3.2380379175443785E-2</v>
      </c>
      <c r="N423" s="296">
        <f>POWER((ws[[#This Row],[flow]]-ws[[#This Row],[count]]),2)</f>
        <v>289444</v>
      </c>
      <c r="O423" s="80" t="e">
        <f>VLOOKUP(ws[[#This Row],[hwycov_id]],count!$A$630:$E$652,5,FALSE)</f>
        <v>#N/A</v>
      </c>
      <c r="P423" s="80">
        <v>439</v>
      </c>
    </row>
    <row r="424" spans="1:16" x14ac:dyDescent="0.25">
      <c r="A424" s="80">
        <v>15</v>
      </c>
      <c r="B424" s="6">
        <v>3</v>
      </c>
      <c r="C424" s="80">
        <v>28120</v>
      </c>
      <c r="D424" s="80">
        <v>1</v>
      </c>
      <c r="E424" s="80">
        <v>1</v>
      </c>
      <c r="F424" s="80" t="s">
        <v>339</v>
      </c>
      <c r="G424" s="79">
        <v>65.569999999999993</v>
      </c>
      <c r="H424" s="79">
        <v>0.43726599999999999</v>
      </c>
      <c r="I424" s="79" t="s">
        <v>184</v>
      </c>
      <c r="J424" s="79" t="s">
        <v>185</v>
      </c>
      <c r="K424" s="83">
        <f>VLOOKUP(ws[[#This Row],[hwycov_id]],count[],4,FALSE)</f>
        <v>18896</v>
      </c>
      <c r="L424" s="115">
        <f>VLOOKUP(ws[[#This Row],[hwycov_id]],flow0[],5,FALSE)</f>
        <v>18623</v>
      </c>
      <c r="M424" s="295">
        <f>ws[[#This Row],[flow]]/ws[[#This Row],[count]]-1</f>
        <v>-1.4447502116850086E-2</v>
      </c>
      <c r="N424" s="296">
        <f>POWER((ws[[#This Row],[flow]]-ws[[#This Row],[count]]),2)</f>
        <v>74529</v>
      </c>
      <c r="O424" s="80" t="e">
        <f>VLOOKUP(ws[[#This Row],[hwycov_id]],count!$A$630:$E$652,5,FALSE)</f>
        <v>#N/A</v>
      </c>
      <c r="P424" s="80">
        <v>440</v>
      </c>
    </row>
    <row r="425" spans="1:16" x14ac:dyDescent="0.25">
      <c r="A425" s="80">
        <v>15</v>
      </c>
      <c r="B425" s="6">
        <v>3</v>
      </c>
      <c r="C425" s="80">
        <v>28118</v>
      </c>
      <c r="D425" s="80">
        <v>1</v>
      </c>
      <c r="E425" s="80">
        <v>1</v>
      </c>
      <c r="F425" s="80" t="s">
        <v>339</v>
      </c>
      <c r="G425" s="79">
        <v>65.790000000000006</v>
      </c>
      <c r="H425" s="79">
        <v>0.214032</v>
      </c>
      <c r="I425" s="79" t="s">
        <v>185</v>
      </c>
      <c r="J425" s="79" t="s">
        <v>185</v>
      </c>
      <c r="K425" s="83">
        <f>VLOOKUP(ws[[#This Row],[hwycov_id]],count[],4,FALSE)</f>
        <v>17225</v>
      </c>
      <c r="L425" s="115">
        <f>VLOOKUP(ws[[#This Row],[hwycov_id]],flow0[],5,FALSE)</f>
        <v>17132</v>
      </c>
      <c r="M425" s="295">
        <f>ws[[#This Row],[flow]]/ws[[#This Row],[count]]-1</f>
        <v>-5.3991291727141233E-3</v>
      </c>
      <c r="N425" s="296">
        <f>POWER((ws[[#This Row],[flow]]-ws[[#This Row],[count]]),2)</f>
        <v>8649</v>
      </c>
      <c r="O425" s="80" t="e">
        <f>VLOOKUP(ws[[#This Row],[hwycov_id]],count!$A$630:$E$652,5,FALSE)</f>
        <v>#N/A</v>
      </c>
      <c r="P425" s="80">
        <v>441</v>
      </c>
    </row>
    <row r="426" spans="1:16" x14ac:dyDescent="0.25">
      <c r="A426" s="80">
        <v>15</v>
      </c>
      <c r="B426" s="6">
        <v>3</v>
      </c>
      <c r="C426" s="80">
        <v>15458</v>
      </c>
      <c r="D426" s="80">
        <v>1</v>
      </c>
      <c r="E426" s="80">
        <v>1</v>
      </c>
      <c r="F426" s="80" t="s">
        <v>339</v>
      </c>
      <c r="G426" s="79">
        <v>66.760000000000005</v>
      </c>
      <c r="H426" s="79">
        <v>0.79350699999999996</v>
      </c>
      <c r="I426" s="79" t="s">
        <v>185</v>
      </c>
      <c r="J426" s="79" t="s">
        <v>155</v>
      </c>
      <c r="K426" s="83">
        <f>VLOOKUP(ws[[#This Row],[hwycov_id]],count[],4,FALSE)</f>
        <v>18996</v>
      </c>
      <c r="L426" s="115">
        <f>VLOOKUP(ws[[#This Row],[hwycov_id]],flow0[],5,FALSE)</f>
        <v>21106</v>
      </c>
      <c r="M426" s="295">
        <f>ws[[#This Row],[flow]]/ws[[#This Row],[count]]-1</f>
        <v>0.11107601600336903</v>
      </c>
      <c r="N426" s="296">
        <f>POWER((ws[[#This Row],[flow]]-ws[[#This Row],[count]]),2)</f>
        <v>4452100</v>
      </c>
      <c r="O426" s="80" t="e">
        <f>VLOOKUP(ws[[#This Row],[hwycov_id]],count!$A$630:$E$652,5,FALSE)</f>
        <v>#N/A</v>
      </c>
      <c r="P426" s="80">
        <v>442</v>
      </c>
    </row>
    <row r="427" spans="1:16" x14ac:dyDescent="0.25">
      <c r="A427" s="80">
        <v>15</v>
      </c>
      <c r="B427" s="6">
        <v>3</v>
      </c>
      <c r="C427" s="80">
        <v>15456</v>
      </c>
      <c r="D427" s="80">
        <v>1</v>
      </c>
      <c r="E427" s="80">
        <v>1</v>
      </c>
      <c r="F427" s="80" t="s">
        <v>339</v>
      </c>
      <c r="G427" s="79">
        <v>67.34</v>
      </c>
      <c r="H427" s="79">
        <v>0.57784000000000002</v>
      </c>
      <c r="I427" s="79" t="s">
        <v>155</v>
      </c>
      <c r="J427" s="79" t="s">
        <v>155</v>
      </c>
      <c r="K427" s="83">
        <f>VLOOKUP(ws[[#This Row],[hwycov_id]],count[],4,FALSE)</f>
        <v>18202</v>
      </c>
      <c r="L427" s="115">
        <f>VLOOKUP(ws[[#This Row],[hwycov_id]],flow0[],5,FALSE)</f>
        <v>18780</v>
      </c>
      <c r="M427" s="295">
        <f>ws[[#This Row],[flow]]/ws[[#This Row],[count]]-1</f>
        <v>3.1754752225030325E-2</v>
      </c>
      <c r="N427" s="296">
        <f>POWER((ws[[#This Row],[flow]]-ws[[#This Row],[count]]),2)</f>
        <v>334084</v>
      </c>
      <c r="O427" s="80" t="e">
        <f>VLOOKUP(ws[[#This Row],[hwycov_id]],count!$A$630:$E$652,5,FALSE)</f>
        <v>#N/A</v>
      </c>
      <c r="P427" s="80">
        <v>443</v>
      </c>
    </row>
    <row r="428" spans="1:16" x14ac:dyDescent="0.25">
      <c r="A428" s="80">
        <v>15</v>
      </c>
      <c r="B428" s="6">
        <v>3</v>
      </c>
      <c r="C428" s="80">
        <v>15442</v>
      </c>
      <c r="D428" s="80">
        <v>1</v>
      </c>
      <c r="E428" s="80">
        <v>1</v>
      </c>
      <c r="F428" s="80" t="s">
        <v>339</v>
      </c>
      <c r="G428" s="79">
        <v>68.13</v>
      </c>
      <c r="H428" s="79">
        <v>0.78824300000000003</v>
      </c>
      <c r="I428" s="79" t="s">
        <v>155</v>
      </c>
      <c r="J428" s="79" t="s">
        <v>186</v>
      </c>
      <c r="K428" s="83">
        <f>VLOOKUP(ws[[#This Row],[hwycov_id]],count[],4,FALSE)</f>
        <v>22776</v>
      </c>
      <c r="L428" s="115">
        <f>VLOOKUP(ws[[#This Row],[hwycov_id]],flow0[],5,FALSE)</f>
        <v>22639</v>
      </c>
      <c r="M428" s="295">
        <f>ws[[#This Row],[flow]]/ws[[#This Row],[count]]-1</f>
        <v>-6.0151036178432982E-3</v>
      </c>
      <c r="N428" s="296">
        <f>POWER((ws[[#This Row],[flow]]-ws[[#This Row],[count]]),2)</f>
        <v>18769</v>
      </c>
      <c r="O428" s="80" t="e">
        <f>VLOOKUP(ws[[#This Row],[hwycov_id]],count!$A$630:$E$652,5,FALSE)</f>
        <v>#N/A</v>
      </c>
      <c r="P428" s="80">
        <v>444</v>
      </c>
    </row>
    <row r="429" spans="1:16" x14ac:dyDescent="0.25">
      <c r="A429" s="80">
        <v>15</v>
      </c>
      <c r="B429" s="6">
        <v>3</v>
      </c>
      <c r="C429" s="80">
        <v>15439</v>
      </c>
      <c r="D429" s="80">
        <v>1</v>
      </c>
      <c r="E429" s="80">
        <v>1</v>
      </c>
      <c r="F429" s="80" t="s">
        <v>339</v>
      </c>
      <c r="G429" s="79">
        <v>68.459999999999994</v>
      </c>
      <c r="H429" s="79">
        <v>0.33299800000000002</v>
      </c>
      <c r="I429" s="79" t="s">
        <v>186</v>
      </c>
      <c r="J429" s="79" t="s">
        <v>186</v>
      </c>
      <c r="K429" s="83">
        <f>VLOOKUP(ws[[#This Row],[hwycov_id]],count[],4,FALSE)</f>
        <v>22010</v>
      </c>
      <c r="L429" s="115">
        <f>VLOOKUP(ws[[#This Row],[hwycov_id]],flow0[],5,FALSE)</f>
        <v>21500</v>
      </c>
      <c r="M429" s="295">
        <f>ws[[#This Row],[flow]]/ws[[#This Row],[count]]-1</f>
        <v>-2.3171285779191253E-2</v>
      </c>
      <c r="N429" s="296">
        <f>POWER((ws[[#This Row],[flow]]-ws[[#This Row],[count]]),2)</f>
        <v>260100</v>
      </c>
      <c r="O429" s="80" t="e">
        <f>VLOOKUP(ws[[#This Row],[hwycov_id]],count!$A$630:$E$652,5,FALSE)</f>
        <v>#N/A</v>
      </c>
      <c r="P429" s="80">
        <v>445</v>
      </c>
    </row>
    <row r="430" spans="1:16" x14ac:dyDescent="0.25">
      <c r="A430" s="80">
        <v>15</v>
      </c>
      <c r="B430" s="6">
        <v>3</v>
      </c>
      <c r="C430" s="80">
        <v>15430</v>
      </c>
      <c r="D430" s="80">
        <v>1</v>
      </c>
      <c r="E430" s="80">
        <v>1</v>
      </c>
      <c r="F430" s="80" t="s">
        <v>339</v>
      </c>
      <c r="G430" s="79">
        <v>68.88</v>
      </c>
      <c r="H430" s="79">
        <v>0.42363200000000001</v>
      </c>
      <c r="I430" s="79" t="s">
        <v>186</v>
      </c>
      <c r="J430" s="79" t="s">
        <v>187</v>
      </c>
      <c r="K430" s="83">
        <f>VLOOKUP(ws[[#This Row],[hwycov_id]],count[],4,FALSE)</f>
        <v>24002</v>
      </c>
      <c r="L430" s="115">
        <f>VLOOKUP(ws[[#This Row],[hwycov_id]],flow0[],5,FALSE)</f>
        <v>23395</v>
      </c>
      <c r="M430" s="295">
        <f>ws[[#This Row],[flow]]/ws[[#This Row],[count]]-1</f>
        <v>-2.5289559203399703E-2</v>
      </c>
      <c r="N430" s="296">
        <f>POWER((ws[[#This Row],[flow]]-ws[[#This Row],[count]]),2)</f>
        <v>368449</v>
      </c>
      <c r="O430" s="80" t="e">
        <f>VLOOKUP(ws[[#This Row],[hwycov_id]],count!$A$630:$E$652,5,FALSE)</f>
        <v>#N/A</v>
      </c>
      <c r="P430" s="80">
        <v>446</v>
      </c>
    </row>
    <row r="431" spans="1:16" x14ac:dyDescent="0.25">
      <c r="A431" s="80">
        <v>15</v>
      </c>
      <c r="B431" s="6">
        <v>3</v>
      </c>
      <c r="C431" s="80">
        <v>16533</v>
      </c>
      <c r="D431" s="80">
        <v>1</v>
      </c>
      <c r="E431" s="80">
        <v>1</v>
      </c>
      <c r="F431" s="80" t="s">
        <v>339</v>
      </c>
      <c r="G431" s="79">
        <v>69.989999999999995</v>
      </c>
      <c r="H431" s="79">
        <v>0.49734200000000001</v>
      </c>
      <c r="I431" s="79" t="s">
        <v>168</v>
      </c>
      <c r="J431" s="79" t="s">
        <v>168</v>
      </c>
      <c r="K431" s="83">
        <f>VLOOKUP(ws[[#This Row],[hwycov_id]],count[],4,FALSE)</f>
        <v>14904</v>
      </c>
      <c r="L431" s="115">
        <f>VLOOKUP(ws[[#This Row],[hwycov_id]],flow0[],5,FALSE)</f>
        <v>14137</v>
      </c>
      <c r="M431" s="295">
        <f>ws[[#This Row],[flow]]/ws[[#This Row],[count]]-1</f>
        <v>-5.1462694578636614E-2</v>
      </c>
      <c r="N431" s="296">
        <f>POWER((ws[[#This Row],[flow]]-ws[[#This Row],[count]]),2)</f>
        <v>588289</v>
      </c>
      <c r="O431" s="80" t="e">
        <f>VLOOKUP(ws[[#This Row],[hwycov_id]],count!$A$630:$E$652,5,FALSE)</f>
        <v>#N/A</v>
      </c>
      <c r="P431" s="80">
        <v>447</v>
      </c>
    </row>
    <row r="432" spans="1:16" x14ac:dyDescent="0.25">
      <c r="A432" s="80">
        <v>15</v>
      </c>
      <c r="B432" s="6">
        <v>3</v>
      </c>
      <c r="C432" s="80">
        <v>10998</v>
      </c>
      <c r="D432" s="80">
        <v>1</v>
      </c>
      <c r="E432" s="80">
        <v>1</v>
      </c>
      <c r="F432" s="80" t="s">
        <v>339</v>
      </c>
      <c r="G432" s="79">
        <v>70.69</v>
      </c>
      <c r="H432" s="79">
        <v>0.69737499999999997</v>
      </c>
      <c r="I432" s="79" t="s">
        <v>168</v>
      </c>
      <c r="J432" s="79" t="s">
        <v>19</v>
      </c>
      <c r="K432" s="83">
        <f>VLOOKUP(ws[[#This Row],[hwycov_id]],count[],4,FALSE)</f>
        <v>26003</v>
      </c>
      <c r="L432" s="115">
        <f>VLOOKUP(ws[[#This Row],[hwycov_id]],flow0[],5,FALSE)</f>
        <v>26621</v>
      </c>
      <c r="M432" s="295">
        <f>ws[[#This Row],[flow]]/ws[[#This Row],[count]]-1</f>
        <v>2.376648848209828E-2</v>
      </c>
      <c r="N432" s="296">
        <f>POWER((ws[[#This Row],[flow]]-ws[[#This Row],[count]]),2)</f>
        <v>381924</v>
      </c>
      <c r="O432" s="80" t="e">
        <f>VLOOKUP(ws[[#This Row],[hwycov_id]],count!$A$630:$E$652,5,FALSE)</f>
        <v>#N/A</v>
      </c>
      <c r="P432" s="80">
        <v>448</v>
      </c>
    </row>
    <row r="433" spans="1:16" x14ac:dyDescent="0.25">
      <c r="A433" s="80">
        <v>15</v>
      </c>
      <c r="B433" s="6">
        <v>3</v>
      </c>
      <c r="C433" s="80">
        <v>10994</v>
      </c>
      <c r="D433" s="80">
        <v>1</v>
      </c>
      <c r="E433" s="80">
        <v>1</v>
      </c>
      <c r="F433" s="80" t="s">
        <v>339</v>
      </c>
      <c r="G433" s="79">
        <v>70.849999999999994</v>
      </c>
      <c r="H433" s="79">
        <v>0.15757699999999999</v>
      </c>
      <c r="I433" s="79" t="s">
        <v>19</v>
      </c>
      <c r="J433" s="79" t="s">
        <v>188</v>
      </c>
      <c r="K433" s="83">
        <f>VLOOKUP(ws[[#This Row],[hwycov_id]],count[],4,FALSE)</f>
        <v>17300</v>
      </c>
      <c r="L433" s="115">
        <f>VLOOKUP(ws[[#This Row],[hwycov_id]],flow0[],5,FALSE)</f>
        <v>15808</v>
      </c>
      <c r="M433" s="295">
        <f>ws[[#This Row],[flow]]/ws[[#This Row],[count]]-1</f>
        <v>-8.6242774566474001E-2</v>
      </c>
      <c r="N433" s="296">
        <f>POWER((ws[[#This Row],[flow]]-ws[[#This Row],[count]]),2)</f>
        <v>2226064</v>
      </c>
      <c r="O433" s="80" t="e">
        <f>VLOOKUP(ws[[#This Row],[hwycov_id]],count!$A$630:$E$652,5,FALSE)</f>
        <v>#N/A</v>
      </c>
      <c r="P433" s="80">
        <v>449</v>
      </c>
    </row>
    <row r="434" spans="1:16" x14ac:dyDescent="0.25">
      <c r="A434" s="80">
        <v>15</v>
      </c>
      <c r="B434" s="6">
        <v>3</v>
      </c>
      <c r="C434" s="80">
        <v>10991</v>
      </c>
      <c r="D434" s="80">
        <v>1</v>
      </c>
      <c r="E434" s="80">
        <v>1</v>
      </c>
      <c r="F434" s="80" t="s">
        <v>339</v>
      </c>
      <c r="G434" s="79">
        <v>71.400000000000006</v>
      </c>
      <c r="H434" s="79">
        <v>0.54967600000000005</v>
      </c>
      <c r="I434" s="79" t="s">
        <v>188</v>
      </c>
      <c r="J434" s="79" t="s">
        <v>19</v>
      </c>
      <c r="K434" s="83">
        <f>VLOOKUP(ws[[#This Row],[hwycov_id]],count[],4,FALSE)</f>
        <v>15322</v>
      </c>
      <c r="L434" s="115">
        <f>VLOOKUP(ws[[#This Row],[hwycov_id]],flow0[],5,FALSE)</f>
        <v>13322</v>
      </c>
      <c r="M434" s="295">
        <f>ws[[#This Row],[flow]]/ws[[#This Row],[count]]-1</f>
        <v>-0.13053126223730582</v>
      </c>
      <c r="N434" s="296">
        <f>POWER((ws[[#This Row],[flow]]-ws[[#This Row],[count]]),2)</f>
        <v>4000000</v>
      </c>
      <c r="O434" s="80" t="e">
        <f>VLOOKUP(ws[[#This Row],[hwycov_id]],count!$A$630:$E$652,5,FALSE)</f>
        <v>#N/A</v>
      </c>
      <c r="P434" s="80">
        <v>450</v>
      </c>
    </row>
    <row r="435" spans="1:16" x14ac:dyDescent="0.25">
      <c r="A435" s="80">
        <v>15</v>
      </c>
      <c r="B435" s="6">
        <v>3</v>
      </c>
      <c r="C435" s="80">
        <v>16085</v>
      </c>
      <c r="D435" s="80">
        <v>1</v>
      </c>
      <c r="E435" s="80">
        <v>1</v>
      </c>
      <c r="F435" s="80" t="s">
        <v>339</v>
      </c>
      <c r="G435" s="79">
        <v>72.010000000000005</v>
      </c>
      <c r="H435" s="79">
        <v>0.28305399999999997</v>
      </c>
      <c r="I435" s="79" t="s">
        <v>188</v>
      </c>
      <c r="J435" s="79" t="s">
        <v>189</v>
      </c>
      <c r="K435" s="83">
        <f>VLOOKUP(ws[[#This Row],[hwycov_id]],count[],4,FALSE)</f>
        <v>25461</v>
      </c>
      <c r="L435" s="115">
        <f>VLOOKUP(ws[[#This Row],[hwycov_id]],flow0[],5,FALSE)</f>
        <v>23911</v>
      </c>
      <c r="M435" s="295">
        <f>ws[[#This Row],[flow]]/ws[[#This Row],[count]]-1</f>
        <v>-6.0877420368406598E-2</v>
      </c>
      <c r="N435" s="296">
        <f>POWER((ws[[#This Row],[flow]]-ws[[#This Row],[count]]),2)</f>
        <v>2402500</v>
      </c>
      <c r="O435" s="80" t="e">
        <f>VLOOKUP(ws[[#This Row],[hwycov_id]],count!$A$630:$E$652,5,FALSE)</f>
        <v>#N/A</v>
      </c>
      <c r="P435" s="80">
        <v>451</v>
      </c>
    </row>
    <row r="436" spans="1:16" x14ac:dyDescent="0.25">
      <c r="A436" s="80">
        <v>15</v>
      </c>
      <c r="B436" s="6">
        <v>3</v>
      </c>
      <c r="C436" s="80">
        <v>10981</v>
      </c>
      <c r="D436" s="80">
        <v>1</v>
      </c>
      <c r="E436" s="80">
        <v>1</v>
      </c>
      <c r="F436" s="80" t="s">
        <v>339</v>
      </c>
      <c r="G436" s="79">
        <v>72.53</v>
      </c>
      <c r="H436" s="79">
        <v>0.191274</v>
      </c>
      <c r="I436" s="79" t="s">
        <v>189</v>
      </c>
      <c r="J436" s="79" t="s">
        <v>11</v>
      </c>
      <c r="K436" s="83">
        <f>VLOOKUP(ws[[#This Row],[hwycov_id]],count[],4,FALSE)</f>
        <v>23960</v>
      </c>
      <c r="L436" s="115">
        <f>VLOOKUP(ws[[#This Row],[hwycov_id]],flow0[],5,FALSE)</f>
        <v>24316</v>
      </c>
      <c r="M436" s="295">
        <f>ws[[#This Row],[flow]]/ws[[#This Row],[count]]-1</f>
        <v>1.485809682804673E-2</v>
      </c>
      <c r="N436" s="296">
        <f>POWER((ws[[#This Row],[flow]]-ws[[#This Row],[count]]),2)</f>
        <v>126736</v>
      </c>
      <c r="O436" s="80" t="e">
        <f>VLOOKUP(ws[[#This Row],[hwycov_id]],count!$A$630:$E$652,5,FALSE)</f>
        <v>#N/A</v>
      </c>
      <c r="P436" s="80">
        <v>452</v>
      </c>
    </row>
    <row r="437" spans="1:16" x14ac:dyDescent="0.25">
      <c r="A437" s="80">
        <v>15</v>
      </c>
      <c r="B437" s="6">
        <v>3</v>
      </c>
      <c r="C437" s="80">
        <v>29095</v>
      </c>
      <c r="D437" s="80">
        <v>1</v>
      </c>
      <c r="E437" s="80">
        <v>1</v>
      </c>
      <c r="F437" s="80" t="s">
        <v>339</v>
      </c>
      <c r="G437" s="79">
        <v>73.56</v>
      </c>
      <c r="H437" s="79">
        <v>0.35162599999999999</v>
      </c>
      <c r="I437" s="79" t="s">
        <v>47</v>
      </c>
      <c r="J437" s="79">
        <v>0</v>
      </c>
      <c r="K437" s="83">
        <f>VLOOKUP(ws[[#This Row],[hwycov_id]],count[],4,FALSE)</f>
        <v>21479</v>
      </c>
      <c r="L437" s="115">
        <f>VLOOKUP(ws[[#This Row],[hwycov_id]],flow0[],5,FALSE)</f>
        <v>21737</v>
      </c>
      <c r="M437" s="295">
        <f>ws[[#This Row],[flow]]/ws[[#This Row],[count]]-1</f>
        <v>1.2011732389776153E-2</v>
      </c>
      <c r="N437" s="296">
        <f>POWER((ws[[#This Row],[flow]]-ws[[#This Row],[count]]),2)</f>
        <v>66564</v>
      </c>
      <c r="O437" s="80" t="e">
        <f>VLOOKUP(ws[[#This Row],[hwycov_id]],count!$A$630:$E$652,5,FALSE)</f>
        <v>#N/A</v>
      </c>
      <c r="P437" s="80">
        <v>453</v>
      </c>
    </row>
    <row r="438" spans="1:16" x14ac:dyDescent="0.25">
      <c r="A438" s="80">
        <v>15</v>
      </c>
      <c r="B438" s="6">
        <v>3</v>
      </c>
      <c r="C438" s="80">
        <v>29090</v>
      </c>
      <c r="D438" s="80">
        <v>1</v>
      </c>
      <c r="E438" s="80">
        <v>1</v>
      </c>
      <c r="F438" s="80" t="s">
        <v>339</v>
      </c>
      <c r="G438" s="79">
        <v>73.989999999999995</v>
      </c>
      <c r="H438" s="79">
        <v>0.43728</v>
      </c>
      <c r="I438" s="79" t="s">
        <v>348</v>
      </c>
      <c r="J438" s="79" t="s">
        <v>190</v>
      </c>
      <c r="K438" s="83">
        <f>VLOOKUP(ws[[#This Row],[hwycov_id]],count[],4,FALSE)</f>
        <v>22331</v>
      </c>
      <c r="L438" s="115">
        <f>VLOOKUP(ws[[#This Row],[hwycov_id]],flow0[],5,FALSE)</f>
        <v>25100</v>
      </c>
      <c r="M438" s="295">
        <f>ws[[#This Row],[flow]]/ws[[#This Row],[count]]-1</f>
        <v>0.12399802964488837</v>
      </c>
      <c r="N438" s="296">
        <f>POWER((ws[[#This Row],[flow]]-ws[[#This Row],[count]]),2)</f>
        <v>7667361</v>
      </c>
      <c r="O438" s="80" t="e">
        <f>VLOOKUP(ws[[#This Row],[hwycov_id]],count!$A$630:$E$652,5,FALSE)</f>
        <v>#N/A</v>
      </c>
      <c r="P438" s="80">
        <v>454</v>
      </c>
    </row>
    <row r="439" spans="1:16" x14ac:dyDescent="0.25">
      <c r="A439" s="80">
        <v>15</v>
      </c>
      <c r="B439" s="6">
        <v>3</v>
      </c>
      <c r="C439" s="80">
        <v>29086</v>
      </c>
      <c r="D439" s="80">
        <v>1</v>
      </c>
      <c r="E439" s="80">
        <v>1</v>
      </c>
      <c r="F439" s="80" t="s">
        <v>339</v>
      </c>
      <c r="G439" s="79">
        <v>74.489999999999995</v>
      </c>
      <c r="H439" s="79">
        <v>0.21035799999999999</v>
      </c>
      <c r="I439" s="79" t="s">
        <v>190</v>
      </c>
      <c r="J439" s="79" t="s">
        <v>190</v>
      </c>
      <c r="K439" s="83">
        <f>VLOOKUP(ws[[#This Row],[hwycov_id]],count[],4,FALSE)</f>
        <v>21767</v>
      </c>
      <c r="L439" s="115">
        <f>VLOOKUP(ws[[#This Row],[hwycov_id]],flow0[],5,FALSE)</f>
        <v>23059</v>
      </c>
      <c r="M439" s="295">
        <f>ws[[#This Row],[flow]]/ws[[#This Row],[count]]-1</f>
        <v>5.9355905728855518E-2</v>
      </c>
      <c r="N439" s="296">
        <f>POWER((ws[[#This Row],[flow]]-ws[[#This Row],[count]]),2)</f>
        <v>1669264</v>
      </c>
      <c r="O439" s="80" t="e">
        <f>VLOOKUP(ws[[#This Row],[hwycov_id]],count!$A$630:$E$652,5,FALSE)</f>
        <v>#N/A</v>
      </c>
      <c r="P439" s="80">
        <v>455</v>
      </c>
    </row>
    <row r="440" spans="1:16" x14ac:dyDescent="0.25">
      <c r="A440" s="80">
        <v>15</v>
      </c>
      <c r="B440" s="6">
        <v>3</v>
      </c>
      <c r="C440" s="80">
        <v>29082</v>
      </c>
      <c r="D440" s="80">
        <v>1</v>
      </c>
      <c r="E440" s="80">
        <v>1</v>
      </c>
      <c r="F440" s="80" t="s">
        <v>339</v>
      </c>
      <c r="G440" s="79">
        <v>74.72</v>
      </c>
      <c r="H440" s="79">
        <v>0.22877500000000001</v>
      </c>
      <c r="I440" s="79" t="s">
        <v>349</v>
      </c>
      <c r="J440" s="79" t="s">
        <v>191</v>
      </c>
      <c r="K440" s="83">
        <f>VLOOKUP(ws[[#This Row],[hwycov_id]],count[],4,FALSE)</f>
        <v>21819</v>
      </c>
      <c r="L440" s="115">
        <f>VLOOKUP(ws[[#This Row],[hwycov_id]],flow0[],5,FALSE)</f>
        <v>23511</v>
      </c>
      <c r="M440" s="295">
        <f>ws[[#This Row],[flow]]/ws[[#This Row],[count]]-1</f>
        <v>7.7547091984050631E-2</v>
      </c>
      <c r="N440" s="296">
        <f>POWER((ws[[#This Row],[flow]]-ws[[#This Row],[count]]),2)</f>
        <v>2862864</v>
      </c>
      <c r="O440" s="80" t="e">
        <f>VLOOKUP(ws[[#This Row],[hwycov_id]],count!$A$630:$E$652,5,FALSE)</f>
        <v>#N/A</v>
      </c>
      <c r="P440" s="80">
        <v>456</v>
      </c>
    </row>
    <row r="441" spans="1:16" x14ac:dyDescent="0.25">
      <c r="A441" s="80">
        <v>15</v>
      </c>
      <c r="B441" s="6">
        <v>3</v>
      </c>
      <c r="C441" s="80">
        <v>27600</v>
      </c>
      <c r="D441" s="80">
        <v>1</v>
      </c>
      <c r="E441" s="80">
        <v>1</v>
      </c>
      <c r="F441" s="80" t="s">
        <v>339</v>
      </c>
      <c r="G441" s="79">
        <v>74.97</v>
      </c>
      <c r="H441" s="79">
        <v>0.25040099999999998</v>
      </c>
      <c r="I441" s="79" t="s">
        <v>191</v>
      </c>
      <c r="J441" s="79" t="s">
        <v>49</v>
      </c>
      <c r="K441" s="83">
        <f>VLOOKUP(ws[[#This Row],[hwycov_id]],count[],4,FALSE)</f>
        <v>19978</v>
      </c>
      <c r="L441" s="115">
        <f>VLOOKUP(ws[[#This Row],[hwycov_id]],flow0[],5,FALSE)</f>
        <v>21886</v>
      </c>
      <c r="M441" s="295">
        <f>ws[[#This Row],[flow]]/ws[[#This Row],[count]]-1</f>
        <v>9.5505055561117214E-2</v>
      </c>
      <c r="N441" s="296">
        <f>POWER((ws[[#This Row],[flow]]-ws[[#This Row],[count]]),2)</f>
        <v>3640464</v>
      </c>
      <c r="O441" s="80" t="e">
        <f>VLOOKUP(ws[[#This Row],[hwycov_id]],count!$A$630:$E$652,5,FALSE)</f>
        <v>#N/A</v>
      </c>
      <c r="P441" s="80">
        <v>457</v>
      </c>
    </row>
    <row r="442" spans="1:16" x14ac:dyDescent="0.25">
      <c r="A442" s="80">
        <v>15</v>
      </c>
      <c r="B442" s="6">
        <v>3</v>
      </c>
      <c r="C442" s="80">
        <v>28085</v>
      </c>
      <c r="D442" s="80">
        <v>1</v>
      </c>
      <c r="E442" s="80">
        <v>1</v>
      </c>
      <c r="F442" s="80" t="s">
        <v>339</v>
      </c>
      <c r="G442" s="79">
        <v>76.08</v>
      </c>
      <c r="H442" s="79">
        <v>0.42614200000000002</v>
      </c>
      <c r="I442" s="79" t="s">
        <v>39</v>
      </c>
      <c r="J442" s="79" t="s">
        <v>350</v>
      </c>
      <c r="K442" s="83">
        <f>VLOOKUP(ws[[#This Row],[hwycov_id]],count[],4,FALSE)</f>
        <v>12722</v>
      </c>
      <c r="L442" s="115">
        <f>VLOOKUP(ws[[#This Row],[hwycov_id]],flow0[],5,FALSE)</f>
        <v>12594</v>
      </c>
      <c r="M442" s="295">
        <f>ws[[#This Row],[flow]]/ws[[#This Row],[count]]-1</f>
        <v>-1.0061311114604621E-2</v>
      </c>
      <c r="N442" s="296">
        <f>POWER((ws[[#This Row],[flow]]-ws[[#This Row],[count]]),2)</f>
        <v>16384</v>
      </c>
      <c r="O442" s="80" t="e">
        <f>VLOOKUP(ws[[#This Row],[hwycov_id]],count!$A$630:$E$652,5,FALSE)</f>
        <v>#N/A</v>
      </c>
      <c r="P442" s="80">
        <v>458</v>
      </c>
    </row>
    <row r="443" spans="1:16" x14ac:dyDescent="0.25">
      <c r="A443" s="80">
        <v>16</v>
      </c>
      <c r="B443" s="6">
        <v>3</v>
      </c>
      <c r="C443" s="80">
        <v>12830</v>
      </c>
      <c r="D443" s="80">
        <v>1</v>
      </c>
      <c r="E443" s="80">
        <v>1</v>
      </c>
      <c r="F443" s="80" t="s">
        <v>352</v>
      </c>
      <c r="G443" s="79">
        <v>0.24</v>
      </c>
      <c r="H443" s="79">
        <v>0.24315700000000001</v>
      </c>
      <c r="I443" s="79" t="s">
        <v>169</v>
      </c>
      <c r="J443" s="79" t="s">
        <v>28</v>
      </c>
      <c r="K443" s="83">
        <f>VLOOKUP(ws[[#This Row],[hwycov_id]],count[],4,FALSE)</f>
        <v>5770</v>
      </c>
      <c r="L443" s="115">
        <f>VLOOKUP(ws[[#This Row],[hwycov_id]],flow0[],5,FALSE)</f>
        <v>8019</v>
      </c>
      <c r="M443" s="295">
        <f>ws[[#This Row],[flow]]/ws[[#This Row],[count]]-1</f>
        <v>0.38977469670710563</v>
      </c>
      <c r="N443" s="296">
        <f>POWER((ws[[#This Row],[flow]]-ws[[#This Row],[count]]),2)</f>
        <v>5058001</v>
      </c>
      <c r="O443" s="80" t="e">
        <f>VLOOKUP(ws[[#This Row],[hwycov_id]],count!$A$630:$E$652,5,FALSE)</f>
        <v>#N/A</v>
      </c>
      <c r="P443" s="80">
        <v>460</v>
      </c>
    </row>
    <row r="444" spans="1:16" x14ac:dyDescent="0.25">
      <c r="A444" s="80">
        <v>16</v>
      </c>
      <c r="B444" s="6">
        <v>3</v>
      </c>
      <c r="C444" s="80">
        <v>12823</v>
      </c>
      <c r="D444" s="80">
        <v>1</v>
      </c>
      <c r="E444" s="80">
        <v>1</v>
      </c>
      <c r="F444" s="80" t="s">
        <v>352</v>
      </c>
      <c r="G444" s="79">
        <v>0.45</v>
      </c>
      <c r="H444" s="79">
        <v>0.21127699999999999</v>
      </c>
      <c r="I444" s="79" t="s">
        <v>28</v>
      </c>
      <c r="J444" s="79" t="s">
        <v>28</v>
      </c>
      <c r="K444" s="83">
        <f>VLOOKUP(ws[[#This Row],[hwycov_id]],count[],4,FALSE)</f>
        <v>8307</v>
      </c>
      <c r="L444" s="115">
        <f>VLOOKUP(ws[[#This Row],[hwycov_id]],flow0[],5,FALSE)</f>
        <v>9563</v>
      </c>
      <c r="M444" s="295">
        <f>ws[[#This Row],[flow]]/ws[[#This Row],[count]]-1</f>
        <v>0.15119778500060188</v>
      </c>
      <c r="N444" s="296">
        <f>POWER((ws[[#This Row],[flow]]-ws[[#This Row],[count]]),2)</f>
        <v>1577536</v>
      </c>
      <c r="O444" s="80" t="e">
        <f>VLOOKUP(ws[[#This Row],[hwycov_id]],count!$A$630:$E$652,5,FALSE)</f>
        <v>#N/A</v>
      </c>
      <c r="P444" s="80">
        <v>461</v>
      </c>
    </row>
    <row r="445" spans="1:16" x14ac:dyDescent="0.25">
      <c r="A445" s="80">
        <v>16</v>
      </c>
      <c r="B445" s="6">
        <v>3</v>
      </c>
      <c r="C445" s="80">
        <v>8054</v>
      </c>
      <c r="D445" s="80">
        <v>1</v>
      </c>
      <c r="E445" s="80">
        <v>1</v>
      </c>
      <c r="F445" s="80" t="s">
        <v>352</v>
      </c>
      <c r="G445" s="79">
        <v>2.3199999999999998</v>
      </c>
      <c r="H445" s="79">
        <v>0.54866800000000004</v>
      </c>
      <c r="I445" s="79" t="s">
        <v>166</v>
      </c>
      <c r="J445" s="79" t="s">
        <v>166</v>
      </c>
      <c r="K445" s="83">
        <f>VLOOKUP(ws[[#This Row],[hwycov_id]],count[],4,FALSE)</f>
        <v>17543</v>
      </c>
      <c r="L445" s="115">
        <f>VLOOKUP(ws[[#This Row],[hwycov_id]],flow0[],5,FALSE)</f>
        <v>19582</v>
      </c>
      <c r="M445" s="295">
        <f>ws[[#This Row],[flow]]/ws[[#This Row],[count]]-1</f>
        <v>0.11622869520606516</v>
      </c>
      <c r="N445" s="296">
        <f>POWER((ws[[#This Row],[flow]]-ws[[#This Row],[count]]),2)</f>
        <v>4157521</v>
      </c>
      <c r="O445" s="80" t="e">
        <f>VLOOKUP(ws[[#This Row],[hwycov_id]],count!$A$630:$E$652,5,FALSE)</f>
        <v>#N/A</v>
      </c>
      <c r="P445" s="80">
        <v>462</v>
      </c>
    </row>
    <row r="446" spans="1:16" x14ac:dyDescent="0.25">
      <c r="A446" s="80">
        <v>16</v>
      </c>
      <c r="B446" s="6">
        <v>3</v>
      </c>
      <c r="C446" s="80">
        <v>8845</v>
      </c>
      <c r="D446" s="80">
        <v>1</v>
      </c>
      <c r="E446" s="80">
        <v>1</v>
      </c>
      <c r="F446" s="80" t="s">
        <v>352</v>
      </c>
      <c r="G446" s="79">
        <v>3.26</v>
      </c>
      <c r="H446" s="79">
        <v>0.93981800000000004</v>
      </c>
      <c r="I446" s="79" t="s">
        <v>166</v>
      </c>
      <c r="J446" s="79" t="s">
        <v>164</v>
      </c>
      <c r="K446" s="83">
        <f>VLOOKUP(ws[[#This Row],[hwycov_id]],count[],4,FALSE)</f>
        <v>14740</v>
      </c>
      <c r="L446" s="115">
        <f>VLOOKUP(ws[[#This Row],[hwycov_id]],flow0[],5,FALSE)</f>
        <v>22332</v>
      </c>
      <c r="M446" s="295">
        <f>ws[[#This Row],[flow]]/ws[[#This Row],[count]]-1</f>
        <v>0.51506105834464044</v>
      </c>
      <c r="N446" s="296">
        <f>POWER((ws[[#This Row],[flow]]-ws[[#This Row],[count]]),2)</f>
        <v>57638464</v>
      </c>
      <c r="O446" s="80" t="e">
        <f>VLOOKUP(ws[[#This Row],[hwycov_id]],count!$A$630:$E$652,5,FALSE)</f>
        <v>#N/A</v>
      </c>
      <c r="P446" s="80">
        <v>463</v>
      </c>
    </row>
    <row r="447" spans="1:16" x14ac:dyDescent="0.25">
      <c r="A447" s="80">
        <v>16</v>
      </c>
      <c r="B447" s="6">
        <v>3</v>
      </c>
      <c r="C447" s="80">
        <v>8056</v>
      </c>
      <c r="D447" s="80">
        <v>1</v>
      </c>
      <c r="E447" s="80">
        <v>1</v>
      </c>
      <c r="F447" s="80" t="s">
        <v>352</v>
      </c>
      <c r="G447" s="79">
        <v>3.58</v>
      </c>
      <c r="H447" s="79">
        <v>0.326652</v>
      </c>
      <c r="I447" s="79" t="s">
        <v>164</v>
      </c>
      <c r="J447" s="79" t="s">
        <v>164</v>
      </c>
      <c r="K447" s="83">
        <f>VLOOKUP(ws[[#This Row],[hwycov_id]],count[],4,FALSE)</f>
        <v>17481</v>
      </c>
      <c r="L447" s="115">
        <f>VLOOKUP(ws[[#This Row],[hwycov_id]],flow0[],5,FALSE)</f>
        <v>20987</v>
      </c>
      <c r="M447" s="295">
        <f>ws[[#This Row],[flow]]/ws[[#This Row],[count]]-1</f>
        <v>0.20056060866083181</v>
      </c>
      <c r="N447" s="296">
        <f>POWER((ws[[#This Row],[flow]]-ws[[#This Row],[count]]),2)</f>
        <v>12292036</v>
      </c>
      <c r="O447" s="80" t="e">
        <f>VLOOKUP(ws[[#This Row],[hwycov_id]],count!$A$630:$E$652,5,FALSE)</f>
        <v>#N/A</v>
      </c>
      <c r="P447" s="80">
        <v>464</v>
      </c>
    </row>
    <row r="448" spans="1:16" x14ac:dyDescent="0.25">
      <c r="A448" s="80">
        <v>16</v>
      </c>
      <c r="B448" s="6">
        <v>3</v>
      </c>
      <c r="C448" s="80">
        <v>30080</v>
      </c>
      <c r="D448" s="80">
        <v>1</v>
      </c>
      <c r="E448" s="80">
        <v>1</v>
      </c>
      <c r="F448" s="80" t="s">
        <v>352</v>
      </c>
      <c r="G448" s="79">
        <v>4.71</v>
      </c>
      <c r="H448" s="79">
        <v>0.37251400000000001</v>
      </c>
      <c r="I448" s="79" t="s">
        <v>163</v>
      </c>
      <c r="J448" s="79" t="s">
        <v>163</v>
      </c>
      <c r="K448" s="83">
        <f>VLOOKUP(ws[[#This Row],[hwycov_id]],count[],4,FALSE)</f>
        <v>16023</v>
      </c>
      <c r="L448" s="115">
        <f>VLOOKUP(ws[[#This Row],[hwycov_id]],flow0[],5,FALSE)</f>
        <v>19845</v>
      </c>
      <c r="M448" s="295">
        <f>ws[[#This Row],[flow]]/ws[[#This Row],[count]]-1</f>
        <v>0.23853211009174302</v>
      </c>
      <c r="N448" s="296">
        <f>POWER((ws[[#This Row],[flow]]-ws[[#This Row],[count]]),2)</f>
        <v>14607684</v>
      </c>
      <c r="O448" s="80" t="e">
        <f>VLOOKUP(ws[[#This Row],[hwycov_id]],count!$A$630:$E$652,5,FALSE)</f>
        <v>#N/A</v>
      </c>
      <c r="P448" s="80">
        <v>465</v>
      </c>
    </row>
    <row r="449" spans="1:16" x14ac:dyDescent="0.25">
      <c r="A449" s="80">
        <v>16</v>
      </c>
      <c r="B449" s="6">
        <v>3</v>
      </c>
      <c r="C449" s="80">
        <v>474</v>
      </c>
      <c r="D449" s="80">
        <v>1</v>
      </c>
      <c r="E449" s="80">
        <v>1</v>
      </c>
      <c r="F449" s="80" t="s">
        <v>352</v>
      </c>
      <c r="G449" s="79">
        <v>5.44</v>
      </c>
      <c r="H449" s="79">
        <v>0.28360400000000002</v>
      </c>
      <c r="I449" s="79" t="s">
        <v>162</v>
      </c>
      <c r="J449" s="79" t="s">
        <v>162</v>
      </c>
      <c r="K449" s="83">
        <f>VLOOKUP(ws[[#This Row],[hwycov_id]],count[],4,FALSE)</f>
        <v>15535</v>
      </c>
      <c r="L449" s="115">
        <f>VLOOKUP(ws[[#This Row],[hwycov_id]],flow0[],5,FALSE)</f>
        <v>19274</v>
      </c>
      <c r="M449" s="295">
        <f>ws[[#This Row],[flow]]/ws[[#This Row],[count]]-1</f>
        <v>0.24068233022207908</v>
      </c>
      <c r="N449" s="296">
        <f>POWER((ws[[#This Row],[flow]]-ws[[#This Row],[count]]),2)</f>
        <v>13980121</v>
      </c>
      <c r="O449" s="80" t="e">
        <f>VLOOKUP(ws[[#This Row],[hwycov_id]],count!$A$630:$E$652,5,FALSE)</f>
        <v>#N/A</v>
      </c>
      <c r="P449" s="80">
        <v>466</v>
      </c>
    </row>
    <row r="450" spans="1:16" x14ac:dyDescent="0.25">
      <c r="A450" s="80">
        <v>16</v>
      </c>
      <c r="B450" s="6">
        <v>3</v>
      </c>
      <c r="C450" s="80">
        <v>8057</v>
      </c>
      <c r="D450" s="80">
        <v>1</v>
      </c>
      <c r="E450" s="80">
        <v>1</v>
      </c>
      <c r="F450" s="80" t="s">
        <v>352</v>
      </c>
      <c r="G450" s="79">
        <v>5.67</v>
      </c>
      <c r="H450" s="79">
        <v>0.23305300000000001</v>
      </c>
      <c r="I450" s="79" t="s">
        <v>162</v>
      </c>
      <c r="J450" s="79" t="s">
        <v>162</v>
      </c>
      <c r="K450" s="83">
        <f>VLOOKUP(ws[[#This Row],[hwycov_id]],count[],4,FALSE)</f>
        <v>15927</v>
      </c>
      <c r="L450" s="115">
        <f>VLOOKUP(ws[[#This Row],[hwycov_id]],flow0[],5,FALSE)</f>
        <v>20114</v>
      </c>
      <c r="M450" s="295">
        <f>ws[[#This Row],[flow]]/ws[[#This Row],[count]]-1</f>
        <v>0.26288692157970739</v>
      </c>
      <c r="N450" s="296">
        <f>POWER((ws[[#This Row],[flow]]-ws[[#This Row],[count]]),2)</f>
        <v>17530969</v>
      </c>
      <c r="O450" s="80" t="e">
        <f>VLOOKUP(ws[[#This Row],[hwycov_id]],count!$A$630:$E$652,5,FALSE)</f>
        <v>#N/A</v>
      </c>
      <c r="P450" s="80">
        <v>467</v>
      </c>
    </row>
    <row r="451" spans="1:16" x14ac:dyDescent="0.25">
      <c r="A451" s="80">
        <v>16</v>
      </c>
      <c r="B451" s="6">
        <v>3</v>
      </c>
      <c r="C451" s="80">
        <v>16430</v>
      </c>
      <c r="D451" s="80">
        <v>1</v>
      </c>
      <c r="E451" s="80">
        <v>1</v>
      </c>
      <c r="F451" s="80" t="s">
        <v>352</v>
      </c>
      <c r="G451" s="79">
        <v>6.45</v>
      </c>
      <c r="H451" s="79">
        <v>4.4137000000000003E-2</v>
      </c>
      <c r="I451" s="79" t="s">
        <v>161</v>
      </c>
      <c r="J451" s="79" t="s">
        <v>161</v>
      </c>
      <c r="K451" s="83">
        <f>VLOOKUP(ws[[#This Row],[hwycov_id]],count[],4,FALSE)</f>
        <v>13288</v>
      </c>
      <c r="L451" s="115">
        <f>VLOOKUP(ws[[#This Row],[hwycov_id]],flow0[],5,FALSE)</f>
        <v>16053</v>
      </c>
      <c r="M451" s="295">
        <f>ws[[#This Row],[flow]]/ws[[#This Row],[count]]-1</f>
        <v>0.20808248043347377</v>
      </c>
      <c r="N451" s="296">
        <f>POWER((ws[[#This Row],[flow]]-ws[[#This Row],[count]]),2)</f>
        <v>7645225</v>
      </c>
      <c r="O451" s="80" t="e">
        <f>VLOOKUP(ws[[#This Row],[hwycov_id]],count!$A$630:$E$652,5,FALSE)</f>
        <v>#N/A</v>
      </c>
      <c r="P451" s="80">
        <v>468</v>
      </c>
    </row>
    <row r="452" spans="1:16" x14ac:dyDescent="0.25">
      <c r="A452" s="80">
        <v>16</v>
      </c>
      <c r="B452" s="6">
        <v>3</v>
      </c>
      <c r="C452" s="80">
        <v>16427</v>
      </c>
      <c r="D452" s="80">
        <v>1</v>
      </c>
      <c r="E452" s="80">
        <v>1</v>
      </c>
      <c r="F452" s="80" t="s">
        <v>352</v>
      </c>
      <c r="G452" s="79">
        <v>6.73</v>
      </c>
      <c r="H452" s="79">
        <v>0.27205000000000001</v>
      </c>
      <c r="I452" s="79" t="s">
        <v>161</v>
      </c>
      <c r="J452" s="79" t="s">
        <v>353</v>
      </c>
      <c r="K452" s="83">
        <f>VLOOKUP(ws[[#This Row],[hwycov_id]],count[],4,FALSE)</f>
        <v>18053</v>
      </c>
      <c r="L452" s="115">
        <f>VLOOKUP(ws[[#This Row],[hwycov_id]],flow0[],5,FALSE)</f>
        <v>16053</v>
      </c>
      <c r="M452" s="295">
        <f>ws[[#This Row],[flow]]/ws[[#This Row],[count]]-1</f>
        <v>-0.1107849110951088</v>
      </c>
      <c r="N452" s="296">
        <f>POWER((ws[[#This Row],[flow]]-ws[[#This Row],[count]]),2)</f>
        <v>4000000</v>
      </c>
      <c r="O452" s="80" t="e">
        <f>VLOOKUP(ws[[#This Row],[hwycov_id]],count!$A$630:$E$652,5,FALSE)</f>
        <v>#N/A</v>
      </c>
      <c r="P452" s="80">
        <v>469</v>
      </c>
    </row>
    <row r="453" spans="1:16" x14ac:dyDescent="0.25">
      <c r="A453" s="80">
        <v>16</v>
      </c>
      <c r="B453" s="6">
        <v>3</v>
      </c>
      <c r="C453" s="80">
        <v>29183</v>
      </c>
      <c r="D453" s="80">
        <v>1</v>
      </c>
      <c r="E453" s="80">
        <v>1</v>
      </c>
      <c r="F453" s="80" t="s">
        <v>352</v>
      </c>
      <c r="G453" s="79">
        <v>7.23</v>
      </c>
      <c r="H453" s="79">
        <v>0.32194400000000001</v>
      </c>
      <c r="I453" s="79" t="s">
        <v>353</v>
      </c>
      <c r="J453" s="79" t="s">
        <v>353</v>
      </c>
      <c r="K453" s="83">
        <f>VLOOKUP(ws[[#This Row],[hwycov_id]],count[],4,FALSE)</f>
        <v>13126</v>
      </c>
      <c r="L453" s="115">
        <f>VLOOKUP(ws[[#This Row],[hwycov_id]],flow0[],5,FALSE)</f>
        <v>18377</v>
      </c>
      <c r="M453" s="295">
        <f>ws[[#This Row],[flow]]/ws[[#This Row],[count]]-1</f>
        <v>0.40004571080298645</v>
      </c>
      <c r="N453" s="296">
        <f>POWER((ws[[#This Row],[flow]]-ws[[#This Row],[count]]),2)</f>
        <v>27573001</v>
      </c>
      <c r="O453" s="80" t="e">
        <f>VLOOKUP(ws[[#This Row],[hwycov_id]],count!$A$630:$E$652,5,FALSE)</f>
        <v>#N/A</v>
      </c>
      <c r="P453" s="80">
        <v>470</v>
      </c>
    </row>
    <row r="454" spans="1:16" x14ac:dyDescent="0.25">
      <c r="A454" s="80">
        <v>16</v>
      </c>
      <c r="B454" s="6">
        <v>3</v>
      </c>
      <c r="C454" s="80">
        <v>3207</v>
      </c>
      <c r="D454" s="80">
        <v>1</v>
      </c>
      <c r="E454" s="80">
        <v>1</v>
      </c>
      <c r="F454" s="80" t="s">
        <v>352</v>
      </c>
      <c r="G454" s="79">
        <v>7.5</v>
      </c>
      <c r="H454" s="79">
        <v>0.275729</v>
      </c>
      <c r="I454" s="79" t="s">
        <v>353</v>
      </c>
      <c r="J454" s="79" t="s">
        <v>160</v>
      </c>
      <c r="K454" s="83">
        <f>VLOOKUP(ws[[#This Row],[hwycov_id]],count[],4,FALSE)</f>
        <v>17701</v>
      </c>
      <c r="L454" s="115">
        <f>VLOOKUP(ws[[#This Row],[hwycov_id]],flow0[],5,FALSE)</f>
        <v>20291</v>
      </c>
      <c r="M454" s="295">
        <f>ws[[#This Row],[flow]]/ws[[#This Row],[count]]-1</f>
        <v>0.14631941698209139</v>
      </c>
      <c r="N454" s="296">
        <f>POWER((ws[[#This Row],[flow]]-ws[[#This Row],[count]]),2)</f>
        <v>6708100</v>
      </c>
      <c r="O454" s="80" t="e">
        <f>VLOOKUP(ws[[#This Row],[hwycov_id]],count!$A$630:$E$652,5,FALSE)</f>
        <v>#N/A</v>
      </c>
      <c r="P454" s="80">
        <v>471</v>
      </c>
    </row>
    <row r="455" spans="1:16" x14ac:dyDescent="0.25">
      <c r="A455" s="80">
        <v>16</v>
      </c>
      <c r="B455" s="6">
        <v>3</v>
      </c>
      <c r="C455" s="80">
        <v>8839</v>
      </c>
      <c r="D455" s="80">
        <v>1</v>
      </c>
      <c r="E455" s="80">
        <v>1</v>
      </c>
      <c r="F455" s="80" t="s">
        <v>352</v>
      </c>
      <c r="G455" s="79">
        <v>8.66</v>
      </c>
      <c r="H455" s="79">
        <v>0.41184799999999999</v>
      </c>
      <c r="I455" s="79" t="s">
        <v>160</v>
      </c>
      <c r="J455" s="79" t="s">
        <v>160</v>
      </c>
      <c r="K455" s="83">
        <f>VLOOKUP(ws[[#This Row],[hwycov_id]],count[],4,FALSE)</f>
        <v>14609</v>
      </c>
      <c r="L455" s="115">
        <f>VLOOKUP(ws[[#This Row],[hwycov_id]],flow0[],5,FALSE)</f>
        <v>17239</v>
      </c>
      <c r="M455" s="295">
        <f>ws[[#This Row],[flow]]/ws[[#This Row],[count]]-1</f>
        <v>0.18002601136285845</v>
      </c>
      <c r="N455" s="296">
        <f>POWER((ws[[#This Row],[flow]]-ws[[#This Row],[count]]),2)</f>
        <v>6916900</v>
      </c>
      <c r="O455" s="80" t="e">
        <f>VLOOKUP(ws[[#This Row],[hwycov_id]],count!$A$630:$E$652,5,FALSE)</f>
        <v>#N/A</v>
      </c>
      <c r="P455" s="80">
        <v>472</v>
      </c>
    </row>
    <row r="456" spans="1:16" x14ac:dyDescent="0.25">
      <c r="A456" s="80">
        <v>16</v>
      </c>
      <c r="B456" s="6">
        <v>3</v>
      </c>
      <c r="C456" s="80">
        <v>8058</v>
      </c>
      <c r="D456" s="80">
        <v>1</v>
      </c>
      <c r="E456" s="80">
        <v>1</v>
      </c>
      <c r="F456" s="80" t="s">
        <v>352</v>
      </c>
      <c r="G456" s="79">
        <v>9.93</v>
      </c>
      <c r="H456" s="79">
        <v>0.346024</v>
      </c>
      <c r="I456" s="79" t="s">
        <v>159</v>
      </c>
      <c r="J456" s="79" t="s">
        <v>159</v>
      </c>
      <c r="K456" s="83">
        <f>VLOOKUP(ws[[#This Row],[hwycov_id]],count[],4,FALSE)</f>
        <v>17400</v>
      </c>
      <c r="L456" s="115">
        <f>VLOOKUP(ws[[#This Row],[hwycov_id]],flow0[],5,FALSE)</f>
        <v>17439</v>
      </c>
      <c r="M456" s="295">
        <f>ws[[#This Row],[flow]]/ws[[#This Row],[count]]-1</f>
        <v>2.2413793103448487E-3</v>
      </c>
      <c r="N456" s="296">
        <f>POWER((ws[[#This Row],[flow]]-ws[[#This Row],[count]]),2)</f>
        <v>1521</v>
      </c>
      <c r="O456" s="80" t="e">
        <f>VLOOKUP(ws[[#This Row],[hwycov_id]],count!$A$630:$E$652,5,FALSE)</f>
        <v>#N/A</v>
      </c>
      <c r="P456" s="80">
        <v>473</v>
      </c>
    </row>
    <row r="457" spans="1:16" x14ac:dyDescent="0.25">
      <c r="A457" s="80">
        <v>16</v>
      </c>
      <c r="B457" s="6">
        <v>3</v>
      </c>
      <c r="C457" s="80">
        <v>8059</v>
      </c>
      <c r="D457" s="80">
        <v>1</v>
      </c>
      <c r="E457" s="80">
        <v>1</v>
      </c>
      <c r="F457" s="80" t="s">
        <v>352</v>
      </c>
      <c r="G457" s="79">
        <v>10.89</v>
      </c>
      <c r="H457" s="79">
        <v>0.44492599999999999</v>
      </c>
      <c r="I457" s="79" t="s">
        <v>158</v>
      </c>
      <c r="J457" s="79" t="s">
        <v>158</v>
      </c>
      <c r="K457" s="83">
        <f>VLOOKUP(ws[[#This Row],[hwycov_id]],count[],4,FALSE)</f>
        <v>15494</v>
      </c>
      <c r="L457" s="115">
        <f>VLOOKUP(ws[[#This Row],[hwycov_id]],flow0[],5,FALSE)</f>
        <v>15109</v>
      </c>
      <c r="M457" s="295">
        <f>ws[[#This Row],[flow]]/ws[[#This Row],[count]]-1</f>
        <v>-2.4848328385181362E-2</v>
      </c>
      <c r="N457" s="296">
        <f>POWER((ws[[#This Row],[flow]]-ws[[#This Row],[count]]),2)</f>
        <v>148225</v>
      </c>
      <c r="O457" s="80" t="e">
        <f>VLOOKUP(ws[[#This Row],[hwycov_id]],count!$A$630:$E$652,5,FALSE)</f>
        <v>#N/A</v>
      </c>
      <c r="P457" s="80">
        <v>474</v>
      </c>
    </row>
    <row r="458" spans="1:16" x14ac:dyDescent="0.25">
      <c r="A458" s="80">
        <v>16</v>
      </c>
      <c r="B458" s="6">
        <v>3</v>
      </c>
      <c r="C458" s="80">
        <v>27248</v>
      </c>
      <c r="D458" s="80">
        <v>1</v>
      </c>
      <c r="E458" s="80">
        <v>1</v>
      </c>
      <c r="F458" s="80" t="s">
        <v>352</v>
      </c>
      <c r="G458" s="79">
        <v>11.62</v>
      </c>
      <c r="H458" s="79">
        <v>0.14317299999999999</v>
      </c>
      <c r="I458" s="79" t="s">
        <v>157</v>
      </c>
      <c r="J458" s="79" t="s">
        <v>157</v>
      </c>
      <c r="K458" s="83">
        <f>VLOOKUP(ws[[#This Row],[hwycov_id]],count[],4,FALSE)</f>
        <v>12296</v>
      </c>
      <c r="L458" s="115">
        <f>VLOOKUP(ws[[#This Row],[hwycov_id]],flow0[],5,FALSE)</f>
        <v>13370</v>
      </c>
      <c r="M458" s="295">
        <f>ws[[#This Row],[flow]]/ws[[#This Row],[count]]-1</f>
        <v>8.7345478204294169E-2</v>
      </c>
      <c r="N458" s="296">
        <f>POWER((ws[[#This Row],[flow]]-ws[[#This Row],[count]]),2)</f>
        <v>1153476</v>
      </c>
      <c r="O458" s="80" t="e">
        <f>VLOOKUP(ws[[#This Row],[hwycov_id]],count!$A$630:$E$652,5,FALSE)</f>
        <v>#N/A</v>
      </c>
      <c r="P458" s="80">
        <v>475</v>
      </c>
    </row>
    <row r="459" spans="1:16" x14ac:dyDescent="0.25">
      <c r="A459" s="80">
        <v>16</v>
      </c>
      <c r="B459" s="6">
        <v>3</v>
      </c>
      <c r="C459" s="80">
        <v>28849</v>
      </c>
      <c r="D459" s="80">
        <v>1</v>
      </c>
      <c r="E459" s="80">
        <v>1</v>
      </c>
      <c r="F459" s="80" t="s">
        <v>352</v>
      </c>
      <c r="G459" s="79">
        <v>11.9</v>
      </c>
      <c r="H459" s="79">
        <v>0.27986</v>
      </c>
      <c r="I459" s="79" t="s">
        <v>157</v>
      </c>
      <c r="J459" s="79" t="s">
        <v>157</v>
      </c>
      <c r="K459" s="83">
        <f>VLOOKUP(ws[[#This Row],[hwycov_id]],count[],4,FALSE)</f>
        <v>14271</v>
      </c>
      <c r="L459" s="115">
        <f>VLOOKUP(ws[[#This Row],[hwycov_id]],flow0[],5,FALSE)</f>
        <v>14548</v>
      </c>
      <c r="M459" s="295">
        <f>ws[[#This Row],[flow]]/ws[[#This Row],[count]]-1</f>
        <v>1.9409992292060751E-2</v>
      </c>
      <c r="N459" s="296">
        <f>POWER((ws[[#This Row],[flow]]-ws[[#This Row],[count]]),2)</f>
        <v>76729</v>
      </c>
      <c r="O459" s="80" t="e">
        <f>VLOOKUP(ws[[#This Row],[hwycov_id]],count!$A$630:$E$652,5,FALSE)</f>
        <v>#N/A</v>
      </c>
      <c r="P459" s="80">
        <v>476</v>
      </c>
    </row>
    <row r="460" spans="1:16" x14ac:dyDescent="0.25">
      <c r="A460" s="80">
        <v>16</v>
      </c>
      <c r="B460" s="6">
        <v>3</v>
      </c>
      <c r="C460" s="80">
        <v>12578</v>
      </c>
      <c r="D460" s="80">
        <v>1</v>
      </c>
      <c r="E460" s="80">
        <v>1</v>
      </c>
      <c r="F460" s="80" t="s">
        <v>352</v>
      </c>
      <c r="G460" s="79">
        <v>14.25</v>
      </c>
      <c r="H460" s="79">
        <v>0.26233299999999998</v>
      </c>
      <c r="I460" s="79" t="s">
        <v>111</v>
      </c>
      <c r="J460" s="79" t="s">
        <v>111</v>
      </c>
      <c r="K460" s="83">
        <f>VLOOKUP(ws[[#This Row],[hwycov_id]],count[],4,FALSE)</f>
        <v>11619</v>
      </c>
      <c r="L460" s="115">
        <f>VLOOKUP(ws[[#This Row],[hwycov_id]],flow0[],5,FALSE)</f>
        <v>11273</v>
      </c>
      <c r="M460" s="295">
        <f>ws[[#This Row],[flow]]/ws[[#This Row],[count]]-1</f>
        <v>-2.9778810568895753E-2</v>
      </c>
      <c r="N460" s="296">
        <f>POWER((ws[[#This Row],[flow]]-ws[[#This Row],[count]]),2)</f>
        <v>119716</v>
      </c>
      <c r="O460" s="80" t="e">
        <f>VLOOKUP(ws[[#This Row],[hwycov_id]],count!$A$630:$E$652,5,FALSE)</f>
        <v>#N/A</v>
      </c>
      <c r="P460" s="80">
        <v>478</v>
      </c>
    </row>
    <row r="461" spans="1:16" x14ac:dyDescent="0.25">
      <c r="A461" s="80">
        <v>16</v>
      </c>
      <c r="B461" s="6">
        <v>3</v>
      </c>
      <c r="C461" s="80">
        <v>12579</v>
      </c>
      <c r="D461" s="80">
        <v>1</v>
      </c>
      <c r="E461" s="80">
        <v>1</v>
      </c>
      <c r="F461" s="80" t="s">
        <v>352</v>
      </c>
      <c r="G461" s="79">
        <v>14.57</v>
      </c>
      <c r="H461" s="79">
        <v>0.32336300000000001</v>
      </c>
      <c r="I461" s="79" t="s">
        <v>111</v>
      </c>
      <c r="J461" s="79" t="s">
        <v>155</v>
      </c>
      <c r="K461" s="83">
        <f>VLOOKUP(ws[[#This Row],[hwycov_id]],count[],4,FALSE)</f>
        <v>13550</v>
      </c>
      <c r="L461" s="115">
        <f>VLOOKUP(ws[[#This Row],[hwycov_id]],flow0[],5,FALSE)</f>
        <v>12740</v>
      </c>
      <c r="M461" s="295">
        <f>ws[[#This Row],[flow]]/ws[[#This Row],[count]]-1</f>
        <v>-5.9778597785977827E-2</v>
      </c>
      <c r="N461" s="296">
        <f>POWER((ws[[#This Row],[flow]]-ws[[#This Row],[count]]),2)</f>
        <v>656100</v>
      </c>
      <c r="O461" s="80" t="e">
        <f>VLOOKUP(ws[[#This Row],[hwycov_id]],count!$A$630:$E$652,5,FALSE)</f>
        <v>#N/A</v>
      </c>
      <c r="P461" s="80">
        <v>479</v>
      </c>
    </row>
    <row r="462" spans="1:16" x14ac:dyDescent="0.25">
      <c r="A462" s="80">
        <v>16</v>
      </c>
      <c r="B462" s="6">
        <v>3</v>
      </c>
      <c r="C462" s="80">
        <v>12571</v>
      </c>
      <c r="D462" s="80">
        <v>1</v>
      </c>
      <c r="E462" s="80">
        <v>1</v>
      </c>
      <c r="F462" s="80" t="s">
        <v>352</v>
      </c>
      <c r="G462" s="79">
        <v>15.9</v>
      </c>
      <c r="H462" s="79">
        <v>0.62539900000000004</v>
      </c>
      <c r="I462" s="79" t="s">
        <v>354</v>
      </c>
      <c r="J462" s="79" t="s">
        <v>154</v>
      </c>
      <c r="K462" s="83">
        <f>VLOOKUP(ws[[#This Row],[hwycov_id]],count[],4,FALSE)</f>
        <v>15506</v>
      </c>
      <c r="L462" s="115">
        <f>VLOOKUP(ws[[#This Row],[hwycov_id]],flow0[],5,FALSE)</f>
        <v>14175</v>
      </c>
      <c r="M462" s="295">
        <f>ws[[#This Row],[flow]]/ws[[#This Row],[count]]-1</f>
        <v>-8.5837740229588566E-2</v>
      </c>
      <c r="N462" s="296">
        <f>POWER((ws[[#This Row],[flow]]-ws[[#This Row],[count]]),2)</f>
        <v>1771561</v>
      </c>
      <c r="O462" s="80" t="e">
        <f>VLOOKUP(ws[[#This Row],[hwycov_id]],count!$A$630:$E$652,5,FALSE)</f>
        <v>#N/A</v>
      </c>
      <c r="P462" s="80">
        <v>480</v>
      </c>
    </row>
    <row r="463" spans="1:16" x14ac:dyDescent="0.25">
      <c r="A463" s="80">
        <v>16</v>
      </c>
      <c r="B463" s="6">
        <v>3</v>
      </c>
      <c r="C463" s="80">
        <v>28540</v>
      </c>
      <c r="D463" s="80">
        <v>1</v>
      </c>
      <c r="E463" s="80">
        <v>1</v>
      </c>
      <c r="F463" s="80" t="s">
        <v>352</v>
      </c>
      <c r="G463" s="79">
        <v>16.38</v>
      </c>
      <c r="H463" s="79">
        <v>0.47662599999999999</v>
      </c>
      <c r="I463" s="79" t="s">
        <v>154</v>
      </c>
      <c r="J463" s="79" t="s">
        <v>154</v>
      </c>
      <c r="K463" s="83">
        <f>VLOOKUP(ws[[#This Row],[hwycov_id]],count[],4,FALSE)</f>
        <v>11378</v>
      </c>
      <c r="L463" s="115">
        <f>VLOOKUP(ws[[#This Row],[hwycov_id]],flow0[],5,FALSE)</f>
        <v>11398</v>
      </c>
      <c r="M463" s="295">
        <f>ws[[#This Row],[flow]]/ws[[#This Row],[count]]-1</f>
        <v>1.7577781683950633E-3</v>
      </c>
      <c r="N463" s="296">
        <f>POWER((ws[[#This Row],[flow]]-ws[[#This Row],[count]]),2)</f>
        <v>400</v>
      </c>
      <c r="O463" s="80" t="e">
        <f>VLOOKUP(ws[[#This Row],[hwycov_id]],count!$A$630:$E$652,5,FALSE)</f>
        <v>#N/A</v>
      </c>
      <c r="P463" s="80">
        <v>481</v>
      </c>
    </row>
    <row r="464" spans="1:16" x14ac:dyDescent="0.25">
      <c r="A464" s="80">
        <v>16</v>
      </c>
      <c r="B464" s="6">
        <v>3</v>
      </c>
      <c r="C464" s="80">
        <v>27543</v>
      </c>
      <c r="D464" s="80">
        <v>1</v>
      </c>
      <c r="E464" s="80">
        <v>1</v>
      </c>
      <c r="F464" s="80" t="s">
        <v>352</v>
      </c>
      <c r="G464" s="79">
        <v>16.559999999999999</v>
      </c>
      <c r="H464" s="79">
        <v>0.18470200000000001</v>
      </c>
      <c r="I464" s="79" t="s">
        <v>154</v>
      </c>
      <c r="J464" s="79" t="s">
        <v>153</v>
      </c>
      <c r="K464" s="83">
        <f>VLOOKUP(ws[[#This Row],[hwycov_id]],count[],4,FALSE)</f>
        <v>13713</v>
      </c>
      <c r="L464" s="115">
        <f>VLOOKUP(ws[[#This Row],[hwycov_id]],flow0[],5,FALSE)</f>
        <v>12449</v>
      </c>
      <c r="M464" s="295">
        <f>ws[[#This Row],[flow]]/ws[[#This Row],[count]]-1</f>
        <v>-9.217530810180119E-2</v>
      </c>
      <c r="N464" s="296">
        <f>POWER((ws[[#This Row],[flow]]-ws[[#This Row],[count]]),2)</f>
        <v>1597696</v>
      </c>
      <c r="O464" s="80" t="e">
        <f>VLOOKUP(ws[[#This Row],[hwycov_id]],count!$A$630:$E$652,5,FALSE)</f>
        <v>#N/A</v>
      </c>
      <c r="P464" s="80">
        <v>482</v>
      </c>
    </row>
    <row r="465" spans="1:16" x14ac:dyDescent="0.25">
      <c r="A465" s="80">
        <v>16</v>
      </c>
      <c r="B465" s="6">
        <v>3</v>
      </c>
      <c r="C465" s="80">
        <v>28534</v>
      </c>
      <c r="D465" s="80">
        <v>1</v>
      </c>
      <c r="E465" s="80">
        <v>1</v>
      </c>
      <c r="F465" s="80" t="s">
        <v>352</v>
      </c>
      <c r="G465" s="79">
        <v>17.05</v>
      </c>
      <c r="H465" s="79">
        <v>0.482124</v>
      </c>
      <c r="I465" s="79" t="s">
        <v>153</v>
      </c>
      <c r="J465" s="79" t="s">
        <v>153</v>
      </c>
      <c r="K465" s="83">
        <f>VLOOKUP(ws[[#This Row],[hwycov_id]],count[],4,FALSE)</f>
        <v>11505</v>
      </c>
      <c r="L465" s="115">
        <f>VLOOKUP(ws[[#This Row],[hwycov_id]],flow0[],5,FALSE)</f>
        <v>11072</v>
      </c>
      <c r="M465" s="295">
        <f>ws[[#This Row],[flow]]/ws[[#This Row],[count]]-1</f>
        <v>-3.7635810517166468E-2</v>
      </c>
      <c r="N465" s="296">
        <f>POWER((ws[[#This Row],[flow]]-ws[[#This Row],[count]]),2)</f>
        <v>187489</v>
      </c>
      <c r="O465" s="80" t="e">
        <f>VLOOKUP(ws[[#This Row],[hwycov_id]],count!$A$630:$E$652,5,FALSE)</f>
        <v>#N/A</v>
      </c>
      <c r="P465" s="80">
        <v>483</v>
      </c>
    </row>
    <row r="466" spans="1:16" x14ac:dyDescent="0.25">
      <c r="A466" s="80">
        <v>16</v>
      </c>
      <c r="B466" s="6">
        <v>3</v>
      </c>
      <c r="C466" s="80">
        <v>12547</v>
      </c>
      <c r="D466" s="80">
        <v>1</v>
      </c>
      <c r="E466" s="80">
        <v>1</v>
      </c>
      <c r="F466" s="80" t="s">
        <v>352</v>
      </c>
      <c r="G466" s="79">
        <v>17.28</v>
      </c>
      <c r="H466" s="79">
        <v>0.23197499999999999</v>
      </c>
      <c r="I466" s="79" t="s">
        <v>153</v>
      </c>
      <c r="J466" s="79" t="s">
        <v>39</v>
      </c>
      <c r="K466" s="83">
        <f>VLOOKUP(ws[[#This Row],[hwycov_id]],count[],4,FALSE)</f>
        <v>11342</v>
      </c>
      <c r="L466" s="115">
        <f>VLOOKUP(ws[[#This Row],[hwycov_id]],flow0[],5,FALSE)</f>
        <v>11972</v>
      </c>
      <c r="M466" s="295">
        <f>ws[[#This Row],[flow]]/ws[[#This Row],[count]]-1</f>
        <v>5.5545759125374738E-2</v>
      </c>
      <c r="N466" s="296">
        <f>POWER((ws[[#This Row],[flow]]-ws[[#This Row],[count]]),2)</f>
        <v>396900</v>
      </c>
      <c r="O466" s="80" t="e">
        <f>VLOOKUP(ws[[#This Row],[hwycov_id]],count!$A$630:$E$652,5,FALSE)</f>
        <v>#N/A</v>
      </c>
      <c r="P466" s="80">
        <v>484</v>
      </c>
    </row>
    <row r="467" spans="1:16" x14ac:dyDescent="0.25">
      <c r="A467" s="80">
        <v>17</v>
      </c>
      <c r="B467" s="6">
        <v>3</v>
      </c>
      <c r="C467" s="80">
        <v>27223</v>
      </c>
      <c r="D467" s="80">
        <v>1</v>
      </c>
      <c r="E467" s="80">
        <v>1</v>
      </c>
      <c r="F467" s="80" t="s">
        <v>355</v>
      </c>
      <c r="G467" s="79">
        <v>0.8</v>
      </c>
      <c r="H467" s="79">
        <v>0.62554600000000005</v>
      </c>
      <c r="I467" s="79" t="s">
        <v>194</v>
      </c>
      <c r="J467" s="79" t="s">
        <v>356</v>
      </c>
      <c r="K467" s="83">
        <f>VLOOKUP(ws[[#This Row],[hwycov_id]],count[],4,FALSE)</f>
        <v>8170</v>
      </c>
      <c r="L467" s="115">
        <f>VLOOKUP(ws[[#This Row],[hwycov_id]],flow0[],5,FALSE)</f>
        <v>8977</v>
      </c>
      <c r="M467" s="295">
        <f>ws[[#This Row],[flow]]/ws[[#This Row],[count]]-1</f>
        <v>9.8776009791921693E-2</v>
      </c>
      <c r="N467" s="296">
        <f>POWER((ws[[#This Row],[flow]]-ws[[#This Row],[count]]),2)</f>
        <v>651249</v>
      </c>
      <c r="O467" s="80" t="e">
        <f>VLOOKUP(ws[[#This Row],[hwycov_id]],count!$A$630:$E$652,5,FALSE)</f>
        <v>#N/A</v>
      </c>
      <c r="P467" s="80">
        <v>485</v>
      </c>
    </row>
    <row r="468" spans="1:16" x14ac:dyDescent="0.25">
      <c r="A468" s="80">
        <v>17</v>
      </c>
      <c r="B468" s="6">
        <v>3</v>
      </c>
      <c r="C468" s="80">
        <v>27241</v>
      </c>
      <c r="D468" s="80">
        <v>1</v>
      </c>
      <c r="E468" s="80">
        <v>1</v>
      </c>
      <c r="F468" s="80" t="s">
        <v>355</v>
      </c>
      <c r="G468" s="79">
        <v>1.84</v>
      </c>
      <c r="H468" s="79">
        <v>0.51246700000000001</v>
      </c>
      <c r="I468" s="79" t="s">
        <v>356</v>
      </c>
      <c r="J468" s="79" t="s">
        <v>357</v>
      </c>
      <c r="K468" s="83">
        <f>VLOOKUP(ws[[#This Row],[hwycov_id]],count[],4,FALSE)</f>
        <v>8710</v>
      </c>
      <c r="L468" s="115">
        <f>VLOOKUP(ws[[#This Row],[hwycov_id]],flow0[],5,FALSE)</f>
        <v>9371</v>
      </c>
      <c r="M468" s="295">
        <f>ws[[#This Row],[flow]]/ws[[#This Row],[count]]-1</f>
        <v>7.5889781859931116E-2</v>
      </c>
      <c r="N468" s="296">
        <f>POWER((ws[[#This Row],[flow]]-ws[[#This Row],[count]]),2)</f>
        <v>436921</v>
      </c>
      <c r="O468" s="80" t="e">
        <f>VLOOKUP(ws[[#This Row],[hwycov_id]],count!$A$630:$E$652,5,FALSE)</f>
        <v>#N/A</v>
      </c>
      <c r="P468" s="80">
        <v>486</v>
      </c>
    </row>
    <row r="469" spans="1:16" x14ac:dyDescent="0.25">
      <c r="A469" s="80">
        <v>17</v>
      </c>
      <c r="B469" s="6">
        <v>3</v>
      </c>
      <c r="C469" s="80">
        <v>15277</v>
      </c>
      <c r="D469" s="80">
        <v>1</v>
      </c>
      <c r="E469" s="80">
        <v>1</v>
      </c>
      <c r="F469" s="80" t="s">
        <v>355</v>
      </c>
      <c r="G469" s="79">
        <v>3.23</v>
      </c>
      <c r="H469" s="79">
        <v>0.50083900000000003</v>
      </c>
      <c r="I469" s="79" t="s">
        <v>358</v>
      </c>
      <c r="J469" s="79" t="s">
        <v>359</v>
      </c>
      <c r="K469" s="83">
        <f>VLOOKUP(ws[[#This Row],[hwycov_id]],count[],4,FALSE)</f>
        <v>7448</v>
      </c>
      <c r="L469" s="115">
        <f>VLOOKUP(ws[[#This Row],[hwycov_id]],flow0[],5,FALSE)</f>
        <v>11226</v>
      </c>
      <c r="M469" s="295">
        <f>ws[[#This Row],[flow]]/ws[[#This Row],[count]]-1</f>
        <v>0.50725026852846411</v>
      </c>
      <c r="N469" s="296">
        <f>POWER((ws[[#This Row],[flow]]-ws[[#This Row],[count]]),2)</f>
        <v>14273284</v>
      </c>
      <c r="O469" s="80" t="e">
        <f>VLOOKUP(ws[[#This Row],[hwycov_id]],count!$A$630:$E$652,5,FALSE)</f>
        <v>#N/A</v>
      </c>
      <c r="P469" s="80">
        <v>487</v>
      </c>
    </row>
    <row r="470" spans="1:16" x14ac:dyDescent="0.25">
      <c r="A470" s="80">
        <v>17</v>
      </c>
      <c r="B470" s="6">
        <v>3</v>
      </c>
      <c r="C470" s="80">
        <v>11123</v>
      </c>
      <c r="D470" s="80">
        <v>1</v>
      </c>
      <c r="E470" s="80">
        <v>1</v>
      </c>
      <c r="F470" s="80" t="s">
        <v>355</v>
      </c>
      <c r="G470" s="79">
        <v>3.7</v>
      </c>
      <c r="H470" s="79">
        <v>0.469912</v>
      </c>
      <c r="I470" s="79" t="s">
        <v>359</v>
      </c>
      <c r="J470" s="79" t="s">
        <v>197</v>
      </c>
      <c r="K470" s="83">
        <f>VLOOKUP(ws[[#This Row],[hwycov_id]],count[],4,FALSE)</f>
        <v>7477</v>
      </c>
      <c r="L470" s="115">
        <f>VLOOKUP(ws[[#This Row],[hwycov_id]],flow0[],5,FALSE)</f>
        <v>11226</v>
      </c>
      <c r="M470" s="295">
        <f>ws[[#This Row],[flow]]/ws[[#This Row],[count]]-1</f>
        <v>0.50140430654005619</v>
      </c>
      <c r="N470" s="296">
        <f>POWER((ws[[#This Row],[flow]]-ws[[#This Row],[count]]),2)</f>
        <v>14055001</v>
      </c>
      <c r="O470" s="80" t="e">
        <f>VLOOKUP(ws[[#This Row],[hwycov_id]],count!$A$630:$E$652,5,FALSE)</f>
        <v>#N/A</v>
      </c>
      <c r="P470" s="80">
        <v>488</v>
      </c>
    </row>
    <row r="471" spans="1:16" x14ac:dyDescent="0.25">
      <c r="A471" s="80">
        <v>17</v>
      </c>
      <c r="B471" s="6">
        <v>3</v>
      </c>
      <c r="C471" s="80">
        <v>7501</v>
      </c>
      <c r="D471" s="80">
        <v>1</v>
      </c>
      <c r="E471" s="80">
        <v>1</v>
      </c>
      <c r="F471" s="80" t="s">
        <v>355</v>
      </c>
      <c r="G471" s="79">
        <v>4.1900000000000004</v>
      </c>
      <c r="H471" s="79">
        <v>0.49053000000000002</v>
      </c>
      <c r="I471" s="79" t="s">
        <v>197</v>
      </c>
      <c r="J471" s="79" t="s">
        <v>197</v>
      </c>
      <c r="K471" s="83">
        <f>VLOOKUP(ws[[#This Row],[hwycov_id]],count[],4,FALSE)</f>
        <v>6319</v>
      </c>
      <c r="L471" s="115">
        <f>VLOOKUP(ws[[#This Row],[hwycov_id]],flow0[],5,FALSE)</f>
        <v>10821</v>
      </c>
      <c r="M471" s="295">
        <f>ws[[#This Row],[flow]]/ws[[#This Row],[count]]-1</f>
        <v>0.71245450229466689</v>
      </c>
      <c r="N471" s="296">
        <f>POWER((ws[[#This Row],[flow]]-ws[[#This Row],[count]]),2)</f>
        <v>20268004</v>
      </c>
      <c r="O471" s="80" t="e">
        <f>VLOOKUP(ws[[#This Row],[hwycov_id]],count!$A$630:$E$652,5,FALSE)</f>
        <v>#N/A</v>
      </c>
      <c r="P471" s="80">
        <v>489</v>
      </c>
    </row>
    <row r="472" spans="1:16" x14ac:dyDescent="0.25">
      <c r="A472" s="80">
        <v>17</v>
      </c>
      <c r="B472" s="6">
        <v>3</v>
      </c>
      <c r="C472" s="80">
        <v>15238</v>
      </c>
      <c r="D472" s="80">
        <v>1</v>
      </c>
      <c r="E472" s="80">
        <v>1</v>
      </c>
      <c r="F472" s="80" t="s">
        <v>355</v>
      </c>
      <c r="G472" s="79">
        <v>4.68</v>
      </c>
      <c r="H472" s="79">
        <v>0.493618</v>
      </c>
      <c r="I472" s="79" t="s">
        <v>197</v>
      </c>
      <c r="J472" s="79" t="s">
        <v>196</v>
      </c>
      <c r="K472" s="83">
        <f>VLOOKUP(ws[[#This Row],[hwycov_id]],count[],4,FALSE)</f>
        <v>7702</v>
      </c>
      <c r="L472" s="115">
        <f>VLOOKUP(ws[[#This Row],[hwycov_id]],flow0[],5,FALSE)</f>
        <v>13450</v>
      </c>
      <c r="M472" s="295">
        <f>ws[[#This Row],[flow]]/ws[[#This Row],[count]]-1</f>
        <v>0.74629966242534396</v>
      </c>
      <c r="N472" s="296">
        <f>POWER((ws[[#This Row],[flow]]-ws[[#This Row],[count]]),2)</f>
        <v>33039504</v>
      </c>
      <c r="O472" s="80" t="e">
        <f>VLOOKUP(ws[[#This Row],[hwycov_id]],count!$A$630:$E$652,5,FALSE)</f>
        <v>#N/A</v>
      </c>
      <c r="P472" s="80">
        <v>490</v>
      </c>
    </row>
    <row r="473" spans="1:16" x14ac:dyDescent="0.25">
      <c r="A473" s="80">
        <v>17</v>
      </c>
      <c r="B473" s="6">
        <v>3</v>
      </c>
      <c r="C473" s="80">
        <v>8103</v>
      </c>
      <c r="D473" s="80">
        <v>1</v>
      </c>
      <c r="E473" s="80">
        <v>1</v>
      </c>
      <c r="F473" s="80" t="s">
        <v>355</v>
      </c>
      <c r="G473" s="79">
        <v>8.3800000000000008</v>
      </c>
      <c r="H473" s="79">
        <v>1.136239</v>
      </c>
      <c r="I473" s="79" t="s">
        <v>197</v>
      </c>
      <c r="J473" s="79" t="s">
        <v>196</v>
      </c>
      <c r="K473" s="83">
        <f>VLOOKUP(ws[[#This Row],[hwycov_id]],count[],4,FALSE)</f>
        <v>7547</v>
      </c>
      <c r="L473" s="115">
        <f>VLOOKUP(ws[[#This Row],[hwycov_id]],flow0[],5,FALSE)</f>
        <v>13450</v>
      </c>
      <c r="M473" s="295">
        <f>ws[[#This Row],[flow]]/ws[[#This Row],[count]]-1</f>
        <v>0.78216509871472106</v>
      </c>
      <c r="N473" s="296">
        <f>POWER((ws[[#This Row],[flow]]-ws[[#This Row],[count]]),2)</f>
        <v>34845409</v>
      </c>
      <c r="O473" s="80" t="e">
        <f>VLOOKUP(ws[[#This Row],[hwycov_id]],count!$A$630:$E$652,5,FALSE)</f>
        <v>#N/A</v>
      </c>
      <c r="P473" s="80">
        <v>491</v>
      </c>
    </row>
    <row r="474" spans="1:16" x14ac:dyDescent="0.25">
      <c r="A474" s="80">
        <v>17</v>
      </c>
      <c r="B474" s="6">
        <v>3</v>
      </c>
      <c r="C474" s="80">
        <v>25938</v>
      </c>
      <c r="D474" s="80">
        <v>1</v>
      </c>
      <c r="E474" s="80">
        <v>1</v>
      </c>
      <c r="F474" s="80" t="s">
        <v>355</v>
      </c>
      <c r="G474" s="79">
        <v>9.11</v>
      </c>
      <c r="H474" s="79">
        <v>0.37203199999999997</v>
      </c>
      <c r="I474" s="79" t="s">
        <v>196</v>
      </c>
      <c r="J474" s="79" t="s">
        <v>168</v>
      </c>
      <c r="K474" s="83">
        <f>VLOOKUP(ws[[#This Row],[hwycov_id]],count[],4,FALSE)</f>
        <v>7928</v>
      </c>
      <c r="L474" s="115">
        <f>VLOOKUP(ws[[#This Row],[hwycov_id]],flow0[],5,FALSE)</f>
        <v>14515</v>
      </c>
      <c r="M474" s="295">
        <f>ws[[#This Row],[flow]]/ws[[#This Row],[count]]-1</f>
        <v>0.83085267406659935</v>
      </c>
      <c r="N474" s="296">
        <f>POWER((ws[[#This Row],[flow]]-ws[[#This Row],[count]]),2)</f>
        <v>43388569</v>
      </c>
      <c r="O474" s="80" t="e">
        <f>VLOOKUP(ws[[#This Row],[hwycov_id]],count!$A$630:$E$652,5,FALSE)</f>
        <v>#N/A</v>
      </c>
      <c r="P474" s="80">
        <v>492</v>
      </c>
    </row>
    <row r="475" spans="1:16" x14ac:dyDescent="0.25">
      <c r="A475" s="80">
        <v>17</v>
      </c>
      <c r="B475" s="6">
        <v>3</v>
      </c>
      <c r="C475" s="80">
        <v>9029</v>
      </c>
      <c r="D475" s="80">
        <v>1</v>
      </c>
      <c r="E475" s="80">
        <v>1</v>
      </c>
      <c r="F475" s="80" t="s">
        <v>355</v>
      </c>
      <c r="G475" s="79">
        <v>9.57</v>
      </c>
      <c r="H475" s="79">
        <v>0.45604</v>
      </c>
      <c r="I475" s="79" t="s">
        <v>196</v>
      </c>
      <c r="J475" s="79" t="s">
        <v>168</v>
      </c>
      <c r="K475" s="83">
        <f>VLOOKUP(ws[[#This Row],[hwycov_id]],count[],4,FALSE)</f>
        <v>8432</v>
      </c>
      <c r="L475" s="115">
        <f>VLOOKUP(ws[[#This Row],[hwycov_id]],flow0[],5,FALSE)</f>
        <v>14515</v>
      </c>
      <c r="M475" s="295">
        <f>ws[[#This Row],[flow]]/ws[[#This Row],[count]]-1</f>
        <v>0.72141840607210628</v>
      </c>
      <c r="N475" s="296">
        <f>POWER((ws[[#This Row],[flow]]-ws[[#This Row],[count]]),2)</f>
        <v>37002889</v>
      </c>
      <c r="O475" s="80" t="e">
        <f>VLOOKUP(ws[[#This Row],[hwycov_id]],count!$A$630:$E$652,5,FALSE)</f>
        <v>#N/A</v>
      </c>
      <c r="P475" s="80">
        <v>493</v>
      </c>
    </row>
    <row r="476" spans="1:16" x14ac:dyDescent="0.25">
      <c r="A476" s="80">
        <v>17</v>
      </c>
      <c r="B476" s="6">
        <v>3</v>
      </c>
      <c r="C476" s="80">
        <v>23867</v>
      </c>
      <c r="D476" s="80">
        <v>1</v>
      </c>
      <c r="E476" s="80">
        <v>1</v>
      </c>
      <c r="F476" s="80" t="s">
        <v>355</v>
      </c>
      <c r="G476" s="79">
        <v>10.119999999999999</v>
      </c>
      <c r="H476" s="79">
        <v>0.50429599999999997</v>
      </c>
      <c r="I476" s="79" t="s">
        <v>168</v>
      </c>
      <c r="J476" s="79" t="s">
        <v>47</v>
      </c>
      <c r="K476" s="83">
        <f>VLOOKUP(ws[[#This Row],[hwycov_id]],count[],4,FALSE)</f>
        <v>6012</v>
      </c>
      <c r="L476" s="115">
        <f>VLOOKUP(ws[[#This Row],[hwycov_id]],flow0[],5,FALSE)</f>
        <v>7752</v>
      </c>
      <c r="M476" s="295">
        <f>ws[[#This Row],[flow]]/ws[[#This Row],[count]]-1</f>
        <v>0.28942115768463084</v>
      </c>
      <c r="N476" s="296">
        <f>POWER((ws[[#This Row],[flow]]-ws[[#This Row],[count]]),2)</f>
        <v>3027600</v>
      </c>
      <c r="O476" s="80" t="e">
        <f>VLOOKUP(ws[[#This Row],[hwycov_id]],count!$A$630:$E$652,5,FALSE)</f>
        <v>#N/A</v>
      </c>
      <c r="P476" s="80">
        <v>494</v>
      </c>
    </row>
    <row r="477" spans="1:16" x14ac:dyDescent="0.25">
      <c r="A477" s="80">
        <v>17</v>
      </c>
      <c r="B477" s="6">
        <v>3</v>
      </c>
      <c r="C477" s="80">
        <v>24091</v>
      </c>
      <c r="D477" s="80">
        <v>1</v>
      </c>
      <c r="E477" s="80">
        <v>1</v>
      </c>
      <c r="F477" s="80" t="s">
        <v>355</v>
      </c>
      <c r="G477" s="79">
        <v>11.74</v>
      </c>
      <c r="H477" s="79">
        <v>0.39160200000000001</v>
      </c>
      <c r="I477" s="79" t="s">
        <v>360</v>
      </c>
      <c r="J477" s="79" t="s">
        <v>360</v>
      </c>
      <c r="K477" s="83">
        <f>VLOOKUP(ws[[#This Row],[hwycov_id]],count[],4,FALSE)</f>
        <v>11348</v>
      </c>
      <c r="L477" s="115">
        <f>VLOOKUP(ws[[#This Row],[hwycov_id]],flow0[],5,FALSE)</f>
        <v>13596</v>
      </c>
      <c r="M477" s="295">
        <f>ws[[#This Row],[flow]]/ws[[#This Row],[count]]-1</f>
        <v>0.1980965808953119</v>
      </c>
      <c r="N477" s="296">
        <f>POWER((ws[[#This Row],[flow]]-ws[[#This Row],[count]]),2)</f>
        <v>5053504</v>
      </c>
      <c r="O477" s="80" t="e">
        <f>VLOOKUP(ws[[#This Row],[hwycov_id]],count!$A$630:$E$652,5,FALSE)</f>
        <v>#N/A</v>
      </c>
      <c r="P477" s="80">
        <v>495</v>
      </c>
    </row>
    <row r="478" spans="1:16" x14ac:dyDescent="0.25">
      <c r="A478" s="80">
        <v>17</v>
      </c>
      <c r="B478" s="6">
        <v>3</v>
      </c>
      <c r="C478" s="80">
        <v>11106</v>
      </c>
      <c r="D478" s="80">
        <v>1</v>
      </c>
      <c r="E478" s="80">
        <v>1</v>
      </c>
      <c r="F478" s="80" t="s">
        <v>355</v>
      </c>
      <c r="G478" s="79">
        <v>12.11</v>
      </c>
      <c r="H478" s="79">
        <v>0.371417</v>
      </c>
      <c r="I478" s="79" t="s">
        <v>360</v>
      </c>
      <c r="J478" s="79" t="s">
        <v>360</v>
      </c>
      <c r="K478" s="83">
        <f>VLOOKUP(ws[[#This Row],[hwycov_id]],count[],4,FALSE)</f>
        <v>11783</v>
      </c>
      <c r="L478" s="115">
        <f>VLOOKUP(ws[[#This Row],[hwycov_id]],flow0[],5,FALSE)</f>
        <v>13596</v>
      </c>
      <c r="M478" s="295">
        <f>ws[[#This Row],[flow]]/ws[[#This Row],[count]]-1</f>
        <v>0.15386573877620302</v>
      </c>
      <c r="N478" s="296">
        <f>POWER((ws[[#This Row],[flow]]-ws[[#This Row],[count]]),2)</f>
        <v>3286969</v>
      </c>
      <c r="O478" s="80" t="e">
        <f>VLOOKUP(ws[[#This Row],[hwycov_id]],count!$A$630:$E$652,5,FALSE)</f>
        <v>#N/A</v>
      </c>
      <c r="P478" s="80">
        <v>496</v>
      </c>
    </row>
    <row r="479" spans="1:16" x14ac:dyDescent="0.25">
      <c r="A479" s="80">
        <v>17</v>
      </c>
      <c r="B479" s="6">
        <v>3</v>
      </c>
      <c r="C479" s="80">
        <v>15157</v>
      </c>
      <c r="D479" s="80">
        <v>1</v>
      </c>
      <c r="E479" s="80">
        <v>1</v>
      </c>
      <c r="F479" s="80" t="s">
        <v>355</v>
      </c>
      <c r="G479" s="79">
        <v>14.68</v>
      </c>
      <c r="H479" s="79">
        <v>0.81691499999999995</v>
      </c>
      <c r="I479" s="79" t="s">
        <v>48</v>
      </c>
      <c r="J479" s="79" t="s">
        <v>88</v>
      </c>
      <c r="K479" s="83">
        <f>VLOOKUP(ws[[#This Row],[hwycov_id]],count[],4,FALSE)</f>
        <v>11107</v>
      </c>
      <c r="L479" s="115">
        <f>VLOOKUP(ws[[#This Row],[hwycov_id]],flow0[],5,FALSE)</f>
        <v>12033</v>
      </c>
      <c r="M479" s="295">
        <f>ws[[#This Row],[flow]]/ws[[#This Row],[count]]-1</f>
        <v>8.3370847213468879E-2</v>
      </c>
      <c r="N479" s="296">
        <f>POWER((ws[[#This Row],[flow]]-ws[[#This Row],[count]]),2)</f>
        <v>857476</v>
      </c>
      <c r="O479" s="80" t="e">
        <f>VLOOKUP(ws[[#This Row],[hwycov_id]],count!$A$630:$E$652,5,FALSE)</f>
        <v>#N/A</v>
      </c>
      <c r="P479" s="80">
        <v>498</v>
      </c>
    </row>
    <row r="480" spans="1:16" x14ac:dyDescent="0.25">
      <c r="A480" s="80">
        <v>17</v>
      </c>
      <c r="B480" s="6">
        <v>3</v>
      </c>
      <c r="C480" s="80">
        <v>28868</v>
      </c>
      <c r="D480" s="80">
        <v>1</v>
      </c>
      <c r="E480" s="80">
        <v>1</v>
      </c>
      <c r="F480" s="80" t="s">
        <v>355</v>
      </c>
      <c r="G480" s="79">
        <v>15.27</v>
      </c>
      <c r="H480" s="79">
        <v>0.59176600000000001</v>
      </c>
      <c r="I480" s="79" t="s">
        <v>88</v>
      </c>
      <c r="J480" s="79" t="s">
        <v>88</v>
      </c>
      <c r="K480" s="83">
        <f>VLOOKUP(ws[[#This Row],[hwycov_id]],count[],4,FALSE)</f>
        <v>8758</v>
      </c>
      <c r="L480" s="115">
        <f>VLOOKUP(ws[[#This Row],[hwycov_id]],flow0[],5,FALSE)</f>
        <v>8118</v>
      </c>
      <c r="M480" s="295">
        <f>ws[[#This Row],[flow]]/ws[[#This Row],[count]]-1</f>
        <v>-7.3076044759077363E-2</v>
      </c>
      <c r="N480" s="296">
        <f>POWER((ws[[#This Row],[flow]]-ws[[#This Row],[count]]),2)</f>
        <v>409600</v>
      </c>
      <c r="O480" s="80" t="e">
        <f>VLOOKUP(ws[[#This Row],[hwycov_id]],count!$A$630:$E$652,5,FALSE)</f>
        <v>#N/A</v>
      </c>
      <c r="P480" s="80">
        <v>499</v>
      </c>
    </row>
    <row r="481" spans="1:16" x14ac:dyDescent="0.25">
      <c r="A481" s="80">
        <v>17</v>
      </c>
      <c r="B481" s="6">
        <v>3</v>
      </c>
      <c r="C481" s="80">
        <v>28280</v>
      </c>
      <c r="D481" s="80">
        <v>1</v>
      </c>
      <c r="E481" s="80">
        <v>1</v>
      </c>
      <c r="F481" s="80" t="s">
        <v>355</v>
      </c>
      <c r="G481" s="79">
        <v>15.59</v>
      </c>
      <c r="H481" s="79">
        <v>0.31775399999999998</v>
      </c>
      <c r="I481" s="79" t="s">
        <v>88</v>
      </c>
      <c r="J481" s="79" t="s">
        <v>195</v>
      </c>
      <c r="K481" s="83">
        <f>VLOOKUP(ws[[#This Row],[hwycov_id]],count[],4,FALSE)</f>
        <v>10159</v>
      </c>
      <c r="L481" s="115">
        <f>VLOOKUP(ws[[#This Row],[hwycov_id]],flow0[],5,FALSE)</f>
        <v>10214</v>
      </c>
      <c r="M481" s="295">
        <f>ws[[#This Row],[flow]]/ws[[#This Row],[count]]-1</f>
        <v>5.413918692784625E-3</v>
      </c>
      <c r="N481" s="296">
        <f>POWER((ws[[#This Row],[flow]]-ws[[#This Row],[count]]),2)</f>
        <v>3025</v>
      </c>
      <c r="O481" s="80" t="e">
        <f>VLOOKUP(ws[[#This Row],[hwycov_id]],count!$A$630:$E$652,5,FALSE)</f>
        <v>#N/A</v>
      </c>
      <c r="P481" s="80">
        <v>500</v>
      </c>
    </row>
    <row r="482" spans="1:16" x14ac:dyDescent="0.25">
      <c r="A482" s="80">
        <v>17</v>
      </c>
      <c r="B482" s="6">
        <v>3</v>
      </c>
      <c r="C482" s="80">
        <v>28279</v>
      </c>
      <c r="D482" s="80">
        <v>1</v>
      </c>
      <c r="E482" s="80">
        <v>1</v>
      </c>
      <c r="F482" s="80" t="s">
        <v>355</v>
      </c>
      <c r="G482" s="79">
        <v>16.079999999999998</v>
      </c>
      <c r="H482" s="79">
        <v>0.49579200000000001</v>
      </c>
      <c r="I482" s="79" t="s">
        <v>195</v>
      </c>
      <c r="J482" s="79" t="s">
        <v>195</v>
      </c>
      <c r="K482" s="83">
        <f>VLOOKUP(ws[[#This Row],[hwycov_id]],count[],4,FALSE)</f>
        <v>7752</v>
      </c>
      <c r="L482" s="115">
        <f>VLOOKUP(ws[[#This Row],[hwycov_id]],flow0[],5,FALSE)</f>
        <v>8464</v>
      </c>
      <c r="M482" s="295">
        <f>ws[[#This Row],[flow]]/ws[[#This Row],[count]]-1</f>
        <v>9.1847265221878249E-2</v>
      </c>
      <c r="N482" s="296">
        <f>POWER((ws[[#This Row],[flow]]-ws[[#This Row],[count]]),2)</f>
        <v>506944</v>
      </c>
      <c r="O482" s="80" t="e">
        <f>VLOOKUP(ws[[#This Row],[hwycov_id]],count!$A$630:$E$652,5,FALSE)</f>
        <v>#N/A</v>
      </c>
      <c r="P482" s="80">
        <v>501</v>
      </c>
    </row>
    <row r="483" spans="1:16" x14ac:dyDescent="0.25">
      <c r="A483" s="80">
        <v>18</v>
      </c>
      <c r="B483" s="6">
        <v>3</v>
      </c>
      <c r="C483" s="80">
        <v>14176</v>
      </c>
      <c r="D483" s="80">
        <v>1</v>
      </c>
      <c r="E483" s="80">
        <v>1</v>
      </c>
      <c r="F483" s="80" t="s">
        <v>361</v>
      </c>
      <c r="G483" s="79">
        <v>1.1599999999999999</v>
      </c>
      <c r="H483" s="79">
        <v>0.87552399999999997</v>
      </c>
      <c r="I483" s="79" t="s">
        <v>182</v>
      </c>
      <c r="J483" s="79" t="s">
        <v>362</v>
      </c>
      <c r="K483" s="83">
        <f>VLOOKUP(ws[[#This Row],[hwycov_id]],count[],4,FALSE)</f>
        <v>13806</v>
      </c>
      <c r="L483" s="115">
        <f>VLOOKUP(ws[[#This Row],[hwycov_id]],flow0[],5,FALSE)</f>
        <v>12431</v>
      </c>
      <c r="M483" s="295">
        <f>ws[[#This Row],[flow]]/ws[[#This Row],[count]]-1</f>
        <v>-9.9594379255396159E-2</v>
      </c>
      <c r="N483" s="296">
        <f>POWER((ws[[#This Row],[flow]]-ws[[#This Row],[count]]),2)</f>
        <v>1890625</v>
      </c>
      <c r="O483" s="80" t="e">
        <f>VLOOKUP(ws[[#This Row],[hwycov_id]],count!$A$630:$E$652,5,FALSE)</f>
        <v>#N/A</v>
      </c>
      <c r="P483" s="80">
        <v>502</v>
      </c>
    </row>
    <row r="484" spans="1:16" x14ac:dyDescent="0.25">
      <c r="A484" s="80">
        <v>18</v>
      </c>
      <c r="B484" s="6">
        <v>3</v>
      </c>
      <c r="C484" s="80">
        <v>14144</v>
      </c>
      <c r="D484" s="80">
        <v>1</v>
      </c>
      <c r="E484" s="80">
        <v>1</v>
      </c>
      <c r="F484" s="80" t="s">
        <v>361</v>
      </c>
      <c r="G484" s="79">
        <v>2.1800000000000002</v>
      </c>
      <c r="H484" s="79">
        <v>0.40980100000000003</v>
      </c>
      <c r="I484" s="79" t="s">
        <v>363</v>
      </c>
      <c r="J484" s="79" t="s">
        <v>363</v>
      </c>
      <c r="K484" s="83">
        <f>VLOOKUP(ws[[#This Row],[hwycov_id]],count[],4,FALSE)</f>
        <v>14051</v>
      </c>
      <c r="L484" s="115">
        <f>VLOOKUP(ws[[#This Row],[hwycov_id]],flow0[],5,FALSE)</f>
        <v>10539</v>
      </c>
      <c r="M484" s="295">
        <f>ws[[#This Row],[flow]]/ws[[#This Row],[count]]-1</f>
        <v>-0.24994662301615544</v>
      </c>
      <c r="N484" s="296">
        <f>POWER((ws[[#This Row],[flow]]-ws[[#This Row],[count]]),2)</f>
        <v>12334144</v>
      </c>
      <c r="O484" s="80" t="e">
        <f>VLOOKUP(ws[[#This Row],[hwycov_id]],count!$A$630:$E$652,5,FALSE)</f>
        <v>#N/A</v>
      </c>
      <c r="P484" s="80">
        <v>503</v>
      </c>
    </row>
    <row r="485" spans="1:16" x14ac:dyDescent="0.25">
      <c r="A485" s="80">
        <v>18</v>
      </c>
      <c r="B485" s="6">
        <v>3</v>
      </c>
      <c r="C485" s="80">
        <v>14142</v>
      </c>
      <c r="D485" s="80">
        <v>1</v>
      </c>
      <c r="E485" s="80">
        <v>1</v>
      </c>
      <c r="F485" s="80" t="s">
        <v>361</v>
      </c>
      <c r="G485" s="79">
        <v>3.05</v>
      </c>
      <c r="H485" s="79">
        <v>0.87054399999999998</v>
      </c>
      <c r="I485" s="79" t="s">
        <v>363</v>
      </c>
      <c r="J485" s="79" t="s">
        <v>29</v>
      </c>
      <c r="K485" s="83">
        <f>VLOOKUP(ws[[#This Row],[hwycov_id]],count[],4,FALSE)</f>
        <v>15144</v>
      </c>
      <c r="L485" s="115">
        <f>VLOOKUP(ws[[#This Row],[hwycov_id]],flow0[],5,FALSE)</f>
        <v>11979</v>
      </c>
      <c r="M485" s="295">
        <f>ws[[#This Row],[flow]]/ws[[#This Row],[count]]-1</f>
        <v>-0.20899366085578452</v>
      </c>
      <c r="N485" s="296">
        <f>POWER((ws[[#This Row],[flow]]-ws[[#This Row],[count]]),2)</f>
        <v>10017225</v>
      </c>
      <c r="O485" s="80" t="e">
        <f>VLOOKUP(ws[[#This Row],[hwycov_id]],count!$A$630:$E$652,5,FALSE)</f>
        <v>#N/A</v>
      </c>
      <c r="P485" s="80">
        <v>504</v>
      </c>
    </row>
    <row r="486" spans="1:16" x14ac:dyDescent="0.25">
      <c r="A486" s="80">
        <v>18</v>
      </c>
      <c r="B486" s="6">
        <v>3</v>
      </c>
      <c r="C486" s="80">
        <v>28675</v>
      </c>
      <c r="D486" s="80">
        <v>1</v>
      </c>
      <c r="E486" s="80">
        <v>1</v>
      </c>
      <c r="F486" s="80" t="s">
        <v>361</v>
      </c>
      <c r="G486" s="79">
        <v>3.4</v>
      </c>
      <c r="H486" s="79">
        <v>0.34659600000000002</v>
      </c>
      <c r="I486" s="79" t="s">
        <v>29</v>
      </c>
      <c r="J486" s="79" t="s">
        <v>29</v>
      </c>
      <c r="K486" s="83">
        <f>VLOOKUP(ws[[#This Row],[hwycov_id]],count[],4,FALSE)</f>
        <v>13551</v>
      </c>
      <c r="L486" s="115">
        <f>VLOOKUP(ws[[#This Row],[hwycov_id]],flow0[],5,FALSE)</f>
        <v>10398</v>
      </c>
      <c r="M486" s="295">
        <f>ws[[#This Row],[flow]]/ws[[#This Row],[count]]-1</f>
        <v>-0.23267655523577591</v>
      </c>
      <c r="N486" s="296">
        <f>POWER((ws[[#This Row],[flow]]-ws[[#This Row],[count]]),2)</f>
        <v>9941409</v>
      </c>
      <c r="O486" s="80" t="e">
        <f>VLOOKUP(ws[[#This Row],[hwycov_id]],count!$A$630:$E$652,5,FALSE)</f>
        <v>#N/A</v>
      </c>
      <c r="P486" s="80">
        <v>505</v>
      </c>
    </row>
    <row r="487" spans="1:16" x14ac:dyDescent="0.25">
      <c r="A487" s="80">
        <v>18</v>
      </c>
      <c r="B487" s="6">
        <v>3</v>
      </c>
      <c r="C487" s="80">
        <v>28677</v>
      </c>
      <c r="D487" s="80">
        <v>1</v>
      </c>
      <c r="E487" s="80">
        <v>1</v>
      </c>
      <c r="F487" s="80" t="s">
        <v>361</v>
      </c>
      <c r="G487" s="79">
        <v>3.93</v>
      </c>
      <c r="H487" s="79">
        <v>0.52870399999999995</v>
      </c>
      <c r="I487" s="79" t="s">
        <v>29</v>
      </c>
      <c r="J487" s="79" t="s">
        <v>19</v>
      </c>
      <c r="K487" s="83">
        <f>VLOOKUP(ws[[#This Row],[hwycov_id]],count[],4,FALSE)</f>
        <v>15465</v>
      </c>
      <c r="L487" s="115">
        <f>VLOOKUP(ws[[#This Row],[hwycov_id]],flow0[],5,FALSE)</f>
        <v>11597</v>
      </c>
      <c r="M487" s="295">
        <f>ws[[#This Row],[flow]]/ws[[#This Row],[count]]-1</f>
        <v>-0.25011315874555451</v>
      </c>
      <c r="N487" s="296">
        <f>POWER((ws[[#This Row],[flow]]-ws[[#This Row],[count]]),2)</f>
        <v>14961424</v>
      </c>
      <c r="O487" s="80" t="e">
        <f>VLOOKUP(ws[[#This Row],[hwycov_id]],count!$A$630:$E$652,5,FALSE)</f>
        <v>#N/A</v>
      </c>
      <c r="P487" s="80">
        <v>506</v>
      </c>
    </row>
    <row r="488" spans="1:16" x14ac:dyDescent="0.25">
      <c r="A488" s="80">
        <v>18</v>
      </c>
      <c r="B488" s="6">
        <v>3</v>
      </c>
      <c r="C488" s="80">
        <v>27956</v>
      </c>
      <c r="D488" s="80">
        <v>1</v>
      </c>
      <c r="E488" s="80">
        <v>1</v>
      </c>
      <c r="F488" s="80" t="s">
        <v>361</v>
      </c>
      <c r="G488" s="79">
        <v>5.79</v>
      </c>
      <c r="H488" s="79">
        <v>0.12158099999999999</v>
      </c>
      <c r="I488" s="79" t="s">
        <v>364</v>
      </c>
      <c r="J488" s="79" t="s">
        <v>39</v>
      </c>
      <c r="K488" s="83">
        <f>VLOOKUP(ws[[#This Row],[hwycov_id]],count[],4,FALSE)</f>
        <v>10619</v>
      </c>
      <c r="L488" s="115">
        <f>VLOOKUP(ws[[#This Row],[hwycov_id]],flow0[],5,FALSE)</f>
        <v>9112</v>
      </c>
      <c r="M488" s="295">
        <f>ws[[#This Row],[flow]]/ws[[#This Row],[count]]-1</f>
        <v>-0.14191543459836142</v>
      </c>
      <c r="N488" s="296">
        <f>POWER((ws[[#This Row],[flow]]-ws[[#This Row],[count]]),2)</f>
        <v>2271049</v>
      </c>
      <c r="O488" s="80" t="e">
        <f>VLOOKUP(ws[[#This Row],[hwycov_id]],count!$A$630:$E$652,5,FALSE)</f>
        <v>#N/A</v>
      </c>
      <c r="P488" s="80">
        <v>507</v>
      </c>
    </row>
    <row r="489" spans="1:16" x14ac:dyDescent="0.25">
      <c r="A489" s="80">
        <v>19</v>
      </c>
      <c r="B489" s="6">
        <v>3</v>
      </c>
      <c r="C489" s="80">
        <v>7664</v>
      </c>
      <c r="D489" s="80">
        <v>1</v>
      </c>
      <c r="E489" s="80">
        <v>1</v>
      </c>
      <c r="F489" s="80" t="s">
        <v>365</v>
      </c>
      <c r="G489" s="79">
        <v>1.01</v>
      </c>
      <c r="H489" s="79">
        <v>0.71487000000000001</v>
      </c>
      <c r="I489" s="79" t="s">
        <v>167</v>
      </c>
      <c r="J489" s="79" t="s">
        <v>45</v>
      </c>
      <c r="K489" s="83">
        <f>VLOOKUP(ws[[#This Row],[hwycov_id]],count[],4,FALSE)</f>
        <v>8119</v>
      </c>
      <c r="L489" s="115">
        <f>VLOOKUP(ws[[#This Row],[hwycov_id]],flow0[],5,FALSE)</f>
        <v>9220</v>
      </c>
      <c r="M489" s="295">
        <f>ws[[#This Row],[flow]]/ws[[#This Row],[count]]-1</f>
        <v>0.1356078334770292</v>
      </c>
      <c r="N489" s="296">
        <f>POWER((ws[[#This Row],[flow]]-ws[[#This Row],[count]]),2)</f>
        <v>1212201</v>
      </c>
      <c r="O489" s="80" t="e">
        <f>VLOOKUP(ws[[#This Row],[hwycov_id]],count!$A$630:$E$652,5,FALSE)</f>
        <v>#N/A</v>
      </c>
      <c r="P489" s="80">
        <v>508</v>
      </c>
    </row>
    <row r="490" spans="1:16" x14ac:dyDescent="0.25">
      <c r="A490" s="80">
        <v>19</v>
      </c>
      <c r="B490" s="6">
        <v>3</v>
      </c>
      <c r="C490" s="80">
        <v>11382</v>
      </c>
      <c r="D490" s="80">
        <v>1</v>
      </c>
      <c r="E490" s="80">
        <v>1</v>
      </c>
      <c r="F490" s="80" t="s">
        <v>365</v>
      </c>
      <c r="G490" s="79">
        <v>1.77</v>
      </c>
      <c r="H490" s="79">
        <v>0.37152099999999999</v>
      </c>
      <c r="I490" s="79" t="s">
        <v>45</v>
      </c>
      <c r="J490" s="79" t="s">
        <v>366</v>
      </c>
      <c r="K490" s="83">
        <f>VLOOKUP(ws[[#This Row],[hwycov_id]],count[],4,FALSE)</f>
        <v>8306</v>
      </c>
      <c r="L490" s="115">
        <f>VLOOKUP(ws[[#This Row],[hwycov_id]],flow0[],5,FALSE)</f>
        <v>8404</v>
      </c>
      <c r="M490" s="295">
        <f>ws[[#This Row],[flow]]/ws[[#This Row],[count]]-1</f>
        <v>1.1798699735131146E-2</v>
      </c>
      <c r="N490" s="296">
        <f>POWER((ws[[#This Row],[flow]]-ws[[#This Row],[count]]),2)</f>
        <v>9604</v>
      </c>
      <c r="O490" s="80" t="e">
        <f>VLOOKUP(ws[[#This Row],[hwycov_id]],count!$A$630:$E$652,5,FALSE)</f>
        <v>#N/A</v>
      </c>
      <c r="P490" s="80">
        <v>509</v>
      </c>
    </row>
    <row r="491" spans="1:16" x14ac:dyDescent="0.25">
      <c r="A491" s="80">
        <v>19</v>
      </c>
      <c r="B491" s="6">
        <v>3</v>
      </c>
      <c r="C491" s="80">
        <v>16352</v>
      </c>
      <c r="D491" s="80">
        <v>1</v>
      </c>
      <c r="E491" s="80">
        <v>1</v>
      </c>
      <c r="F491" s="80" t="s">
        <v>365</v>
      </c>
      <c r="G491" s="79">
        <v>3.22</v>
      </c>
      <c r="H491" s="79">
        <v>0.87712999999999997</v>
      </c>
      <c r="I491" s="79" t="s">
        <v>366</v>
      </c>
      <c r="J491" s="79" t="s">
        <v>173</v>
      </c>
      <c r="K491" s="83">
        <f>VLOOKUP(ws[[#This Row],[hwycov_id]],count[],4,FALSE)</f>
        <v>7385</v>
      </c>
      <c r="L491" s="115">
        <f>VLOOKUP(ws[[#This Row],[hwycov_id]],flow0[],5,FALSE)</f>
        <v>8803</v>
      </c>
      <c r="M491" s="295">
        <f>ws[[#This Row],[flow]]/ws[[#This Row],[count]]-1</f>
        <v>0.19201083276912656</v>
      </c>
      <c r="N491" s="296">
        <f>POWER((ws[[#This Row],[flow]]-ws[[#This Row],[count]]),2)</f>
        <v>2010724</v>
      </c>
      <c r="O491" s="80" t="e">
        <f>VLOOKUP(ws[[#This Row],[hwycov_id]],count!$A$630:$E$652,5,FALSE)</f>
        <v>#N/A</v>
      </c>
      <c r="P491" s="80">
        <v>510</v>
      </c>
    </row>
    <row r="492" spans="1:16" x14ac:dyDescent="0.25">
      <c r="A492" s="80">
        <v>19</v>
      </c>
      <c r="B492" s="6">
        <v>3</v>
      </c>
      <c r="C492" s="80">
        <v>29172</v>
      </c>
      <c r="D492" s="80">
        <v>1</v>
      </c>
      <c r="E492" s="80">
        <v>1</v>
      </c>
      <c r="F492" s="80" t="s">
        <v>365</v>
      </c>
      <c r="G492" s="79">
        <v>3.86</v>
      </c>
      <c r="H492" s="79">
        <v>0.24367</v>
      </c>
      <c r="I492" s="79" t="s">
        <v>173</v>
      </c>
      <c r="J492" s="79" t="s">
        <v>173</v>
      </c>
      <c r="K492" s="83">
        <f>VLOOKUP(ws[[#This Row],[hwycov_id]],count[],4,FALSE)</f>
        <v>4817</v>
      </c>
      <c r="L492" s="115">
        <f>VLOOKUP(ws[[#This Row],[hwycov_id]],flow0[],5,FALSE)</f>
        <v>6463</v>
      </c>
      <c r="M492" s="295">
        <f>ws[[#This Row],[flow]]/ws[[#This Row],[count]]-1</f>
        <v>0.34170645630060204</v>
      </c>
      <c r="N492" s="296">
        <f>POWER((ws[[#This Row],[flow]]-ws[[#This Row],[count]]),2)</f>
        <v>2709316</v>
      </c>
      <c r="O492" s="80" t="e">
        <f>VLOOKUP(ws[[#This Row],[hwycov_id]],count!$A$630:$E$652,5,FALSE)</f>
        <v>#N/A</v>
      </c>
      <c r="P492" s="80">
        <v>511</v>
      </c>
    </row>
    <row r="493" spans="1:16" x14ac:dyDescent="0.25">
      <c r="A493" s="80">
        <v>19</v>
      </c>
      <c r="B493" s="6">
        <v>3</v>
      </c>
      <c r="C493" s="80">
        <v>16351</v>
      </c>
      <c r="D493" s="80">
        <v>1</v>
      </c>
      <c r="E493" s="80">
        <v>1</v>
      </c>
      <c r="F493" s="80" t="s">
        <v>365</v>
      </c>
      <c r="G493" s="79">
        <v>5.21</v>
      </c>
      <c r="H493" s="79">
        <v>0.55983099999999997</v>
      </c>
      <c r="I493" s="79" t="s">
        <v>173</v>
      </c>
      <c r="J493" s="79" t="s">
        <v>172</v>
      </c>
      <c r="K493" s="83">
        <f>VLOOKUP(ws[[#This Row],[hwycov_id]],count[],4,FALSE)</f>
        <v>5728</v>
      </c>
      <c r="L493" s="115">
        <f>VLOOKUP(ws[[#This Row],[hwycov_id]],flow0[],5,FALSE)</f>
        <v>7464</v>
      </c>
      <c r="M493" s="295">
        <f>ws[[#This Row],[flow]]/ws[[#This Row],[count]]-1</f>
        <v>0.30307262569832405</v>
      </c>
      <c r="N493" s="296">
        <f>POWER((ws[[#This Row],[flow]]-ws[[#This Row],[count]]),2)</f>
        <v>3013696</v>
      </c>
      <c r="O493" s="80" t="e">
        <f>VLOOKUP(ws[[#This Row],[hwycov_id]],count!$A$630:$E$652,5,FALSE)</f>
        <v>#N/A</v>
      </c>
      <c r="P493" s="80">
        <v>512</v>
      </c>
    </row>
    <row r="494" spans="1:16" x14ac:dyDescent="0.25">
      <c r="A494" s="80">
        <v>19</v>
      </c>
      <c r="B494" s="6">
        <v>3</v>
      </c>
      <c r="C494" s="80">
        <v>16358</v>
      </c>
      <c r="D494" s="80">
        <v>1</v>
      </c>
      <c r="E494" s="80">
        <v>1</v>
      </c>
      <c r="F494" s="80" t="s">
        <v>365</v>
      </c>
      <c r="G494" s="79">
        <v>6.2</v>
      </c>
      <c r="H494" s="79">
        <v>0.990228</v>
      </c>
      <c r="I494" s="79" t="s">
        <v>173</v>
      </c>
      <c r="J494" s="79" t="s">
        <v>172</v>
      </c>
      <c r="K494" s="83">
        <f>VLOOKUP(ws[[#This Row],[hwycov_id]],count[],4,FALSE)</f>
        <v>5188</v>
      </c>
      <c r="L494" s="115">
        <f>VLOOKUP(ws[[#This Row],[hwycov_id]],flow0[],5,FALSE)</f>
        <v>7464</v>
      </c>
      <c r="M494" s="295">
        <f>ws[[#This Row],[flow]]/ws[[#This Row],[count]]-1</f>
        <v>0.43870470316114107</v>
      </c>
      <c r="N494" s="296">
        <f>POWER((ws[[#This Row],[flow]]-ws[[#This Row],[count]]),2)</f>
        <v>5180176</v>
      </c>
      <c r="O494" s="80" t="e">
        <f>VLOOKUP(ws[[#This Row],[hwycov_id]],count!$A$630:$E$652,5,FALSE)</f>
        <v>#N/A</v>
      </c>
      <c r="P494" s="80">
        <v>513</v>
      </c>
    </row>
    <row r="495" spans="1:16" x14ac:dyDescent="0.25">
      <c r="A495" s="80">
        <v>19</v>
      </c>
      <c r="B495" s="6">
        <v>3</v>
      </c>
      <c r="C495" s="80">
        <v>16359</v>
      </c>
      <c r="D495" s="80">
        <v>1</v>
      </c>
      <c r="E495" s="80">
        <v>1</v>
      </c>
      <c r="F495" s="80" t="s">
        <v>365</v>
      </c>
      <c r="G495" s="79">
        <v>6.94</v>
      </c>
      <c r="H495" s="79">
        <v>0.74179499999999998</v>
      </c>
      <c r="I495" s="79" t="s">
        <v>172</v>
      </c>
      <c r="J495" s="79" t="s">
        <v>172</v>
      </c>
      <c r="K495" s="83">
        <f>VLOOKUP(ws[[#This Row],[hwycov_id]],count[],4,FALSE)</f>
        <v>4893</v>
      </c>
      <c r="L495" s="115">
        <f>VLOOKUP(ws[[#This Row],[hwycov_id]],flow0[],5,FALSE)</f>
        <v>6501</v>
      </c>
      <c r="M495" s="295">
        <f>ws[[#This Row],[flow]]/ws[[#This Row],[count]]-1</f>
        <v>0.32863274064990811</v>
      </c>
      <c r="N495" s="296">
        <f>POWER((ws[[#This Row],[flow]]-ws[[#This Row],[count]]),2)</f>
        <v>2585664</v>
      </c>
      <c r="O495" s="80" t="e">
        <f>VLOOKUP(ws[[#This Row],[hwycov_id]],count!$A$630:$E$652,5,FALSE)</f>
        <v>#N/A</v>
      </c>
      <c r="P495" s="80">
        <v>514</v>
      </c>
    </row>
    <row r="496" spans="1:16" x14ac:dyDescent="0.25">
      <c r="A496" s="80">
        <v>19</v>
      </c>
      <c r="B496" s="6">
        <v>3</v>
      </c>
      <c r="C496" s="80">
        <v>16357</v>
      </c>
      <c r="D496" s="80">
        <v>1</v>
      </c>
      <c r="E496" s="80">
        <v>1</v>
      </c>
      <c r="F496" s="80" t="s">
        <v>365</v>
      </c>
      <c r="G496" s="79">
        <v>7.58</v>
      </c>
      <c r="H496" s="79">
        <v>0.63719999999999999</v>
      </c>
      <c r="I496" s="79" t="s">
        <v>172</v>
      </c>
      <c r="J496" s="79" t="s">
        <v>171</v>
      </c>
      <c r="K496" s="83">
        <f>VLOOKUP(ws[[#This Row],[hwycov_id]],count[],4,FALSE)</f>
        <v>5886</v>
      </c>
      <c r="L496" s="115">
        <f>VLOOKUP(ws[[#This Row],[hwycov_id]],flow0[],5,FALSE)</f>
        <v>8015</v>
      </c>
      <c r="M496" s="295">
        <f>ws[[#This Row],[flow]]/ws[[#This Row],[count]]-1</f>
        <v>0.36170574243968745</v>
      </c>
      <c r="N496" s="296">
        <f>POWER((ws[[#This Row],[flow]]-ws[[#This Row],[count]]),2)</f>
        <v>4532641</v>
      </c>
      <c r="O496" s="80" t="e">
        <f>VLOOKUP(ws[[#This Row],[hwycov_id]],count!$A$630:$E$652,5,FALSE)</f>
        <v>#N/A</v>
      </c>
      <c r="P496" s="80">
        <v>515</v>
      </c>
    </row>
    <row r="497" spans="1:16" x14ac:dyDescent="0.25">
      <c r="A497" s="80">
        <v>19</v>
      </c>
      <c r="B497" s="6">
        <v>3</v>
      </c>
      <c r="C497" s="80">
        <v>29167</v>
      </c>
      <c r="D497" s="80">
        <v>1</v>
      </c>
      <c r="E497" s="80">
        <v>1</v>
      </c>
      <c r="F497" s="80" t="s">
        <v>365</v>
      </c>
      <c r="G497" s="79">
        <v>7.95</v>
      </c>
      <c r="H497" s="79">
        <v>0.37774799999999997</v>
      </c>
      <c r="I497" s="79" t="s">
        <v>171</v>
      </c>
      <c r="J497" s="79" t="s">
        <v>171</v>
      </c>
      <c r="K497" s="83">
        <f>VLOOKUP(ws[[#This Row],[hwycov_id]],count[],4,FALSE)</f>
        <v>5055</v>
      </c>
      <c r="L497" s="115">
        <f>VLOOKUP(ws[[#This Row],[hwycov_id]],flow0[],5,FALSE)</f>
        <v>6398</v>
      </c>
      <c r="M497" s="295">
        <f>ws[[#This Row],[flow]]/ws[[#This Row],[count]]-1</f>
        <v>0.26567754698318491</v>
      </c>
      <c r="N497" s="296">
        <f>POWER((ws[[#This Row],[flow]]-ws[[#This Row],[count]]),2)</f>
        <v>1803649</v>
      </c>
      <c r="O497" s="80" t="e">
        <f>VLOOKUP(ws[[#This Row],[hwycov_id]],count!$A$630:$E$652,5,FALSE)</f>
        <v>#N/A</v>
      </c>
      <c r="P497" s="80">
        <v>516</v>
      </c>
    </row>
    <row r="498" spans="1:16" x14ac:dyDescent="0.25">
      <c r="A498" s="80">
        <v>19</v>
      </c>
      <c r="B498" s="6">
        <v>3</v>
      </c>
      <c r="C498" s="80">
        <v>8647</v>
      </c>
      <c r="D498" s="80">
        <v>1</v>
      </c>
      <c r="E498" s="80">
        <v>1</v>
      </c>
      <c r="F498" s="80" t="s">
        <v>365</v>
      </c>
      <c r="G498" s="79">
        <v>8.61</v>
      </c>
      <c r="H498" s="79">
        <v>0.65446400000000005</v>
      </c>
      <c r="I498" s="79" t="s">
        <v>171</v>
      </c>
      <c r="J498" s="79" t="s">
        <v>170</v>
      </c>
      <c r="K498" s="83">
        <f>VLOOKUP(ws[[#This Row],[hwycov_id]],count[],4,FALSE)</f>
        <v>6492</v>
      </c>
      <c r="L498" s="115">
        <f>VLOOKUP(ws[[#This Row],[hwycov_id]],flow0[],5,FALSE)</f>
        <v>7831</v>
      </c>
      <c r="M498" s="295">
        <f>ws[[#This Row],[flow]]/ws[[#This Row],[count]]-1</f>
        <v>0.20625385089340731</v>
      </c>
      <c r="N498" s="296">
        <f>POWER((ws[[#This Row],[flow]]-ws[[#This Row],[count]]),2)</f>
        <v>1792921</v>
      </c>
      <c r="O498" s="80" t="e">
        <f>VLOOKUP(ws[[#This Row],[hwycov_id]],count!$A$630:$E$652,5,FALSE)</f>
        <v>#N/A</v>
      </c>
      <c r="P498" s="80">
        <v>517</v>
      </c>
    </row>
    <row r="499" spans="1:16" x14ac:dyDescent="0.25">
      <c r="A499" s="80">
        <v>19</v>
      </c>
      <c r="B499" s="6">
        <v>3</v>
      </c>
      <c r="C499" s="80">
        <v>457</v>
      </c>
      <c r="D499" s="80">
        <v>1</v>
      </c>
      <c r="E499" s="80">
        <v>1</v>
      </c>
      <c r="F499" s="80" t="s">
        <v>365</v>
      </c>
      <c r="G499" s="79">
        <v>8.77</v>
      </c>
      <c r="H499" s="79">
        <v>0.16256599999999999</v>
      </c>
      <c r="I499" s="79" t="s">
        <v>170</v>
      </c>
      <c r="J499" s="79" t="s">
        <v>170</v>
      </c>
      <c r="K499" s="83">
        <f>VLOOKUP(ws[[#This Row],[hwycov_id]],count[],4,FALSE)</f>
        <v>5706</v>
      </c>
      <c r="L499" s="115">
        <f>VLOOKUP(ws[[#This Row],[hwycov_id]],flow0[],5,FALSE)</f>
        <v>7045</v>
      </c>
      <c r="M499" s="295">
        <f>ws[[#This Row],[flow]]/ws[[#This Row],[count]]-1</f>
        <v>0.23466526463371884</v>
      </c>
      <c r="N499" s="296">
        <f>POWER((ws[[#This Row],[flow]]-ws[[#This Row],[count]]),2)</f>
        <v>1792921</v>
      </c>
      <c r="O499" s="80" t="e">
        <f>VLOOKUP(ws[[#This Row],[hwycov_id]],count!$A$630:$E$652,5,FALSE)</f>
        <v>#N/A</v>
      </c>
      <c r="P499" s="80">
        <v>518</v>
      </c>
    </row>
    <row r="500" spans="1:16" x14ac:dyDescent="0.25">
      <c r="A500" s="80">
        <v>19</v>
      </c>
      <c r="B500" s="6">
        <v>3</v>
      </c>
      <c r="C500" s="80">
        <v>7666</v>
      </c>
      <c r="D500" s="80">
        <v>1</v>
      </c>
      <c r="E500" s="80">
        <v>1</v>
      </c>
      <c r="F500" s="80" t="s">
        <v>365</v>
      </c>
      <c r="G500" s="79">
        <v>9.1300000000000008</v>
      </c>
      <c r="H500" s="79">
        <v>0.21396999999999999</v>
      </c>
      <c r="I500" s="79" t="s">
        <v>170</v>
      </c>
      <c r="J500" s="79" t="s">
        <v>154</v>
      </c>
      <c r="K500" s="83">
        <f>VLOOKUP(ws[[#This Row],[hwycov_id]],count[],4,FALSE)</f>
        <v>7326</v>
      </c>
      <c r="L500" s="115">
        <f>VLOOKUP(ws[[#This Row],[hwycov_id]],flow0[],5,FALSE)</f>
        <v>8665</v>
      </c>
      <c r="M500" s="295">
        <f>ws[[#This Row],[flow]]/ws[[#This Row],[count]]-1</f>
        <v>0.18277368277368278</v>
      </c>
      <c r="N500" s="296">
        <f>POWER((ws[[#This Row],[flow]]-ws[[#This Row],[count]]),2)</f>
        <v>1792921</v>
      </c>
      <c r="O500" s="80" t="e">
        <f>VLOOKUP(ws[[#This Row],[hwycov_id]],count!$A$630:$E$652,5,FALSE)</f>
        <v>#N/A</v>
      </c>
      <c r="P500" s="80">
        <v>519</v>
      </c>
    </row>
    <row r="501" spans="1:16" x14ac:dyDescent="0.25">
      <c r="A501" s="80">
        <v>20</v>
      </c>
      <c r="B501" s="6">
        <v>3</v>
      </c>
      <c r="C501" s="80">
        <v>10015</v>
      </c>
      <c r="D501" s="80">
        <v>1</v>
      </c>
      <c r="E501" s="80">
        <v>1</v>
      </c>
      <c r="F501" s="80" t="s">
        <v>374</v>
      </c>
      <c r="G501" s="79">
        <v>0.12</v>
      </c>
      <c r="H501" s="79">
        <v>0.12407899999999999</v>
      </c>
      <c r="I501" s="79" t="s">
        <v>375</v>
      </c>
      <c r="J501" s="79" t="s">
        <v>376</v>
      </c>
      <c r="K501" s="83">
        <f>VLOOKUP(ws[[#This Row],[hwycov_id]],count[],4,FALSE)</f>
        <v>3469</v>
      </c>
      <c r="L501" s="115">
        <f>VLOOKUP(ws[[#This Row],[hwycov_id]],flow0[],5,FALSE)</f>
        <v>2100</v>
      </c>
      <c r="M501" s="295">
        <f>ws[[#This Row],[flow]]/ws[[#This Row],[count]]-1</f>
        <v>-0.39463822427212458</v>
      </c>
      <c r="N501" s="296">
        <f>POWER((ws[[#This Row],[flow]]-ws[[#This Row],[count]]),2)</f>
        <v>1874161</v>
      </c>
      <c r="O501" s="80" t="e">
        <f>VLOOKUP(ws[[#This Row],[hwycov_id]],count!$A$630:$E$652,5,FALSE)</f>
        <v>#N/A</v>
      </c>
      <c r="P501" s="80">
        <v>520</v>
      </c>
    </row>
    <row r="502" spans="1:16" x14ac:dyDescent="0.25">
      <c r="A502" s="80">
        <v>20</v>
      </c>
      <c r="B502" s="6">
        <v>3</v>
      </c>
      <c r="C502" s="80">
        <v>10002</v>
      </c>
      <c r="D502" s="80">
        <v>1</v>
      </c>
      <c r="E502" s="80">
        <v>1</v>
      </c>
      <c r="F502" s="80" t="s">
        <v>374</v>
      </c>
      <c r="G502" s="79">
        <v>0.83</v>
      </c>
      <c r="H502" s="79">
        <v>0.34577999999999998</v>
      </c>
      <c r="I502" s="79" t="s">
        <v>376</v>
      </c>
      <c r="J502" s="79" t="s">
        <v>182</v>
      </c>
      <c r="K502" s="83">
        <f>VLOOKUP(ws[[#This Row],[hwycov_id]],count[],4,FALSE)</f>
        <v>6111</v>
      </c>
      <c r="L502" s="115">
        <f>VLOOKUP(ws[[#This Row],[hwycov_id]],flow0[],5,FALSE)</f>
        <v>3494</v>
      </c>
      <c r="M502" s="295">
        <f>ws[[#This Row],[flow]]/ws[[#This Row],[count]]-1</f>
        <v>-0.42824414989363446</v>
      </c>
      <c r="N502" s="296">
        <f>POWER((ws[[#This Row],[flow]]-ws[[#This Row],[count]]),2)</f>
        <v>6848689</v>
      </c>
      <c r="O502" s="80" t="e">
        <f>VLOOKUP(ws[[#This Row],[hwycov_id]],count!$A$630:$E$652,5,FALSE)</f>
        <v>#N/A</v>
      </c>
      <c r="P502" s="80">
        <v>521</v>
      </c>
    </row>
    <row r="503" spans="1:16" x14ac:dyDescent="0.25">
      <c r="A503" s="80">
        <v>20</v>
      </c>
      <c r="B503" s="6">
        <v>3</v>
      </c>
      <c r="C503" s="80">
        <v>27721</v>
      </c>
      <c r="D503" s="80">
        <v>1</v>
      </c>
      <c r="E503" s="80">
        <v>1</v>
      </c>
      <c r="F503" s="80" t="s">
        <v>374</v>
      </c>
      <c r="G503" s="79">
        <v>2.62</v>
      </c>
      <c r="H503" s="79">
        <v>0.485263</v>
      </c>
      <c r="I503" s="79" t="s">
        <v>377</v>
      </c>
      <c r="J503" s="79" t="s">
        <v>378</v>
      </c>
      <c r="K503" s="83">
        <f>VLOOKUP(ws[[#This Row],[hwycov_id]],count[],4,FALSE)</f>
        <v>7984</v>
      </c>
      <c r="L503" s="115">
        <f>VLOOKUP(ws[[#This Row],[hwycov_id]],flow0[],5,FALSE)</f>
        <v>7535</v>
      </c>
      <c r="M503" s="295">
        <f>ws[[#This Row],[flow]]/ws[[#This Row],[count]]-1</f>
        <v>-5.6237474949899835E-2</v>
      </c>
      <c r="N503" s="296">
        <f>POWER((ws[[#This Row],[flow]]-ws[[#This Row],[count]]),2)</f>
        <v>201601</v>
      </c>
      <c r="O503" s="80" t="e">
        <f>VLOOKUP(ws[[#This Row],[hwycov_id]],count!$A$630:$E$652,5,FALSE)</f>
        <v>#N/A</v>
      </c>
      <c r="P503" s="80">
        <v>522</v>
      </c>
    </row>
    <row r="504" spans="1:16" x14ac:dyDescent="0.25">
      <c r="A504" s="80">
        <v>20</v>
      </c>
      <c r="B504" s="6">
        <v>3</v>
      </c>
      <c r="C504" s="80">
        <v>9904</v>
      </c>
      <c r="D504" s="80">
        <v>1</v>
      </c>
      <c r="E504" s="80">
        <v>1</v>
      </c>
      <c r="F504" s="80" t="s">
        <v>374</v>
      </c>
      <c r="G504" s="79">
        <v>6.06</v>
      </c>
      <c r="H504" s="79">
        <v>0.54313199999999995</v>
      </c>
      <c r="I504" s="79" t="s">
        <v>379</v>
      </c>
      <c r="J504" s="79" t="s">
        <v>19</v>
      </c>
      <c r="K504" s="83">
        <f>VLOOKUP(ws[[#This Row],[hwycov_id]],count[],4,FALSE)</f>
        <v>11558</v>
      </c>
      <c r="L504" s="115">
        <f>VLOOKUP(ws[[#This Row],[hwycov_id]],flow0[],5,FALSE)</f>
        <v>10211</v>
      </c>
      <c r="M504" s="295">
        <f>ws[[#This Row],[flow]]/ws[[#This Row],[count]]-1</f>
        <v>-0.11654265443848422</v>
      </c>
      <c r="N504" s="296">
        <f>POWER((ws[[#This Row],[flow]]-ws[[#This Row],[count]]),2)</f>
        <v>1814409</v>
      </c>
      <c r="O504" s="80" t="e">
        <f>VLOOKUP(ws[[#This Row],[hwycov_id]],count!$A$630:$E$652,5,FALSE)</f>
        <v>#N/A</v>
      </c>
      <c r="P504" s="80">
        <v>523</v>
      </c>
    </row>
    <row r="505" spans="1:16" x14ac:dyDescent="0.25">
      <c r="A505" s="80">
        <v>20</v>
      </c>
      <c r="B505" s="6">
        <v>3</v>
      </c>
      <c r="C505" s="80">
        <v>27856</v>
      </c>
      <c r="D505" s="80">
        <v>1</v>
      </c>
      <c r="E505" s="80">
        <v>1</v>
      </c>
      <c r="F505" s="80" t="s">
        <v>374</v>
      </c>
      <c r="G505" s="79">
        <v>8.09</v>
      </c>
      <c r="H505" s="79">
        <v>0.19090399999999999</v>
      </c>
      <c r="I505" s="79" t="s">
        <v>380</v>
      </c>
      <c r="J505" s="79" t="s">
        <v>39</v>
      </c>
      <c r="K505" s="83">
        <f>VLOOKUP(ws[[#This Row],[hwycov_id]],count[],4,FALSE)</f>
        <v>7458</v>
      </c>
      <c r="L505" s="115">
        <f>VLOOKUP(ws[[#This Row],[hwycov_id]],flow0[],5,FALSE)</f>
        <v>5773</v>
      </c>
      <c r="M505" s="295">
        <f>ws[[#This Row],[flow]]/ws[[#This Row],[count]]-1</f>
        <v>-0.2259318852239206</v>
      </c>
      <c r="N505" s="296">
        <f>POWER((ws[[#This Row],[flow]]-ws[[#This Row],[count]]),2)</f>
        <v>2839225</v>
      </c>
      <c r="O505" s="80" t="e">
        <f>VLOOKUP(ws[[#This Row],[hwycov_id]],count!$A$630:$E$652,5,FALSE)</f>
        <v>#N/A</v>
      </c>
      <c r="P505" s="80">
        <v>524</v>
      </c>
    </row>
    <row r="506" spans="1:16" x14ac:dyDescent="0.25">
      <c r="A506" s="80">
        <v>21</v>
      </c>
      <c r="B506" s="6">
        <v>3</v>
      </c>
      <c r="C506" s="80">
        <v>28016</v>
      </c>
      <c r="D506" s="80">
        <v>1</v>
      </c>
      <c r="E506" s="80">
        <v>1</v>
      </c>
      <c r="F506" s="80" t="s">
        <v>381</v>
      </c>
      <c r="G506" s="79">
        <v>3.89</v>
      </c>
      <c r="H506" s="79">
        <v>0.26377200000000001</v>
      </c>
      <c r="I506" s="79" t="s">
        <v>152</v>
      </c>
      <c r="J506" s="79" t="s">
        <v>182</v>
      </c>
      <c r="K506" s="83">
        <f>VLOOKUP(ws[[#This Row],[hwycov_id]],count[],4,FALSE)</f>
        <v>10635</v>
      </c>
      <c r="L506" s="115">
        <f>VLOOKUP(ws[[#This Row],[hwycov_id]],flow0[],5,FALSE)</f>
        <v>13190</v>
      </c>
      <c r="M506" s="295">
        <f>ws[[#This Row],[flow]]/ws[[#This Row],[count]]-1</f>
        <v>0.24024447578749419</v>
      </c>
      <c r="N506" s="296">
        <f>POWER((ws[[#This Row],[flow]]-ws[[#This Row],[count]]),2)</f>
        <v>6528025</v>
      </c>
      <c r="O506" s="80" t="e">
        <f>VLOOKUP(ws[[#This Row],[hwycov_id]],count!$A$630:$E$652,5,FALSE)</f>
        <v>#N/A</v>
      </c>
      <c r="P506" s="80">
        <v>525</v>
      </c>
    </row>
    <row r="507" spans="1:16" x14ac:dyDescent="0.25">
      <c r="A507" s="80">
        <v>21</v>
      </c>
      <c r="B507" s="6">
        <v>3</v>
      </c>
      <c r="C507" s="80">
        <v>28011</v>
      </c>
      <c r="D507" s="80">
        <v>1</v>
      </c>
      <c r="E507" s="80">
        <v>1</v>
      </c>
      <c r="F507" s="80" t="s">
        <v>381</v>
      </c>
      <c r="G507" s="79">
        <v>4.3099999999999996</v>
      </c>
      <c r="H507" s="79">
        <v>0.41825600000000002</v>
      </c>
      <c r="I507" s="79" t="s">
        <v>382</v>
      </c>
      <c r="J507" s="79" t="s">
        <v>382</v>
      </c>
      <c r="K507" s="83">
        <f>VLOOKUP(ws[[#This Row],[hwycov_id]],count[],4,FALSE)</f>
        <v>14243</v>
      </c>
      <c r="L507" s="115">
        <f>VLOOKUP(ws[[#This Row],[hwycov_id]],flow0[],5,FALSE)</f>
        <v>14925</v>
      </c>
      <c r="M507" s="295">
        <f>ws[[#This Row],[flow]]/ws[[#This Row],[count]]-1</f>
        <v>4.7883170680334208E-2</v>
      </c>
      <c r="N507" s="296">
        <f>POWER((ws[[#This Row],[flow]]-ws[[#This Row],[count]]),2)</f>
        <v>465124</v>
      </c>
      <c r="O507" s="80" t="e">
        <f>VLOOKUP(ws[[#This Row],[hwycov_id]],count!$A$630:$E$652,5,FALSE)</f>
        <v>#N/A</v>
      </c>
      <c r="P507" s="80">
        <v>526</v>
      </c>
    </row>
    <row r="508" spans="1:16" x14ac:dyDescent="0.25">
      <c r="A508" s="80">
        <v>21</v>
      </c>
      <c r="B508" s="6">
        <v>3</v>
      </c>
      <c r="C508" s="80">
        <v>28007</v>
      </c>
      <c r="D508" s="80">
        <v>1</v>
      </c>
      <c r="E508" s="80">
        <v>1</v>
      </c>
      <c r="F508" s="80" t="s">
        <v>381</v>
      </c>
      <c r="G508" s="79">
        <v>4.6500000000000004</v>
      </c>
      <c r="H508" s="79">
        <v>0.345142</v>
      </c>
      <c r="I508" s="79" t="s">
        <v>198</v>
      </c>
      <c r="J508" s="79" t="s">
        <v>198</v>
      </c>
      <c r="K508" s="83">
        <f>VLOOKUP(ws[[#This Row],[hwycov_id]],count[],4,FALSE)</f>
        <v>12793</v>
      </c>
      <c r="L508" s="115">
        <f>VLOOKUP(ws[[#This Row],[hwycov_id]],flow0[],5,FALSE)</f>
        <v>12968</v>
      </c>
      <c r="M508" s="295">
        <f>ws[[#This Row],[flow]]/ws[[#This Row],[count]]-1</f>
        <v>1.3679355897756595E-2</v>
      </c>
      <c r="N508" s="296">
        <f>POWER((ws[[#This Row],[flow]]-ws[[#This Row],[count]]),2)</f>
        <v>30625</v>
      </c>
      <c r="O508" s="80" t="e">
        <f>VLOOKUP(ws[[#This Row],[hwycov_id]],count!$A$630:$E$652,5,FALSE)</f>
        <v>#N/A</v>
      </c>
      <c r="P508" s="80">
        <v>527</v>
      </c>
    </row>
    <row r="509" spans="1:16" x14ac:dyDescent="0.25">
      <c r="A509" s="80">
        <v>21</v>
      </c>
      <c r="B509" s="6">
        <v>3</v>
      </c>
      <c r="C509" s="80">
        <v>28000</v>
      </c>
      <c r="D509" s="80">
        <v>1</v>
      </c>
      <c r="E509" s="80">
        <v>1</v>
      </c>
      <c r="F509" s="80" t="s">
        <v>381</v>
      </c>
      <c r="G509" s="79">
        <v>4.8899999999999997</v>
      </c>
      <c r="H509" s="79">
        <v>0.23419300000000001</v>
      </c>
      <c r="I509" s="79" t="s">
        <v>198</v>
      </c>
      <c r="J509" s="79" t="s">
        <v>383</v>
      </c>
      <c r="K509" s="83">
        <f>VLOOKUP(ws[[#This Row],[hwycov_id]],count[],4,FALSE)</f>
        <v>15038</v>
      </c>
      <c r="L509" s="115">
        <f>VLOOKUP(ws[[#This Row],[hwycov_id]],flow0[],5,FALSE)</f>
        <v>14162</v>
      </c>
      <c r="M509" s="295">
        <f>ws[[#This Row],[flow]]/ws[[#This Row],[count]]-1</f>
        <v>-5.8252427184465994E-2</v>
      </c>
      <c r="N509" s="296">
        <f>POWER((ws[[#This Row],[flow]]-ws[[#This Row],[count]]),2)</f>
        <v>767376</v>
      </c>
      <c r="O509" s="80" t="e">
        <f>VLOOKUP(ws[[#This Row],[hwycov_id]],count!$A$630:$E$652,5,FALSE)</f>
        <v>#N/A</v>
      </c>
      <c r="P509" s="80">
        <v>528</v>
      </c>
    </row>
    <row r="510" spans="1:16" x14ac:dyDescent="0.25">
      <c r="A510" s="80">
        <v>21</v>
      </c>
      <c r="B510" s="6">
        <v>3</v>
      </c>
      <c r="C510" s="80">
        <v>27988</v>
      </c>
      <c r="D510" s="80">
        <v>1</v>
      </c>
      <c r="E510" s="80">
        <v>1</v>
      </c>
      <c r="F510" s="80" t="s">
        <v>381</v>
      </c>
      <c r="G510" s="79">
        <v>5.3</v>
      </c>
      <c r="H510" s="79">
        <v>0.31143100000000001</v>
      </c>
      <c r="I510" s="79" t="s">
        <v>199</v>
      </c>
      <c r="J510" s="79" t="s">
        <v>199</v>
      </c>
      <c r="K510" s="83">
        <f>VLOOKUP(ws[[#This Row],[hwycov_id]],count[],4,FALSE)</f>
        <v>12949</v>
      </c>
      <c r="L510" s="115">
        <f>VLOOKUP(ws[[#This Row],[hwycov_id]],flow0[],5,FALSE)</f>
        <v>13509</v>
      </c>
      <c r="M510" s="295">
        <f>ws[[#This Row],[flow]]/ws[[#This Row],[count]]-1</f>
        <v>4.3246582747702433E-2</v>
      </c>
      <c r="N510" s="296">
        <f>POWER((ws[[#This Row],[flow]]-ws[[#This Row],[count]]),2)</f>
        <v>313600</v>
      </c>
      <c r="O510" s="80" t="e">
        <f>VLOOKUP(ws[[#This Row],[hwycov_id]],count!$A$630:$E$652,5,FALSE)</f>
        <v>#N/A</v>
      </c>
      <c r="P510" s="80">
        <v>529</v>
      </c>
    </row>
    <row r="511" spans="1:16" x14ac:dyDescent="0.25">
      <c r="A511" s="80">
        <v>21</v>
      </c>
      <c r="B511" s="6">
        <v>3</v>
      </c>
      <c r="C511" s="80">
        <v>27985</v>
      </c>
      <c r="D511" s="80">
        <v>1</v>
      </c>
      <c r="E511" s="80">
        <v>1</v>
      </c>
      <c r="F511" s="80" t="s">
        <v>381</v>
      </c>
      <c r="G511" s="79">
        <v>5.67</v>
      </c>
      <c r="H511" s="79">
        <v>0.21307300000000001</v>
      </c>
      <c r="I511" s="79" t="s">
        <v>155</v>
      </c>
      <c r="J511" s="79" t="s">
        <v>200</v>
      </c>
      <c r="K511" s="83">
        <f>VLOOKUP(ws[[#This Row],[hwycov_id]],count[],4,FALSE)</f>
        <v>12943</v>
      </c>
      <c r="L511" s="115">
        <f>VLOOKUP(ws[[#This Row],[hwycov_id]],flow0[],5,FALSE)</f>
        <v>12870</v>
      </c>
      <c r="M511" s="295">
        <f>ws[[#This Row],[flow]]/ws[[#This Row],[count]]-1</f>
        <v>-5.6401143475237614E-3</v>
      </c>
      <c r="N511" s="296">
        <f>POWER((ws[[#This Row],[flow]]-ws[[#This Row],[count]]),2)</f>
        <v>5329</v>
      </c>
      <c r="O511" s="80" t="e">
        <f>VLOOKUP(ws[[#This Row],[hwycov_id]],count!$A$630:$E$652,5,FALSE)</f>
        <v>#N/A</v>
      </c>
      <c r="P511" s="80">
        <v>530</v>
      </c>
    </row>
    <row r="512" spans="1:16" x14ac:dyDescent="0.25">
      <c r="A512" s="80">
        <v>21</v>
      </c>
      <c r="B512" s="6">
        <v>3</v>
      </c>
      <c r="C512" s="80">
        <v>27980</v>
      </c>
      <c r="D512" s="80">
        <v>1</v>
      </c>
      <c r="E512" s="80">
        <v>1</v>
      </c>
      <c r="F512" s="80" t="s">
        <v>381</v>
      </c>
      <c r="G512" s="79">
        <v>6.25</v>
      </c>
      <c r="H512" s="79">
        <v>0.21699099999999999</v>
      </c>
      <c r="I512" s="79" t="s">
        <v>201</v>
      </c>
      <c r="J512" s="79" t="s">
        <v>201</v>
      </c>
      <c r="K512" s="83">
        <f>VLOOKUP(ws[[#This Row],[hwycov_id]],count[],4,FALSE)</f>
        <v>14247</v>
      </c>
      <c r="L512" s="115">
        <f>VLOOKUP(ws[[#This Row],[hwycov_id]],flow0[],5,FALSE)</f>
        <v>13766</v>
      </c>
      <c r="M512" s="295">
        <f>ws[[#This Row],[flow]]/ws[[#This Row],[count]]-1</f>
        <v>-3.3761493647785468E-2</v>
      </c>
      <c r="N512" s="296">
        <f>POWER((ws[[#This Row],[flow]]-ws[[#This Row],[count]]),2)</f>
        <v>231361</v>
      </c>
      <c r="O512" s="80" t="e">
        <f>VLOOKUP(ws[[#This Row],[hwycov_id]],count!$A$630:$E$652,5,FALSE)</f>
        <v>#N/A</v>
      </c>
      <c r="P512" s="80">
        <v>531</v>
      </c>
    </row>
    <row r="513" spans="1:16" x14ac:dyDescent="0.25">
      <c r="A513" s="80">
        <v>21</v>
      </c>
      <c r="B513" s="6">
        <v>3</v>
      </c>
      <c r="C513" s="80">
        <v>29016</v>
      </c>
      <c r="D513" s="80">
        <v>1</v>
      </c>
      <c r="E513" s="80">
        <v>1</v>
      </c>
      <c r="F513" s="80" t="s">
        <v>381</v>
      </c>
      <c r="G513" s="79">
        <v>7.39</v>
      </c>
      <c r="H513" s="79">
        <v>1.1456310000000001</v>
      </c>
      <c r="I513" s="79" t="s">
        <v>201</v>
      </c>
      <c r="J513" s="79" t="s">
        <v>202</v>
      </c>
      <c r="K513" s="83">
        <f>VLOOKUP(ws[[#This Row],[hwycov_id]],count[],4,FALSE)</f>
        <v>15515</v>
      </c>
      <c r="L513" s="115">
        <f>VLOOKUP(ws[[#This Row],[hwycov_id]],flow0[],5,FALSE)</f>
        <v>14890</v>
      </c>
      <c r="M513" s="295">
        <f>ws[[#This Row],[flow]]/ws[[#This Row],[count]]-1</f>
        <v>-4.0283596519497311E-2</v>
      </c>
      <c r="N513" s="296">
        <f>POWER((ws[[#This Row],[flow]]-ws[[#This Row],[count]]),2)</f>
        <v>390625</v>
      </c>
      <c r="O513" s="80" t="e">
        <f>VLOOKUP(ws[[#This Row],[hwycov_id]],count!$A$630:$E$652,5,FALSE)</f>
        <v>#N/A</v>
      </c>
      <c r="P513" s="80">
        <v>532</v>
      </c>
    </row>
    <row r="514" spans="1:16" x14ac:dyDescent="0.25">
      <c r="A514" s="80">
        <v>21</v>
      </c>
      <c r="B514" s="6">
        <v>3</v>
      </c>
      <c r="C514" s="80">
        <v>29024</v>
      </c>
      <c r="D514" s="80">
        <v>1</v>
      </c>
      <c r="E514" s="80">
        <v>1</v>
      </c>
      <c r="F514" s="80" t="s">
        <v>381</v>
      </c>
      <c r="G514" s="79">
        <v>7.84</v>
      </c>
      <c r="H514" s="79">
        <v>0.35145100000000001</v>
      </c>
      <c r="I514" s="79" t="s">
        <v>203</v>
      </c>
      <c r="J514" s="79" t="s">
        <v>203</v>
      </c>
      <c r="K514" s="83">
        <f>VLOOKUP(ws[[#This Row],[hwycov_id]],count[],4,FALSE)</f>
        <v>15580</v>
      </c>
      <c r="L514" s="115">
        <f>VLOOKUP(ws[[#This Row],[hwycov_id]],flow0[],5,FALSE)</f>
        <v>15886</v>
      </c>
      <c r="M514" s="295">
        <f>ws[[#This Row],[flow]]/ws[[#This Row],[count]]-1</f>
        <v>1.9640564826700846E-2</v>
      </c>
      <c r="N514" s="296">
        <f>POWER((ws[[#This Row],[flow]]-ws[[#This Row],[count]]),2)</f>
        <v>93636</v>
      </c>
      <c r="O514" s="80" t="e">
        <f>VLOOKUP(ws[[#This Row],[hwycov_id]],count!$A$630:$E$652,5,FALSE)</f>
        <v>#N/A</v>
      </c>
      <c r="P514" s="80">
        <v>533</v>
      </c>
    </row>
    <row r="515" spans="1:16" x14ac:dyDescent="0.25">
      <c r="A515" s="80">
        <v>21</v>
      </c>
      <c r="B515" s="6">
        <v>3</v>
      </c>
      <c r="C515" s="80">
        <v>29028</v>
      </c>
      <c r="D515" s="80">
        <v>1</v>
      </c>
      <c r="E515" s="80">
        <v>1</v>
      </c>
      <c r="F515" s="80" t="s">
        <v>381</v>
      </c>
      <c r="G515" s="79">
        <v>8.02</v>
      </c>
      <c r="H515" s="79">
        <v>0.17158000000000001</v>
      </c>
      <c r="I515" s="79" t="s">
        <v>203</v>
      </c>
      <c r="J515" s="79" t="s">
        <v>139</v>
      </c>
      <c r="K515" s="83">
        <f>VLOOKUP(ws[[#This Row],[hwycov_id]],count[],4,FALSE)</f>
        <v>16129</v>
      </c>
      <c r="L515" s="115">
        <f>VLOOKUP(ws[[#This Row],[hwycov_id]],flow0[],5,FALSE)</f>
        <v>16457</v>
      </c>
      <c r="M515" s="295">
        <f>ws[[#This Row],[flow]]/ws[[#This Row],[count]]-1</f>
        <v>2.033604067208139E-2</v>
      </c>
      <c r="N515" s="296">
        <f>POWER((ws[[#This Row],[flow]]-ws[[#This Row],[count]]),2)</f>
        <v>107584</v>
      </c>
      <c r="O515" s="80" t="e">
        <f>VLOOKUP(ws[[#This Row],[hwycov_id]],count!$A$630:$E$652,5,FALSE)</f>
        <v>#N/A</v>
      </c>
      <c r="P515" s="80">
        <v>534</v>
      </c>
    </row>
    <row r="516" spans="1:16" x14ac:dyDescent="0.25">
      <c r="A516" s="80">
        <v>21</v>
      </c>
      <c r="B516" s="6">
        <v>3</v>
      </c>
      <c r="C516" s="80">
        <v>29033</v>
      </c>
      <c r="D516" s="80">
        <v>1</v>
      </c>
      <c r="E516" s="80">
        <v>1</v>
      </c>
      <c r="F516" s="80" t="s">
        <v>381</v>
      </c>
      <c r="G516" s="79">
        <v>8.33</v>
      </c>
      <c r="H516" s="79">
        <v>0.313083</v>
      </c>
      <c r="I516" s="79" t="s">
        <v>139</v>
      </c>
      <c r="J516" s="79" t="s">
        <v>139</v>
      </c>
      <c r="K516" s="83">
        <f>VLOOKUP(ws[[#This Row],[hwycov_id]],count[],4,FALSE)</f>
        <v>14905</v>
      </c>
      <c r="L516" s="115">
        <f>VLOOKUP(ws[[#This Row],[hwycov_id]],flow0[],5,FALSE)</f>
        <v>15250</v>
      </c>
      <c r="M516" s="295">
        <f>ws[[#This Row],[flow]]/ws[[#This Row],[count]]-1</f>
        <v>2.3146595102314649E-2</v>
      </c>
      <c r="N516" s="296">
        <f>POWER((ws[[#This Row],[flow]]-ws[[#This Row],[count]]),2)</f>
        <v>119025</v>
      </c>
      <c r="O516" s="80" t="e">
        <f>VLOOKUP(ws[[#This Row],[hwycov_id]],count!$A$630:$E$652,5,FALSE)</f>
        <v>#N/A</v>
      </c>
      <c r="P516" s="80">
        <v>535</v>
      </c>
    </row>
    <row r="517" spans="1:16" x14ac:dyDescent="0.25">
      <c r="A517" s="80">
        <v>21</v>
      </c>
      <c r="B517" s="6">
        <v>3</v>
      </c>
      <c r="C517" s="80">
        <v>29041</v>
      </c>
      <c r="D517" s="80">
        <v>1</v>
      </c>
      <c r="E517" s="80">
        <v>1</v>
      </c>
      <c r="F517" s="80" t="s">
        <v>381</v>
      </c>
      <c r="G517" s="79">
        <v>8.73</v>
      </c>
      <c r="H517" s="79">
        <v>0.25021599999999999</v>
      </c>
      <c r="I517" s="79" t="s">
        <v>139</v>
      </c>
      <c r="J517" s="79" t="s">
        <v>131</v>
      </c>
      <c r="K517" s="83">
        <f>VLOOKUP(ws[[#This Row],[hwycov_id]],count[],4,FALSE)</f>
        <v>18373</v>
      </c>
      <c r="L517" s="115">
        <f>VLOOKUP(ws[[#This Row],[hwycov_id]],flow0[],5,FALSE)</f>
        <v>17878</v>
      </c>
      <c r="M517" s="295">
        <f>ws[[#This Row],[flow]]/ws[[#This Row],[count]]-1</f>
        <v>-2.694170794100037E-2</v>
      </c>
      <c r="N517" s="296">
        <f>POWER((ws[[#This Row],[flow]]-ws[[#This Row],[count]]),2)</f>
        <v>245025</v>
      </c>
      <c r="O517" s="80" t="e">
        <f>VLOOKUP(ws[[#This Row],[hwycov_id]],count!$A$630:$E$652,5,FALSE)</f>
        <v>#N/A</v>
      </c>
      <c r="P517" s="80">
        <v>536</v>
      </c>
    </row>
    <row r="518" spans="1:16" x14ac:dyDescent="0.25">
      <c r="A518" s="80">
        <v>21</v>
      </c>
      <c r="B518" s="6">
        <v>3</v>
      </c>
      <c r="C518" s="80">
        <v>25025</v>
      </c>
      <c r="D518" s="80">
        <v>1</v>
      </c>
      <c r="E518" s="80">
        <v>1</v>
      </c>
      <c r="F518" s="80" t="s">
        <v>381</v>
      </c>
      <c r="G518" s="79">
        <v>9.4700000000000006</v>
      </c>
      <c r="H518" s="79">
        <v>0.32982600000000001</v>
      </c>
      <c r="I518" s="79" t="s">
        <v>19</v>
      </c>
      <c r="J518" s="79" t="s">
        <v>19</v>
      </c>
      <c r="K518" s="83">
        <f>VLOOKUP(ws[[#This Row],[hwycov_id]],count[],4,FALSE)</f>
        <v>9018</v>
      </c>
      <c r="L518" s="115">
        <f>VLOOKUP(ws[[#This Row],[hwycov_id]],flow0[],5,FALSE)</f>
        <v>11090</v>
      </c>
      <c r="M518" s="295">
        <f>ws[[#This Row],[flow]]/ws[[#This Row],[count]]-1</f>
        <v>0.22976269682856509</v>
      </c>
      <c r="N518" s="296">
        <f>POWER((ws[[#This Row],[flow]]-ws[[#This Row],[count]]),2)</f>
        <v>4293184</v>
      </c>
      <c r="O518" s="80" t="e">
        <f>VLOOKUP(ws[[#This Row],[hwycov_id]],count!$A$630:$E$652,5,FALSE)</f>
        <v>#N/A</v>
      </c>
      <c r="P518" s="80">
        <v>537</v>
      </c>
    </row>
    <row r="519" spans="1:16" x14ac:dyDescent="0.25">
      <c r="A519" s="80">
        <v>21</v>
      </c>
      <c r="B519" s="6">
        <v>3</v>
      </c>
      <c r="C519" s="80">
        <v>29049</v>
      </c>
      <c r="D519" s="80">
        <v>1</v>
      </c>
      <c r="E519" s="80">
        <v>1</v>
      </c>
      <c r="F519" s="80" t="s">
        <v>381</v>
      </c>
      <c r="G519" s="79">
        <v>9.9499999999999993</v>
      </c>
      <c r="H519" s="79">
        <v>0.31020799999999998</v>
      </c>
      <c r="I519" s="79" t="s">
        <v>19</v>
      </c>
      <c r="J519" s="79" t="s">
        <v>132</v>
      </c>
      <c r="K519" s="83">
        <f>VLOOKUP(ws[[#This Row],[hwycov_id]],count[],4,FALSE)</f>
        <v>12464</v>
      </c>
      <c r="L519" s="115">
        <f>VLOOKUP(ws[[#This Row],[hwycov_id]],flow0[],5,FALSE)</f>
        <v>13187</v>
      </c>
      <c r="M519" s="295">
        <f>ws[[#This Row],[flow]]/ws[[#This Row],[count]]-1</f>
        <v>5.800706033376124E-2</v>
      </c>
      <c r="N519" s="296">
        <f>POWER((ws[[#This Row],[flow]]-ws[[#This Row],[count]]),2)</f>
        <v>522729</v>
      </c>
      <c r="O519" s="80" t="e">
        <f>VLOOKUP(ws[[#This Row],[hwycov_id]],count!$A$630:$E$652,5,FALSE)</f>
        <v>#N/A</v>
      </c>
      <c r="P519" s="80">
        <v>538</v>
      </c>
    </row>
    <row r="520" spans="1:16" x14ac:dyDescent="0.25">
      <c r="A520" s="80">
        <v>21</v>
      </c>
      <c r="B520" s="6">
        <v>3</v>
      </c>
      <c r="C520" s="80">
        <v>27614</v>
      </c>
      <c r="D520" s="80">
        <v>1</v>
      </c>
      <c r="E520" s="80">
        <v>1</v>
      </c>
      <c r="F520" s="80" t="s">
        <v>381</v>
      </c>
      <c r="G520" s="79">
        <v>10.210000000000001</v>
      </c>
      <c r="H520" s="79">
        <v>0.26280999999999999</v>
      </c>
      <c r="I520" s="79" t="s">
        <v>132</v>
      </c>
      <c r="J520" s="79" t="s">
        <v>67</v>
      </c>
      <c r="K520" s="83">
        <f>VLOOKUP(ws[[#This Row],[hwycov_id]],count[],4,FALSE)</f>
        <v>14272</v>
      </c>
      <c r="L520" s="115">
        <f>VLOOKUP(ws[[#This Row],[hwycov_id]],flow0[],5,FALSE)</f>
        <v>14663</v>
      </c>
      <c r="M520" s="295">
        <f>ws[[#This Row],[flow]]/ws[[#This Row],[count]]-1</f>
        <v>2.7396300448430555E-2</v>
      </c>
      <c r="N520" s="296">
        <f>POWER((ws[[#This Row],[flow]]-ws[[#This Row],[count]]),2)</f>
        <v>152881</v>
      </c>
      <c r="O520" s="80" t="e">
        <f>VLOOKUP(ws[[#This Row],[hwycov_id]],count!$A$630:$E$652,5,FALSE)</f>
        <v>#N/A</v>
      </c>
      <c r="P520" s="80">
        <v>539</v>
      </c>
    </row>
    <row r="521" spans="1:16" x14ac:dyDescent="0.25">
      <c r="A521" s="80">
        <v>21</v>
      </c>
      <c r="B521" s="6">
        <v>3</v>
      </c>
      <c r="C521" s="80">
        <v>29051</v>
      </c>
      <c r="D521" s="80">
        <v>1</v>
      </c>
      <c r="E521" s="80">
        <v>1</v>
      </c>
      <c r="F521" s="80" t="s">
        <v>381</v>
      </c>
      <c r="G521" s="79">
        <v>10.35</v>
      </c>
      <c r="H521" s="79">
        <v>0.139492</v>
      </c>
      <c r="I521" s="79" t="s">
        <v>68</v>
      </c>
      <c r="J521" s="79" t="s">
        <v>68</v>
      </c>
      <c r="K521" s="83">
        <f>VLOOKUP(ws[[#This Row],[hwycov_id]],count[],4,FALSE)</f>
        <v>11686</v>
      </c>
      <c r="L521" s="115">
        <f>VLOOKUP(ws[[#This Row],[hwycov_id]],flow0[],5,FALSE)</f>
        <v>12148</v>
      </c>
      <c r="M521" s="295">
        <f>ws[[#This Row],[flow]]/ws[[#This Row],[count]]-1</f>
        <v>3.9534485709395772E-2</v>
      </c>
      <c r="N521" s="296">
        <f>POWER((ws[[#This Row],[flow]]-ws[[#This Row],[count]]),2)</f>
        <v>213444</v>
      </c>
      <c r="O521" s="80" t="e">
        <f>VLOOKUP(ws[[#This Row],[hwycov_id]],count!$A$630:$E$652,5,FALSE)</f>
        <v>#N/A</v>
      </c>
      <c r="P521" s="80">
        <v>540</v>
      </c>
    </row>
    <row r="522" spans="1:16" x14ac:dyDescent="0.25">
      <c r="A522" s="80">
        <v>21</v>
      </c>
      <c r="B522" s="6">
        <v>3</v>
      </c>
      <c r="C522" s="80">
        <v>15854</v>
      </c>
      <c r="D522" s="80">
        <v>1</v>
      </c>
      <c r="E522" s="80">
        <v>1</v>
      </c>
      <c r="F522" s="80" t="s">
        <v>381</v>
      </c>
      <c r="G522" s="79">
        <v>10.98</v>
      </c>
      <c r="H522" s="79">
        <v>0.116493</v>
      </c>
      <c r="I522" s="79" t="s">
        <v>204</v>
      </c>
      <c r="J522" s="79" t="s">
        <v>70</v>
      </c>
      <c r="K522" s="83">
        <f>VLOOKUP(ws[[#This Row],[hwycov_id]],count[],4,FALSE)</f>
        <v>13214</v>
      </c>
      <c r="L522" s="115">
        <f>VLOOKUP(ws[[#This Row],[hwycov_id]],flow0[],5,FALSE)</f>
        <v>13522</v>
      </c>
      <c r="M522" s="295">
        <f>ws[[#This Row],[flow]]/ws[[#This Row],[count]]-1</f>
        <v>2.3308612078098978E-2</v>
      </c>
      <c r="N522" s="296">
        <f>POWER((ws[[#This Row],[flow]]-ws[[#This Row],[count]]),2)</f>
        <v>94864</v>
      </c>
      <c r="O522" s="80" t="e">
        <f>VLOOKUP(ws[[#This Row],[hwycov_id]],count!$A$630:$E$652,5,FALSE)</f>
        <v>#N/A</v>
      </c>
      <c r="P522" s="80">
        <v>541</v>
      </c>
    </row>
    <row r="523" spans="1:16" x14ac:dyDescent="0.25">
      <c r="A523" s="80">
        <v>21</v>
      </c>
      <c r="B523" s="6">
        <v>3</v>
      </c>
      <c r="C523" s="80">
        <v>15856</v>
      </c>
      <c r="D523" s="80">
        <v>1</v>
      </c>
      <c r="E523" s="80">
        <v>1</v>
      </c>
      <c r="F523" s="80" t="s">
        <v>381</v>
      </c>
      <c r="G523" s="79">
        <v>11.19</v>
      </c>
      <c r="H523" s="79">
        <v>0.20912800000000001</v>
      </c>
      <c r="I523" s="79" t="s">
        <v>70</v>
      </c>
      <c r="J523" s="79" t="s">
        <v>70</v>
      </c>
      <c r="K523" s="83">
        <f>VLOOKUP(ws[[#This Row],[hwycov_id]],count[],4,FALSE)</f>
        <v>11871</v>
      </c>
      <c r="L523" s="115">
        <f>VLOOKUP(ws[[#This Row],[hwycov_id]],flow0[],5,FALSE)</f>
        <v>11957</v>
      </c>
      <c r="M523" s="295">
        <f>ws[[#This Row],[flow]]/ws[[#This Row],[count]]-1</f>
        <v>7.2445455311263007E-3</v>
      </c>
      <c r="N523" s="296">
        <f>POWER((ws[[#This Row],[flow]]-ws[[#This Row],[count]]),2)</f>
        <v>7396</v>
      </c>
      <c r="O523" s="80" t="e">
        <f>VLOOKUP(ws[[#This Row],[hwycov_id]],count!$A$630:$E$652,5,FALSE)</f>
        <v>#N/A</v>
      </c>
      <c r="P523" s="80">
        <v>542</v>
      </c>
    </row>
    <row r="524" spans="1:16" x14ac:dyDescent="0.25">
      <c r="A524" s="80">
        <v>21</v>
      </c>
      <c r="B524" s="6">
        <v>3</v>
      </c>
      <c r="C524" s="80">
        <v>15862</v>
      </c>
      <c r="D524" s="80">
        <v>1</v>
      </c>
      <c r="E524" s="80">
        <v>1</v>
      </c>
      <c r="F524" s="80" t="s">
        <v>381</v>
      </c>
      <c r="G524" s="79">
        <v>11.65</v>
      </c>
      <c r="H524" s="79">
        <v>0.24771899999999999</v>
      </c>
      <c r="I524" s="79" t="s">
        <v>384</v>
      </c>
      <c r="J524" s="79" t="s">
        <v>39</v>
      </c>
      <c r="K524" s="83">
        <f>VLOOKUP(ws[[#This Row],[hwycov_id]],count[],4,FALSE)</f>
        <v>11090</v>
      </c>
      <c r="L524" s="115">
        <f>VLOOKUP(ws[[#This Row],[hwycov_id]],flow0[],5,FALSE)</f>
        <v>10890</v>
      </c>
      <c r="M524" s="295">
        <f>ws[[#This Row],[flow]]/ws[[#This Row],[count]]-1</f>
        <v>-1.8034265103696989E-2</v>
      </c>
      <c r="N524" s="296">
        <f>POWER((ws[[#This Row],[flow]]-ws[[#This Row],[count]]),2)</f>
        <v>40000</v>
      </c>
      <c r="O524" s="80" t="e">
        <f>VLOOKUP(ws[[#This Row],[hwycov_id]],count!$A$630:$E$652,5,FALSE)</f>
        <v>#N/A</v>
      </c>
      <c r="P524" s="80">
        <v>543</v>
      </c>
    </row>
    <row r="525" spans="1:16" x14ac:dyDescent="0.25">
      <c r="A525" s="80">
        <v>21</v>
      </c>
      <c r="B525" s="6">
        <v>3</v>
      </c>
      <c r="C525" s="80">
        <v>15863</v>
      </c>
      <c r="D525" s="80">
        <v>1</v>
      </c>
      <c r="E525" s="80">
        <v>1</v>
      </c>
      <c r="F525" s="80" t="s">
        <v>381</v>
      </c>
      <c r="G525" s="79">
        <v>11.98</v>
      </c>
      <c r="H525" s="79">
        <v>0.23147300000000001</v>
      </c>
      <c r="I525" s="79" t="s">
        <v>205</v>
      </c>
      <c r="J525" s="79" t="s">
        <v>205</v>
      </c>
      <c r="K525" s="83">
        <f>VLOOKUP(ws[[#This Row],[hwycov_id]],count[],4,FALSE)</f>
        <v>4620</v>
      </c>
      <c r="L525" s="115">
        <f>VLOOKUP(ws[[#This Row],[hwycov_id]],flow0[],5,FALSE)</f>
        <v>4764</v>
      </c>
      <c r="M525" s="295">
        <f>ws[[#This Row],[flow]]/ws[[#This Row],[count]]-1</f>
        <v>3.1168831168831179E-2</v>
      </c>
      <c r="N525" s="296">
        <f>POWER((ws[[#This Row],[flow]]-ws[[#This Row],[count]]),2)</f>
        <v>20736</v>
      </c>
      <c r="O525" s="80" t="e">
        <f>VLOOKUP(ws[[#This Row],[hwycov_id]],count!$A$630:$E$652,5,FALSE)</f>
        <v>#N/A</v>
      </c>
      <c r="P525" s="80">
        <v>544</v>
      </c>
    </row>
    <row r="526" spans="1:16" x14ac:dyDescent="0.25">
      <c r="A526" s="80">
        <v>22</v>
      </c>
      <c r="B526" s="6">
        <v>4</v>
      </c>
      <c r="C526" s="80">
        <v>28455</v>
      </c>
      <c r="D526" s="80">
        <v>1</v>
      </c>
      <c r="E526" s="80">
        <v>1</v>
      </c>
      <c r="F526" s="80" t="s">
        <v>385</v>
      </c>
      <c r="G526" s="79">
        <v>0.87</v>
      </c>
      <c r="H526" s="79">
        <v>0.86878900000000003</v>
      </c>
      <c r="I526" s="79" t="s">
        <v>5</v>
      </c>
      <c r="J526" s="79" t="s">
        <v>5</v>
      </c>
      <c r="K526" s="83">
        <f>VLOOKUP(ws[[#This Row],[hwycov_id]],count[],4,FALSE)</f>
        <v>4773</v>
      </c>
      <c r="L526" s="115">
        <f>VLOOKUP(ws[[#This Row],[hwycov_id]],flow0[],5,FALSE)</f>
        <v>6271</v>
      </c>
      <c r="M526" s="295">
        <f>ws[[#This Row],[flow]]/ws[[#This Row],[count]]-1</f>
        <v>0.31384873245338363</v>
      </c>
      <c r="N526" s="296">
        <f>POWER((ws[[#This Row],[flow]]-ws[[#This Row],[count]]),2)</f>
        <v>2244004</v>
      </c>
      <c r="O526" s="80" t="e">
        <f>VLOOKUP(ws[[#This Row],[hwycov_id]],count!$A$630:$E$652,5,FALSE)</f>
        <v>#N/A</v>
      </c>
      <c r="P526" s="80">
        <v>545</v>
      </c>
    </row>
    <row r="527" spans="1:16" x14ac:dyDescent="0.25">
      <c r="A527" s="80">
        <v>22</v>
      </c>
      <c r="B527" s="6">
        <v>4</v>
      </c>
      <c r="C527" s="80">
        <v>28086</v>
      </c>
      <c r="D527" s="80">
        <v>1</v>
      </c>
      <c r="E527" s="80">
        <v>1</v>
      </c>
      <c r="F527" s="80" t="s">
        <v>385</v>
      </c>
      <c r="G527" s="79">
        <v>1.61</v>
      </c>
      <c r="H527" s="79">
        <v>0.58222099999999999</v>
      </c>
      <c r="I527" s="79" t="s">
        <v>350</v>
      </c>
      <c r="J527" s="79" t="s">
        <v>49</v>
      </c>
      <c r="K527" s="83">
        <f>VLOOKUP(ws[[#This Row],[hwycov_id]],count[],4,FALSE)</f>
        <v>10052</v>
      </c>
      <c r="L527" s="115">
        <f>VLOOKUP(ws[[#This Row],[hwycov_id]],flow0[],5,FALSE)</f>
        <v>11277</v>
      </c>
      <c r="M527" s="295">
        <f>ws[[#This Row],[flow]]/ws[[#This Row],[count]]-1</f>
        <v>0.12186629526462389</v>
      </c>
      <c r="N527" s="296">
        <f>POWER((ws[[#This Row],[flow]]-ws[[#This Row],[count]]),2)</f>
        <v>1500625</v>
      </c>
      <c r="O527" s="80" t="e">
        <f>VLOOKUP(ws[[#This Row],[hwycov_id]],count!$A$630:$E$652,5,FALSE)</f>
        <v>#N/A</v>
      </c>
      <c r="P527" s="80">
        <v>546</v>
      </c>
    </row>
    <row r="528" spans="1:16" x14ac:dyDescent="0.25">
      <c r="A528" s="80">
        <v>22</v>
      </c>
      <c r="B528" s="6">
        <v>4</v>
      </c>
      <c r="C528" s="80">
        <v>27603</v>
      </c>
      <c r="D528" s="80">
        <v>1</v>
      </c>
      <c r="E528" s="80">
        <v>1</v>
      </c>
      <c r="F528" s="80" t="s">
        <v>385</v>
      </c>
      <c r="G528" s="79">
        <v>2.57</v>
      </c>
      <c r="H528" s="79">
        <v>0.16991899999999999</v>
      </c>
      <c r="I528" s="79" t="s">
        <v>191</v>
      </c>
      <c r="J528" s="79" t="s">
        <v>349</v>
      </c>
      <c r="K528" s="83">
        <f>VLOOKUP(ws[[#This Row],[hwycov_id]],count[],4,FALSE)</f>
        <v>24913</v>
      </c>
      <c r="L528" s="115">
        <f>VLOOKUP(ws[[#This Row],[hwycov_id]],flow0[],5,FALSE)</f>
        <v>25749</v>
      </c>
      <c r="M528" s="295">
        <f>ws[[#This Row],[flow]]/ws[[#This Row],[count]]-1</f>
        <v>3.3556777585999287E-2</v>
      </c>
      <c r="N528" s="296">
        <f>POWER((ws[[#This Row],[flow]]-ws[[#This Row],[count]]),2)</f>
        <v>698896</v>
      </c>
      <c r="O528" s="80" t="e">
        <f>VLOOKUP(ws[[#This Row],[hwycov_id]],count!$A$630:$E$652,5,FALSE)</f>
        <v>#N/A</v>
      </c>
      <c r="P528" s="80">
        <v>547</v>
      </c>
    </row>
    <row r="529" spans="1:16" x14ac:dyDescent="0.25">
      <c r="A529" s="80">
        <v>22</v>
      </c>
      <c r="B529" s="6">
        <v>4</v>
      </c>
      <c r="C529" s="80">
        <v>27605</v>
      </c>
      <c r="D529" s="80">
        <v>1</v>
      </c>
      <c r="E529" s="80">
        <v>1</v>
      </c>
      <c r="F529" s="80" t="s">
        <v>385</v>
      </c>
      <c r="G529" s="79">
        <v>3.1</v>
      </c>
      <c r="H529" s="79">
        <v>0.31090499999999999</v>
      </c>
      <c r="I529" s="79" t="s">
        <v>190</v>
      </c>
      <c r="J529" s="79" t="s">
        <v>192</v>
      </c>
      <c r="K529" s="83">
        <f>VLOOKUP(ws[[#This Row],[hwycov_id]],count[],4,FALSE)</f>
        <v>24920</v>
      </c>
      <c r="L529" s="115">
        <f>VLOOKUP(ws[[#This Row],[hwycov_id]],flow0[],5,FALSE)</f>
        <v>28003</v>
      </c>
      <c r="M529" s="295">
        <f>ws[[#This Row],[flow]]/ws[[#This Row],[count]]-1</f>
        <v>0.12371589085072232</v>
      </c>
      <c r="N529" s="296">
        <f>POWER((ws[[#This Row],[flow]]-ws[[#This Row],[count]]),2)</f>
        <v>9504889</v>
      </c>
      <c r="O529" s="80" t="e">
        <f>VLOOKUP(ws[[#This Row],[hwycov_id]],count!$A$630:$E$652,5,FALSE)</f>
        <v>#N/A</v>
      </c>
      <c r="P529" s="80">
        <v>548</v>
      </c>
    </row>
    <row r="530" spans="1:16" x14ac:dyDescent="0.25">
      <c r="A530" s="80">
        <v>22</v>
      </c>
      <c r="B530" s="6">
        <v>4</v>
      </c>
      <c r="C530" s="80">
        <v>27555</v>
      </c>
      <c r="D530" s="80">
        <v>1</v>
      </c>
      <c r="E530" s="80">
        <v>1</v>
      </c>
      <c r="F530" s="80" t="s">
        <v>385</v>
      </c>
      <c r="G530" s="79">
        <v>3.33</v>
      </c>
      <c r="H530" s="79">
        <v>0.230633</v>
      </c>
      <c r="I530" s="79" t="s">
        <v>192</v>
      </c>
      <c r="J530" s="79" t="s">
        <v>192</v>
      </c>
      <c r="K530" s="83">
        <f>VLOOKUP(ws[[#This Row],[hwycov_id]],count[],4,FALSE)</f>
        <v>25127</v>
      </c>
      <c r="L530" s="115">
        <f>VLOOKUP(ws[[#This Row],[hwycov_id]],flow0[],5,FALSE)</f>
        <v>28003</v>
      </c>
      <c r="M530" s="295">
        <f>ws[[#This Row],[flow]]/ws[[#This Row],[count]]-1</f>
        <v>0.11445855056313925</v>
      </c>
      <c r="N530" s="296">
        <f>POWER((ws[[#This Row],[flow]]-ws[[#This Row],[count]]),2)</f>
        <v>8271376</v>
      </c>
      <c r="O530" s="80" t="e">
        <f>VLOOKUP(ws[[#This Row],[hwycov_id]],count!$A$630:$E$652,5,FALSE)</f>
        <v>#N/A</v>
      </c>
      <c r="P530" s="80">
        <v>549</v>
      </c>
    </row>
    <row r="531" spans="1:16" x14ac:dyDescent="0.25">
      <c r="A531" s="80">
        <v>22</v>
      </c>
      <c r="B531" s="6">
        <v>4</v>
      </c>
      <c r="C531" s="80">
        <v>29089</v>
      </c>
      <c r="D531" s="80">
        <v>1</v>
      </c>
      <c r="E531" s="80">
        <v>1</v>
      </c>
      <c r="F531" s="80" t="s">
        <v>385</v>
      </c>
      <c r="G531" s="79">
        <v>3.9</v>
      </c>
      <c r="H531" s="79">
        <v>0.17086699999999999</v>
      </c>
      <c r="I531" s="79" t="s">
        <v>192</v>
      </c>
      <c r="J531" s="79" t="s">
        <v>192</v>
      </c>
      <c r="K531" s="83">
        <f>VLOOKUP(ws[[#This Row],[hwycov_id]],count[],4,FALSE)</f>
        <v>24622</v>
      </c>
      <c r="L531" s="115">
        <f>VLOOKUP(ws[[#This Row],[hwycov_id]],flow0[],5,FALSE)</f>
        <v>25712</v>
      </c>
      <c r="M531" s="295">
        <f>ws[[#This Row],[flow]]/ws[[#This Row],[count]]-1</f>
        <v>4.4269352611485679E-2</v>
      </c>
      <c r="N531" s="296">
        <f>POWER((ws[[#This Row],[flow]]-ws[[#This Row],[count]]),2)</f>
        <v>1188100</v>
      </c>
      <c r="O531" s="80" t="e">
        <f>VLOOKUP(ws[[#This Row],[hwycov_id]],count!$A$630:$E$652,5,FALSE)</f>
        <v>#N/A</v>
      </c>
      <c r="P531" s="80">
        <v>550</v>
      </c>
    </row>
    <row r="532" spans="1:16" x14ac:dyDescent="0.25">
      <c r="A532" s="80">
        <v>22</v>
      </c>
      <c r="B532" s="6">
        <v>4</v>
      </c>
      <c r="C532" s="80">
        <v>29108</v>
      </c>
      <c r="D532" s="80">
        <v>1</v>
      </c>
      <c r="E532" s="80">
        <v>1</v>
      </c>
      <c r="F532" s="80" t="s">
        <v>385</v>
      </c>
      <c r="G532" s="79">
        <v>5.48</v>
      </c>
      <c r="H532" s="79">
        <v>0.219804</v>
      </c>
      <c r="I532" s="79" t="s">
        <v>189</v>
      </c>
      <c r="J532" s="79" t="s">
        <v>188</v>
      </c>
      <c r="K532" s="83">
        <f>VLOOKUP(ws[[#This Row],[hwycov_id]],count[],4,FALSE)</f>
        <v>29759</v>
      </c>
      <c r="L532" s="115">
        <f>VLOOKUP(ws[[#This Row],[hwycov_id]],flow0[],5,FALSE)</f>
        <v>33232</v>
      </c>
      <c r="M532" s="295">
        <f>ws[[#This Row],[flow]]/ws[[#This Row],[count]]-1</f>
        <v>0.11670419032897605</v>
      </c>
      <c r="N532" s="296">
        <f>POWER((ws[[#This Row],[flow]]-ws[[#This Row],[count]]),2)</f>
        <v>12061729</v>
      </c>
      <c r="O532" s="80" t="e">
        <f>VLOOKUP(ws[[#This Row],[hwycov_id]],count!$A$630:$E$652,5,FALSE)</f>
        <v>#N/A</v>
      </c>
      <c r="P532" s="80">
        <v>551</v>
      </c>
    </row>
    <row r="533" spans="1:16" x14ac:dyDescent="0.25">
      <c r="A533" s="80">
        <v>22</v>
      </c>
      <c r="B533" s="6">
        <v>4</v>
      </c>
      <c r="C533" s="80">
        <v>27607</v>
      </c>
      <c r="D533" s="80">
        <v>1</v>
      </c>
      <c r="E533" s="80">
        <v>1</v>
      </c>
      <c r="F533" s="80" t="s">
        <v>385</v>
      </c>
      <c r="G533" s="79">
        <v>6.1</v>
      </c>
      <c r="H533" s="79">
        <v>0.27412500000000001</v>
      </c>
      <c r="I533" s="79" t="s">
        <v>48</v>
      </c>
      <c r="J533" s="79" t="s">
        <v>188</v>
      </c>
      <c r="K533" s="83">
        <f>VLOOKUP(ws[[#This Row],[hwycov_id]],count[],4,FALSE)</f>
        <v>18862</v>
      </c>
      <c r="L533" s="115">
        <f>VLOOKUP(ws[[#This Row],[hwycov_id]],flow0[],5,FALSE)</f>
        <v>20526</v>
      </c>
      <c r="M533" s="295">
        <f>ws[[#This Row],[flow]]/ws[[#This Row],[count]]-1</f>
        <v>8.821970098610965E-2</v>
      </c>
      <c r="N533" s="296">
        <f>POWER((ws[[#This Row],[flow]]-ws[[#This Row],[count]]),2)</f>
        <v>2768896</v>
      </c>
      <c r="O533" s="80" t="e">
        <f>VLOOKUP(ws[[#This Row],[hwycov_id]],count!$A$630:$E$652,5,FALSE)</f>
        <v>#N/A</v>
      </c>
      <c r="P533" s="80">
        <v>552</v>
      </c>
    </row>
    <row r="534" spans="1:16" x14ac:dyDescent="0.25">
      <c r="A534" s="80">
        <v>22</v>
      </c>
      <c r="B534" s="6">
        <v>4</v>
      </c>
      <c r="C534" s="80">
        <v>28106</v>
      </c>
      <c r="D534" s="80">
        <v>1</v>
      </c>
      <c r="E534" s="80">
        <v>1</v>
      </c>
      <c r="F534" s="80" t="s">
        <v>385</v>
      </c>
      <c r="G534" s="79">
        <v>6.55</v>
      </c>
      <c r="H534" s="79">
        <v>0.44785599999999998</v>
      </c>
      <c r="I534" s="79" t="s">
        <v>188</v>
      </c>
      <c r="J534" s="79" t="s">
        <v>19</v>
      </c>
      <c r="K534" s="83">
        <f>VLOOKUP(ws[[#This Row],[hwycov_id]],count[],4,FALSE)</f>
        <v>22989</v>
      </c>
      <c r="L534" s="115">
        <f>VLOOKUP(ws[[#This Row],[hwycov_id]],flow0[],5,FALSE)</f>
        <v>23466</v>
      </c>
      <c r="M534" s="295">
        <f>ws[[#This Row],[flow]]/ws[[#This Row],[count]]-1</f>
        <v>2.0749053895341207E-2</v>
      </c>
      <c r="N534" s="296">
        <f>POWER((ws[[#This Row],[flow]]-ws[[#This Row],[count]]),2)</f>
        <v>227529</v>
      </c>
      <c r="O534" s="80" t="e">
        <f>VLOOKUP(ws[[#This Row],[hwycov_id]],count!$A$630:$E$652,5,FALSE)</f>
        <v>#N/A</v>
      </c>
      <c r="P534" s="80">
        <v>553</v>
      </c>
    </row>
    <row r="535" spans="1:16" x14ac:dyDescent="0.25">
      <c r="A535" s="80">
        <v>22</v>
      </c>
      <c r="B535" s="6">
        <v>4</v>
      </c>
      <c r="C535" s="80">
        <v>10996</v>
      </c>
      <c r="D535" s="80">
        <v>1</v>
      </c>
      <c r="E535" s="80">
        <v>1</v>
      </c>
      <c r="F535" s="80" t="s">
        <v>385</v>
      </c>
      <c r="G535" s="79">
        <v>7.2</v>
      </c>
      <c r="H535" s="79">
        <v>0.65571100000000004</v>
      </c>
      <c r="I535" s="79" t="s">
        <v>19</v>
      </c>
      <c r="J535" s="79" t="s">
        <v>68</v>
      </c>
      <c r="K535" s="83">
        <f>VLOOKUP(ws[[#This Row],[hwycov_id]],count[],4,FALSE)</f>
        <v>32396</v>
      </c>
      <c r="L535" s="115">
        <f>VLOOKUP(ws[[#This Row],[hwycov_id]],flow0[],5,FALSE)</f>
        <v>35005</v>
      </c>
      <c r="M535" s="295">
        <f>ws[[#This Row],[flow]]/ws[[#This Row],[count]]-1</f>
        <v>8.0534633905420483E-2</v>
      </c>
      <c r="N535" s="296">
        <f>POWER((ws[[#This Row],[flow]]-ws[[#This Row],[count]]),2)</f>
        <v>6806881</v>
      </c>
      <c r="O535" s="80" t="e">
        <f>VLOOKUP(ws[[#This Row],[hwycov_id]],count!$A$630:$E$652,5,FALSE)</f>
        <v>#N/A</v>
      </c>
      <c r="P535" s="80">
        <v>554</v>
      </c>
    </row>
    <row r="536" spans="1:16" x14ac:dyDescent="0.25">
      <c r="A536" s="80">
        <v>22</v>
      </c>
      <c r="B536" s="6">
        <v>4</v>
      </c>
      <c r="C536" s="80">
        <v>16096</v>
      </c>
      <c r="D536" s="80">
        <v>1</v>
      </c>
      <c r="E536" s="80">
        <v>1</v>
      </c>
      <c r="F536" s="80" t="s">
        <v>385</v>
      </c>
      <c r="G536" s="79">
        <v>8.0500000000000007</v>
      </c>
      <c r="H536" s="79">
        <v>0.848831</v>
      </c>
      <c r="I536" s="79" t="s">
        <v>68</v>
      </c>
      <c r="J536" s="79" t="s">
        <v>68</v>
      </c>
      <c r="K536" s="83">
        <f>VLOOKUP(ws[[#This Row],[hwycov_id]],count[],4,FALSE)</f>
        <v>22091</v>
      </c>
      <c r="L536" s="115">
        <f>VLOOKUP(ws[[#This Row],[hwycov_id]],flow0[],5,FALSE)</f>
        <v>24524</v>
      </c>
      <c r="M536" s="295">
        <f>ws[[#This Row],[flow]]/ws[[#This Row],[count]]-1</f>
        <v>0.11013534923724588</v>
      </c>
      <c r="N536" s="296">
        <f>POWER((ws[[#This Row],[flow]]-ws[[#This Row],[count]]),2)</f>
        <v>5919489</v>
      </c>
      <c r="O536" s="80" t="e">
        <f>VLOOKUP(ws[[#This Row],[hwycov_id]],count!$A$630:$E$652,5,FALSE)</f>
        <v>#N/A</v>
      </c>
      <c r="P536" s="80">
        <v>555</v>
      </c>
    </row>
    <row r="537" spans="1:16" x14ac:dyDescent="0.25">
      <c r="A537" s="80">
        <v>22</v>
      </c>
      <c r="B537" s="6">
        <v>4</v>
      </c>
      <c r="C537" s="80">
        <v>15432</v>
      </c>
      <c r="D537" s="80">
        <v>1</v>
      </c>
      <c r="E537" s="80">
        <v>1</v>
      </c>
      <c r="F537" s="80" t="s">
        <v>385</v>
      </c>
      <c r="G537" s="79">
        <v>8.7200000000000006</v>
      </c>
      <c r="H537" s="79">
        <v>0.34732800000000003</v>
      </c>
      <c r="I537" s="79" t="s">
        <v>187</v>
      </c>
      <c r="J537" s="79" t="s">
        <v>186</v>
      </c>
      <c r="K537" s="83">
        <f>VLOOKUP(ws[[#This Row],[hwycov_id]],count[],4,FALSE)</f>
        <v>32123</v>
      </c>
      <c r="L537" s="115">
        <f>VLOOKUP(ws[[#This Row],[hwycov_id]],flow0[],5,FALSE)</f>
        <v>38721</v>
      </c>
      <c r="M537" s="295">
        <f>ws[[#This Row],[flow]]/ws[[#This Row],[count]]-1</f>
        <v>0.20539800143199582</v>
      </c>
      <c r="N537" s="296">
        <f>POWER((ws[[#This Row],[flow]]-ws[[#This Row],[count]]),2)</f>
        <v>43533604</v>
      </c>
      <c r="O537" s="80" t="e">
        <f>VLOOKUP(ws[[#This Row],[hwycov_id]],count!$A$630:$E$652,5,FALSE)</f>
        <v>#N/A</v>
      </c>
      <c r="P537" s="80">
        <v>557</v>
      </c>
    </row>
    <row r="538" spans="1:16" x14ac:dyDescent="0.25">
      <c r="A538" s="80">
        <v>22</v>
      </c>
      <c r="B538" s="6">
        <v>4</v>
      </c>
      <c r="C538" s="80">
        <v>14953</v>
      </c>
      <c r="D538" s="80">
        <v>1</v>
      </c>
      <c r="E538" s="80">
        <v>1</v>
      </c>
      <c r="F538" s="80" t="s">
        <v>385</v>
      </c>
      <c r="G538" s="79">
        <v>9.1199999999999992</v>
      </c>
      <c r="H538" s="79">
        <v>0.15404599999999999</v>
      </c>
      <c r="I538" s="79" t="s">
        <v>186</v>
      </c>
      <c r="J538" s="79" t="s">
        <v>155</v>
      </c>
      <c r="K538" s="83">
        <f>VLOOKUP(ws[[#This Row],[hwycov_id]],count[],4,FALSE)</f>
        <v>31503</v>
      </c>
      <c r="L538" s="115">
        <f>VLOOKUP(ws[[#This Row],[hwycov_id]],flow0[],5,FALSE)</f>
        <v>36163</v>
      </c>
      <c r="M538" s="295">
        <f>ws[[#This Row],[flow]]/ws[[#This Row],[count]]-1</f>
        <v>0.14792242008697576</v>
      </c>
      <c r="N538" s="296">
        <f>POWER((ws[[#This Row],[flow]]-ws[[#This Row],[count]]),2)</f>
        <v>21715600</v>
      </c>
      <c r="O538" s="80" t="e">
        <f>VLOOKUP(ws[[#This Row],[hwycov_id]],count!$A$630:$E$652,5,FALSE)</f>
        <v>#N/A</v>
      </c>
      <c r="P538" s="80">
        <v>558</v>
      </c>
    </row>
    <row r="539" spans="1:16" x14ac:dyDescent="0.25">
      <c r="A539" s="80">
        <v>22</v>
      </c>
      <c r="B539" s="6">
        <v>4</v>
      </c>
      <c r="C539" s="80">
        <v>15443</v>
      </c>
      <c r="D539" s="80">
        <v>1</v>
      </c>
      <c r="E539" s="80">
        <v>1</v>
      </c>
      <c r="F539" s="80" t="s">
        <v>385</v>
      </c>
      <c r="G539" s="79">
        <v>9.9600000000000009</v>
      </c>
      <c r="H539" s="79">
        <v>0.84090699999999996</v>
      </c>
      <c r="I539" s="79" t="s">
        <v>186</v>
      </c>
      <c r="J539" s="79" t="s">
        <v>155</v>
      </c>
      <c r="K539" s="83">
        <f>VLOOKUP(ws[[#This Row],[hwycov_id]],count[],4,FALSE)</f>
        <v>32064</v>
      </c>
      <c r="L539" s="115">
        <f>VLOOKUP(ws[[#This Row],[hwycov_id]],flow0[],5,FALSE)</f>
        <v>37791</v>
      </c>
      <c r="M539" s="295">
        <f>ws[[#This Row],[flow]]/ws[[#This Row],[count]]-1</f>
        <v>0.17861152694610771</v>
      </c>
      <c r="N539" s="296">
        <f>POWER((ws[[#This Row],[flow]]-ws[[#This Row],[count]]),2)</f>
        <v>32798529</v>
      </c>
      <c r="O539" s="80" t="e">
        <f>VLOOKUP(ws[[#This Row],[hwycov_id]],count!$A$630:$E$652,5,FALSE)</f>
        <v>#N/A</v>
      </c>
      <c r="P539" s="80">
        <v>559</v>
      </c>
    </row>
    <row r="540" spans="1:16" x14ac:dyDescent="0.25">
      <c r="A540" s="80">
        <v>22</v>
      </c>
      <c r="B540" s="6">
        <v>4</v>
      </c>
      <c r="C540" s="80">
        <v>15457</v>
      </c>
      <c r="D540" s="80">
        <v>1</v>
      </c>
      <c r="E540" s="80">
        <v>1</v>
      </c>
      <c r="F540" s="80" t="s">
        <v>385</v>
      </c>
      <c r="G540" s="79">
        <v>10.43</v>
      </c>
      <c r="H540" s="79">
        <v>0.47339799999999999</v>
      </c>
      <c r="I540" s="79" t="s">
        <v>155</v>
      </c>
      <c r="J540" s="79" t="s">
        <v>155</v>
      </c>
      <c r="K540" s="83">
        <f>VLOOKUP(ws[[#This Row],[hwycov_id]],count[],4,FALSE)</f>
        <v>28358</v>
      </c>
      <c r="L540" s="115">
        <f>VLOOKUP(ws[[#This Row],[hwycov_id]],flow0[],5,FALSE)</f>
        <v>29199</v>
      </c>
      <c r="M540" s="295">
        <f>ws[[#This Row],[flow]]/ws[[#This Row],[count]]-1</f>
        <v>2.9656534311305549E-2</v>
      </c>
      <c r="N540" s="296">
        <f>POWER((ws[[#This Row],[flow]]-ws[[#This Row],[count]]),2)</f>
        <v>707281</v>
      </c>
      <c r="O540" s="80" t="e">
        <f>VLOOKUP(ws[[#This Row],[hwycov_id]],count!$A$630:$E$652,5,FALSE)</f>
        <v>#N/A</v>
      </c>
      <c r="P540" s="80">
        <v>560</v>
      </c>
    </row>
    <row r="541" spans="1:16" x14ac:dyDescent="0.25">
      <c r="A541" s="80">
        <v>22</v>
      </c>
      <c r="B541" s="6">
        <v>4</v>
      </c>
      <c r="C541" s="80">
        <v>15459</v>
      </c>
      <c r="D541" s="80">
        <v>1</v>
      </c>
      <c r="E541" s="80">
        <v>1</v>
      </c>
      <c r="F541" s="80" t="s">
        <v>385</v>
      </c>
      <c r="G541" s="79">
        <v>11.07</v>
      </c>
      <c r="H541" s="79">
        <v>0.63617900000000005</v>
      </c>
      <c r="I541" s="79" t="s">
        <v>155</v>
      </c>
      <c r="J541" s="79" t="s">
        <v>185</v>
      </c>
      <c r="K541" s="83">
        <f>VLOOKUP(ws[[#This Row],[hwycov_id]],count[],4,FALSE)</f>
        <v>28021</v>
      </c>
      <c r="L541" s="115">
        <f>VLOOKUP(ws[[#This Row],[hwycov_id]],flow0[],5,FALSE)</f>
        <v>32309</v>
      </c>
      <c r="M541" s="295">
        <f>ws[[#This Row],[flow]]/ws[[#This Row],[count]]-1</f>
        <v>0.15302808607829843</v>
      </c>
      <c r="N541" s="296">
        <f>POWER((ws[[#This Row],[flow]]-ws[[#This Row],[count]]),2)</f>
        <v>18386944</v>
      </c>
      <c r="O541" s="80" t="e">
        <f>VLOOKUP(ws[[#This Row],[hwycov_id]],count!$A$630:$E$652,5,FALSE)</f>
        <v>#N/A</v>
      </c>
      <c r="P541" s="80">
        <v>561</v>
      </c>
    </row>
    <row r="542" spans="1:16" x14ac:dyDescent="0.25">
      <c r="A542" s="80">
        <v>22</v>
      </c>
      <c r="B542" s="6">
        <v>4</v>
      </c>
      <c r="C542" s="80">
        <v>28119</v>
      </c>
      <c r="D542" s="80">
        <v>1</v>
      </c>
      <c r="E542" s="80">
        <v>1</v>
      </c>
      <c r="F542" s="80" t="s">
        <v>385</v>
      </c>
      <c r="G542" s="79">
        <v>11.67</v>
      </c>
      <c r="H542" s="79">
        <v>0.60500399999999999</v>
      </c>
      <c r="I542" s="79" t="s">
        <v>185</v>
      </c>
      <c r="J542" s="79" t="s">
        <v>185</v>
      </c>
      <c r="K542" s="83">
        <f>VLOOKUP(ws[[#This Row],[hwycov_id]],count[],4,FALSE)</f>
        <v>26509</v>
      </c>
      <c r="L542" s="115">
        <f>VLOOKUP(ws[[#This Row],[hwycov_id]],flow0[],5,FALSE)</f>
        <v>29357</v>
      </c>
      <c r="M542" s="295">
        <f>ws[[#This Row],[flow]]/ws[[#This Row],[count]]-1</f>
        <v>0.1074352106831642</v>
      </c>
      <c r="N542" s="296">
        <f>POWER((ws[[#This Row],[flow]]-ws[[#This Row],[count]]),2)</f>
        <v>8111104</v>
      </c>
      <c r="O542" s="80" t="e">
        <f>VLOOKUP(ws[[#This Row],[hwycov_id]],count!$A$630:$E$652,5,FALSE)</f>
        <v>#N/A</v>
      </c>
      <c r="P542" s="80">
        <v>562</v>
      </c>
    </row>
    <row r="543" spans="1:16" x14ac:dyDescent="0.25">
      <c r="A543" s="80">
        <v>22</v>
      </c>
      <c r="B543" s="6">
        <v>4</v>
      </c>
      <c r="C543" s="80">
        <v>11035</v>
      </c>
      <c r="D543" s="80">
        <v>1</v>
      </c>
      <c r="E543" s="80">
        <v>1</v>
      </c>
      <c r="F543" s="80" t="s">
        <v>385</v>
      </c>
      <c r="G543" s="79">
        <v>11.99</v>
      </c>
      <c r="H543" s="79">
        <v>0.31335499999999999</v>
      </c>
      <c r="I543" s="79" t="s">
        <v>185</v>
      </c>
      <c r="J543" s="79" t="s">
        <v>184</v>
      </c>
      <c r="K543" s="83">
        <f>VLOOKUP(ws[[#This Row],[hwycov_id]],count[],4,FALSE)</f>
        <v>27861</v>
      </c>
      <c r="L543" s="115">
        <f>VLOOKUP(ws[[#This Row],[hwycov_id]],flow0[],5,FALSE)</f>
        <v>31955</v>
      </c>
      <c r="M543" s="295">
        <f>ws[[#This Row],[flow]]/ws[[#This Row],[count]]-1</f>
        <v>0.14694375650550939</v>
      </c>
      <c r="N543" s="296">
        <f>POWER((ws[[#This Row],[flow]]-ws[[#This Row],[count]]),2)</f>
        <v>16760836</v>
      </c>
      <c r="O543" s="80" t="e">
        <f>VLOOKUP(ws[[#This Row],[hwycov_id]],count!$A$630:$E$652,5,FALSE)</f>
        <v>#N/A</v>
      </c>
      <c r="P543" s="80">
        <v>563</v>
      </c>
    </row>
    <row r="544" spans="1:16" x14ac:dyDescent="0.25">
      <c r="A544" s="80">
        <v>22</v>
      </c>
      <c r="B544" s="6">
        <v>4</v>
      </c>
      <c r="C544" s="80">
        <v>28123</v>
      </c>
      <c r="D544" s="80">
        <v>1</v>
      </c>
      <c r="E544" s="80">
        <v>1</v>
      </c>
      <c r="F544" s="80" t="s">
        <v>385</v>
      </c>
      <c r="G544" s="79">
        <v>12.51</v>
      </c>
      <c r="H544" s="79">
        <v>0.52435699999999996</v>
      </c>
      <c r="I544" s="79" t="s">
        <v>184</v>
      </c>
      <c r="J544" s="79" t="s">
        <v>193</v>
      </c>
      <c r="K544" s="83">
        <f>VLOOKUP(ws[[#This Row],[hwycov_id]],count[],4,FALSE)</f>
        <v>23673</v>
      </c>
      <c r="L544" s="115">
        <f>VLOOKUP(ws[[#This Row],[hwycov_id]],flow0[],5,FALSE)</f>
        <v>25768</v>
      </c>
      <c r="M544" s="295">
        <f>ws[[#This Row],[flow]]/ws[[#This Row],[count]]-1</f>
        <v>8.849744434587925E-2</v>
      </c>
      <c r="N544" s="296">
        <f>POWER((ws[[#This Row],[flow]]-ws[[#This Row],[count]]),2)</f>
        <v>4389025</v>
      </c>
      <c r="O544" s="80" t="e">
        <f>VLOOKUP(ws[[#This Row],[hwycov_id]],count!$A$630:$E$652,5,FALSE)</f>
        <v>#N/A</v>
      </c>
      <c r="P544" s="80">
        <v>564</v>
      </c>
    </row>
    <row r="545" spans="1:16" x14ac:dyDescent="0.25">
      <c r="A545" s="80">
        <v>22</v>
      </c>
      <c r="B545" s="6">
        <v>4</v>
      </c>
      <c r="C545" s="80">
        <v>20719</v>
      </c>
      <c r="D545" s="80">
        <v>1</v>
      </c>
      <c r="E545" s="80">
        <v>1</v>
      </c>
      <c r="F545" s="80" t="s">
        <v>385</v>
      </c>
      <c r="G545" s="79">
        <v>13.16</v>
      </c>
      <c r="H545" s="79">
        <v>0.45676099999999997</v>
      </c>
      <c r="I545" s="79" t="s">
        <v>151</v>
      </c>
      <c r="J545" s="79" t="s">
        <v>21</v>
      </c>
      <c r="K545" s="83">
        <f>VLOOKUP(ws[[#This Row],[hwycov_id]],count[],4,FALSE)</f>
        <v>23045</v>
      </c>
      <c r="L545" s="115">
        <f>VLOOKUP(ws[[#This Row],[hwycov_id]],flow0[],5,FALSE)</f>
        <v>24128</v>
      </c>
      <c r="M545" s="295">
        <f>ws[[#This Row],[flow]]/ws[[#This Row],[count]]-1</f>
        <v>4.6995009763506124E-2</v>
      </c>
      <c r="N545" s="296">
        <f>POWER((ws[[#This Row],[flow]]-ws[[#This Row],[count]]),2)</f>
        <v>1172889</v>
      </c>
      <c r="O545" s="80" t="e">
        <f>VLOOKUP(ws[[#This Row],[hwycov_id]],count!$A$630:$E$652,5,FALSE)</f>
        <v>#N/A</v>
      </c>
      <c r="P545" s="80">
        <v>565</v>
      </c>
    </row>
    <row r="546" spans="1:16" x14ac:dyDescent="0.25">
      <c r="A546" s="80">
        <v>22</v>
      </c>
      <c r="B546" s="6">
        <v>4</v>
      </c>
      <c r="C546" s="80">
        <v>28143</v>
      </c>
      <c r="D546" s="80">
        <v>1</v>
      </c>
      <c r="E546" s="80">
        <v>1</v>
      </c>
      <c r="F546" s="80" t="s">
        <v>385</v>
      </c>
      <c r="G546" s="79">
        <v>13.37</v>
      </c>
      <c r="H546" s="79">
        <v>0.21394199999999999</v>
      </c>
      <c r="I546" s="79" t="s">
        <v>21</v>
      </c>
      <c r="J546" s="79" t="s">
        <v>147</v>
      </c>
      <c r="K546" s="83">
        <f>VLOOKUP(ws[[#This Row],[hwycov_id]],count[],4,FALSE)</f>
        <v>26961</v>
      </c>
      <c r="L546" s="115">
        <f>VLOOKUP(ws[[#This Row],[hwycov_id]],flow0[],5,FALSE)</f>
        <v>25959</v>
      </c>
      <c r="M546" s="295">
        <f>ws[[#This Row],[flow]]/ws[[#This Row],[count]]-1</f>
        <v>-3.7164793590742207E-2</v>
      </c>
      <c r="N546" s="296">
        <f>POWER((ws[[#This Row],[flow]]-ws[[#This Row],[count]]),2)</f>
        <v>1004004</v>
      </c>
      <c r="O546" s="80" t="e">
        <f>VLOOKUP(ws[[#This Row],[hwycov_id]],count!$A$630:$E$652,5,FALSE)</f>
        <v>#N/A</v>
      </c>
      <c r="P546" s="80">
        <v>566</v>
      </c>
    </row>
    <row r="547" spans="1:16" x14ac:dyDescent="0.25">
      <c r="A547" s="80">
        <v>22</v>
      </c>
      <c r="B547" s="6">
        <v>4</v>
      </c>
      <c r="C547" s="80">
        <v>28390</v>
      </c>
      <c r="D547" s="80">
        <v>1</v>
      </c>
      <c r="E547" s="80">
        <v>1</v>
      </c>
      <c r="F547" s="80" t="s">
        <v>385</v>
      </c>
      <c r="G547" s="79">
        <v>13.62</v>
      </c>
      <c r="H547" s="79">
        <v>0.25343199999999999</v>
      </c>
      <c r="I547" s="79" t="s">
        <v>147</v>
      </c>
      <c r="J547" s="79" t="s">
        <v>147</v>
      </c>
      <c r="K547" s="83">
        <f>VLOOKUP(ws[[#This Row],[hwycov_id]],count[],4,FALSE)</f>
        <v>20842</v>
      </c>
      <c r="L547" s="115">
        <f>VLOOKUP(ws[[#This Row],[hwycov_id]],flow0[],5,FALSE)</f>
        <v>24318</v>
      </c>
      <c r="M547" s="295">
        <f>ws[[#This Row],[flow]]/ws[[#This Row],[count]]-1</f>
        <v>0.16677862009404087</v>
      </c>
      <c r="N547" s="296">
        <f>POWER((ws[[#This Row],[flow]]-ws[[#This Row],[count]]),2)</f>
        <v>12082576</v>
      </c>
      <c r="O547" s="80" t="e">
        <f>VLOOKUP(ws[[#This Row],[hwycov_id]],count!$A$630:$E$652,5,FALSE)</f>
        <v>#N/A</v>
      </c>
      <c r="P547" s="80">
        <v>567</v>
      </c>
    </row>
    <row r="548" spans="1:16" x14ac:dyDescent="0.25">
      <c r="A548" s="80">
        <v>22</v>
      </c>
      <c r="B548" s="6">
        <v>4</v>
      </c>
      <c r="C548" s="80">
        <v>11268</v>
      </c>
      <c r="D548" s="80">
        <v>1</v>
      </c>
      <c r="E548" s="80">
        <v>1</v>
      </c>
      <c r="F548" s="80" t="s">
        <v>385</v>
      </c>
      <c r="G548" s="79">
        <v>15.23</v>
      </c>
      <c r="H548" s="79">
        <v>0.50623700000000005</v>
      </c>
      <c r="I548" s="79" t="s">
        <v>147</v>
      </c>
      <c r="J548" s="79" t="s">
        <v>21</v>
      </c>
      <c r="K548" s="83">
        <f>VLOOKUP(ws[[#This Row],[hwycov_id]],count[],4,FALSE)</f>
        <v>30620</v>
      </c>
      <c r="L548" s="115">
        <f>VLOOKUP(ws[[#This Row],[hwycov_id]],flow0[],5,FALSE)</f>
        <v>32055</v>
      </c>
      <c r="M548" s="295">
        <f>ws[[#This Row],[flow]]/ws[[#This Row],[count]]-1</f>
        <v>4.6864794252122755E-2</v>
      </c>
      <c r="N548" s="296">
        <f>POWER((ws[[#This Row],[flow]]-ws[[#This Row],[count]]),2)</f>
        <v>2059225</v>
      </c>
      <c r="O548" s="80" t="e">
        <f>VLOOKUP(ws[[#This Row],[hwycov_id]],count!$A$630:$E$652,5,FALSE)</f>
        <v>#N/A</v>
      </c>
      <c r="P548" s="80">
        <v>568</v>
      </c>
    </row>
    <row r="549" spans="1:16" x14ac:dyDescent="0.25">
      <c r="A549" s="80">
        <v>22</v>
      </c>
      <c r="B549" s="6">
        <v>4</v>
      </c>
      <c r="C549" s="80">
        <v>11054</v>
      </c>
      <c r="D549" s="80">
        <v>1</v>
      </c>
      <c r="E549" s="80">
        <v>1</v>
      </c>
      <c r="F549" s="80" t="s">
        <v>385</v>
      </c>
      <c r="G549" s="79">
        <v>16.16</v>
      </c>
      <c r="H549" s="79">
        <v>0.92454499999999995</v>
      </c>
      <c r="I549" s="79" t="s">
        <v>21</v>
      </c>
      <c r="J549" s="79" t="s">
        <v>57</v>
      </c>
      <c r="K549" s="83">
        <f>VLOOKUP(ws[[#This Row],[hwycov_id]],count[],4,FALSE)</f>
        <v>22190</v>
      </c>
      <c r="L549" s="115">
        <f>VLOOKUP(ws[[#This Row],[hwycov_id]],flow0[],5,FALSE)</f>
        <v>23965</v>
      </c>
      <c r="M549" s="295">
        <f>ws[[#This Row],[flow]]/ws[[#This Row],[count]]-1</f>
        <v>7.9990986931050001E-2</v>
      </c>
      <c r="N549" s="296">
        <f>POWER((ws[[#This Row],[flow]]-ws[[#This Row],[count]]),2)</f>
        <v>3150625</v>
      </c>
      <c r="O549" s="80" t="e">
        <f>VLOOKUP(ws[[#This Row],[hwycov_id]],count!$A$630:$E$652,5,FALSE)</f>
        <v>#N/A</v>
      </c>
      <c r="P549" s="80">
        <v>569</v>
      </c>
    </row>
    <row r="550" spans="1:16" x14ac:dyDescent="0.25">
      <c r="A550" s="80">
        <v>22</v>
      </c>
      <c r="B550" s="6">
        <v>4</v>
      </c>
      <c r="C550" s="80">
        <v>11055</v>
      </c>
      <c r="D550" s="80">
        <v>1</v>
      </c>
      <c r="E550" s="80">
        <v>1</v>
      </c>
      <c r="F550" s="80" t="s">
        <v>385</v>
      </c>
      <c r="G550" s="79">
        <v>16.64</v>
      </c>
      <c r="H550" s="79">
        <v>0.482541</v>
      </c>
      <c r="I550" s="79" t="s">
        <v>57</v>
      </c>
      <c r="J550" s="79" t="s">
        <v>57</v>
      </c>
      <c r="K550" s="83">
        <f>VLOOKUP(ws[[#This Row],[hwycov_id]],count[],4,FALSE)</f>
        <v>21209</v>
      </c>
      <c r="L550" s="115">
        <f>VLOOKUP(ws[[#This Row],[hwycov_id]],flow0[],5,FALSE)</f>
        <v>22367</v>
      </c>
      <c r="M550" s="295">
        <f>ws[[#This Row],[flow]]/ws[[#This Row],[count]]-1</f>
        <v>5.4599462492338269E-2</v>
      </c>
      <c r="N550" s="296">
        <f>POWER((ws[[#This Row],[flow]]-ws[[#This Row],[count]]),2)</f>
        <v>1340964</v>
      </c>
      <c r="O550" s="80" t="e">
        <f>VLOOKUP(ws[[#This Row],[hwycov_id]],count!$A$630:$E$652,5,FALSE)</f>
        <v>#N/A</v>
      </c>
      <c r="P550" s="80">
        <v>570</v>
      </c>
    </row>
    <row r="551" spans="1:16" x14ac:dyDescent="0.25">
      <c r="A551" s="80">
        <v>22</v>
      </c>
      <c r="B551" s="6">
        <v>4</v>
      </c>
      <c r="C551" s="80">
        <v>28179</v>
      </c>
      <c r="D551" s="80">
        <v>1</v>
      </c>
      <c r="E551" s="80">
        <v>1</v>
      </c>
      <c r="F551" s="80" t="s">
        <v>385</v>
      </c>
      <c r="G551" s="79">
        <v>18.079999999999998</v>
      </c>
      <c r="H551" s="79">
        <v>0.210452</v>
      </c>
      <c r="I551" s="79" t="s">
        <v>194</v>
      </c>
      <c r="J551" s="79" t="s">
        <v>178</v>
      </c>
      <c r="K551" s="83">
        <f>VLOOKUP(ws[[#This Row],[hwycov_id]],count[],4,FALSE)</f>
        <v>15750</v>
      </c>
      <c r="L551" s="115">
        <f>VLOOKUP(ws[[#This Row],[hwycov_id]],flow0[],5,FALSE)</f>
        <v>17782</v>
      </c>
      <c r="M551" s="295">
        <f>ws[[#This Row],[flow]]/ws[[#This Row],[count]]-1</f>
        <v>0.12901587301587303</v>
      </c>
      <c r="N551" s="296">
        <f>POWER((ws[[#This Row],[flow]]-ws[[#This Row],[count]]),2)</f>
        <v>4129024</v>
      </c>
      <c r="O551" s="80" t="e">
        <f>VLOOKUP(ws[[#This Row],[hwycov_id]],count!$A$630:$E$652,5,FALSE)</f>
        <v>#N/A</v>
      </c>
      <c r="P551" s="80">
        <v>572</v>
      </c>
    </row>
    <row r="552" spans="1:16" x14ac:dyDescent="0.25">
      <c r="A552" s="80">
        <v>22</v>
      </c>
      <c r="B552" s="6">
        <v>4</v>
      </c>
      <c r="C552" s="80">
        <v>28184</v>
      </c>
      <c r="D552" s="80">
        <v>1</v>
      </c>
      <c r="E552" s="80">
        <v>1</v>
      </c>
      <c r="F552" s="80" t="s">
        <v>385</v>
      </c>
      <c r="G552" s="79">
        <v>18.57</v>
      </c>
      <c r="H552" s="79">
        <v>0.48188300000000001</v>
      </c>
      <c r="I552" s="79" t="s">
        <v>178</v>
      </c>
      <c r="J552" s="79" t="s">
        <v>178</v>
      </c>
      <c r="K552" s="83">
        <f>VLOOKUP(ws[[#This Row],[hwycov_id]],count[],4,FALSE)</f>
        <v>15602</v>
      </c>
      <c r="L552" s="115">
        <f>VLOOKUP(ws[[#This Row],[hwycov_id]],flow0[],5,FALSE)</f>
        <v>14839</v>
      </c>
      <c r="M552" s="295">
        <f>ws[[#This Row],[flow]]/ws[[#This Row],[count]]-1</f>
        <v>-4.890398666837581E-2</v>
      </c>
      <c r="N552" s="296">
        <f>POWER((ws[[#This Row],[flow]]-ws[[#This Row],[count]]),2)</f>
        <v>582169</v>
      </c>
      <c r="O552" s="80" t="e">
        <f>VLOOKUP(ws[[#This Row],[hwycov_id]],count!$A$630:$E$652,5,FALSE)</f>
        <v>#N/A</v>
      </c>
      <c r="P552" s="80">
        <v>573</v>
      </c>
    </row>
    <row r="553" spans="1:16" x14ac:dyDescent="0.25">
      <c r="A553" s="80">
        <v>22</v>
      </c>
      <c r="B553" s="6">
        <v>4</v>
      </c>
      <c r="C553" s="80">
        <v>28186</v>
      </c>
      <c r="D553" s="80">
        <v>1</v>
      </c>
      <c r="E553" s="80">
        <v>1</v>
      </c>
      <c r="F553" s="80" t="s">
        <v>385</v>
      </c>
      <c r="G553" s="79">
        <v>18.93</v>
      </c>
      <c r="H553" s="79">
        <v>0.36024899999999999</v>
      </c>
      <c r="I553" s="79" t="s">
        <v>178</v>
      </c>
      <c r="J553" s="79" t="s">
        <v>177</v>
      </c>
      <c r="K553" s="83">
        <f>VLOOKUP(ws[[#This Row],[hwycov_id]],count[],4,FALSE)</f>
        <v>16338</v>
      </c>
      <c r="L553" s="115">
        <f>VLOOKUP(ws[[#This Row],[hwycov_id]],flow0[],5,FALSE)</f>
        <v>15580</v>
      </c>
      <c r="M553" s="295">
        <f>ws[[#This Row],[flow]]/ws[[#This Row],[count]]-1</f>
        <v>-4.6394907577426814E-2</v>
      </c>
      <c r="N553" s="296">
        <f>POWER((ws[[#This Row],[flow]]-ws[[#This Row],[count]]),2)</f>
        <v>574564</v>
      </c>
      <c r="O553" s="80" t="e">
        <f>VLOOKUP(ws[[#This Row],[hwycov_id]],count!$A$630:$E$652,5,FALSE)</f>
        <v>#N/A</v>
      </c>
      <c r="P553" s="80">
        <v>574</v>
      </c>
    </row>
    <row r="554" spans="1:16" x14ac:dyDescent="0.25">
      <c r="A554" s="80">
        <v>22</v>
      </c>
      <c r="B554" s="6">
        <v>4</v>
      </c>
      <c r="C554" s="80">
        <v>28380</v>
      </c>
      <c r="D554" s="80">
        <v>1</v>
      </c>
      <c r="E554" s="80">
        <v>1</v>
      </c>
      <c r="F554" s="80" t="s">
        <v>385</v>
      </c>
      <c r="G554" s="79">
        <v>19.739999999999998</v>
      </c>
      <c r="H554" s="79">
        <v>0.34072799999999998</v>
      </c>
      <c r="I554" s="79" t="s">
        <v>143</v>
      </c>
      <c r="J554" s="79" t="s">
        <v>57</v>
      </c>
      <c r="K554" s="83">
        <f>VLOOKUP(ws[[#This Row],[hwycov_id]],count[],4,FALSE)</f>
        <v>11333</v>
      </c>
      <c r="L554" s="115">
        <f>VLOOKUP(ws[[#This Row],[hwycov_id]],flow0[],5,FALSE)</f>
        <v>12877</v>
      </c>
      <c r="M554" s="295">
        <f>ws[[#This Row],[flow]]/ws[[#This Row],[count]]-1</f>
        <v>0.13623930115591643</v>
      </c>
      <c r="N554" s="296">
        <f>POWER((ws[[#This Row],[flow]]-ws[[#This Row],[count]]),2)</f>
        <v>2383936</v>
      </c>
      <c r="O554" s="80" t="e">
        <f>VLOOKUP(ws[[#This Row],[hwycov_id]],count!$A$630:$E$652,5,FALSE)</f>
        <v>#N/A</v>
      </c>
      <c r="P554" s="80">
        <v>575</v>
      </c>
    </row>
    <row r="555" spans="1:16" x14ac:dyDescent="0.25">
      <c r="A555" s="80">
        <v>22</v>
      </c>
      <c r="B555" s="6">
        <v>4</v>
      </c>
      <c r="C555" s="80">
        <v>28199</v>
      </c>
      <c r="D555" s="80">
        <v>1</v>
      </c>
      <c r="E555" s="80">
        <v>1</v>
      </c>
      <c r="F555" s="80" t="s">
        <v>385</v>
      </c>
      <c r="G555" s="79">
        <v>20.39</v>
      </c>
      <c r="H555" s="79">
        <v>0.41762700000000003</v>
      </c>
      <c r="I555" s="79" t="s">
        <v>143</v>
      </c>
      <c r="J555" s="79" t="s">
        <v>176</v>
      </c>
      <c r="K555" s="83">
        <f>VLOOKUP(ws[[#This Row],[hwycov_id]],count[],4,FALSE)</f>
        <v>13115</v>
      </c>
      <c r="L555" s="115">
        <f>VLOOKUP(ws[[#This Row],[hwycov_id]],flow0[],5,FALSE)</f>
        <v>13632</v>
      </c>
      <c r="M555" s="295">
        <f>ws[[#This Row],[flow]]/ws[[#This Row],[count]]-1</f>
        <v>3.942051086542131E-2</v>
      </c>
      <c r="N555" s="296">
        <f>POWER((ws[[#This Row],[flow]]-ws[[#This Row],[count]]),2)</f>
        <v>267289</v>
      </c>
      <c r="O555" s="80" t="e">
        <f>VLOOKUP(ws[[#This Row],[hwycov_id]],count!$A$630:$E$652,5,FALSE)</f>
        <v>#N/A</v>
      </c>
      <c r="P555" s="80">
        <v>576</v>
      </c>
    </row>
    <row r="556" spans="1:16" x14ac:dyDescent="0.25">
      <c r="A556" s="80">
        <v>22</v>
      </c>
      <c r="B556" s="6">
        <v>4</v>
      </c>
      <c r="C556" s="80">
        <v>28636</v>
      </c>
      <c r="D556" s="80">
        <v>1</v>
      </c>
      <c r="E556" s="80">
        <v>1</v>
      </c>
      <c r="F556" s="80" t="s">
        <v>385</v>
      </c>
      <c r="G556" s="79">
        <v>21.7</v>
      </c>
      <c r="H556" s="79">
        <v>0.73425700000000005</v>
      </c>
      <c r="I556" s="79" t="s">
        <v>176</v>
      </c>
      <c r="J556" s="79" t="s">
        <v>175</v>
      </c>
      <c r="K556" s="83">
        <f>VLOOKUP(ws[[#This Row],[hwycov_id]],count[],4,FALSE)</f>
        <v>11862</v>
      </c>
      <c r="L556" s="115">
        <f>VLOOKUP(ws[[#This Row],[hwycov_id]],flow0[],5,FALSE)</f>
        <v>11544</v>
      </c>
      <c r="M556" s="295">
        <f>ws[[#This Row],[flow]]/ws[[#This Row],[count]]-1</f>
        <v>-2.6808295397066306E-2</v>
      </c>
      <c r="N556" s="296">
        <f>POWER((ws[[#This Row],[flow]]-ws[[#This Row],[count]]),2)</f>
        <v>101124</v>
      </c>
      <c r="O556" s="80" t="e">
        <f>VLOOKUP(ws[[#This Row],[hwycov_id]],count!$A$630:$E$652,5,FALSE)</f>
        <v>#N/A</v>
      </c>
      <c r="P556" s="80">
        <v>577</v>
      </c>
    </row>
    <row r="557" spans="1:16" x14ac:dyDescent="0.25">
      <c r="A557" s="80">
        <v>22</v>
      </c>
      <c r="B557" s="6">
        <v>4</v>
      </c>
      <c r="C557" s="80">
        <v>28203</v>
      </c>
      <c r="D557" s="80">
        <v>1</v>
      </c>
      <c r="E557" s="80">
        <v>1</v>
      </c>
      <c r="F557" s="80" t="s">
        <v>385</v>
      </c>
      <c r="G557" s="79">
        <v>22.11</v>
      </c>
      <c r="H557" s="79">
        <v>0.40938400000000003</v>
      </c>
      <c r="I557" s="79" t="s">
        <v>175</v>
      </c>
      <c r="J557" s="79" t="s">
        <v>175</v>
      </c>
      <c r="K557" s="83">
        <f>VLOOKUP(ws[[#This Row],[hwycov_id]],count[],4,FALSE)</f>
        <v>8438</v>
      </c>
      <c r="L557" s="115">
        <f>VLOOKUP(ws[[#This Row],[hwycov_id]],flow0[],5,FALSE)</f>
        <v>9155</v>
      </c>
      <c r="M557" s="295">
        <f>ws[[#This Row],[flow]]/ws[[#This Row],[count]]-1</f>
        <v>8.497274235600849E-2</v>
      </c>
      <c r="N557" s="296">
        <f>POWER((ws[[#This Row],[flow]]-ws[[#This Row],[count]]),2)</f>
        <v>514089</v>
      </c>
      <c r="O557" s="80" t="e">
        <f>VLOOKUP(ws[[#This Row],[hwycov_id]],count!$A$630:$E$652,5,FALSE)</f>
        <v>#N/A</v>
      </c>
      <c r="P557" s="80">
        <v>578</v>
      </c>
    </row>
    <row r="558" spans="1:16" x14ac:dyDescent="0.25">
      <c r="A558" s="80">
        <v>22</v>
      </c>
      <c r="B558" s="6">
        <v>4</v>
      </c>
      <c r="C558" s="80">
        <v>28214</v>
      </c>
      <c r="D558" s="80">
        <v>1</v>
      </c>
      <c r="E558" s="80">
        <v>1</v>
      </c>
      <c r="F558" s="80" t="s">
        <v>385</v>
      </c>
      <c r="G558" s="79">
        <v>23.91</v>
      </c>
      <c r="H558" s="79">
        <v>0.24140200000000001</v>
      </c>
      <c r="I558" s="79" t="s">
        <v>174</v>
      </c>
      <c r="J558" s="79" t="s">
        <v>174</v>
      </c>
      <c r="K558" s="83">
        <f>VLOOKUP(ws[[#This Row],[hwycov_id]],count[],4,FALSE)</f>
        <v>7857</v>
      </c>
      <c r="L558" s="115">
        <f>VLOOKUP(ws[[#This Row],[hwycov_id]],flow0[],5,FALSE)</f>
        <v>8969</v>
      </c>
      <c r="M558" s="295">
        <f>ws[[#This Row],[flow]]/ws[[#This Row],[count]]-1</f>
        <v>0.14152984599719987</v>
      </c>
      <c r="N558" s="296">
        <f>POWER((ws[[#This Row],[flow]]-ws[[#This Row],[count]]),2)</f>
        <v>1236544</v>
      </c>
      <c r="O558" s="80" t="e">
        <f>VLOOKUP(ws[[#This Row],[hwycov_id]],count!$A$630:$E$652,5,FALSE)</f>
        <v>#N/A</v>
      </c>
      <c r="P558" s="80">
        <v>579</v>
      </c>
    </row>
    <row r="559" spans="1:16" x14ac:dyDescent="0.25">
      <c r="A559" s="80">
        <v>22</v>
      </c>
      <c r="B559" s="6">
        <v>4</v>
      </c>
      <c r="C559" s="80">
        <v>28216</v>
      </c>
      <c r="D559" s="80">
        <v>1</v>
      </c>
      <c r="E559" s="80">
        <v>1</v>
      </c>
      <c r="F559" s="80" t="s">
        <v>385</v>
      </c>
      <c r="G559" s="79">
        <v>27.29</v>
      </c>
      <c r="H559" s="79">
        <v>3.3771620000000002</v>
      </c>
      <c r="I559" s="79" t="s">
        <v>174</v>
      </c>
      <c r="J559" s="79" t="s">
        <v>346</v>
      </c>
      <c r="K559" s="83">
        <f>VLOOKUP(ws[[#This Row],[hwycov_id]],count[],4,FALSE)</f>
        <v>8246</v>
      </c>
      <c r="L559" s="115">
        <f>VLOOKUP(ws[[#This Row],[hwycov_id]],flow0[],5,FALSE)</f>
        <v>9018</v>
      </c>
      <c r="M559" s="295">
        <f>ws[[#This Row],[flow]]/ws[[#This Row],[count]]-1</f>
        <v>9.3621149648314361E-2</v>
      </c>
      <c r="N559" s="296">
        <f>POWER((ws[[#This Row],[flow]]-ws[[#This Row],[count]]),2)</f>
        <v>595984</v>
      </c>
      <c r="O559" s="80" t="e">
        <f>VLOOKUP(ws[[#This Row],[hwycov_id]],count!$A$630:$E$652,5,FALSE)</f>
        <v>#N/A</v>
      </c>
      <c r="P559" s="80">
        <v>580</v>
      </c>
    </row>
    <row r="560" spans="1:16" x14ac:dyDescent="0.25">
      <c r="A560" s="80">
        <v>22</v>
      </c>
      <c r="B560" s="6">
        <v>4</v>
      </c>
      <c r="C560" s="80">
        <v>29215</v>
      </c>
      <c r="D560" s="80">
        <v>1</v>
      </c>
      <c r="E560" s="80">
        <v>1</v>
      </c>
      <c r="F560" s="80" t="s">
        <v>385</v>
      </c>
      <c r="G560" s="79">
        <v>45.16</v>
      </c>
      <c r="H560" s="79">
        <v>2.204377</v>
      </c>
      <c r="I560" s="79" t="s">
        <v>345</v>
      </c>
      <c r="J560" s="79" t="s">
        <v>344</v>
      </c>
      <c r="K560" s="83">
        <f>VLOOKUP(ws[[#This Row],[hwycov_id]],count[],4,FALSE)</f>
        <v>2708</v>
      </c>
      <c r="L560" s="115">
        <f>VLOOKUP(ws[[#This Row],[hwycov_id]],flow0[],5,FALSE)</f>
        <v>3264</v>
      </c>
      <c r="M560" s="295">
        <f>ws[[#This Row],[flow]]/ws[[#This Row],[count]]-1</f>
        <v>0.20531757754800584</v>
      </c>
      <c r="N560" s="296">
        <f>POWER((ws[[#This Row],[flow]]-ws[[#This Row],[count]]),2)</f>
        <v>309136</v>
      </c>
      <c r="O560" s="80" t="e">
        <f>VLOOKUP(ws[[#This Row],[hwycov_id]],count!$A$630:$E$652,5,FALSE)</f>
        <v>#N/A</v>
      </c>
      <c r="P560" s="80">
        <v>581</v>
      </c>
    </row>
    <row r="561" spans="1:16" x14ac:dyDescent="0.25">
      <c r="A561" s="80">
        <v>22</v>
      </c>
      <c r="B561" s="6">
        <v>4</v>
      </c>
      <c r="C561" s="80">
        <v>28269</v>
      </c>
      <c r="D561" s="80">
        <v>1</v>
      </c>
      <c r="E561" s="80">
        <v>1</v>
      </c>
      <c r="F561" s="80" t="s">
        <v>385</v>
      </c>
      <c r="G561" s="79">
        <v>53.52</v>
      </c>
      <c r="H561" s="79">
        <v>2.602919</v>
      </c>
      <c r="I561" s="79" t="s">
        <v>343</v>
      </c>
      <c r="J561" s="79" t="s">
        <v>342</v>
      </c>
      <c r="K561" s="83">
        <f>VLOOKUP(ws[[#This Row],[hwycov_id]],count[],4,FALSE)</f>
        <v>1915</v>
      </c>
      <c r="L561" s="115">
        <f>VLOOKUP(ws[[#This Row],[hwycov_id]],flow0[],5,FALSE)</f>
        <v>2341</v>
      </c>
      <c r="M561" s="295">
        <f>ws[[#This Row],[flow]]/ws[[#This Row],[count]]-1</f>
        <v>0.22245430809399469</v>
      </c>
      <c r="N561" s="296">
        <f>POWER((ws[[#This Row],[flow]]-ws[[#This Row],[count]]),2)</f>
        <v>181476</v>
      </c>
      <c r="O561" s="80" t="e">
        <f>VLOOKUP(ws[[#This Row],[hwycov_id]],count!$A$630:$E$652,5,FALSE)</f>
        <v>#N/A</v>
      </c>
      <c r="P561" s="80">
        <v>582</v>
      </c>
    </row>
    <row r="562" spans="1:16" x14ac:dyDescent="0.25">
      <c r="A562" s="80">
        <v>22</v>
      </c>
      <c r="B562" s="6">
        <v>4</v>
      </c>
      <c r="C562" s="80">
        <v>27539</v>
      </c>
      <c r="D562" s="80">
        <v>1</v>
      </c>
      <c r="E562" s="80">
        <v>1</v>
      </c>
      <c r="F562" s="80" t="s">
        <v>385</v>
      </c>
      <c r="G562" s="79">
        <v>73.28</v>
      </c>
      <c r="H562" s="79">
        <v>7.6178699999999999</v>
      </c>
      <c r="I562" s="79" t="s">
        <v>341</v>
      </c>
      <c r="J562" s="79" t="s">
        <v>340</v>
      </c>
      <c r="K562" s="83">
        <f>VLOOKUP(ws[[#This Row],[hwycov_id]],count[],4,FALSE)</f>
        <v>1608</v>
      </c>
      <c r="L562" s="115">
        <f>VLOOKUP(ws[[#This Row],[hwycov_id]],flow0[],5,FALSE)</f>
        <v>1890</v>
      </c>
      <c r="M562" s="295">
        <f>ws[[#This Row],[flow]]/ws[[#This Row],[count]]-1</f>
        <v>0.17537313432835822</v>
      </c>
      <c r="N562" s="296">
        <f>POWER((ws[[#This Row],[flow]]-ws[[#This Row],[count]]),2)</f>
        <v>79524</v>
      </c>
      <c r="O562" s="80" t="e">
        <f>VLOOKUP(ws[[#This Row],[hwycov_id]],count!$A$630:$E$652,5,FALSE)</f>
        <v>#N/A</v>
      </c>
      <c r="P562" s="80">
        <v>583</v>
      </c>
    </row>
    <row r="563" spans="1:16" x14ac:dyDescent="0.25">
      <c r="A563" s="80">
        <v>23</v>
      </c>
      <c r="B563" s="6">
        <v>4</v>
      </c>
      <c r="C563" s="80">
        <v>16489</v>
      </c>
      <c r="D563" s="80">
        <v>1</v>
      </c>
      <c r="E563" s="80">
        <v>1</v>
      </c>
      <c r="F563" s="80" t="s">
        <v>386</v>
      </c>
      <c r="G563" s="79">
        <v>0.59</v>
      </c>
      <c r="H563" s="79">
        <v>0.219358</v>
      </c>
      <c r="I563" s="79" t="s">
        <v>39</v>
      </c>
      <c r="J563" s="79" t="s">
        <v>153</v>
      </c>
      <c r="K563" s="83">
        <f>VLOOKUP(ws[[#This Row],[hwycov_id]],count[],4,FALSE)</f>
        <v>17971</v>
      </c>
      <c r="L563" s="115">
        <f>VLOOKUP(ws[[#This Row],[hwycov_id]],flow0[],5,FALSE)</f>
        <v>16200</v>
      </c>
      <c r="M563" s="295">
        <f>ws[[#This Row],[flow]]/ws[[#This Row],[count]]-1</f>
        <v>-9.8547660119080782E-2</v>
      </c>
      <c r="N563" s="296">
        <f>POWER((ws[[#This Row],[flow]]-ws[[#This Row],[count]]),2)</f>
        <v>3136441</v>
      </c>
      <c r="O563" s="80" t="e">
        <f>VLOOKUP(ws[[#This Row],[hwycov_id]],count!$A$630:$E$652,5,FALSE)</f>
        <v>#N/A</v>
      </c>
      <c r="P563" s="80">
        <v>584</v>
      </c>
    </row>
    <row r="564" spans="1:16" x14ac:dyDescent="0.25">
      <c r="A564" s="80">
        <v>23</v>
      </c>
      <c r="B564" s="6">
        <v>4</v>
      </c>
      <c r="C564" s="80">
        <v>28535</v>
      </c>
      <c r="D564" s="80">
        <v>1</v>
      </c>
      <c r="E564" s="80">
        <v>1</v>
      </c>
      <c r="F564" s="80" t="s">
        <v>386</v>
      </c>
      <c r="G564" s="79">
        <v>1.08</v>
      </c>
      <c r="H564" s="79">
        <v>0.48938799999999999</v>
      </c>
      <c r="I564" s="79" t="s">
        <v>153</v>
      </c>
      <c r="J564" s="79" t="s">
        <v>153</v>
      </c>
      <c r="K564" s="83">
        <f>VLOOKUP(ws[[#This Row],[hwycov_id]],count[],4,FALSE)</f>
        <v>14738</v>
      </c>
      <c r="L564" s="115">
        <f>VLOOKUP(ws[[#This Row],[hwycov_id]],flow0[],5,FALSE)</f>
        <v>14657</v>
      </c>
      <c r="M564" s="295">
        <f>ws[[#This Row],[flow]]/ws[[#This Row],[count]]-1</f>
        <v>-5.4959967431130741E-3</v>
      </c>
      <c r="N564" s="296">
        <f>POWER((ws[[#This Row],[flow]]-ws[[#This Row],[count]]),2)</f>
        <v>6561</v>
      </c>
      <c r="O564" s="80" t="e">
        <f>VLOOKUP(ws[[#This Row],[hwycov_id]],count!$A$630:$E$652,5,FALSE)</f>
        <v>#N/A</v>
      </c>
      <c r="P564" s="80">
        <v>585</v>
      </c>
    </row>
    <row r="565" spans="1:16" x14ac:dyDescent="0.25">
      <c r="A565" s="80">
        <v>23</v>
      </c>
      <c r="B565" s="6">
        <v>4</v>
      </c>
      <c r="C565" s="80">
        <v>27544</v>
      </c>
      <c r="D565" s="80">
        <v>1</v>
      </c>
      <c r="E565" s="80">
        <v>1</v>
      </c>
      <c r="F565" s="80" t="s">
        <v>386</v>
      </c>
      <c r="G565" s="79">
        <v>1.26</v>
      </c>
      <c r="H565" s="79">
        <v>0.17727200000000001</v>
      </c>
      <c r="I565" s="79" t="s">
        <v>153</v>
      </c>
      <c r="J565" s="79" t="s">
        <v>154</v>
      </c>
      <c r="K565" s="83">
        <f>VLOOKUP(ws[[#This Row],[hwycov_id]],count[],4,FALSE)</f>
        <v>16132</v>
      </c>
      <c r="L565" s="115">
        <f>VLOOKUP(ws[[#This Row],[hwycov_id]],flow0[],5,FALSE)</f>
        <v>15918</v>
      </c>
      <c r="M565" s="295">
        <f>ws[[#This Row],[flow]]/ws[[#This Row],[count]]-1</f>
        <v>-1.3265559137118799E-2</v>
      </c>
      <c r="N565" s="296">
        <f>POWER((ws[[#This Row],[flow]]-ws[[#This Row],[count]]),2)</f>
        <v>45796</v>
      </c>
      <c r="O565" s="80" t="e">
        <f>VLOOKUP(ws[[#This Row],[hwycov_id]],count!$A$630:$E$652,5,FALSE)</f>
        <v>#N/A</v>
      </c>
      <c r="P565" s="80">
        <v>586</v>
      </c>
    </row>
    <row r="566" spans="1:16" x14ac:dyDescent="0.25">
      <c r="A566" s="80">
        <v>23</v>
      </c>
      <c r="B566" s="6">
        <v>4</v>
      </c>
      <c r="C566" s="80">
        <v>27245</v>
      </c>
      <c r="D566" s="80">
        <v>1</v>
      </c>
      <c r="E566" s="80">
        <v>1</v>
      </c>
      <c r="F566" s="80" t="s">
        <v>386</v>
      </c>
      <c r="G566" s="79">
        <v>1.79</v>
      </c>
      <c r="H566" s="79">
        <v>0.53846499999999997</v>
      </c>
      <c r="I566" s="79" t="s">
        <v>154</v>
      </c>
      <c r="J566" s="79" t="s">
        <v>154</v>
      </c>
      <c r="K566" s="83">
        <f>VLOOKUP(ws[[#This Row],[hwycov_id]],count[],4,FALSE)</f>
        <v>13545</v>
      </c>
      <c r="L566" s="115">
        <f>VLOOKUP(ws[[#This Row],[hwycov_id]],flow0[],5,FALSE)</f>
        <v>14241</v>
      </c>
      <c r="M566" s="295">
        <f>ws[[#This Row],[flow]]/ws[[#This Row],[count]]-1</f>
        <v>5.1384274640088545E-2</v>
      </c>
      <c r="N566" s="296">
        <f>POWER((ws[[#This Row],[flow]]-ws[[#This Row],[count]]),2)</f>
        <v>484416</v>
      </c>
      <c r="O566" s="80" t="e">
        <f>VLOOKUP(ws[[#This Row],[hwycov_id]],count!$A$630:$E$652,5,FALSE)</f>
        <v>#N/A</v>
      </c>
      <c r="P566" s="80">
        <v>587</v>
      </c>
    </row>
    <row r="567" spans="1:16" x14ac:dyDescent="0.25">
      <c r="A567" s="80">
        <v>23</v>
      </c>
      <c r="B567" s="6">
        <v>4</v>
      </c>
      <c r="C567" s="80">
        <v>8829</v>
      </c>
      <c r="D567" s="80">
        <v>1</v>
      </c>
      <c r="E567" s="80">
        <v>1</v>
      </c>
      <c r="F567" s="80" t="s">
        <v>386</v>
      </c>
      <c r="G567" s="79">
        <v>2.36</v>
      </c>
      <c r="H567" s="79">
        <v>0.56421600000000005</v>
      </c>
      <c r="I567" s="79" t="s">
        <v>154</v>
      </c>
      <c r="J567" s="79" t="s">
        <v>354</v>
      </c>
      <c r="K567" s="83">
        <f>VLOOKUP(ws[[#This Row],[hwycov_id]],count[],4,FALSE)</f>
        <v>18241</v>
      </c>
      <c r="L567" s="115">
        <f>VLOOKUP(ws[[#This Row],[hwycov_id]],flow0[],5,FALSE)</f>
        <v>16516</v>
      </c>
      <c r="M567" s="295">
        <f>ws[[#This Row],[flow]]/ws[[#This Row],[count]]-1</f>
        <v>-9.4567183816676725E-2</v>
      </c>
      <c r="N567" s="296">
        <f>POWER((ws[[#This Row],[flow]]-ws[[#This Row],[count]]),2)</f>
        <v>2975625</v>
      </c>
      <c r="O567" s="80" t="e">
        <f>VLOOKUP(ws[[#This Row],[hwycov_id]],count!$A$630:$E$652,5,FALSE)</f>
        <v>#N/A</v>
      </c>
      <c r="P567" s="80">
        <v>588</v>
      </c>
    </row>
    <row r="568" spans="1:16" x14ac:dyDescent="0.25">
      <c r="A568" s="80">
        <v>23</v>
      </c>
      <c r="B568" s="6">
        <v>4</v>
      </c>
      <c r="C568" s="80">
        <v>8831</v>
      </c>
      <c r="D568" s="80">
        <v>1</v>
      </c>
      <c r="E568" s="80">
        <v>1</v>
      </c>
      <c r="F568" s="80" t="s">
        <v>386</v>
      </c>
      <c r="G568" s="79">
        <v>3.44</v>
      </c>
      <c r="H568" s="79">
        <v>0.319855</v>
      </c>
      <c r="I568" s="79" t="s">
        <v>155</v>
      </c>
      <c r="J568" s="79" t="s">
        <v>129</v>
      </c>
      <c r="K568" s="83">
        <f>VLOOKUP(ws[[#This Row],[hwycov_id]],count[],4,FALSE)</f>
        <v>13531</v>
      </c>
      <c r="L568" s="115">
        <f>VLOOKUP(ws[[#This Row],[hwycov_id]],flow0[],5,FALSE)</f>
        <v>14692</v>
      </c>
      <c r="M568" s="295">
        <f>ws[[#This Row],[flow]]/ws[[#This Row],[count]]-1</f>
        <v>8.5802970955583424E-2</v>
      </c>
      <c r="N568" s="296">
        <f>POWER((ws[[#This Row],[flow]]-ws[[#This Row],[count]]),2)</f>
        <v>1347921</v>
      </c>
      <c r="O568" s="80" t="e">
        <f>VLOOKUP(ws[[#This Row],[hwycov_id]],count!$A$630:$E$652,5,FALSE)</f>
        <v>#N/A</v>
      </c>
      <c r="P568" s="80">
        <v>589</v>
      </c>
    </row>
    <row r="569" spans="1:16" x14ac:dyDescent="0.25">
      <c r="A569" s="80">
        <v>23</v>
      </c>
      <c r="B569" s="6">
        <v>4</v>
      </c>
      <c r="C569" s="80">
        <v>8830</v>
      </c>
      <c r="D569" s="80">
        <v>1</v>
      </c>
      <c r="E569" s="80">
        <v>1</v>
      </c>
      <c r="F569" s="80" t="s">
        <v>386</v>
      </c>
      <c r="G569" s="79">
        <v>3.78</v>
      </c>
      <c r="H569" s="79">
        <v>0.34758099999999997</v>
      </c>
      <c r="I569" s="79" t="s">
        <v>129</v>
      </c>
      <c r="J569" s="79" t="s">
        <v>129</v>
      </c>
      <c r="K569" s="83">
        <f>VLOOKUP(ws[[#This Row],[hwycov_id]],count[],4,FALSE)</f>
        <v>13301</v>
      </c>
      <c r="L569" s="115">
        <f>VLOOKUP(ws[[#This Row],[hwycov_id]],flow0[],5,FALSE)</f>
        <v>13137</v>
      </c>
      <c r="M569" s="295">
        <f>ws[[#This Row],[flow]]/ws[[#This Row],[count]]-1</f>
        <v>-1.2329900007518213E-2</v>
      </c>
      <c r="N569" s="296">
        <f>POWER((ws[[#This Row],[flow]]-ws[[#This Row],[count]]),2)</f>
        <v>26896</v>
      </c>
      <c r="O569" s="80" t="e">
        <f>VLOOKUP(ws[[#This Row],[hwycov_id]],count!$A$630:$E$652,5,FALSE)</f>
        <v>#N/A</v>
      </c>
      <c r="P569" s="80">
        <v>590</v>
      </c>
    </row>
    <row r="570" spans="1:16" x14ac:dyDescent="0.25">
      <c r="A570" s="80">
        <v>23</v>
      </c>
      <c r="B570" s="6">
        <v>4</v>
      </c>
      <c r="C570" s="80">
        <v>16566</v>
      </c>
      <c r="D570" s="80">
        <v>1</v>
      </c>
      <c r="E570" s="80">
        <v>1</v>
      </c>
      <c r="F570" s="80" t="s">
        <v>386</v>
      </c>
      <c r="G570" s="79">
        <v>4.66</v>
      </c>
      <c r="H570" s="79">
        <v>0.48250900000000002</v>
      </c>
      <c r="I570" s="79" t="s">
        <v>156</v>
      </c>
      <c r="J570" s="79" t="s">
        <v>156</v>
      </c>
      <c r="K570" s="83">
        <f>VLOOKUP(ws[[#This Row],[hwycov_id]],count[],4,FALSE)</f>
        <v>13078</v>
      </c>
      <c r="L570" s="115">
        <f>VLOOKUP(ws[[#This Row],[hwycov_id]],flow0[],5,FALSE)</f>
        <v>13092</v>
      </c>
      <c r="M570" s="295">
        <f>ws[[#This Row],[flow]]/ws[[#This Row],[count]]-1</f>
        <v>1.0705000764643646E-3</v>
      </c>
      <c r="N570" s="296">
        <f>POWER((ws[[#This Row],[flow]]-ws[[#This Row],[count]]),2)</f>
        <v>196</v>
      </c>
      <c r="O570" s="80" t="e">
        <f>VLOOKUP(ws[[#This Row],[hwycov_id]],count!$A$630:$E$652,5,FALSE)</f>
        <v>#N/A</v>
      </c>
      <c r="P570" s="80">
        <v>591</v>
      </c>
    </row>
    <row r="571" spans="1:16" x14ac:dyDescent="0.25">
      <c r="A571" s="80">
        <v>23</v>
      </c>
      <c r="B571" s="6">
        <v>4</v>
      </c>
      <c r="C571" s="80">
        <v>16565</v>
      </c>
      <c r="D571" s="80">
        <v>1</v>
      </c>
      <c r="E571" s="80">
        <v>1</v>
      </c>
      <c r="F571" s="80" t="s">
        <v>386</v>
      </c>
      <c r="G571" s="79">
        <v>5.7</v>
      </c>
      <c r="H571" s="79">
        <v>1.04671</v>
      </c>
      <c r="I571" s="79" t="s">
        <v>156</v>
      </c>
      <c r="J571" s="79" t="s">
        <v>157</v>
      </c>
      <c r="K571" s="83">
        <f>VLOOKUP(ws[[#This Row],[hwycov_id]],count[],4,FALSE)</f>
        <v>16661</v>
      </c>
      <c r="L571" s="115">
        <f>VLOOKUP(ws[[#This Row],[hwycov_id]],flow0[],5,FALSE)</f>
        <v>15638</v>
      </c>
      <c r="M571" s="295">
        <f>ws[[#This Row],[flow]]/ws[[#This Row],[count]]-1</f>
        <v>-6.1400876297941331E-2</v>
      </c>
      <c r="N571" s="296">
        <f>POWER((ws[[#This Row],[flow]]-ws[[#This Row],[count]]),2)</f>
        <v>1046529</v>
      </c>
      <c r="O571" s="80" t="e">
        <f>VLOOKUP(ws[[#This Row],[hwycov_id]],count!$A$630:$E$652,5,FALSE)</f>
        <v>#N/A</v>
      </c>
      <c r="P571" s="80">
        <v>592</v>
      </c>
    </row>
    <row r="572" spans="1:16" x14ac:dyDescent="0.25">
      <c r="A572" s="80">
        <v>23</v>
      </c>
      <c r="B572" s="6">
        <v>4</v>
      </c>
      <c r="C572" s="80">
        <v>7872</v>
      </c>
      <c r="D572" s="80">
        <v>1</v>
      </c>
      <c r="E572" s="80">
        <v>1</v>
      </c>
      <c r="F572" s="80" t="s">
        <v>386</v>
      </c>
      <c r="G572" s="79">
        <v>6.46</v>
      </c>
      <c r="H572" s="79">
        <v>0.43843199999999999</v>
      </c>
      <c r="I572" s="79" t="s">
        <v>157</v>
      </c>
      <c r="J572" s="79" t="s">
        <v>157</v>
      </c>
      <c r="K572" s="83">
        <f>VLOOKUP(ws[[#This Row],[hwycov_id]],count[],4,FALSE)</f>
        <v>11279</v>
      </c>
      <c r="L572" s="115">
        <f>VLOOKUP(ws[[#This Row],[hwycov_id]],flow0[],5,FALSE)</f>
        <v>12291</v>
      </c>
      <c r="M572" s="295">
        <f>ws[[#This Row],[flow]]/ws[[#This Row],[count]]-1</f>
        <v>8.9724266335668101E-2</v>
      </c>
      <c r="N572" s="296">
        <f>POWER((ws[[#This Row],[flow]]-ws[[#This Row],[count]]),2)</f>
        <v>1024144</v>
      </c>
      <c r="O572" s="80" t="e">
        <f>VLOOKUP(ws[[#This Row],[hwycov_id]],count!$A$630:$E$652,5,FALSE)</f>
        <v>#N/A</v>
      </c>
      <c r="P572" s="80">
        <v>593</v>
      </c>
    </row>
    <row r="573" spans="1:16" x14ac:dyDescent="0.25">
      <c r="A573" s="80">
        <v>23</v>
      </c>
      <c r="B573" s="6">
        <v>4</v>
      </c>
      <c r="C573" s="80">
        <v>27247</v>
      </c>
      <c r="D573" s="80">
        <v>1</v>
      </c>
      <c r="E573" s="80">
        <v>1</v>
      </c>
      <c r="F573" s="80" t="s">
        <v>386</v>
      </c>
      <c r="G573" s="79">
        <v>7.12</v>
      </c>
      <c r="H573" s="79">
        <v>0.47808699999999998</v>
      </c>
      <c r="I573" s="79" t="s">
        <v>158</v>
      </c>
      <c r="J573" s="79" t="s">
        <v>158</v>
      </c>
      <c r="K573" s="83">
        <f>VLOOKUP(ws[[#This Row],[hwycov_id]],count[],4,FALSE)</f>
        <v>11620</v>
      </c>
      <c r="L573" s="115">
        <f>VLOOKUP(ws[[#This Row],[hwycov_id]],flow0[],5,FALSE)</f>
        <v>13014</v>
      </c>
      <c r="M573" s="295">
        <f>ws[[#This Row],[flow]]/ws[[#This Row],[count]]-1</f>
        <v>0.11996557659208262</v>
      </c>
      <c r="N573" s="296">
        <f>POWER((ws[[#This Row],[flow]]-ws[[#This Row],[count]]),2)</f>
        <v>1943236</v>
      </c>
      <c r="O573" s="80" t="e">
        <f>VLOOKUP(ws[[#This Row],[hwycov_id]],count!$A$630:$E$652,5,FALSE)</f>
        <v>#N/A</v>
      </c>
      <c r="P573" s="80">
        <v>594</v>
      </c>
    </row>
    <row r="574" spans="1:16" x14ac:dyDescent="0.25">
      <c r="A574" s="80">
        <v>23</v>
      </c>
      <c r="B574" s="6">
        <v>4</v>
      </c>
      <c r="C574" s="80">
        <v>7873</v>
      </c>
      <c r="D574" s="80">
        <v>1</v>
      </c>
      <c r="E574" s="80">
        <v>1</v>
      </c>
      <c r="F574" s="80" t="s">
        <v>386</v>
      </c>
      <c r="G574" s="79">
        <v>7.98</v>
      </c>
      <c r="H574" s="79">
        <v>0.41443400000000002</v>
      </c>
      <c r="I574" s="79" t="s">
        <v>159</v>
      </c>
      <c r="J574" s="79" t="s">
        <v>159</v>
      </c>
      <c r="K574" s="83">
        <f>VLOOKUP(ws[[#This Row],[hwycov_id]],count[],4,FALSE)</f>
        <v>13461</v>
      </c>
      <c r="L574" s="115">
        <f>VLOOKUP(ws[[#This Row],[hwycov_id]],flow0[],5,FALSE)</f>
        <v>13694</v>
      </c>
      <c r="M574" s="295">
        <f>ws[[#This Row],[flow]]/ws[[#This Row],[count]]-1</f>
        <v>1.7309263799123453E-2</v>
      </c>
      <c r="N574" s="296">
        <f>POWER((ws[[#This Row],[flow]]-ws[[#This Row],[count]]),2)</f>
        <v>54289</v>
      </c>
      <c r="O574" s="80" t="e">
        <f>VLOOKUP(ws[[#This Row],[hwycov_id]],count!$A$630:$E$652,5,FALSE)</f>
        <v>#N/A</v>
      </c>
      <c r="P574" s="80">
        <v>595</v>
      </c>
    </row>
    <row r="575" spans="1:16" x14ac:dyDescent="0.25">
      <c r="A575" s="80">
        <v>23</v>
      </c>
      <c r="B575" s="6">
        <v>4</v>
      </c>
      <c r="C575" s="80">
        <v>8841</v>
      </c>
      <c r="D575" s="80">
        <v>1</v>
      </c>
      <c r="E575" s="80">
        <v>1</v>
      </c>
      <c r="F575" s="80" t="s">
        <v>386</v>
      </c>
      <c r="G575" s="79">
        <v>10.4</v>
      </c>
      <c r="H575" s="79">
        <v>0.33099400000000001</v>
      </c>
      <c r="I575" s="79" t="s">
        <v>160</v>
      </c>
      <c r="J575" s="79" t="s">
        <v>353</v>
      </c>
      <c r="K575" s="83">
        <f>VLOOKUP(ws[[#This Row],[hwycov_id]],count[],4,FALSE)</f>
        <v>13576</v>
      </c>
      <c r="L575" s="115">
        <f>VLOOKUP(ws[[#This Row],[hwycov_id]],flow0[],5,FALSE)</f>
        <v>16720</v>
      </c>
      <c r="M575" s="295">
        <f>ws[[#This Row],[flow]]/ws[[#This Row],[count]]-1</f>
        <v>0.23158515026517379</v>
      </c>
      <c r="N575" s="296">
        <f>POWER((ws[[#This Row],[flow]]-ws[[#This Row],[count]]),2)</f>
        <v>9884736</v>
      </c>
      <c r="O575" s="80" t="e">
        <f>VLOOKUP(ws[[#This Row],[hwycov_id]],count!$A$630:$E$652,5,FALSE)</f>
        <v>#N/A</v>
      </c>
      <c r="P575" s="80">
        <v>596</v>
      </c>
    </row>
    <row r="576" spans="1:16" x14ac:dyDescent="0.25">
      <c r="A576" s="80">
        <v>23</v>
      </c>
      <c r="B576" s="6">
        <v>4</v>
      </c>
      <c r="C576" s="80">
        <v>29182</v>
      </c>
      <c r="D576" s="80">
        <v>1</v>
      </c>
      <c r="E576" s="80">
        <v>1</v>
      </c>
      <c r="F576" s="80" t="s">
        <v>386</v>
      </c>
      <c r="G576" s="79">
        <v>10.84</v>
      </c>
      <c r="H576" s="79">
        <v>0.44321899999999997</v>
      </c>
      <c r="I576" s="79" t="s">
        <v>353</v>
      </c>
      <c r="J576" s="79" t="s">
        <v>353</v>
      </c>
      <c r="K576" s="83">
        <f>VLOOKUP(ws[[#This Row],[hwycov_id]],count[],4,FALSE)</f>
        <v>11855</v>
      </c>
      <c r="L576" s="115">
        <f>VLOOKUP(ws[[#This Row],[hwycov_id]],flow0[],5,FALSE)</f>
        <v>15062</v>
      </c>
      <c r="M576" s="295">
        <f>ws[[#This Row],[flow]]/ws[[#This Row],[count]]-1</f>
        <v>0.27051876845212997</v>
      </c>
      <c r="N576" s="296">
        <f>POWER((ws[[#This Row],[flow]]-ws[[#This Row],[count]]),2)</f>
        <v>10284849</v>
      </c>
      <c r="O576" s="80" t="e">
        <f>VLOOKUP(ws[[#This Row],[hwycov_id]],count!$A$630:$E$652,5,FALSE)</f>
        <v>#N/A</v>
      </c>
      <c r="P576" s="80">
        <v>597</v>
      </c>
    </row>
    <row r="577" spans="1:16" x14ac:dyDescent="0.25">
      <c r="A577" s="80">
        <v>23</v>
      </c>
      <c r="B577" s="6">
        <v>4</v>
      </c>
      <c r="C577" s="80">
        <v>16428</v>
      </c>
      <c r="D577" s="80">
        <v>1</v>
      </c>
      <c r="E577" s="80">
        <v>1</v>
      </c>
      <c r="F577" s="80" t="s">
        <v>386</v>
      </c>
      <c r="G577" s="79">
        <v>11.17</v>
      </c>
      <c r="H577" s="79">
        <v>0.32732499999999998</v>
      </c>
      <c r="I577" s="79" t="s">
        <v>353</v>
      </c>
      <c r="J577" s="79" t="s">
        <v>161</v>
      </c>
      <c r="K577" s="83">
        <f>VLOOKUP(ws[[#This Row],[hwycov_id]],count[],4,FALSE)</f>
        <v>14152</v>
      </c>
      <c r="L577" s="115">
        <f>VLOOKUP(ws[[#This Row],[hwycov_id]],flow0[],5,FALSE)</f>
        <v>17799</v>
      </c>
      <c r="M577" s="295">
        <f>ws[[#This Row],[flow]]/ws[[#This Row],[count]]-1</f>
        <v>0.25770209157716217</v>
      </c>
      <c r="N577" s="296">
        <f>POWER((ws[[#This Row],[flow]]-ws[[#This Row],[count]]),2)</f>
        <v>13300609</v>
      </c>
      <c r="O577" s="80" t="e">
        <f>VLOOKUP(ws[[#This Row],[hwycov_id]],count!$A$630:$E$652,5,FALSE)</f>
        <v>#N/A</v>
      </c>
      <c r="P577" s="80">
        <v>598</v>
      </c>
    </row>
    <row r="578" spans="1:16" x14ac:dyDescent="0.25">
      <c r="A578" s="80">
        <v>23</v>
      </c>
      <c r="B578" s="6">
        <v>4</v>
      </c>
      <c r="C578" s="80">
        <v>19571</v>
      </c>
      <c r="D578" s="80">
        <v>1</v>
      </c>
      <c r="E578" s="80">
        <v>1</v>
      </c>
      <c r="F578" s="80" t="s">
        <v>386</v>
      </c>
      <c r="G578" s="79">
        <v>11.49</v>
      </c>
      <c r="H578" s="79">
        <v>0.11154</v>
      </c>
      <c r="I578" s="79" t="s">
        <v>161</v>
      </c>
      <c r="J578" s="79" t="s">
        <v>162</v>
      </c>
      <c r="K578" s="83">
        <f>VLOOKUP(ws[[#This Row],[hwycov_id]],count[],4,FALSE)</f>
        <v>11294</v>
      </c>
      <c r="L578" s="115">
        <f>VLOOKUP(ws[[#This Row],[hwycov_id]],flow0[],5,FALSE)</f>
        <v>15773</v>
      </c>
      <c r="M578" s="295">
        <f>ws[[#This Row],[flow]]/ws[[#This Row],[count]]-1</f>
        <v>0.39658225606516728</v>
      </c>
      <c r="N578" s="296">
        <f>POWER((ws[[#This Row],[flow]]-ws[[#This Row],[count]]),2)</f>
        <v>20061441</v>
      </c>
      <c r="O578" s="80" t="e">
        <f>VLOOKUP(ws[[#This Row],[hwycov_id]],count!$A$630:$E$652,5,FALSE)</f>
        <v>#N/A</v>
      </c>
      <c r="P578" s="80">
        <v>599</v>
      </c>
    </row>
    <row r="579" spans="1:16" x14ac:dyDescent="0.25">
      <c r="A579" s="80">
        <v>23</v>
      </c>
      <c r="B579" s="6">
        <v>4</v>
      </c>
      <c r="C579" s="80">
        <v>30792</v>
      </c>
      <c r="D579" s="80">
        <v>1</v>
      </c>
      <c r="E579" s="80">
        <v>1</v>
      </c>
      <c r="F579" s="80" t="s">
        <v>386</v>
      </c>
      <c r="G579" s="79">
        <v>12.43</v>
      </c>
      <c r="H579" s="79">
        <v>0.47704999999999997</v>
      </c>
      <c r="I579" s="79" t="s">
        <v>162</v>
      </c>
      <c r="J579" s="79" t="s">
        <v>162</v>
      </c>
      <c r="K579" s="83">
        <f>VLOOKUP(ws[[#This Row],[hwycov_id]],count[],4,FALSE)</f>
        <v>12866</v>
      </c>
      <c r="L579" s="115">
        <f>VLOOKUP(ws[[#This Row],[hwycov_id]],flow0[],5,FALSE)</f>
        <v>17210</v>
      </c>
      <c r="M579" s="295">
        <f>ws[[#This Row],[flow]]/ws[[#This Row],[count]]-1</f>
        <v>0.3376340743043682</v>
      </c>
      <c r="N579" s="296">
        <f>POWER((ws[[#This Row],[flow]]-ws[[#This Row],[count]]),2)</f>
        <v>18870336</v>
      </c>
      <c r="O579" s="80" t="e">
        <f>VLOOKUP(ws[[#This Row],[hwycov_id]],count!$A$630:$E$652,5,FALSE)</f>
        <v>#N/A</v>
      </c>
      <c r="P579" s="80">
        <v>600</v>
      </c>
    </row>
    <row r="580" spans="1:16" x14ac:dyDescent="0.25">
      <c r="A580" s="80">
        <v>23</v>
      </c>
      <c r="B580" s="6">
        <v>4</v>
      </c>
      <c r="C580" s="80">
        <v>16446</v>
      </c>
      <c r="D580" s="80">
        <v>1</v>
      </c>
      <c r="E580" s="80">
        <v>1</v>
      </c>
      <c r="F580" s="80" t="s">
        <v>386</v>
      </c>
      <c r="G580" s="79">
        <v>13.18</v>
      </c>
      <c r="H580" s="79">
        <v>0.448324</v>
      </c>
      <c r="I580" s="79" t="s">
        <v>163</v>
      </c>
      <c r="J580" s="79" t="s">
        <v>163</v>
      </c>
      <c r="K580" s="83">
        <f>VLOOKUP(ws[[#This Row],[hwycov_id]],count[],4,FALSE)</f>
        <v>15255</v>
      </c>
      <c r="L580" s="115">
        <f>VLOOKUP(ws[[#This Row],[hwycov_id]],flow0[],5,FALSE)</f>
        <v>18365</v>
      </c>
      <c r="M580" s="295">
        <f>ws[[#This Row],[flow]]/ws[[#This Row],[count]]-1</f>
        <v>0.20386758439855779</v>
      </c>
      <c r="N580" s="296">
        <f>POWER((ws[[#This Row],[flow]]-ws[[#This Row],[count]]),2)</f>
        <v>9672100</v>
      </c>
      <c r="O580" s="80" t="e">
        <f>VLOOKUP(ws[[#This Row],[hwycov_id]],count!$A$630:$E$652,5,FALSE)</f>
        <v>#N/A</v>
      </c>
      <c r="P580" s="80">
        <v>601</v>
      </c>
    </row>
    <row r="581" spans="1:16" x14ac:dyDescent="0.25">
      <c r="A581" s="80">
        <v>23</v>
      </c>
      <c r="B581" s="6">
        <v>4</v>
      </c>
      <c r="C581" s="80">
        <v>8846</v>
      </c>
      <c r="D581" s="80">
        <v>1</v>
      </c>
      <c r="E581" s="80">
        <v>1</v>
      </c>
      <c r="F581" s="80" t="s">
        <v>386</v>
      </c>
      <c r="G581" s="79">
        <v>14.98</v>
      </c>
      <c r="H581" s="79">
        <v>0.671458</v>
      </c>
      <c r="I581" s="79" t="s">
        <v>164</v>
      </c>
      <c r="J581" s="79" t="s">
        <v>165</v>
      </c>
      <c r="K581" s="83">
        <f>VLOOKUP(ws[[#This Row],[hwycov_id]],count[],4,FALSE)</f>
        <v>15630</v>
      </c>
      <c r="L581" s="115">
        <f>VLOOKUP(ws[[#This Row],[hwycov_id]],flow0[],5,FALSE)</f>
        <v>20067</v>
      </c>
      <c r="M581" s="295">
        <f>ws[[#This Row],[flow]]/ws[[#This Row],[count]]-1</f>
        <v>0.28387715930902102</v>
      </c>
      <c r="N581" s="296">
        <f>POWER((ws[[#This Row],[flow]]-ws[[#This Row],[count]]),2)</f>
        <v>19686969</v>
      </c>
      <c r="O581" s="80" t="e">
        <f>VLOOKUP(ws[[#This Row],[hwycov_id]],count!$A$630:$E$652,5,FALSE)</f>
        <v>#N/A</v>
      </c>
      <c r="P581" s="80">
        <v>602</v>
      </c>
    </row>
    <row r="582" spans="1:16" x14ac:dyDescent="0.25">
      <c r="A582" s="80">
        <v>23</v>
      </c>
      <c r="B582" s="6">
        <v>4</v>
      </c>
      <c r="C582" s="80">
        <v>8042</v>
      </c>
      <c r="D582" s="80">
        <v>1</v>
      </c>
      <c r="E582" s="80">
        <v>1</v>
      </c>
      <c r="F582" s="80" t="s">
        <v>386</v>
      </c>
      <c r="G582" s="79">
        <v>15.69</v>
      </c>
      <c r="H582" s="79">
        <v>0.37434400000000001</v>
      </c>
      <c r="I582" s="79" t="s">
        <v>166</v>
      </c>
      <c r="J582" s="79" t="s">
        <v>166</v>
      </c>
      <c r="K582" s="83">
        <f>VLOOKUP(ws[[#This Row],[hwycov_id]],count[],4,FALSE)</f>
        <v>17649</v>
      </c>
      <c r="L582" s="115">
        <f>VLOOKUP(ws[[#This Row],[hwycov_id]],flow0[],5,FALSE)</f>
        <v>19834</v>
      </c>
      <c r="M582" s="295">
        <f>ws[[#This Row],[flow]]/ws[[#This Row],[count]]-1</f>
        <v>0.12380304833135014</v>
      </c>
      <c r="N582" s="296">
        <f>POWER((ws[[#This Row],[flow]]-ws[[#This Row],[count]]),2)</f>
        <v>4774225</v>
      </c>
      <c r="O582" s="80" t="e">
        <f>VLOOKUP(ws[[#This Row],[hwycov_id]],count!$A$630:$E$652,5,FALSE)</f>
        <v>#N/A</v>
      </c>
      <c r="P582" s="80">
        <v>603</v>
      </c>
    </row>
    <row r="583" spans="1:16" x14ac:dyDescent="0.25">
      <c r="A583" s="80">
        <v>23</v>
      </c>
      <c r="B583" s="6">
        <v>4</v>
      </c>
      <c r="C583" s="80">
        <v>12838</v>
      </c>
      <c r="D583" s="80">
        <v>1</v>
      </c>
      <c r="E583" s="80">
        <v>1</v>
      </c>
      <c r="F583" s="80" t="s">
        <v>386</v>
      </c>
      <c r="G583" s="79">
        <v>16.149999999999999</v>
      </c>
      <c r="H583" s="79">
        <v>0.45836500000000002</v>
      </c>
      <c r="I583" s="79" t="s">
        <v>166</v>
      </c>
      <c r="J583" s="79" t="s">
        <v>167</v>
      </c>
      <c r="K583" s="83">
        <f>VLOOKUP(ws[[#This Row],[hwycov_id]],count[],4,FALSE)</f>
        <v>21311</v>
      </c>
      <c r="L583" s="115">
        <f>VLOOKUP(ws[[#This Row],[hwycov_id]],flow0[],5,FALSE)</f>
        <v>21981</v>
      </c>
      <c r="M583" s="295">
        <f>ws[[#This Row],[flow]]/ws[[#This Row],[count]]-1</f>
        <v>3.1439162873633242E-2</v>
      </c>
      <c r="N583" s="296">
        <f>POWER((ws[[#This Row],[flow]]-ws[[#This Row],[count]]),2)</f>
        <v>448900</v>
      </c>
      <c r="O583" s="80" t="e">
        <f>VLOOKUP(ws[[#This Row],[hwycov_id]],count!$A$630:$E$652,5,FALSE)</f>
        <v>#N/A</v>
      </c>
      <c r="P583" s="80">
        <v>604</v>
      </c>
    </row>
    <row r="584" spans="1:16" x14ac:dyDescent="0.25">
      <c r="A584" s="80">
        <v>24</v>
      </c>
      <c r="B584" s="6">
        <v>4</v>
      </c>
      <c r="C584" s="80">
        <v>28276</v>
      </c>
      <c r="D584" s="80">
        <v>1</v>
      </c>
      <c r="E584" s="80">
        <v>1</v>
      </c>
      <c r="F584" s="80" t="s">
        <v>387</v>
      </c>
      <c r="G584" s="79">
        <v>1.32</v>
      </c>
      <c r="H584" s="79">
        <v>0.53702700000000003</v>
      </c>
      <c r="I584" s="79" t="s">
        <v>195</v>
      </c>
      <c r="J584" s="79" t="s">
        <v>195</v>
      </c>
      <c r="K584" s="83">
        <f>VLOOKUP(ws[[#This Row],[hwycov_id]],count[],4,FALSE)</f>
        <v>9428</v>
      </c>
      <c r="L584" s="115">
        <f>VLOOKUP(ws[[#This Row],[hwycov_id]],flow0[],5,FALSE)</f>
        <v>9761</v>
      </c>
      <c r="M584" s="295">
        <f>ws[[#This Row],[flow]]/ws[[#This Row],[count]]-1</f>
        <v>3.532032244378458E-2</v>
      </c>
      <c r="N584" s="296">
        <f>POWER((ws[[#This Row],[flow]]-ws[[#This Row],[count]]),2)</f>
        <v>110889</v>
      </c>
      <c r="O584" s="80" t="e">
        <f>VLOOKUP(ws[[#This Row],[hwycov_id]],count!$A$630:$E$652,5,FALSE)</f>
        <v>#N/A</v>
      </c>
      <c r="P584" s="80">
        <v>605</v>
      </c>
    </row>
    <row r="585" spans="1:16" x14ac:dyDescent="0.25">
      <c r="A585" s="80">
        <v>24</v>
      </c>
      <c r="B585" s="6">
        <v>4</v>
      </c>
      <c r="C585" s="80">
        <v>11095</v>
      </c>
      <c r="D585" s="80">
        <v>1</v>
      </c>
      <c r="E585" s="80">
        <v>1</v>
      </c>
      <c r="F585" s="80" t="s">
        <v>387</v>
      </c>
      <c r="G585" s="79">
        <v>2.92</v>
      </c>
      <c r="H585" s="79">
        <v>0.527783</v>
      </c>
      <c r="I585" s="79" t="s">
        <v>88</v>
      </c>
      <c r="J585" s="79" t="s">
        <v>48</v>
      </c>
      <c r="K585" s="83">
        <f>VLOOKUP(ws[[#This Row],[hwycov_id]],count[],4,FALSE)</f>
        <v>11876</v>
      </c>
      <c r="L585" s="115">
        <f>VLOOKUP(ws[[#This Row],[hwycov_id]],flow0[],5,FALSE)</f>
        <v>14441</v>
      </c>
      <c r="M585" s="295">
        <f>ws[[#This Row],[flow]]/ws[[#This Row],[count]]-1</f>
        <v>0.21598181205793199</v>
      </c>
      <c r="N585" s="296">
        <f>POWER((ws[[#This Row],[flow]]-ws[[#This Row],[count]]),2)</f>
        <v>6579225</v>
      </c>
      <c r="O585" s="80" t="e">
        <f>VLOOKUP(ws[[#This Row],[hwycov_id]],count!$A$630:$E$652,5,FALSE)</f>
        <v>#N/A</v>
      </c>
      <c r="P585" s="80">
        <v>606</v>
      </c>
    </row>
    <row r="586" spans="1:16" x14ac:dyDescent="0.25">
      <c r="A586" s="80">
        <v>24</v>
      </c>
      <c r="B586" s="6">
        <v>4</v>
      </c>
      <c r="C586" s="80">
        <v>7430</v>
      </c>
      <c r="D586" s="80">
        <v>1</v>
      </c>
      <c r="E586" s="80">
        <v>1</v>
      </c>
      <c r="F586" s="80" t="s">
        <v>387</v>
      </c>
      <c r="G586" s="79">
        <v>5.16</v>
      </c>
      <c r="H586" s="79">
        <v>0.38303599999999999</v>
      </c>
      <c r="I586" s="79" t="s">
        <v>360</v>
      </c>
      <c r="J586" s="79" t="s">
        <v>360</v>
      </c>
      <c r="K586" s="83">
        <f>VLOOKUP(ws[[#This Row],[hwycov_id]],count[],4,FALSE)</f>
        <v>15528</v>
      </c>
      <c r="L586" s="115">
        <f>VLOOKUP(ws[[#This Row],[hwycov_id]],flow0[],5,FALSE)</f>
        <v>18189</v>
      </c>
      <c r="M586" s="295">
        <f>ws[[#This Row],[flow]]/ws[[#This Row],[count]]-1</f>
        <v>0.17136785162287471</v>
      </c>
      <c r="N586" s="296">
        <f>POWER((ws[[#This Row],[flow]]-ws[[#This Row],[count]]),2)</f>
        <v>7080921</v>
      </c>
      <c r="O586" s="80" t="e">
        <f>VLOOKUP(ws[[#This Row],[hwycov_id]],count!$A$630:$E$652,5,FALSE)</f>
        <v>#N/A</v>
      </c>
      <c r="P586" s="80">
        <v>607</v>
      </c>
    </row>
    <row r="587" spans="1:16" x14ac:dyDescent="0.25">
      <c r="A587" s="80">
        <v>24</v>
      </c>
      <c r="B587" s="6">
        <v>4</v>
      </c>
      <c r="C587" s="80">
        <v>7497</v>
      </c>
      <c r="D587" s="80">
        <v>1</v>
      </c>
      <c r="E587" s="80">
        <v>1</v>
      </c>
      <c r="F587" s="80" t="s">
        <v>387</v>
      </c>
      <c r="G587" s="79">
        <v>5.55</v>
      </c>
      <c r="H587" s="79">
        <v>0.39198</v>
      </c>
      <c r="I587" s="79" t="s">
        <v>360</v>
      </c>
      <c r="J587" s="79" t="s">
        <v>360</v>
      </c>
      <c r="K587" s="83">
        <f>VLOOKUP(ws[[#This Row],[hwycov_id]],count[],4,FALSE)</f>
        <v>16404</v>
      </c>
      <c r="L587" s="115">
        <f>VLOOKUP(ws[[#This Row],[hwycov_id]],flow0[],5,FALSE)</f>
        <v>18189</v>
      </c>
      <c r="M587" s="295">
        <f>ws[[#This Row],[flow]]/ws[[#This Row],[count]]-1</f>
        <v>0.10881492318946595</v>
      </c>
      <c r="N587" s="296">
        <f>POWER((ws[[#This Row],[flow]]-ws[[#This Row],[count]]),2)</f>
        <v>3186225</v>
      </c>
      <c r="O587" s="80" t="e">
        <f>VLOOKUP(ws[[#This Row],[hwycov_id]],count!$A$630:$E$652,5,FALSE)</f>
        <v>#N/A</v>
      </c>
      <c r="P587" s="80">
        <v>608</v>
      </c>
    </row>
    <row r="588" spans="1:16" x14ac:dyDescent="0.25">
      <c r="A588" s="80">
        <v>24</v>
      </c>
      <c r="B588" s="6">
        <v>4</v>
      </c>
      <c r="C588" s="80">
        <v>28904</v>
      </c>
      <c r="D588" s="80">
        <v>1</v>
      </c>
      <c r="E588" s="80">
        <v>1</v>
      </c>
      <c r="F588" s="80" t="s">
        <v>387</v>
      </c>
      <c r="G588" s="79">
        <v>6.96</v>
      </c>
      <c r="H588" s="79">
        <v>0.31647700000000001</v>
      </c>
      <c r="I588" s="79" t="s">
        <v>11</v>
      </c>
      <c r="J588" s="79" t="s">
        <v>135</v>
      </c>
      <c r="K588" s="83">
        <f>VLOOKUP(ws[[#This Row],[hwycov_id]],count[],4,FALSE)</f>
        <v>6375</v>
      </c>
      <c r="L588" s="115">
        <f>VLOOKUP(ws[[#This Row],[hwycov_id]],flow0[],5,FALSE)</f>
        <v>13053</v>
      </c>
      <c r="M588" s="295">
        <f>ws[[#This Row],[flow]]/ws[[#This Row],[count]]-1</f>
        <v>1.0475294117647058</v>
      </c>
      <c r="N588" s="296">
        <f>POWER((ws[[#This Row],[flow]]-ws[[#This Row],[count]]),2)</f>
        <v>44595684</v>
      </c>
      <c r="O588" s="80" t="e">
        <f>VLOOKUP(ws[[#This Row],[hwycov_id]],count!$A$630:$E$652,5,FALSE)</f>
        <v>#N/A</v>
      </c>
      <c r="P588" s="80">
        <v>609</v>
      </c>
    </row>
    <row r="589" spans="1:16" x14ac:dyDescent="0.25">
      <c r="A589" s="80">
        <v>24</v>
      </c>
      <c r="B589" s="6">
        <v>4</v>
      </c>
      <c r="C589" s="80">
        <v>9028</v>
      </c>
      <c r="D589" s="80">
        <v>1</v>
      </c>
      <c r="E589" s="80">
        <v>1</v>
      </c>
      <c r="F589" s="80" t="s">
        <v>387</v>
      </c>
      <c r="G589" s="79">
        <v>8.16</v>
      </c>
      <c r="H589" s="79">
        <v>0.37696200000000002</v>
      </c>
      <c r="I589" s="79" t="s">
        <v>168</v>
      </c>
      <c r="J589" s="79" t="s">
        <v>196</v>
      </c>
      <c r="K589" s="83">
        <f>VLOOKUP(ws[[#This Row],[hwycov_id]],count[],4,FALSE)</f>
        <v>16332</v>
      </c>
      <c r="L589" s="115">
        <f>VLOOKUP(ws[[#This Row],[hwycov_id]],flow0[],5,FALSE)</f>
        <v>21140</v>
      </c>
      <c r="M589" s="295">
        <f>ws[[#This Row],[flow]]/ws[[#This Row],[count]]-1</f>
        <v>0.29439137888807254</v>
      </c>
      <c r="N589" s="296">
        <f>POWER((ws[[#This Row],[flow]]-ws[[#This Row],[count]]),2)</f>
        <v>23116864</v>
      </c>
      <c r="O589" s="80" t="e">
        <f>VLOOKUP(ws[[#This Row],[hwycov_id]],count!$A$630:$E$652,5,FALSE)</f>
        <v>#N/A</v>
      </c>
      <c r="P589" s="80">
        <v>610</v>
      </c>
    </row>
    <row r="590" spans="1:16" x14ac:dyDescent="0.25">
      <c r="A590" s="80">
        <v>24</v>
      </c>
      <c r="B590" s="6">
        <v>4</v>
      </c>
      <c r="C590" s="80">
        <v>7772</v>
      </c>
      <c r="D590" s="80">
        <v>1</v>
      </c>
      <c r="E590" s="80">
        <v>1</v>
      </c>
      <c r="F590" s="80" t="s">
        <v>387</v>
      </c>
      <c r="G590" s="79">
        <v>10.69</v>
      </c>
      <c r="H590" s="79">
        <v>2.0944759999999998</v>
      </c>
      <c r="I590" s="79" t="s">
        <v>196</v>
      </c>
      <c r="J590" s="79" t="s">
        <v>197</v>
      </c>
      <c r="K590" s="83">
        <f>VLOOKUP(ws[[#This Row],[hwycov_id]],count[],4,FALSE)</f>
        <v>17040</v>
      </c>
      <c r="L590" s="115">
        <f>VLOOKUP(ws[[#This Row],[hwycov_id]],flow0[],5,FALSE)</f>
        <v>20362</v>
      </c>
      <c r="M590" s="295">
        <f>ws[[#This Row],[flow]]/ws[[#This Row],[count]]-1</f>
        <v>0.19495305164319254</v>
      </c>
      <c r="N590" s="296">
        <f>POWER((ws[[#This Row],[flow]]-ws[[#This Row],[count]]),2)</f>
        <v>11035684</v>
      </c>
      <c r="O590" s="80" t="e">
        <f>VLOOKUP(ws[[#This Row],[hwycov_id]],count!$A$630:$E$652,5,FALSE)</f>
        <v>#N/A</v>
      </c>
      <c r="P590" s="80">
        <v>611</v>
      </c>
    </row>
    <row r="591" spans="1:16" x14ac:dyDescent="0.25">
      <c r="A591" s="80">
        <v>24</v>
      </c>
      <c r="B591" s="6">
        <v>4</v>
      </c>
      <c r="C591" s="80">
        <v>7375</v>
      </c>
      <c r="D591" s="80">
        <v>1</v>
      </c>
      <c r="E591" s="80">
        <v>1</v>
      </c>
      <c r="F591" s="80" t="s">
        <v>387</v>
      </c>
      <c r="G591" s="79">
        <v>12.68</v>
      </c>
      <c r="H591" s="79">
        <v>0.462173</v>
      </c>
      <c r="I591" s="79" t="s">
        <v>196</v>
      </c>
      <c r="J591" s="79" t="s">
        <v>197</v>
      </c>
      <c r="K591" s="83">
        <f>VLOOKUP(ws[[#This Row],[hwycov_id]],count[],4,FALSE)</f>
        <v>17410</v>
      </c>
      <c r="L591" s="115">
        <f>VLOOKUP(ws[[#This Row],[hwycov_id]],flow0[],5,FALSE)</f>
        <v>20362</v>
      </c>
      <c r="M591" s="295">
        <f>ws[[#This Row],[flow]]/ws[[#This Row],[count]]-1</f>
        <v>0.16955772544514636</v>
      </c>
      <c r="N591" s="296">
        <f>POWER((ws[[#This Row],[flow]]-ws[[#This Row],[count]]),2)</f>
        <v>8714304</v>
      </c>
      <c r="O591" s="80" t="e">
        <f>VLOOKUP(ws[[#This Row],[hwycov_id]],count!$A$630:$E$652,5,FALSE)</f>
        <v>#N/A</v>
      </c>
      <c r="P591" s="80">
        <v>612</v>
      </c>
    </row>
    <row r="592" spans="1:16" x14ac:dyDescent="0.25">
      <c r="A592" s="80">
        <v>24</v>
      </c>
      <c r="B592" s="6">
        <v>4</v>
      </c>
      <c r="C592" s="80">
        <v>15239</v>
      </c>
      <c r="D592" s="80">
        <v>1</v>
      </c>
      <c r="E592" s="80">
        <v>1</v>
      </c>
      <c r="F592" s="80" t="s">
        <v>387</v>
      </c>
      <c r="G592" s="79">
        <v>13.18</v>
      </c>
      <c r="H592" s="79">
        <v>0.494398</v>
      </c>
      <c r="I592" s="79" t="s">
        <v>197</v>
      </c>
      <c r="J592" s="79" t="s">
        <v>197</v>
      </c>
      <c r="K592" s="83">
        <f>VLOOKUP(ws[[#This Row],[hwycov_id]],count[],4,FALSE)</f>
        <v>13602</v>
      </c>
      <c r="L592" s="115">
        <f>VLOOKUP(ws[[#This Row],[hwycov_id]],flow0[],5,FALSE)</f>
        <v>16729</v>
      </c>
      <c r="M592" s="295">
        <f>ws[[#This Row],[flow]]/ws[[#This Row],[count]]-1</f>
        <v>0.22989266284369947</v>
      </c>
      <c r="N592" s="296">
        <f>POWER((ws[[#This Row],[flow]]-ws[[#This Row],[count]]),2)</f>
        <v>9778129</v>
      </c>
      <c r="O592" s="80" t="e">
        <f>VLOOKUP(ws[[#This Row],[hwycov_id]],count!$A$630:$E$652,5,FALSE)</f>
        <v>#N/A</v>
      </c>
      <c r="P592" s="80">
        <v>613</v>
      </c>
    </row>
    <row r="593" spans="1:16" x14ac:dyDescent="0.25">
      <c r="A593" s="80">
        <v>24</v>
      </c>
      <c r="B593" s="6">
        <v>4</v>
      </c>
      <c r="C593" s="80">
        <v>11124</v>
      </c>
      <c r="D593" s="80">
        <v>1</v>
      </c>
      <c r="E593" s="80">
        <v>1</v>
      </c>
      <c r="F593" s="80" t="s">
        <v>387</v>
      </c>
      <c r="G593" s="79">
        <v>13.62</v>
      </c>
      <c r="H593" s="79">
        <v>0.44767800000000002</v>
      </c>
      <c r="I593" s="79" t="s">
        <v>197</v>
      </c>
      <c r="J593" s="79" t="s">
        <v>359</v>
      </c>
      <c r="K593" s="83">
        <f>VLOOKUP(ws[[#This Row],[hwycov_id]],count[],4,FALSE)</f>
        <v>14494</v>
      </c>
      <c r="L593" s="115">
        <f>VLOOKUP(ws[[#This Row],[hwycov_id]],flow0[],5,FALSE)</f>
        <v>17238</v>
      </c>
      <c r="M593" s="295">
        <f>ws[[#This Row],[flow]]/ws[[#This Row],[count]]-1</f>
        <v>0.18931971850420859</v>
      </c>
      <c r="N593" s="296">
        <f>POWER((ws[[#This Row],[flow]]-ws[[#This Row],[count]]),2)</f>
        <v>7529536</v>
      </c>
      <c r="O593" s="80" t="e">
        <f>VLOOKUP(ws[[#This Row],[hwycov_id]],count!$A$630:$E$652,5,FALSE)</f>
        <v>#N/A</v>
      </c>
      <c r="P593" s="80">
        <v>614</v>
      </c>
    </row>
    <row r="594" spans="1:16" x14ac:dyDescent="0.25">
      <c r="A594" s="80">
        <v>24</v>
      </c>
      <c r="B594" s="6">
        <v>4</v>
      </c>
      <c r="C594" s="80">
        <v>19481</v>
      </c>
      <c r="D594" s="80">
        <v>1</v>
      </c>
      <c r="E594" s="80">
        <v>1</v>
      </c>
      <c r="F594" s="80" t="s">
        <v>387</v>
      </c>
      <c r="G594" s="79">
        <v>14.19</v>
      </c>
      <c r="H594" s="79">
        <v>0.56720999999999999</v>
      </c>
      <c r="I594" s="79" t="s">
        <v>359</v>
      </c>
      <c r="J594" s="79" t="s">
        <v>358</v>
      </c>
      <c r="K594" s="83">
        <f>VLOOKUP(ws[[#This Row],[hwycov_id]],count[],4,FALSE)</f>
        <v>14529</v>
      </c>
      <c r="L594" s="115">
        <f>VLOOKUP(ws[[#This Row],[hwycov_id]],flow0[],5,FALSE)</f>
        <v>17238</v>
      </c>
      <c r="M594" s="295">
        <f>ws[[#This Row],[flow]]/ws[[#This Row],[count]]-1</f>
        <v>0.18645467685319028</v>
      </c>
      <c r="N594" s="296">
        <f>POWER((ws[[#This Row],[flow]]-ws[[#This Row],[count]]),2)</f>
        <v>7338681</v>
      </c>
      <c r="O594" s="80" t="e">
        <f>VLOOKUP(ws[[#This Row],[hwycov_id]],count!$A$630:$E$652,5,FALSE)</f>
        <v>#N/A</v>
      </c>
      <c r="P594" s="80">
        <v>615</v>
      </c>
    </row>
    <row r="595" spans="1:16" x14ac:dyDescent="0.25">
      <c r="A595" s="80">
        <v>24</v>
      </c>
      <c r="B595" s="6">
        <v>4</v>
      </c>
      <c r="C595" s="80">
        <v>7377</v>
      </c>
      <c r="D595" s="80">
        <v>1</v>
      </c>
      <c r="E595" s="80">
        <v>1</v>
      </c>
      <c r="F595" s="80" t="s">
        <v>387</v>
      </c>
      <c r="G595" s="79">
        <v>15.56</v>
      </c>
      <c r="H595" s="79">
        <v>0.49546499999999999</v>
      </c>
      <c r="I595" s="79" t="s">
        <v>357</v>
      </c>
      <c r="J595" s="79" t="s">
        <v>356</v>
      </c>
      <c r="K595" s="83">
        <f>VLOOKUP(ws[[#This Row],[hwycov_id]],count[],4,FALSE)</f>
        <v>12887</v>
      </c>
      <c r="L595" s="115">
        <f>VLOOKUP(ws[[#This Row],[hwycov_id]],flow0[],5,FALSE)</f>
        <v>15001</v>
      </c>
      <c r="M595" s="295">
        <f>ws[[#This Row],[flow]]/ws[[#This Row],[count]]-1</f>
        <v>0.16404128191200429</v>
      </c>
      <c r="N595" s="296">
        <f>POWER((ws[[#This Row],[flow]]-ws[[#This Row],[count]]),2)</f>
        <v>4468996</v>
      </c>
      <c r="O595" s="80" t="e">
        <f>VLOOKUP(ws[[#This Row],[hwycov_id]],count!$A$630:$E$652,5,FALSE)</f>
        <v>#N/A</v>
      </c>
      <c r="P595" s="80">
        <v>616</v>
      </c>
    </row>
    <row r="596" spans="1:16" x14ac:dyDescent="0.25">
      <c r="A596" s="80">
        <v>24</v>
      </c>
      <c r="B596" s="6">
        <v>4</v>
      </c>
      <c r="C596" s="80">
        <v>27229</v>
      </c>
      <c r="D596" s="80">
        <v>1</v>
      </c>
      <c r="E596" s="80">
        <v>1</v>
      </c>
      <c r="F596" s="80" t="s">
        <v>387</v>
      </c>
      <c r="G596" s="79">
        <v>16.68</v>
      </c>
      <c r="H596" s="79">
        <v>0.57958299999999996</v>
      </c>
      <c r="I596" s="79" t="s">
        <v>356</v>
      </c>
      <c r="J596" s="79" t="s">
        <v>194</v>
      </c>
      <c r="K596" s="83">
        <f>VLOOKUP(ws[[#This Row],[hwycov_id]],count[],4,FALSE)</f>
        <v>12478</v>
      </c>
      <c r="L596" s="115">
        <f>VLOOKUP(ws[[#This Row],[hwycov_id]],flow0[],5,FALSE)</f>
        <v>14643</v>
      </c>
      <c r="M596" s="295">
        <f>ws[[#This Row],[flow]]/ws[[#This Row],[count]]-1</f>
        <v>0.17350536945023243</v>
      </c>
      <c r="N596" s="296">
        <f>POWER((ws[[#This Row],[flow]]-ws[[#This Row],[count]]),2)</f>
        <v>4687225</v>
      </c>
      <c r="O596" s="80" t="e">
        <f>VLOOKUP(ws[[#This Row],[hwycov_id]],count!$A$630:$E$652,5,FALSE)</f>
        <v>#N/A</v>
      </c>
      <c r="P596" s="80">
        <v>617</v>
      </c>
    </row>
    <row r="597" spans="1:16" x14ac:dyDescent="0.25">
      <c r="A597" s="80">
        <v>25</v>
      </c>
      <c r="B597" s="6">
        <v>4</v>
      </c>
      <c r="C597" s="80">
        <v>27959</v>
      </c>
      <c r="D597" s="80">
        <v>1</v>
      </c>
      <c r="E597" s="80">
        <v>1</v>
      </c>
      <c r="F597" s="80" t="s">
        <v>388</v>
      </c>
      <c r="G597" s="79">
        <v>0.34</v>
      </c>
      <c r="H597" s="79">
        <v>0.34351599999999999</v>
      </c>
      <c r="I597" s="79" t="s">
        <v>364</v>
      </c>
      <c r="J597" s="79" t="s">
        <v>389</v>
      </c>
      <c r="K597" s="83">
        <f>VLOOKUP(ws[[#This Row],[hwycov_id]],count[],4,FALSE)</f>
        <v>15496</v>
      </c>
      <c r="L597" s="115">
        <f>VLOOKUP(ws[[#This Row],[hwycov_id]],flow0[],5,FALSE)</f>
        <v>16217</v>
      </c>
      <c r="M597" s="295">
        <f>ws[[#This Row],[flow]]/ws[[#This Row],[count]]-1</f>
        <v>4.6528136293237043E-2</v>
      </c>
      <c r="N597" s="296">
        <f>POWER((ws[[#This Row],[flow]]-ws[[#This Row],[count]]),2)</f>
        <v>519841</v>
      </c>
      <c r="O597" s="80" t="e">
        <f>VLOOKUP(ws[[#This Row],[hwycov_id]],count!$A$630:$E$652,5,FALSE)</f>
        <v>#N/A</v>
      </c>
      <c r="P597" s="80">
        <v>618</v>
      </c>
    </row>
    <row r="598" spans="1:16" x14ac:dyDescent="0.25">
      <c r="A598" s="80">
        <v>25</v>
      </c>
      <c r="B598" s="6">
        <v>4</v>
      </c>
      <c r="C598" s="80">
        <v>28676</v>
      </c>
      <c r="D598" s="80">
        <v>1</v>
      </c>
      <c r="E598" s="80">
        <v>1</v>
      </c>
      <c r="F598" s="80" t="s">
        <v>388</v>
      </c>
      <c r="G598" s="79">
        <v>2.2799999999999998</v>
      </c>
      <c r="H598" s="79">
        <v>0.54541399999999995</v>
      </c>
      <c r="I598" s="79" t="s">
        <v>19</v>
      </c>
      <c r="J598" s="79" t="s">
        <v>29</v>
      </c>
      <c r="K598" s="83">
        <f>VLOOKUP(ws[[#This Row],[hwycov_id]],count[],4,FALSE)</f>
        <v>18999</v>
      </c>
      <c r="L598" s="115">
        <f>VLOOKUP(ws[[#This Row],[hwycov_id]],flow0[],5,FALSE)</f>
        <v>18195</v>
      </c>
      <c r="M598" s="295">
        <f>ws[[#This Row],[flow]]/ws[[#This Row],[count]]-1</f>
        <v>-4.2318016737723063E-2</v>
      </c>
      <c r="N598" s="296">
        <f>POWER((ws[[#This Row],[flow]]-ws[[#This Row],[count]]),2)</f>
        <v>646416</v>
      </c>
      <c r="O598" s="80" t="e">
        <f>VLOOKUP(ws[[#This Row],[hwycov_id]],count!$A$630:$E$652,5,FALSE)</f>
        <v>#N/A</v>
      </c>
      <c r="P598" s="80">
        <v>619</v>
      </c>
    </row>
    <row r="599" spans="1:16" x14ac:dyDescent="0.25">
      <c r="A599" s="80">
        <v>25</v>
      </c>
      <c r="B599" s="6">
        <v>4</v>
      </c>
      <c r="C599" s="80">
        <v>28678</v>
      </c>
      <c r="D599" s="80">
        <v>1</v>
      </c>
      <c r="E599" s="80">
        <v>1</v>
      </c>
      <c r="F599" s="80" t="s">
        <v>388</v>
      </c>
      <c r="G599" s="79">
        <v>2.68</v>
      </c>
      <c r="H599" s="79">
        <v>0.40233200000000002</v>
      </c>
      <c r="I599" s="79" t="s">
        <v>29</v>
      </c>
      <c r="J599" s="79" t="s">
        <v>29</v>
      </c>
      <c r="K599" s="83">
        <f>VLOOKUP(ws[[#This Row],[hwycov_id]],count[],4,FALSE)</f>
        <v>15676</v>
      </c>
      <c r="L599" s="115">
        <f>VLOOKUP(ws[[#This Row],[hwycov_id]],flow0[],5,FALSE)</f>
        <v>15688</v>
      </c>
      <c r="M599" s="295">
        <f>ws[[#This Row],[flow]]/ws[[#This Row],[count]]-1</f>
        <v>7.655014034191332E-4</v>
      </c>
      <c r="N599" s="296">
        <f>POWER((ws[[#This Row],[flow]]-ws[[#This Row],[count]]),2)</f>
        <v>144</v>
      </c>
      <c r="O599" s="80" t="e">
        <f>VLOOKUP(ws[[#This Row],[hwycov_id]],count!$A$630:$E$652,5,FALSE)</f>
        <v>#N/A</v>
      </c>
      <c r="P599" s="80">
        <v>620</v>
      </c>
    </row>
    <row r="600" spans="1:16" x14ac:dyDescent="0.25">
      <c r="A600" s="80">
        <v>25</v>
      </c>
      <c r="B600" s="6">
        <v>4</v>
      </c>
      <c r="C600" s="80">
        <v>14143</v>
      </c>
      <c r="D600" s="80">
        <v>1</v>
      </c>
      <c r="E600" s="80">
        <v>1</v>
      </c>
      <c r="F600" s="80" t="s">
        <v>388</v>
      </c>
      <c r="G600" s="79">
        <v>3.58</v>
      </c>
      <c r="H600" s="79">
        <v>0.89995800000000004</v>
      </c>
      <c r="I600" s="79" t="s">
        <v>29</v>
      </c>
      <c r="J600" s="79" t="s">
        <v>363</v>
      </c>
      <c r="K600" s="83">
        <f>VLOOKUP(ws[[#This Row],[hwycov_id]],count[],4,FALSE)</f>
        <v>17321</v>
      </c>
      <c r="L600" s="115">
        <f>VLOOKUP(ws[[#This Row],[hwycov_id]],flow0[],5,FALSE)</f>
        <v>17246</v>
      </c>
      <c r="M600" s="295">
        <f>ws[[#This Row],[flow]]/ws[[#This Row],[count]]-1</f>
        <v>-4.3300040413370988E-3</v>
      </c>
      <c r="N600" s="296">
        <f>POWER((ws[[#This Row],[flow]]-ws[[#This Row],[count]]),2)</f>
        <v>5625</v>
      </c>
      <c r="O600" s="80" t="e">
        <f>VLOOKUP(ws[[#This Row],[hwycov_id]],count!$A$630:$E$652,5,FALSE)</f>
        <v>#N/A</v>
      </c>
      <c r="P600" s="80">
        <v>621</v>
      </c>
    </row>
    <row r="601" spans="1:16" x14ac:dyDescent="0.25">
      <c r="A601" s="80">
        <v>25</v>
      </c>
      <c r="B601" s="6">
        <v>4</v>
      </c>
      <c r="C601" s="80">
        <v>14153</v>
      </c>
      <c r="D601" s="80">
        <v>1</v>
      </c>
      <c r="E601" s="80">
        <v>1</v>
      </c>
      <c r="F601" s="80" t="s">
        <v>388</v>
      </c>
      <c r="G601" s="79">
        <v>4.43</v>
      </c>
      <c r="H601" s="79">
        <v>0.53134300000000001</v>
      </c>
      <c r="I601" s="79" t="s">
        <v>363</v>
      </c>
      <c r="J601" s="79" t="s">
        <v>362</v>
      </c>
      <c r="K601" s="83">
        <f>VLOOKUP(ws[[#This Row],[hwycov_id]],count[],4,FALSE)</f>
        <v>15541</v>
      </c>
      <c r="L601" s="115">
        <f>VLOOKUP(ws[[#This Row],[hwycov_id]],flow0[],5,FALSE)</f>
        <v>15788</v>
      </c>
      <c r="M601" s="295">
        <f>ws[[#This Row],[flow]]/ws[[#This Row],[count]]-1</f>
        <v>1.589344315037633E-2</v>
      </c>
      <c r="N601" s="296">
        <f>POWER((ws[[#This Row],[flow]]-ws[[#This Row],[count]]),2)</f>
        <v>61009</v>
      </c>
      <c r="O601" s="80" t="e">
        <f>VLOOKUP(ws[[#This Row],[hwycov_id]],count!$A$630:$E$652,5,FALSE)</f>
        <v>#N/A</v>
      </c>
      <c r="P601" s="80">
        <v>622</v>
      </c>
    </row>
    <row r="602" spans="1:16" x14ac:dyDescent="0.25">
      <c r="A602" s="80">
        <v>25</v>
      </c>
      <c r="B602" s="6">
        <v>4</v>
      </c>
      <c r="C602" s="80">
        <v>7525</v>
      </c>
      <c r="D602" s="80">
        <v>1</v>
      </c>
      <c r="E602" s="80">
        <v>1</v>
      </c>
      <c r="F602" s="80" t="s">
        <v>388</v>
      </c>
      <c r="G602" s="79">
        <v>5.4</v>
      </c>
      <c r="H602" s="79">
        <v>0.73231299999999999</v>
      </c>
      <c r="I602" s="79" t="s">
        <v>362</v>
      </c>
      <c r="J602" s="79" t="s">
        <v>152</v>
      </c>
      <c r="K602" s="83">
        <f>VLOOKUP(ws[[#This Row],[hwycov_id]],count[],4,FALSE)</f>
        <v>13722</v>
      </c>
      <c r="L602" s="115">
        <f>VLOOKUP(ws[[#This Row],[hwycov_id]],flow0[],5,FALSE)</f>
        <v>14543</v>
      </c>
      <c r="M602" s="295">
        <f>ws[[#This Row],[flow]]/ws[[#This Row],[count]]-1</f>
        <v>5.983092843608806E-2</v>
      </c>
      <c r="N602" s="296">
        <f>POWER((ws[[#This Row],[flow]]-ws[[#This Row],[count]]),2)</f>
        <v>674041</v>
      </c>
      <c r="O602" s="80" t="e">
        <f>VLOOKUP(ws[[#This Row],[hwycov_id]],count!$A$630:$E$652,5,FALSE)</f>
        <v>#N/A</v>
      </c>
      <c r="P602" s="80">
        <v>623</v>
      </c>
    </row>
    <row r="603" spans="1:16" x14ac:dyDescent="0.25">
      <c r="A603" s="80">
        <v>26</v>
      </c>
      <c r="B603" s="6">
        <v>4</v>
      </c>
      <c r="C603" s="80">
        <v>27505</v>
      </c>
      <c r="D603" s="80">
        <v>1</v>
      </c>
      <c r="E603" s="80">
        <v>1</v>
      </c>
      <c r="F603" s="80" t="s">
        <v>390</v>
      </c>
      <c r="G603" s="79">
        <v>0.56000000000000005</v>
      </c>
      <c r="H603" s="79">
        <v>0.23209299999999999</v>
      </c>
      <c r="I603" s="79" t="s">
        <v>170</v>
      </c>
      <c r="J603" s="79" t="s">
        <v>170</v>
      </c>
      <c r="K603" s="83">
        <f>VLOOKUP(ws[[#This Row],[hwycov_id]],count[],4,FALSE)</f>
        <v>11621</v>
      </c>
      <c r="L603" s="115">
        <f>VLOOKUP(ws[[#This Row],[hwycov_id]],flow0[],5,FALSE)</f>
        <v>14268</v>
      </c>
      <c r="M603" s="295">
        <f>ws[[#This Row],[flow]]/ws[[#This Row],[count]]-1</f>
        <v>0.22777729971603122</v>
      </c>
      <c r="N603" s="296">
        <f>POWER((ws[[#This Row],[flow]]-ws[[#This Row],[count]]),2)</f>
        <v>7006609</v>
      </c>
      <c r="O603" s="80" t="e">
        <f>VLOOKUP(ws[[#This Row],[hwycov_id]],count!$A$630:$E$652,5,FALSE)</f>
        <v>#N/A</v>
      </c>
      <c r="P603" s="80">
        <v>625</v>
      </c>
    </row>
    <row r="604" spans="1:16" x14ac:dyDescent="0.25">
      <c r="A604" s="80">
        <v>26</v>
      </c>
      <c r="B604" s="6">
        <v>4</v>
      </c>
      <c r="C604" s="80">
        <v>27507</v>
      </c>
      <c r="D604" s="80">
        <v>1</v>
      </c>
      <c r="E604" s="80">
        <v>1</v>
      </c>
      <c r="F604" s="80" t="s">
        <v>390</v>
      </c>
      <c r="G604" s="79">
        <v>1.1000000000000001</v>
      </c>
      <c r="H604" s="79">
        <v>0.54117400000000004</v>
      </c>
      <c r="I604" s="79" t="s">
        <v>170</v>
      </c>
      <c r="J604" s="79" t="s">
        <v>171</v>
      </c>
      <c r="K604" s="83">
        <f>VLOOKUP(ws[[#This Row],[hwycov_id]],count[],4,FALSE)</f>
        <v>13771</v>
      </c>
      <c r="L604" s="115">
        <f>VLOOKUP(ws[[#This Row],[hwycov_id]],flow0[],5,FALSE)</f>
        <v>14933</v>
      </c>
      <c r="M604" s="295">
        <f>ws[[#This Row],[flow]]/ws[[#This Row],[count]]-1</f>
        <v>8.438021930143047E-2</v>
      </c>
      <c r="N604" s="296">
        <f>POWER((ws[[#This Row],[flow]]-ws[[#This Row],[count]]),2)</f>
        <v>1350244</v>
      </c>
      <c r="O604" s="80" t="e">
        <f>VLOOKUP(ws[[#This Row],[hwycov_id]],count!$A$630:$E$652,5,FALSE)</f>
        <v>#N/A</v>
      </c>
      <c r="P604" s="80">
        <v>626</v>
      </c>
    </row>
    <row r="605" spans="1:16" x14ac:dyDescent="0.25">
      <c r="A605" s="80">
        <v>26</v>
      </c>
      <c r="B605" s="6">
        <v>4</v>
      </c>
      <c r="C605" s="80">
        <v>29168</v>
      </c>
      <c r="D605" s="80">
        <v>1</v>
      </c>
      <c r="E605" s="80">
        <v>1</v>
      </c>
      <c r="F605" s="80" t="s">
        <v>390</v>
      </c>
      <c r="G605" s="79">
        <v>1.59</v>
      </c>
      <c r="H605" s="79">
        <v>0.488541</v>
      </c>
      <c r="I605" s="79" t="s">
        <v>171</v>
      </c>
      <c r="J605" s="79" t="s">
        <v>171</v>
      </c>
      <c r="K605" s="83">
        <f>VLOOKUP(ws[[#This Row],[hwycov_id]],count[],4,FALSE)</f>
        <v>10501</v>
      </c>
      <c r="L605" s="115">
        <f>VLOOKUP(ws[[#This Row],[hwycov_id]],flow0[],5,FALSE)</f>
        <v>12753</v>
      </c>
      <c r="M605" s="295">
        <f>ws[[#This Row],[flow]]/ws[[#This Row],[count]]-1</f>
        <v>0.2144557661175126</v>
      </c>
      <c r="N605" s="296">
        <f>POWER((ws[[#This Row],[flow]]-ws[[#This Row],[count]]),2)</f>
        <v>5071504</v>
      </c>
      <c r="O605" s="80" t="e">
        <f>VLOOKUP(ws[[#This Row],[hwycov_id]],count!$A$630:$E$652,5,FALSE)</f>
        <v>#N/A</v>
      </c>
      <c r="P605" s="80">
        <v>627</v>
      </c>
    </row>
    <row r="606" spans="1:16" x14ac:dyDescent="0.25">
      <c r="A606" s="80">
        <v>26</v>
      </c>
      <c r="B606" s="6">
        <v>4</v>
      </c>
      <c r="C606" s="80">
        <v>16356</v>
      </c>
      <c r="D606" s="80">
        <v>1</v>
      </c>
      <c r="E606" s="80">
        <v>1</v>
      </c>
      <c r="F606" s="80" t="s">
        <v>390</v>
      </c>
      <c r="G606" s="79">
        <v>2.2200000000000002</v>
      </c>
      <c r="H606" s="79">
        <v>0.63728499999999999</v>
      </c>
      <c r="I606" s="79" t="s">
        <v>171</v>
      </c>
      <c r="J606" s="79" t="s">
        <v>172</v>
      </c>
      <c r="K606" s="83">
        <f>VLOOKUP(ws[[#This Row],[hwycov_id]],count[],4,FALSE)</f>
        <v>13298</v>
      </c>
      <c r="L606" s="115">
        <f>VLOOKUP(ws[[#This Row],[hwycov_id]],flow0[],5,FALSE)</f>
        <v>14350</v>
      </c>
      <c r="M606" s="295">
        <f>ws[[#This Row],[flow]]/ws[[#This Row],[count]]-1</f>
        <v>7.9109640547450732E-2</v>
      </c>
      <c r="N606" s="296">
        <f>POWER((ws[[#This Row],[flow]]-ws[[#This Row],[count]]),2)</f>
        <v>1106704</v>
      </c>
      <c r="O606" s="80" t="e">
        <f>VLOOKUP(ws[[#This Row],[hwycov_id]],count!$A$630:$E$652,5,FALSE)</f>
        <v>#N/A</v>
      </c>
      <c r="P606" s="80">
        <v>628</v>
      </c>
    </row>
    <row r="607" spans="1:16" x14ac:dyDescent="0.25">
      <c r="A607" s="80">
        <v>26</v>
      </c>
      <c r="B607" s="6">
        <v>4</v>
      </c>
      <c r="C607" s="80">
        <v>16360</v>
      </c>
      <c r="D607" s="80">
        <v>1</v>
      </c>
      <c r="E607" s="80">
        <v>1</v>
      </c>
      <c r="F607" s="80" t="s">
        <v>390</v>
      </c>
      <c r="G607" s="79">
        <v>3.97</v>
      </c>
      <c r="H607" s="79">
        <v>1.029142</v>
      </c>
      <c r="I607" s="79" t="s">
        <v>172</v>
      </c>
      <c r="J607" s="79" t="s">
        <v>173</v>
      </c>
      <c r="K607" s="83">
        <f>VLOOKUP(ws[[#This Row],[hwycov_id]],count[],4,FALSE)</f>
        <v>12653</v>
      </c>
      <c r="L607" s="115">
        <f>VLOOKUP(ws[[#This Row],[hwycov_id]],flow0[],5,FALSE)</f>
        <v>12455</v>
      </c>
      <c r="M607" s="295">
        <f>ws[[#This Row],[flow]]/ws[[#This Row],[count]]-1</f>
        <v>-1.564846281514265E-2</v>
      </c>
      <c r="N607" s="296">
        <f>POWER((ws[[#This Row],[flow]]-ws[[#This Row],[count]]),2)</f>
        <v>39204</v>
      </c>
      <c r="O607" s="80" t="e">
        <f>VLOOKUP(ws[[#This Row],[hwycov_id]],count!$A$630:$E$652,5,FALSE)</f>
        <v>#N/A</v>
      </c>
      <c r="P607" s="80">
        <v>629</v>
      </c>
    </row>
    <row r="608" spans="1:16" x14ac:dyDescent="0.25">
      <c r="A608" s="80">
        <v>26</v>
      </c>
      <c r="B608" s="6">
        <v>4</v>
      </c>
      <c r="C608" s="80">
        <v>16353</v>
      </c>
      <c r="D608" s="80">
        <v>1</v>
      </c>
      <c r="E608" s="80">
        <v>1</v>
      </c>
      <c r="F608" s="80" t="s">
        <v>390</v>
      </c>
      <c r="G608" s="79">
        <v>6.78</v>
      </c>
      <c r="H608" s="79">
        <v>0.81138299999999997</v>
      </c>
      <c r="I608" s="79" t="s">
        <v>173</v>
      </c>
      <c r="J608" s="79" t="s">
        <v>366</v>
      </c>
      <c r="K608" s="83">
        <f>VLOOKUP(ws[[#This Row],[hwycov_id]],count[],4,FALSE)</f>
        <v>12737</v>
      </c>
      <c r="L608" s="115">
        <f>VLOOKUP(ws[[#This Row],[hwycov_id]],flow0[],5,FALSE)</f>
        <v>12676</v>
      </c>
      <c r="M608" s="295">
        <f>ws[[#This Row],[flow]]/ws[[#This Row],[count]]-1</f>
        <v>-4.7891968281384978E-3</v>
      </c>
      <c r="N608" s="296">
        <f>POWER((ws[[#This Row],[flow]]-ws[[#This Row],[count]]),2)</f>
        <v>3721</v>
      </c>
      <c r="O608" s="80" t="e">
        <f>VLOOKUP(ws[[#This Row],[hwycov_id]],count!$A$630:$E$652,5,FALSE)</f>
        <v>#N/A</v>
      </c>
      <c r="P608" s="80">
        <v>630</v>
      </c>
    </row>
    <row r="609" spans="1:16" x14ac:dyDescent="0.25">
      <c r="A609" s="80">
        <v>26</v>
      </c>
      <c r="B609" s="6">
        <v>4</v>
      </c>
      <c r="C609" s="80">
        <v>16144</v>
      </c>
      <c r="D609" s="80">
        <v>1</v>
      </c>
      <c r="E609" s="80">
        <v>1</v>
      </c>
      <c r="F609" s="80" t="s">
        <v>390</v>
      </c>
      <c r="G609" s="79">
        <v>7.75</v>
      </c>
      <c r="H609" s="79">
        <v>0.33323199999999997</v>
      </c>
      <c r="I609" s="79" t="s">
        <v>366</v>
      </c>
      <c r="J609" s="79" t="s">
        <v>45</v>
      </c>
      <c r="K609" s="83">
        <f>VLOOKUP(ws[[#This Row],[hwycov_id]],count[],4,FALSE)</f>
        <v>12403</v>
      </c>
      <c r="L609" s="115">
        <f>VLOOKUP(ws[[#This Row],[hwycov_id]],flow0[],5,FALSE)</f>
        <v>11055</v>
      </c>
      <c r="M609" s="295">
        <f>ws[[#This Row],[flow]]/ws[[#This Row],[count]]-1</f>
        <v>-0.10868338305248726</v>
      </c>
      <c r="N609" s="296">
        <f>POWER((ws[[#This Row],[flow]]-ws[[#This Row],[count]]),2)</f>
        <v>1817104</v>
      </c>
      <c r="O609" s="80" t="e">
        <f>VLOOKUP(ws[[#This Row],[hwycov_id]],count!$A$630:$E$652,5,FALSE)</f>
        <v>#N/A</v>
      </c>
      <c r="P609" s="80">
        <v>631</v>
      </c>
    </row>
    <row r="610" spans="1:16" x14ac:dyDescent="0.25">
      <c r="A610" s="80">
        <v>26</v>
      </c>
      <c r="B610" s="6">
        <v>4</v>
      </c>
      <c r="C610" s="80">
        <v>16523</v>
      </c>
      <c r="D610" s="80">
        <v>1</v>
      </c>
      <c r="E610" s="80">
        <v>1</v>
      </c>
      <c r="F610" s="80" t="s">
        <v>390</v>
      </c>
      <c r="G610" s="79">
        <v>8.8699999999999992</v>
      </c>
      <c r="H610" s="79">
        <v>0.70432799999999995</v>
      </c>
      <c r="I610" s="79" t="s">
        <v>45</v>
      </c>
      <c r="J610" s="79" t="s">
        <v>167</v>
      </c>
      <c r="K610" s="83">
        <f>VLOOKUP(ws[[#This Row],[hwycov_id]],count[],4,FALSE)</f>
        <v>10101</v>
      </c>
      <c r="L610" s="115">
        <f>VLOOKUP(ws[[#This Row],[hwycov_id]],flow0[],5,FALSE)</f>
        <v>9739</v>
      </c>
      <c r="M610" s="295">
        <f>ws[[#This Row],[flow]]/ws[[#This Row],[count]]-1</f>
        <v>-3.5838035838035798E-2</v>
      </c>
      <c r="N610" s="296">
        <f>POWER((ws[[#This Row],[flow]]-ws[[#This Row],[count]]),2)</f>
        <v>131044</v>
      </c>
      <c r="O610" s="80" t="e">
        <f>VLOOKUP(ws[[#This Row],[hwycov_id]],count!$A$630:$E$652,5,FALSE)</f>
        <v>#N/A</v>
      </c>
      <c r="P610" s="80">
        <v>632</v>
      </c>
    </row>
    <row r="611" spans="1:16" x14ac:dyDescent="0.25">
      <c r="A611" s="80">
        <v>27</v>
      </c>
      <c r="B611" s="6">
        <v>4</v>
      </c>
      <c r="C611" s="80">
        <v>27855</v>
      </c>
      <c r="D611" s="80">
        <v>1</v>
      </c>
      <c r="E611" s="80">
        <v>1</v>
      </c>
      <c r="F611" s="80" t="s">
        <v>391</v>
      </c>
      <c r="G611" s="79">
        <v>0.81</v>
      </c>
      <c r="H611" s="79">
        <v>0.116105</v>
      </c>
      <c r="I611" s="79" t="s">
        <v>49</v>
      </c>
      <c r="J611" s="79" t="s">
        <v>380</v>
      </c>
      <c r="K611" s="83">
        <f>VLOOKUP(ws[[#This Row],[hwycov_id]],count[],4,FALSE)</f>
        <v>8022</v>
      </c>
      <c r="L611" s="115">
        <f>VLOOKUP(ws[[#This Row],[hwycov_id]],flow0[],5,FALSE)</f>
        <v>6923</v>
      </c>
      <c r="M611" s="295">
        <f>ws[[#This Row],[flow]]/ws[[#This Row],[count]]-1</f>
        <v>-0.13699825479930194</v>
      </c>
      <c r="N611" s="296">
        <f>POWER((ws[[#This Row],[flow]]-ws[[#This Row],[count]]),2)</f>
        <v>1207801</v>
      </c>
      <c r="O611" s="80" t="e">
        <f>VLOOKUP(ws[[#This Row],[hwycov_id]],count!$A$630:$E$652,5,FALSE)</f>
        <v>#N/A</v>
      </c>
      <c r="P611" s="80">
        <v>633</v>
      </c>
    </row>
    <row r="612" spans="1:16" x14ac:dyDescent="0.25">
      <c r="A612" s="80">
        <v>27</v>
      </c>
      <c r="B612" s="6">
        <v>4</v>
      </c>
      <c r="C612" s="80">
        <v>9903</v>
      </c>
      <c r="D612" s="80">
        <v>1</v>
      </c>
      <c r="E612" s="80">
        <v>1</v>
      </c>
      <c r="F612" s="80" t="s">
        <v>391</v>
      </c>
      <c r="G612" s="79">
        <v>3.25</v>
      </c>
      <c r="H612" s="79">
        <v>0.40687400000000001</v>
      </c>
      <c r="I612" s="79" t="s">
        <v>19</v>
      </c>
      <c r="J612" s="79" t="s">
        <v>379</v>
      </c>
      <c r="K612" s="83">
        <f>VLOOKUP(ws[[#This Row],[hwycov_id]],count[],4,FALSE)</f>
        <v>7641</v>
      </c>
      <c r="L612" s="115">
        <f>VLOOKUP(ws[[#This Row],[hwycov_id]],flow0[],5,FALSE)</f>
        <v>10006</v>
      </c>
      <c r="M612" s="295">
        <f>ws[[#This Row],[flow]]/ws[[#This Row],[count]]-1</f>
        <v>0.30951446145792438</v>
      </c>
      <c r="N612" s="296">
        <f>POWER((ws[[#This Row],[flow]]-ws[[#This Row],[count]]),2)</f>
        <v>5593225</v>
      </c>
      <c r="O612" s="80" t="e">
        <f>VLOOKUP(ws[[#This Row],[hwycov_id]],count!$A$630:$E$652,5,FALSE)</f>
        <v>#N/A</v>
      </c>
      <c r="P612" s="80">
        <v>634</v>
      </c>
    </row>
    <row r="613" spans="1:16" x14ac:dyDescent="0.25">
      <c r="A613" s="80">
        <v>27</v>
      </c>
      <c r="B613" s="6">
        <v>4</v>
      </c>
      <c r="C613" s="80">
        <v>27720</v>
      </c>
      <c r="D613" s="80">
        <v>1</v>
      </c>
      <c r="E613" s="80">
        <v>1</v>
      </c>
      <c r="F613" s="80" t="s">
        <v>391</v>
      </c>
      <c r="G613" s="79">
        <v>6.57</v>
      </c>
      <c r="H613" s="79">
        <v>0.35865599999999997</v>
      </c>
      <c r="I613" s="79" t="s">
        <v>378</v>
      </c>
      <c r="J613" s="79" t="s">
        <v>377</v>
      </c>
      <c r="K613" s="83">
        <f>VLOOKUP(ws[[#This Row],[hwycov_id]],count[],4,FALSE)</f>
        <v>6599</v>
      </c>
      <c r="L613" s="115">
        <f>VLOOKUP(ws[[#This Row],[hwycov_id]],flow0[],5,FALSE)</f>
        <v>8331</v>
      </c>
      <c r="M613" s="295">
        <f>ws[[#This Row],[flow]]/ws[[#This Row],[count]]-1</f>
        <v>0.26246400969843919</v>
      </c>
      <c r="N613" s="296">
        <f>POWER((ws[[#This Row],[flow]]-ws[[#This Row],[count]]),2)</f>
        <v>2999824</v>
      </c>
      <c r="O613" s="80" t="e">
        <f>VLOOKUP(ws[[#This Row],[hwycov_id]],count!$A$630:$E$652,5,FALSE)</f>
        <v>#N/A</v>
      </c>
      <c r="P613" s="80">
        <v>635</v>
      </c>
    </row>
    <row r="614" spans="1:16" x14ac:dyDescent="0.25">
      <c r="A614" s="80">
        <v>27</v>
      </c>
      <c r="B614" s="6">
        <v>4</v>
      </c>
      <c r="C614" s="80">
        <v>10003</v>
      </c>
      <c r="D614" s="80">
        <v>1</v>
      </c>
      <c r="E614" s="80">
        <v>1</v>
      </c>
      <c r="F614" s="80" t="s">
        <v>391</v>
      </c>
      <c r="G614" s="79">
        <v>8.35</v>
      </c>
      <c r="H614" s="79">
        <v>0.37972400000000001</v>
      </c>
      <c r="I614" s="79" t="s">
        <v>152</v>
      </c>
      <c r="J614" s="79" t="s">
        <v>392</v>
      </c>
      <c r="K614" s="83">
        <f>VLOOKUP(ws[[#This Row],[hwycov_id]],count[],4,FALSE)</f>
        <v>4947</v>
      </c>
      <c r="L614" s="115">
        <f>VLOOKUP(ws[[#This Row],[hwycov_id]],flow0[],5,FALSE)</f>
        <v>7042</v>
      </c>
      <c r="M614" s="295">
        <f>ws[[#This Row],[flow]]/ws[[#This Row],[count]]-1</f>
        <v>0.42348898322215489</v>
      </c>
      <c r="N614" s="296">
        <f>POWER((ws[[#This Row],[flow]]-ws[[#This Row],[count]]),2)</f>
        <v>4389025</v>
      </c>
      <c r="O614" s="80" t="e">
        <f>VLOOKUP(ws[[#This Row],[hwycov_id]],count!$A$630:$E$652,5,FALSE)</f>
        <v>#N/A</v>
      </c>
      <c r="P614" s="80">
        <v>636</v>
      </c>
    </row>
    <row r="615" spans="1:16" x14ac:dyDescent="0.25">
      <c r="A615" s="80">
        <v>27</v>
      </c>
      <c r="B615" s="6">
        <v>4</v>
      </c>
      <c r="C615" s="80">
        <v>10016</v>
      </c>
      <c r="D615" s="80">
        <v>1</v>
      </c>
      <c r="E615" s="80">
        <v>1</v>
      </c>
      <c r="F615" s="80" t="s">
        <v>391</v>
      </c>
      <c r="G615" s="79">
        <v>8.7899999999999991</v>
      </c>
      <c r="H615" s="79">
        <v>0.151644</v>
      </c>
      <c r="I615" s="79" t="s">
        <v>392</v>
      </c>
      <c r="J615" s="79" t="s">
        <v>375</v>
      </c>
      <c r="K615" s="83">
        <f>VLOOKUP(ws[[#This Row],[hwycov_id]],count[],4,FALSE)</f>
        <v>4282</v>
      </c>
      <c r="L615" s="115">
        <f>VLOOKUP(ws[[#This Row],[hwycov_id]],flow0[],5,FALSE)</f>
        <v>9265</v>
      </c>
      <c r="M615" s="295">
        <f>ws[[#This Row],[flow]]/ws[[#This Row],[count]]-1</f>
        <v>1.1637085474077535</v>
      </c>
      <c r="N615" s="296">
        <f>POWER((ws[[#This Row],[flow]]-ws[[#This Row],[count]]),2)</f>
        <v>24830289</v>
      </c>
      <c r="O615" s="80" t="e">
        <f>VLOOKUP(ws[[#This Row],[hwycov_id]],count!$A$630:$E$652,5,FALSE)</f>
        <v>#N/A</v>
      </c>
      <c r="P615" s="80">
        <v>637</v>
      </c>
    </row>
    <row r="616" spans="1:16" x14ac:dyDescent="0.25">
      <c r="A616" s="80">
        <v>28</v>
      </c>
      <c r="B616" s="6">
        <v>4</v>
      </c>
      <c r="C616" s="80">
        <v>15859</v>
      </c>
      <c r="D616" s="80">
        <v>1</v>
      </c>
      <c r="E616" s="80">
        <v>1</v>
      </c>
      <c r="F616" s="80" t="s">
        <v>393</v>
      </c>
      <c r="G616" s="79">
        <v>0.59</v>
      </c>
      <c r="H616" s="79">
        <v>0.27918599999999999</v>
      </c>
      <c r="I616" s="79" t="s">
        <v>49</v>
      </c>
      <c r="J616" s="79" t="s">
        <v>384</v>
      </c>
      <c r="K616" s="83">
        <f>VLOOKUP(ws[[#This Row],[hwycov_id]],count[],4,FALSE)</f>
        <v>21113</v>
      </c>
      <c r="L616" s="115">
        <f>VLOOKUP(ws[[#This Row],[hwycov_id]],flow0[],5,FALSE)</f>
        <v>25172</v>
      </c>
      <c r="M616" s="295">
        <f>ws[[#This Row],[flow]]/ws[[#This Row],[count]]-1</f>
        <v>0.19225121962771752</v>
      </c>
      <c r="N616" s="296">
        <f>POWER((ws[[#This Row],[flow]]-ws[[#This Row],[count]]),2)</f>
        <v>16475481</v>
      </c>
      <c r="O616" s="80" t="e">
        <f>VLOOKUP(ws[[#This Row],[hwycov_id]],count!$A$630:$E$652,5,FALSE)</f>
        <v>#N/A</v>
      </c>
      <c r="P616" s="80">
        <v>638</v>
      </c>
    </row>
    <row r="617" spans="1:16" x14ac:dyDescent="0.25">
      <c r="A617" s="80">
        <v>28</v>
      </c>
      <c r="B617" s="6">
        <v>4</v>
      </c>
      <c r="C617" s="80">
        <v>15855</v>
      </c>
      <c r="D617" s="80">
        <v>1</v>
      </c>
      <c r="E617" s="80">
        <v>1</v>
      </c>
      <c r="F617" s="80" t="s">
        <v>393</v>
      </c>
      <c r="G617" s="79">
        <v>1.01</v>
      </c>
      <c r="H617" s="79">
        <v>0.21695900000000001</v>
      </c>
      <c r="I617" s="79" t="s">
        <v>70</v>
      </c>
      <c r="J617" s="79" t="s">
        <v>70</v>
      </c>
      <c r="K617" s="83">
        <f>VLOOKUP(ws[[#This Row],[hwycov_id]],count[],4,FALSE)</f>
        <v>22417</v>
      </c>
      <c r="L617" s="115">
        <f>VLOOKUP(ws[[#This Row],[hwycov_id]],flow0[],5,FALSE)</f>
        <v>26343</v>
      </c>
      <c r="M617" s="295">
        <f>ws[[#This Row],[flow]]/ws[[#This Row],[count]]-1</f>
        <v>0.17513494223134218</v>
      </c>
      <c r="N617" s="296">
        <f>POWER((ws[[#This Row],[flow]]-ws[[#This Row],[count]]),2)</f>
        <v>15413476</v>
      </c>
      <c r="O617" s="80" t="e">
        <f>VLOOKUP(ws[[#This Row],[hwycov_id]],count!$A$630:$E$652,5,FALSE)</f>
        <v>#N/A</v>
      </c>
      <c r="P617" s="80">
        <v>639</v>
      </c>
    </row>
    <row r="618" spans="1:16" x14ac:dyDescent="0.25">
      <c r="A618" s="80">
        <v>28</v>
      </c>
      <c r="B618" s="6">
        <v>4</v>
      </c>
      <c r="C618" s="80">
        <v>31212</v>
      </c>
      <c r="D618" s="80">
        <v>1</v>
      </c>
      <c r="E618" s="80">
        <v>1</v>
      </c>
      <c r="F618" s="80" t="s">
        <v>393</v>
      </c>
      <c r="G618" s="79">
        <v>1.1200000000000001</v>
      </c>
      <c r="H618" s="79">
        <v>0.10892400000000001</v>
      </c>
      <c r="I618" s="79" t="s">
        <v>70</v>
      </c>
      <c r="J618" s="79" t="s">
        <v>204</v>
      </c>
      <c r="K618" s="83">
        <f>VLOOKUP(ws[[#This Row],[hwycov_id]],count[],4,FALSE)</f>
        <v>24639</v>
      </c>
      <c r="L618" s="115">
        <f>VLOOKUP(ws[[#This Row],[hwycov_id]],flow0[],5,FALSE)</f>
        <v>28166</v>
      </c>
      <c r="M618" s="295">
        <f>ws[[#This Row],[flow]]/ws[[#This Row],[count]]-1</f>
        <v>0.14314704330532901</v>
      </c>
      <c r="N618" s="296">
        <f>POWER((ws[[#This Row],[flow]]-ws[[#This Row],[count]]),2)</f>
        <v>12439729</v>
      </c>
      <c r="O618" s="80" t="e">
        <f>VLOOKUP(ws[[#This Row],[hwycov_id]],count!$A$630:$E$652,5,FALSE)</f>
        <v>#N/A</v>
      </c>
      <c r="P618" s="80">
        <v>640</v>
      </c>
    </row>
    <row r="619" spans="1:16" x14ac:dyDescent="0.25">
      <c r="A619" s="80">
        <v>28</v>
      </c>
      <c r="B619" s="6">
        <v>4</v>
      </c>
      <c r="C619" s="80">
        <v>15853</v>
      </c>
      <c r="D619" s="80">
        <v>1</v>
      </c>
      <c r="E619" s="80">
        <v>1</v>
      </c>
      <c r="F619" s="80" t="s">
        <v>393</v>
      </c>
      <c r="G619" s="79">
        <v>1.29</v>
      </c>
      <c r="H619" s="79">
        <v>0.17352200000000001</v>
      </c>
      <c r="I619" s="79" t="s">
        <v>70</v>
      </c>
      <c r="J619" s="79" t="s">
        <v>204</v>
      </c>
      <c r="K619" s="83">
        <f>VLOOKUP(ws[[#This Row],[hwycov_id]],count[],4,FALSE)</f>
        <v>24679</v>
      </c>
      <c r="L619" s="115">
        <f>VLOOKUP(ws[[#This Row],[hwycov_id]],flow0[],5,FALSE)</f>
        <v>28166</v>
      </c>
      <c r="M619" s="295">
        <f>ws[[#This Row],[flow]]/ws[[#This Row],[count]]-1</f>
        <v>0.14129421775598683</v>
      </c>
      <c r="N619" s="296">
        <f>POWER((ws[[#This Row],[flow]]-ws[[#This Row],[count]]),2)</f>
        <v>12159169</v>
      </c>
      <c r="O619" s="80" t="e">
        <f>VLOOKUP(ws[[#This Row],[hwycov_id]],count!$A$630:$E$652,5,FALSE)</f>
        <v>#N/A</v>
      </c>
      <c r="P619" s="80">
        <v>641</v>
      </c>
    </row>
    <row r="620" spans="1:16" x14ac:dyDescent="0.25">
      <c r="A620" s="80">
        <v>28</v>
      </c>
      <c r="B620" s="6">
        <v>4</v>
      </c>
      <c r="C620" s="80">
        <v>29052</v>
      </c>
      <c r="D620" s="80">
        <v>1</v>
      </c>
      <c r="E620" s="80">
        <v>1</v>
      </c>
      <c r="F620" s="80" t="s">
        <v>393</v>
      </c>
      <c r="G620" s="79">
        <v>2.0099999999999998</v>
      </c>
      <c r="H620" s="79">
        <v>0.36964799999999998</v>
      </c>
      <c r="I620" s="79" t="s">
        <v>67</v>
      </c>
      <c r="J620" s="79" t="s">
        <v>68</v>
      </c>
      <c r="K620" s="83">
        <f>VLOOKUP(ws[[#This Row],[hwycov_id]],count[],4,FALSE)</f>
        <v>18850</v>
      </c>
      <c r="L620" s="115">
        <f>VLOOKUP(ws[[#This Row],[hwycov_id]],flow0[],5,FALSE)</f>
        <v>21850</v>
      </c>
      <c r="M620" s="295">
        <f>ws[[#This Row],[flow]]/ws[[#This Row],[count]]-1</f>
        <v>0.15915119363395225</v>
      </c>
      <c r="N620" s="296">
        <f>POWER((ws[[#This Row],[flow]]-ws[[#This Row],[count]]),2)</f>
        <v>9000000</v>
      </c>
      <c r="O620" s="80" t="e">
        <f>VLOOKUP(ws[[#This Row],[hwycov_id]],count!$A$630:$E$652,5,FALSE)</f>
        <v>#N/A</v>
      </c>
      <c r="P620" s="80">
        <v>642</v>
      </c>
    </row>
    <row r="621" spans="1:16" x14ac:dyDescent="0.25">
      <c r="A621" s="80">
        <v>28</v>
      </c>
      <c r="B621" s="6">
        <v>4</v>
      </c>
      <c r="C621" s="80">
        <v>29039</v>
      </c>
      <c r="D621" s="80">
        <v>1</v>
      </c>
      <c r="E621" s="80">
        <v>1</v>
      </c>
      <c r="F621" s="80" t="s">
        <v>393</v>
      </c>
      <c r="G621" s="79">
        <v>3.49</v>
      </c>
      <c r="H621" s="79">
        <v>0.13516400000000001</v>
      </c>
      <c r="I621" s="79" t="s">
        <v>131</v>
      </c>
      <c r="J621" s="79" t="s">
        <v>139</v>
      </c>
      <c r="K621" s="83">
        <f>VLOOKUP(ws[[#This Row],[hwycov_id]],count[],4,FALSE)</f>
        <v>29117</v>
      </c>
      <c r="L621" s="115">
        <f>VLOOKUP(ws[[#This Row],[hwycov_id]],flow0[],5,FALSE)</f>
        <v>32728</v>
      </c>
      <c r="M621" s="295">
        <f>ws[[#This Row],[flow]]/ws[[#This Row],[count]]-1</f>
        <v>0.12401689734519361</v>
      </c>
      <c r="N621" s="296">
        <f>POWER((ws[[#This Row],[flow]]-ws[[#This Row],[count]]),2)</f>
        <v>13039321</v>
      </c>
      <c r="O621" s="80" t="e">
        <f>VLOOKUP(ws[[#This Row],[hwycov_id]],count!$A$630:$E$652,5,FALSE)</f>
        <v>#N/A</v>
      </c>
      <c r="P621" s="80">
        <v>643</v>
      </c>
    </row>
    <row r="622" spans="1:16" x14ac:dyDescent="0.25">
      <c r="A622" s="80">
        <v>28</v>
      </c>
      <c r="B622" s="6">
        <v>4</v>
      </c>
      <c r="C622" s="80">
        <v>29035</v>
      </c>
      <c r="D622" s="80">
        <v>1</v>
      </c>
      <c r="E622" s="80">
        <v>1</v>
      </c>
      <c r="F622" s="80" t="s">
        <v>393</v>
      </c>
      <c r="G622" s="79">
        <v>3.89</v>
      </c>
      <c r="H622" s="79">
        <v>0.39723599999999998</v>
      </c>
      <c r="I622" s="79" t="s">
        <v>139</v>
      </c>
      <c r="J622" s="79" t="s">
        <v>139</v>
      </c>
      <c r="K622" s="83">
        <f>VLOOKUP(ws[[#This Row],[hwycov_id]],count[],4,FALSE)</f>
        <v>26037</v>
      </c>
      <c r="L622" s="115">
        <f>VLOOKUP(ws[[#This Row],[hwycov_id]],flow0[],5,FALSE)</f>
        <v>28573</v>
      </c>
      <c r="M622" s="295">
        <f>ws[[#This Row],[flow]]/ws[[#This Row],[count]]-1</f>
        <v>9.7399854053846546E-2</v>
      </c>
      <c r="N622" s="296">
        <f>POWER((ws[[#This Row],[flow]]-ws[[#This Row],[count]]),2)</f>
        <v>6431296</v>
      </c>
      <c r="O622" s="80" t="e">
        <f>VLOOKUP(ws[[#This Row],[hwycov_id]],count!$A$630:$E$652,5,FALSE)</f>
        <v>#N/A</v>
      </c>
      <c r="P622" s="80">
        <v>644</v>
      </c>
    </row>
    <row r="623" spans="1:16" x14ac:dyDescent="0.25">
      <c r="A623" s="80">
        <v>28</v>
      </c>
      <c r="B623" s="6">
        <v>4</v>
      </c>
      <c r="C623" s="80">
        <v>29027</v>
      </c>
      <c r="D623" s="80">
        <v>1</v>
      </c>
      <c r="E623" s="80">
        <v>1</v>
      </c>
      <c r="F623" s="80" t="s">
        <v>393</v>
      </c>
      <c r="G623" s="79">
        <v>4.16</v>
      </c>
      <c r="H623" s="79">
        <v>0.27365299999999998</v>
      </c>
      <c r="I623" s="79" t="s">
        <v>139</v>
      </c>
      <c r="J623" s="79" t="s">
        <v>203</v>
      </c>
      <c r="K623" s="83">
        <f>VLOOKUP(ws[[#This Row],[hwycov_id]],count[],4,FALSE)</f>
        <v>27704</v>
      </c>
      <c r="L623" s="115">
        <f>VLOOKUP(ws[[#This Row],[hwycov_id]],flow0[],5,FALSE)</f>
        <v>29449</v>
      </c>
      <c r="M623" s="295">
        <f>ws[[#This Row],[flow]]/ws[[#This Row],[count]]-1</f>
        <v>6.298729425353744E-2</v>
      </c>
      <c r="N623" s="296">
        <f>POWER((ws[[#This Row],[flow]]-ws[[#This Row],[count]]),2)</f>
        <v>3045025</v>
      </c>
      <c r="O623" s="80" t="e">
        <f>VLOOKUP(ws[[#This Row],[hwycov_id]],count!$A$630:$E$652,5,FALSE)</f>
        <v>#N/A</v>
      </c>
      <c r="P623" s="80">
        <v>645</v>
      </c>
    </row>
    <row r="624" spans="1:16" x14ac:dyDescent="0.25">
      <c r="A624" s="80">
        <v>28</v>
      </c>
      <c r="B624" s="6">
        <v>4</v>
      </c>
      <c r="C624" s="80">
        <v>29023</v>
      </c>
      <c r="D624" s="80">
        <v>1</v>
      </c>
      <c r="E624" s="80">
        <v>1</v>
      </c>
      <c r="F624" s="80" t="s">
        <v>393</v>
      </c>
      <c r="G624" s="79">
        <v>4.5</v>
      </c>
      <c r="H624" s="79">
        <v>0.33552500000000002</v>
      </c>
      <c r="I624" s="79" t="s">
        <v>203</v>
      </c>
      <c r="J624" s="79" t="s">
        <v>203</v>
      </c>
      <c r="K624" s="83">
        <f>VLOOKUP(ws[[#This Row],[hwycov_id]],count[],4,FALSE)</f>
        <v>26603</v>
      </c>
      <c r="L624" s="115">
        <f>VLOOKUP(ws[[#This Row],[hwycov_id]],flow0[],5,FALSE)</f>
        <v>27641</v>
      </c>
      <c r="M624" s="295">
        <f>ws[[#This Row],[flow]]/ws[[#This Row],[count]]-1</f>
        <v>3.9018155847085012E-2</v>
      </c>
      <c r="N624" s="296">
        <f>POWER((ws[[#This Row],[flow]]-ws[[#This Row],[count]]),2)</f>
        <v>1077444</v>
      </c>
      <c r="O624" s="80" t="e">
        <f>VLOOKUP(ws[[#This Row],[hwycov_id]],count!$A$630:$E$652,5,FALSE)</f>
        <v>#N/A</v>
      </c>
      <c r="P624" s="80">
        <v>646</v>
      </c>
    </row>
    <row r="625" spans="1:16" x14ac:dyDescent="0.25">
      <c r="A625" s="80">
        <v>28</v>
      </c>
      <c r="B625" s="6">
        <v>4</v>
      </c>
      <c r="C625" s="80">
        <v>29025</v>
      </c>
      <c r="D625" s="80">
        <v>1</v>
      </c>
      <c r="E625" s="80">
        <v>1</v>
      </c>
      <c r="F625" s="80" t="s">
        <v>393</v>
      </c>
      <c r="G625" s="79">
        <v>6.31</v>
      </c>
      <c r="H625" s="79">
        <v>1.685068</v>
      </c>
      <c r="I625" s="79" t="s">
        <v>202</v>
      </c>
      <c r="J625" s="79" t="s">
        <v>201</v>
      </c>
      <c r="K625" s="83">
        <f>VLOOKUP(ws[[#This Row],[hwycov_id]],count[],4,FALSE)</f>
        <v>22695</v>
      </c>
      <c r="L625" s="115">
        <f>VLOOKUP(ws[[#This Row],[hwycov_id]],flow0[],5,FALSE)</f>
        <v>24958</v>
      </c>
      <c r="M625" s="295">
        <f>ws[[#This Row],[flow]]/ws[[#This Row],[count]]-1</f>
        <v>9.9713593302489523E-2</v>
      </c>
      <c r="N625" s="296">
        <f>POWER((ws[[#This Row],[flow]]-ws[[#This Row],[count]]),2)</f>
        <v>5121169</v>
      </c>
      <c r="O625" s="80" t="e">
        <f>VLOOKUP(ws[[#This Row],[hwycov_id]],count!$A$630:$E$652,5,FALSE)</f>
        <v>#N/A</v>
      </c>
      <c r="P625" s="80">
        <v>647</v>
      </c>
    </row>
    <row r="626" spans="1:16" x14ac:dyDescent="0.25">
      <c r="A626" s="80">
        <v>28</v>
      </c>
      <c r="B626" s="6">
        <v>4</v>
      </c>
      <c r="C626" s="80">
        <v>27993</v>
      </c>
      <c r="D626" s="80">
        <v>1</v>
      </c>
      <c r="E626" s="80">
        <v>1</v>
      </c>
      <c r="F626" s="80" t="s">
        <v>393</v>
      </c>
      <c r="G626" s="79">
        <v>7.04</v>
      </c>
      <c r="H626" s="79">
        <v>0.24341499999999999</v>
      </c>
      <c r="I626" s="79" t="s">
        <v>199</v>
      </c>
      <c r="J626" s="79" t="s">
        <v>199</v>
      </c>
      <c r="K626" s="83">
        <f>VLOOKUP(ws[[#This Row],[hwycov_id]],count[],4,FALSE)</f>
        <v>18419</v>
      </c>
      <c r="L626" s="115">
        <f>VLOOKUP(ws[[#This Row],[hwycov_id]],flow0[],5,FALSE)</f>
        <v>19474</v>
      </c>
      <c r="M626" s="295">
        <f>ws[[#This Row],[flow]]/ws[[#This Row],[count]]-1</f>
        <v>5.7277810956077868E-2</v>
      </c>
      <c r="N626" s="296">
        <f>POWER((ws[[#This Row],[flow]]-ws[[#This Row],[count]]),2)</f>
        <v>1113025</v>
      </c>
      <c r="O626" s="80" t="e">
        <f>VLOOKUP(ws[[#This Row],[hwycov_id]],count!$A$630:$E$652,5,FALSE)</f>
        <v>#N/A</v>
      </c>
      <c r="P626" s="80">
        <v>648</v>
      </c>
    </row>
    <row r="627" spans="1:16" x14ac:dyDescent="0.25">
      <c r="A627" s="80">
        <v>28</v>
      </c>
      <c r="B627" s="6">
        <v>4</v>
      </c>
      <c r="C627" s="80">
        <v>28002</v>
      </c>
      <c r="D627" s="80">
        <v>1</v>
      </c>
      <c r="E627" s="80">
        <v>1</v>
      </c>
      <c r="F627" s="80" t="s">
        <v>393</v>
      </c>
      <c r="G627" s="79">
        <v>7.32</v>
      </c>
      <c r="H627" s="79">
        <v>0.279665</v>
      </c>
      <c r="I627" s="79" t="s">
        <v>383</v>
      </c>
      <c r="J627" s="79" t="s">
        <v>198</v>
      </c>
      <c r="K627" s="83">
        <f>VLOOKUP(ws[[#This Row],[hwycov_id]],count[],4,FALSE)</f>
        <v>21485</v>
      </c>
      <c r="L627" s="115">
        <f>VLOOKUP(ws[[#This Row],[hwycov_id]],flow0[],5,FALSE)</f>
        <v>21998</v>
      </c>
      <c r="M627" s="295">
        <f>ws[[#This Row],[flow]]/ws[[#This Row],[count]]-1</f>
        <v>2.3877123574586934E-2</v>
      </c>
      <c r="N627" s="296">
        <f>POWER((ws[[#This Row],[flow]]-ws[[#This Row],[count]]),2)</f>
        <v>263169</v>
      </c>
      <c r="O627" s="80" t="e">
        <f>VLOOKUP(ws[[#This Row],[hwycov_id]],count!$A$630:$E$652,5,FALSE)</f>
        <v>#N/A</v>
      </c>
      <c r="P627" s="80">
        <v>649</v>
      </c>
    </row>
    <row r="628" spans="1:16" x14ac:dyDescent="0.25">
      <c r="A628" s="80">
        <v>28</v>
      </c>
      <c r="B628" s="6">
        <v>4</v>
      </c>
      <c r="C628" s="80">
        <v>28012</v>
      </c>
      <c r="D628" s="80">
        <v>1</v>
      </c>
      <c r="E628" s="80">
        <v>1</v>
      </c>
      <c r="F628" s="80" t="s">
        <v>393</v>
      </c>
      <c r="G628" s="79">
        <v>7.96</v>
      </c>
      <c r="H628" s="79">
        <v>0.28867100000000001</v>
      </c>
      <c r="I628" s="79" t="s">
        <v>198</v>
      </c>
      <c r="J628" s="79" t="s">
        <v>382</v>
      </c>
      <c r="K628" s="83">
        <f>VLOOKUP(ws[[#This Row],[hwycov_id]],count[],4,FALSE)</f>
        <v>21715</v>
      </c>
      <c r="L628" s="115">
        <f>VLOOKUP(ws[[#This Row],[hwycov_id]],flow0[],5,FALSE)</f>
        <v>21517</v>
      </c>
      <c r="M628" s="295">
        <f>ws[[#This Row],[flow]]/ws[[#This Row],[count]]-1</f>
        <v>-9.1181211144369945E-3</v>
      </c>
      <c r="N628" s="296">
        <f>POWER((ws[[#This Row],[flow]]-ws[[#This Row],[count]]),2)</f>
        <v>39204</v>
      </c>
      <c r="O628" s="80" t="e">
        <f>VLOOKUP(ws[[#This Row],[hwycov_id]],count!$A$630:$E$652,5,FALSE)</f>
        <v>#N/A</v>
      </c>
      <c r="P628" s="80">
        <v>650</v>
      </c>
    </row>
    <row r="629" spans="1:16" x14ac:dyDescent="0.25">
      <c r="A629" s="80">
        <v>28</v>
      </c>
      <c r="B629" s="6">
        <v>4</v>
      </c>
      <c r="C629" s="80">
        <v>28623</v>
      </c>
      <c r="D629" s="80">
        <v>1</v>
      </c>
      <c r="E629" s="80">
        <v>1</v>
      </c>
      <c r="F629" s="80" t="s">
        <v>393</v>
      </c>
      <c r="G629" s="79">
        <v>11.94</v>
      </c>
      <c r="H629" s="79">
        <v>0.43760500000000002</v>
      </c>
      <c r="I629" s="79" t="s">
        <v>394</v>
      </c>
      <c r="J629" s="79" t="s">
        <v>395</v>
      </c>
      <c r="K629" s="83">
        <f>VLOOKUP(ws[[#This Row],[hwycov_id]],count[],4,FALSE)</f>
        <v>8655</v>
      </c>
      <c r="L629" s="115">
        <f>VLOOKUP(ws[[#This Row],[hwycov_id]],flow0[],5,FALSE)</f>
        <v>7686</v>
      </c>
      <c r="M629" s="295">
        <f>ws[[#This Row],[flow]]/ws[[#This Row],[count]]-1</f>
        <v>-0.11195840554592718</v>
      </c>
      <c r="N629" s="296">
        <f>POWER((ws[[#This Row],[flow]]-ws[[#This Row],[count]]),2)</f>
        <v>938961</v>
      </c>
      <c r="O629" s="80" t="e">
        <f>VLOOKUP(ws[[#This Row],[hwycov_id]],count!$A$630:$E$652,5,FALSE)</f>
        <v>#N/A</v>
      </c>
      <c r="P629" s="80">
        <v>651</v>
      </c>
    </row>
    <row r="630" spans="1:16" x14ac:dyDescent="0.25">
      <c r="A630" s="407">
        <v>3</v>
      </c>
      <c r="B630" s="407">
        <v>1</v>
      </c>
      <c r="C630" s="407">
        <v>29761</v>
      </c>
      <c r="D630" s="407">
        <v>1</v>
      </c>
      <c r="E630" s="407">
        <v>1</v>
      </c>
      <c r="F630" s="407" t="s">
        <v>396</v>
      </c>
      <c r="G630" s="408">
        <v>1.67</v>
      </c>
      <c r="H630" s="408">
        <v>0.17888399999999999</v>
      </c>
      <c r="I630" s="408" t="s">
        <v>53</v>
      </c>
      <c r="J630" s="408" t="s">
        <v>54</v>
      </c>
      <c r="K630" s="409">
        <f>VLOOKUP(ws[[#This Row],[hwycov_id]],count[],4,FALSE)</f>
        <v>10013</v>
      </c>
      <c r="L630" s="410">
        <f>VLOOKUP(ws[[#This Row],[hwycov_id]],flow0[],5,FALSE)</f>
        <v>6773</v>
      </c>
      <c r="M630" s="411">
        <f>ws[[#This Row],[flow]]/ws[[#This Row],[count]]-1</f>
        <v>-0.32357934684909617</v>
      </c>
      <c r="N630" s="410">
        <f>POWER((ws[[#This Row],[flow]]-ws[[#This Row],[count]]),2)</f>
        <v>10497600</v>
      </c>
      <c r="O630" s="407">
        <f>VLOOKUP(ws[[#This Row],[hwycov_id]],count!$A$630:$E$652,5,FALSE)</f>
        <v>2</v>
      </c>
      <c r="P630" s="407">
        <v>135</v>
      </c>
    </row>
    <row r="631" spans="1:16" x14ac:dyDescent="0.25">
      <c r="A631" s="407">
        <v>32</v>
      </c>
      <c r="B631" s="407">
        <v>2</v>
      </c>
      <c r="C631" s="407">
        <v>29577</v>
      </c>
      <c r="D631" s="407">
        <v>1</v>
      </c>
      <c r="E631" s="407">
        <v>2</v>
      </c>
      <c r="F631" s="407" t="s">
        <v>398</v>
      </c>
      <c r="G631" s="408">
        <v>3.71</v>
      </c>
      <c r="H631" s="408">
        <v>0.62116199999999999</v>
      </c>
      <c r="I631" s="408" t="s">
        <v>92</v>
      </c>
      <c r="J631" s="408" t="s">
        <v>92</v>
      </c>
      <c r="K631" s="409">
        <f>VLOOKUP(ws[[#This Row],[hwycov_id]],count[],4,FALSE)</f>
        <v>2213</v>
      </c>
      <c r="L631" s="410">
        <f>VLOOKUP(ws[[#This Row],[hwycov_id]],flow0[],5,FALSE)</f>
        <v>3163</v>
      </c>
      <c r="M631" s="411">
        <f>ws[[#This Row],[flow]]/ws[[#This Row],[count]]-1</f>
        <v>0.42928151830094885</v>
      </c>
      <c r="N631" s="410">
        <f>POWER((ws[[#This Row],[flow]]-ws[[#This Row],[count]]),2)</f>
        <v>902500</v>
      </c>
      <c r="O631" s="407">
        <f>VLOOKUP(ws[[#This Row],[hwycov_id]],count!$A$630:$E$652,5,FALSE)</f>
        <v>2</v>
      </c>
      <c r="P631" s="407">
        <v>414</v>
      </c>
    </row>
    <row r="632" spans="1:16" x14ac:dyDescent="0.25">
      <c r="A632" s="407">
        <v>32</v>
      </c>
      <c r="B632" s="407">
        <v>2</v>
      </c>
      <c r="C632" s="407">
        <v>29573</v>
      </c>
      <c r="D632" s="407">
        <v>1</v>
      </c>
      <c r="E632" s="407">
        <v>2</v>
      </c>
      <c r="F632" s="407" t="s">
        <v>398</v>
      </c>
      <c r="G632" s="408">
        <v>4.3099999999999996</v>
      </c>
      <c r="H632" s="408">
        <v>0.60030899999999998</v>
      </c>
      <c r="I632" s="408" t="s">
        <v>90</v>
      </c>
      <c r="J632" s="408" t="s">
        <v>90</v>
      </c>
      <c r="K632" s="409">
        <f>VLOOKUP(ws[[#This Row],[hwycov_id]],count[],4,FALSE)</f>
        <v>2559</v>
      </c>
      <c r="L632" s="410">
        <f>VLOOKUP(ws[[#This Row],[hwycov_id]],flow0[],5,FALSE)</f>
        <v>3163</v>
      </c>
      <c r="M632" s="411">
        <f>ws[[#This Row],[flow]]/ws[[#This Row],[count]]-1</f>
        <v>0.23602969910121141</v>
      </c>
      <c r="N632" s="410">
        <f>POWER((ws[[#This Row],[flow]]-ws[[#This Row],[count]]),2)</f>
        <v>364816</v>
      </c>
      <c r="O632" s="407">
        <f>VLOOKUP(ws[[#This Row],[hwycov_id]],count!$A$630:$E$652,5,FALSE)</f>
        <v>2</v>
      </c>
      <c r="P632" s="407">
        <v>415</v>
      </c>
    </row>
    <row r="633" spans="1:16" x14ac:dyDescent="0.25">
      <c r="A633" s="407">
        <v>22</v>
      </c>
      <c r="B633" s="407">
        <v>4</v>
      </c>
      <c r="C633" s="407">
        <v>20725</v>
      </c>
      <c r="D633" s="407">
        <v>1</v>
      </c>
      <c r="E633" s="407">
        <v>1</v>
      </c>
      <c r="F633" s="407" t="s">
        <v>385</v>
      </c>
      <c r="G633" s="408">
        <v>17.329999999999998</v>
      </c>
      <c r="H633" s="408">
        <v>0.11776200000000001</v>
      </c>
      <c r="I633" s="408" t="s">
        <v>181</v>
      </c>
      <c r="J633" s="408" t="s">
        <v>179</v>
      </c>
      <c r="K633" s="409">
        <f>VLOOKUP(ws[[#This Row],[hwycov_id]],count[],4,FALSE)</f>
        <v>20538</v>
      </c>
      <c r="L633" s="410">
        <f>VLOOKUP(ws[[#This Row],[hwycov_id]],flow0[],5,FALSE)</f>
        <v>14490</v>
      </c>
      <c r="M633" s="411">
        <f>ws[[#This Row],[flow]]/ws[[#This Row],[count]]-1</f>
        <v>-0.29447852760736193</v>
      </c>
      <c r="N633" s="410">
        <f>POWER((ws[[#This Row],[flow]]-ws[[#This Row],[count]]),2)</f>
        <v>36578304</v>
      </c>
      <c r="O633" s="407">
        <f>VLOOKUP(ws[[#This Row],[hwycov_id]],count!$A$630:$E$652,5,FALSE)</f>
        <v>2</v>
      </c>
      <c r="P633" s="407">
        <v>571</v>
      </c>
    </row>
    <row r="634" spans="1:16" x14ac:dyDescent="0.25">
      <c r="A634" s="407">
        <v>1</v>
      </c>
      <c r="B634" s="407">
        <v>1</v>
      </c>
      <c r="C634" s="407">
        <v>20600</v>
      </c>
      <c r="D634" s="407">
        <v>1</v>
      </c>
      <c r="E634" s="407">
        <v>1</v>
      </c>
      <c r="F634" s="407" t="s">
        <v>323</v>
      </c>
      <c r="G634" s="408">
        <v>19.86</v>
      </c>
      <c r="H634" s="408">
        <v>0.41339300000000001</v>
      </c>
      <c r="I634" s="408" t="s">
        <v>5</v>
      </c>
      <c r="J634" s="408" t="s">
        <v>82</v>
      </c>
      <c r="K634" s="409">
        <f>VLOOKUP(ws[[#This Row],[hwycov_id]],count[],4,FALSE)</f>
        <v>17666</v>
      </c>
      <c r="L634" s="410">
        <f>VLOOKUP(ws[[#This Row],[hwycov_id]],flow0[],5,FALSE)</f>
        <v>16739</v>
      </c>
      <c r="M634" s="411">
        <f>ws[[#This Row],[flow]]/ws[[#This Row],[count]]-1</f>
        <v>-5.2473678252009548E-2</v>
      </c>
      <c r="N634" s="410">
        <f>POWER((ws[[#This Row],[flow]]-ws[[#This Row],[count]]),2)</f>
        <v>859329</v>
      </c>
      <c r="O634" s="407">
        <f>VLOOKUP(ws[[#This Row],[hwycov_id]],count!$A$630:$E$652,5,FALSE)</f>
        <v>1</v>
      </c>
      <c r="P634" s="407">
        <v>36</v>
      </c>
    </row>
    <row r="635" spans="1:16" x14ac:dyDescent="0.25">
      <c r="A635" s="407">
        <v>2</v>
      </c>
      <c r="B635" s="407">
        <v>1</v>
      </c>
      <c r="C635" s="407">
        <v>15187</v>
      </c>
      <c r="D635" s="407">
        <v>1</v>
      </c>
      <c r="E635" s="407">
        <v>1</v>
      </c>
      <c r="F635" s="407" t="s">
        <v>367</v>
      </c>
      <c r="G635" s="408">
        <v>11.88</v>
      </c>
      <c r="H635" s="408">
        <v>0.71371399999999996</v>
      </c>
      <c r="I635" s="408" t="s">
        <v>35</v>
      </c>
      <c r="J635" s="408" t="s">
        <v>11</v>
      </c>
      <c r="K635" s="409">
        <f>VLOOKUP(ws[[#This Row],[hwycov_id]],count[],4,FALSE)</f>
        <v>28973</v>
      </c>
      <c r="L635" s="410">
        <f>VLOOKUP(ws[[#This Row],[hwycov_id]],flow0[],5,FALSE)</f>
        <v>24634</v>
      </c>
      <c r="M635" s="411">
        <f>ws[[#This Row],[flow]]/ws[[#This Row],[count]]-1</f>
        <v>-0.14976012149242401</v>
      </c>
      <c r="N635" s="410">
        <f>POWER((ws[[#This Row],[flow]]-ws[[#This Row],[count]]),2)</f>
        <v>18826921</v>
      </c>
      <c r="O635" s="407">
        <f>VLOOKUP(ws[[#This Row],[hwycov_id]],count!$A$630:$E$652,5,FALSE)</f>
        <v>1</v>
      </c>
      <c r="P635" s="407">
        <v>92</v>
      </c>
    </row>
    <row r="636" spans="1:16" x14ac:dyDescent="0.25">
      <c r="A636" s="407">
        <v>2</v>
      </c>
      <c r="B636" s="407">
        <v>1</v>
      </c>
      <c r="C636" s="407">
        <v>16167</v>
      </c>
      <c r="D636" s="407">
        <v>1</v>
      </c>
      <c r="E636" s="407">
        <v>1</v>
      </c>
      <c r="F636" s="407" t="s">
        <v>367</v>
      </c>
      <c r="G636" s="408">
        <v>12.79</v>
      </c>
      <c r="H636" s="408">
        <v>0.32053199999999998</v>
      </c>
      <c r="I636" s="408" t="s">
        <v>11</v>
      </c>
      <c r="J636" s="408" t="s">
        <v>12</v>
      </c>
      <c r="K636" s="409">
        <f>VLOOKUP(ws[[#This Row],[hwycov_id]],count[],4,FALSE)</f>
        <v>25921</v>
      </c>
      <c r="L636" s="410">
        <f>VLOOKUP(ws[[#This Row],[hwycov_id]],flow0[],5,FALSE)</f>
        <v>44796</v>
      </c>
      <c r="M636" s="411">
        <f>ws[[#This Row],[flow]]/ws[[#This Row],[count]]-1</f>
        <v>0.72817406735851242</v>
      </c>
      <c r="N636" s="410">
        <f>POWER((ws[[#This Row],[flow]]-ws[[#This Row],[count]]),2)</f>
        <v>356265625</v>
      </c>
      <c r="O636" s="407">
        <f>VLOOKUP(ws[[#This Row],[hwycov_id]],count!$A$630:$E$652,5,FALSE)</f>
        <v>1</v>
      </c>
      <c r="P636" s="407">
        <v>94</v>
      </c>
    </row>
    <row r="637" spans="1:16" x14ac:dyDescent="0.25">
      <c r="A637" s="407">
        <v>2</v>
      </c>
      <c r="B637" s="407">
        <v>1</v>
      </c>
      <c r="C637" s="407">
        <v>14647</v>
      </c>
      <c r="D637" s="407">
        <v>1</v>
      </c>
      <c r="E637" s="407">
        <v>1</v>
      </c>
      <c r="F637" s="407" t="s">
        <v>367</v>
      </c>
      <c r="G637" s="408">
        <v>20.11</v>
      </c>
      <c r="H637" s="408">
        <v>0.52996200000000004</v>
      </c>
      <c r="I637" s="408" t="s">
        <v>1</v>
      </c>
      <c r="J637" s="408" t="s">
        <v>31</v>
      </c>
      <c r="K637" s="409">
        <f>VLOOKUP(ws[[#This Row],[hwycov_id]],count[],4,FALSE)</f>
        <v>37856</v>
      </c>
      <c r="L637" s="410">
        <f>VLOOKUP(ws[[#This Row],[hwycov_id]],flow0[],5,FALSE)</f>
        <v>36079</v>
      </c>
      <c r="M637" s="411">
        <f>ws[[#This Row],[flow]]/ws[[#This Row],[count]]-1</f>
        <v>-4.6941039729501255E-2</v>
      </c>
      <c r="N637" s="410">
        <f>POWER((ws[[#This Row],[flow]]-ws[[#This Row],[count]]),2)</f>
        <v>3157729</v>
      </c>
      <c r="O637" s="407">
        <f>VLOOKUP(ws[[#This Row],[hwycov_id]],count!$A$630:$E$652,5,FALSE)</f>
        <v>1</v>
      </c>
      <c r="P637" s="407">
        <v>106</v>
      </c>
    </row>
    <row r="638" spans="1:16" x14ac:dyDescent="0.25">
      <c r="A638" s="407">
        <v>2</v>
      </c>
      <c r="B638" s="407">
        <v>1</v>
      </c>
      <c r="C638" s="407">
        <v>31192</v>
      </c>
      <c r="D638" s="407">
        <v>1</v>
      </c>
      <c r="E638" s="407">
        <v>1</v>
      </c>
      <c r="F638" s="407" t="s">
        <v>367</v>
      </c>
      <c r="G638" s="408">
        <v>31.04</v>
      </c>
      <c r="H638" s="408">
        <v>0.22740199999999999</v>
      </c>
      <c r="I638" s="408" t="s">
        <v>9</v>
      </c>
      <c r="J638" s="408" t="s">
        <v>10</v>
      </c>
      <c r="K638" s="409">
        <f>VLOOKUP(ws[[#This Row],[hwycov_id]],count[],4,FALSE)</f>
        <v>19089</v>
      </c>
      <c r="L638" s="410">
        <f>VLOOKUP(ws[[#This Row],[hwycov_id]],flow0[],5,FALSE)</f>
        <v>12929</v>
      </c>
      <c r="M638" s="411">
        <f>ws[[#This Row],[flow]]/ws[[#This Row],[count]]-1</f>
        <v>-0.32269893656032267</v>
      </c>
      <c r="N638" s="410">
        <f>POWER((ws[[#This Row],[flow]]-ws[[#This Row],[count]]),2)</f>
        <v>37945600</v>
      </c>
      <c r="O638" s="407">
        <f>VLOOKUP(ws[[#This Row],[hwycov_id]],count!$A$630:$E$652,5,FALSE)</f>
        <v>1</v>
      </c>
      <c r="P638" s="407">
        <v>124</v>
      </c>
    </row>
    <row r="639" spans="1:16" x14ac:dyDescent="0.25">
      <c r="A639" s="407">
        <v>2</v>
      </c>
      <c r="B639" s="407">
        <v>1</v>
      </c>
      <c r="C639" s="407">
        <v>27165</v>
      </c>
      <c r="D639" s="407">
        <v>1</v>
      </c>
      <c r="E639" s="407">
        <v>1</v>
      </c>
      <c r="F639" s="407" t="s">
        <v>367</v>
      </c>
      <c r="G639" s="408">
        <v>32.97</v>
      </c>
      <c r="H639" s="408">
        <v>0.70303199999999999</v>
      </c>
      <c r="I639" s="408" t="s">
        <v>40</v>
      </c>
      <c r="J639" s="408" t="s">
        <v>40</v>
      </c>
      <c r="K639" s="409">
        <f>VLOOKUP(ws[[#This Row],[hwycov_id]],count[],4,FALSE)</f>
        <v>22453</v>
      </c>
      <c r="L639" s="410">
        <f>VLOOKUP(ws[[#This Row],[hwycov_id]],flow0[],5,FALSE)</f>
        <v>18254</v>
      </c>
      <c r="M639" s="411">
        <f>ws[[#This Row],[flow]]/ws[[#This Row],[count]]-1</f>
        <v>-0.18701287133122524</v>
      </c>
      <c r="N639" s="410">
        <f>POWER((ws[[#This Row],[flow]]-ws[[#This Row],[count]]),2)</f>
        <v>17631601</v>
      </c>
      <c r="O639" s="407">
        <f>VLOOKUP(ws[[#This Row],[hwycov_id]],count!$A$630:$E$652,5,FALSE)</f>
        <v>1</v>
      </c>
      <c r="P639" s="407">
        <v>126</v>
      </c>
    </row>
    <row r="640" spans="1:16" x14ac:dyDescent="0.25">
      <c r="A640" s="407">
        <v>3</v>
      </c>
      <c r="B640" s="407">
        <v>1</v>
      </c>
      <c r="C640" s="407">
        <v>748</v>
      </c>
      <c r="D640" s="407">
        <v>1</v>
      </c>
      <c r="E640" s="407">
        <v>1</v>
      </c>
      <c r="F640" s="407" t="s">
        <v>396</v>
      </c>
      <c r="G640" s="408">
        <v>16.809999999999999</v>
      </c>
      <c r="H640" s="408">
        <v>0.40239200000000003</v>
      </c>
      <c r="I640" s="408" t="s">
        <v>21</v>
      </c>
      <c r="J640" s="408" t="s">
        <v>133</v>
      </c>
      <c r="K640" s="409">
        <f>VLOOKUP(ws[[#This Row],[hwycov_id]],count[],4,FALSE)</f>
        <v>11272</v>
      </c>
      <c r="L640" s="410">
        <f>VLOOKUP(ws[[#This Row],[hwycov_id]],flow0[],5,FALSE)</f>
        <v>17916</v>
      </c>
      <c r="M640" s="411">
        <f>ws[[#This Row],[flow]]/ws[[#This Row],[count]]-1</f>
        <v>0.58942512420156135</v>
      </c>
      <c r="N640" s="410">
        <f>POWER((ws[[#This Row],[flow]]-ws[[#This Row],[count]]),2)</f>
        <v>44142736</v>
      </c>
      <c r="O640" s="407">
        <f>VLOOKUP(ws[[#This Row],[hwycov_id]],count!$A$630:$E$652,5,FALSE)</f>
        <v>1</v>
      </c>
      <c r="P640" s="407">
        <v>152</v>
      </c>
    </row>
    <row r="641" spans="1:16" x14ac:dyDescent="0.25">
      <c r="A641" s="407">
        <v>4</v>
      </c>
      <c r="B641" s="407">
        <v>1</v>
      </c>
      <c r="C641" s="407">
        <v>21822</v>
      </c>
      <c r="D641" s="407">
        <v>1</v>
      </c>
      <c r="E641" s="407">
        <v>1</v>
      </c>
      <c r="F641" s="407" t="s">
        <v>399</v>
      </c>
      <c r="G641" s="408">
        <v>3.58</v>
      </c>
      <c r="H641" s="408">
        <v>0.13639899999999999</v>
      </c>
      <c r="I641" s="408" t="s">
        <v>38</v>
      </c>
      <c r="J641" s="408" t="s">
        <v>22</v>
      </c>
      <c r="K641" s="409">
        <f>VLOOKUP(ws[[#This Row],[hwycov_id]],count[],4,FALSE)</f>
        <v>20546</v>
      </c>
      <c r="L641" s="410">
        <f>VLOOKUP(ws[[#This Row],[hwycov_id]],flow0[],5,FALSE)</f>
        <v>13729</v>
      </c>
      <c r="M641" s="411">
        <f>ws[[#This Row],[flow]]/ws[[#This Row],[count]]-1</f>
        <v>-0.33179207631655794</v>
      </c>
      <c r="N641" s="410">
        <f>POWER((ws[[#This Row],[flow]]-ws[[#This Row],[count]]),2)</f>
        <v>46471489</v>
      </c>
      <c r="O641" s="407">
        <f>VLOOKUP(ws[[#This Row],[hwycov_id]],count!$A$630:$E$652,5,FALSE)</f>
        <v>1</v>
      </c>
      <c r="P641" s="407">
        <v>166</v>
      </c>
    </row>
    <row r="642" spans="1:16" x14ac:dyDescent="0.25">
      <c r="A642" s="407">
        <v>8</v>
      </c>
      <c r="B642" s="407">
        <v>2</v>
      </c>
      <c r="C642" s="407">
        <v>20706</v>
      </c>
      <c r="D642" s="407">
        <v>1</v>
      </c>
      <c r="E642" s="407">
        <v>1</v>
      </c>
      <c r="F642" s="407" t="s">
        <v>405</v>
      </c>
      <c r="G642" s="408">
        <v>57.41</v>
      </c>
      <c r="H642" s="408">
        <v>0.27687400000000001</v>
      </c>
      <c r="I642" s="408" t="s">
        <v>74</v>
      </c>
      <c r="J642" s="408" t="s">
        <v>73</v>
      </c>
      <c r="K642" s="409">
        <f>VLOOKUP(ws[[#This Row],[hwycov_id]],count[],4,FALSE)</f>
        <v>14205</v>
      </c>
      <c r="L642" s="410">
        <f>VLOOKUP(ws[[#This Row],[hwycov_id]],flow0[],5,FALSE)</f>
        <v>26158</v>
      </c>
      <c r="M642" s="411">
        <f>ws[[#This Row],[flow]]/ws[[#This Row],[count]]-1</f>
        <v>0.84146427314325933</v>
      </c>
      <c r="N642" s="410">
        <f>POWER((ws[[#This Row],[flow]]-ws[[#This Row],[count]]),2)</f>
        <v>142874209</v>
      </c>
      <c r="O642" s="407">
        <f>VLOOKUP(ws[[#This Row],[hwycov_id]],count!$A$630:$E$652,5,FALSE)</f>
        <v>1</v>
      </c>
      <c r="P642" s="407">
        <v>259</v>
      </c>
    </row>
    <row r="643" spans="1:16" x14ac:dyDescent="0.25">
      <c r="A643" s="407">
        <v>8</v>
      </c>
      <c r="B643" s="407">
        <v>2</v>
      </c>
      <c r="C643" s="407">
        <v>27791</v>
      </c>
      <c r="D643" s="407">
        <v>1</v>
      </c>
      <c r="E643" s="407">
        <v>1</v>
      </c>
      <c r="F643" s="407" t="s">
        <v>405</v>
      </c>
      <c r="G643" s="408">
        <v>58.05</v>
      </c>
      <c r="H643" s="408">
        <v>0.120786</v>
      </c>
      <c r="I643" s="408" t="s">
        <v>27</v>
      </c>
      <c r="J643" s="408" t="s">
        <v>119</v>
      </c>
      <c r="K643" s="409">
        <f>VLOOKUP(ws[[#This Row],[hwycov_id]],count[],4,FALSE)</f>
        <v>16732</v>
      </c>
      <c r="L643" s="410">
        <f>VLOOKUP(ws[[#This Row],[hwycov_id]],flow0[],5,FALSE)</f>
        <v>30553</v>
      </c>
      <c r="M643" s="411">
        <f>ws[[#This Row],[flow]]/ws[[#This Row],[count]]-1</f>
        <v>0.82602199378436536</v>
      </c>
      <c r="N643" s="410">
        <f>POWER((ws[[#This Row],[flow]]-ws[[#This Row],[count]]),2)</f>
        <v>191020041</v>
      </c>
      <c r="O643" s="407">
        <f>VLOOKUP(ws[[#This Row],[hwycov_id]],count!$A$630:$E$652,5,FALSE)</f>
        <v>1</v>
      </c>
      <c r="P643" s="407">
        <v>262</v>
      </c>
    </row>
    <row r="644" spans="1:16" x14ac:dyDescent="0.25">
      <c r="A644" s="407">
        <v>8</v>
      </c>
      <c r="B644" s="407">
        <v>2</v>
      </c>
      <c r="C644" s="407">
        <v>27928</v>
      </c>
      <c r="D644" s="407">
        <v>1</v>
      </c>
      <c r="E644" s="407">
        <v>1</v>
      </c>
      <c r="F644" s="407" t="s">
        <v>405</v>
      </c>
      <c r="G644" s="408">
        <v>65.959999999999994</v>
      </c>
      <c r="H644" s="408">
        <v>0.35037800000000002</v>
      </c>
      <c r="I644" s="408" t="s">
        <v>121</v>
      </c>
      <c r="J644" s="408" t="s">
        <v>121</v>
      </c>
      <c r="K644" s="409">
        <f>VLOOKUP(ws[[#This Row],[hwycov_id]],count[],4,FALSE)</f>
        <v>12167</v>
      </c>
      <c r="L644" s="410">
        <f>VLOOKUP(ws[[#This Row],[hwycov_id]],flow0[],5,FALSE)</f>
        <v>22040</v>
      </c>
      <c r="M644" s="411">
        <f>ws[[#This Row],[flow]]/ws[[#This Row],[count]]-1</f>
        <v>0.81145722035012735</v>
      </c>
      <c r="N644" s="410">
        <f>POWER((ws[[#This Row],[flow]]-ws[[#This Row],[count]]),2)</f>
        <v>97476129</v>
      </c>
      <c r="O644" s="407">
        <f>VLOOKUP(ws[[#This Row],[hwycov_id]],count!$A$630:$E$652,5,FALSE)</f>
        <v>1</v>
      </c>
      <c r="P644" s="407">
        <v>275</v>
      </c>
    </row>
    <row r="645" spans="1:16" x14ac:dyDescent="0.25">
      <c r="A645" s="407">
        <v>8</v>
      </c>
      <c r="B645" s="407">
        <v>2</v>
      </c>
      <c r="C645" s="407">
        <v>27887</v>
      </c>
      <c r="D645" s="407">
        <v>1</v>
      </c>
      <c r="E645" s="407">
        <v>1</v>
      </c>
      <c r="F645" s="407" t="s">
        <v>405</v>
      </c>
      <c r="G645" s="408">
        <v>70.38</v>
      </c>
      <c r="H645" s="408">
        <v>0.43827500000000003</v>
      </c>
      <c r="I645" s="408" t="s">
        <v>123</v>
      </c>
      <c r="J645" s="408" t="s">
        <v>123</v>
      </c>
      <c r="K645" s="409">
        <f>VLOOKUP(ws[[#This Row],[hwycov_id]],count[],4,FALSE)</f>
        <v>8991</v>
      </c>
      <c r="L645" s="410">
        <f>VLOOKUP(ws[[#This Row],[hwycov_id]],flow0[],5,FALSE)</f>
        <v>5665</v>
      </c>
      <c r="M645" s="411">
        <f>ws[[#This Row],[flow]]/ws[[#This Row],[count]]-1</f>
        <v>-0.36992548103659217</v>
      </c>
      <c r="N645" s="410">
        <f>POWER((ws[[#This Row],[flow]]-ws[[#This Row],[count]]),2)</f>
        <v>11062276</v>
      </c>
      <c r="O645" s="407">
        <f>VLOOKUP(ws[[#This Row],[hwycov_id]],count!$A$630:$E$652,5,FALSE)</f>
        <v>1</v>
      </c>
      <c r="P645" s="407">
        <v>280</v>
      </c>
    </row>
    <row r="646" spans="1:16" x14ac:dyDescent="0.25">
      <c r="A646" s="407">
        <v>8</v>
      </c>
      <c r="B646" s="407">
        <v>2</v>
      </c>
      <c r="C646" s="407">
        <v>27155</v>
      </c>
      <c r="D646" s="407">
        <v>1</v>
      </c>
      <c r="E646" s="407">
        <v>1</v>
      </c>
      <c r="F646" s="407" t="s">
        <v>405</v>
      </c>
      <c r="G646" s="408">
        <v>71.45</v>
      </c>
      <c r="H646" s="408">
        <v>0.37691599999999997</v>
      </c>
      <c r="I646" s="408" t="s">
        <v>51</v>
      </c>
      <c r="J646" s="408" t="s">
        <v>408</v>
      </c>
      <c r="K646" s="409">
        <f>VLOOKUP(ws[[#This Row],[hwycov_id]],count[],4,FALSE)</f>
        <v>7807</v>
      </c>
      <c r="L646" s="410">
        <f>VLOOKUP(ws[[#This Row],[hwycov_id]],flow0[],5,FALSE)</f>
        <v>4635</v>
      </c>
      <c r="M646" s="411">
        <f>ws[[#This Row],[flow]]/ws[[#This Row],[count]]-1</f>
        <v>-0.40630203663379016</v>
      </c>
      <c r="N646" s="410">
        <f>POWER((ws[[#This Row],[flow]]-ws[[#This Row],[count]]),2)</f>
        <v>10061584</v>
      </c>
      <c r="O646" s="407">
        <f>VLOOKUP(ws[[#This Row],[hwycov_id]],count!$A$630:$E$652,5,FALSE)</f>
        <v>1</v>
      </c>
      <c r="P646" s="407">
        <v>281</v>
      </c>
    </row>
    <row r="647" spans="1:16" x14ac:dyDescent="0.25">
      <c r="A647" s="407">
        <v>11</v>
      </c>
      <c r="B647" s="407">
        <v>2</v>
      </c>
      <c r="C647" s="407">
        <v>21850</v>
      </c>
      <c r="D647" s="407">
        <v>1</v>
      </c>
      <c r="E647" s="407">
        <v>1</v>
      </c>
      <c r="F647" s="407" t="s">
        <v>330</v>
      </c>
      <c r="G647" s="408">
        <v>11.21</v>
      </c>
      <c r="H647" s="408">
        <v>0.65900199999999998</v>
      </c>
      <c r="I647" s="408" t="s">
        <v>39</v>
      </c>
      <c r="J647" s="408" t="s">
        <v>332</v>
      </c>
      <c r="K647" s="409">
        <f>VLOOKUP(ws[[#This Row],[hwycov_id]],count[],4,FALSE)</f>
        <v>3126</v>
      </c>
      <c r="L647" s="410">
        <f>VLOOKUP(ws[[#This Row],[hwycov_id]],flow0[],5,FALSE)</f>
        <v>3463</v>
      </c>
      <c r="M647" s="411">
        <f>ws[[#This Row],[flow]]/ws[[#This Row],[count]]-1</f>
        <v>0.10780550223928342</v>
      </c>
      <c r="N647" s="410">
        <f>POWER((ws[[#This Row],[flow]]-ws[[#This Row],[count]]),2)</f>
        <v>113569</v>
      </c>
      <c r="O647" s="407">
        <f>VLOOKUP(ws[[#This Row],[hwycov_id]],count!$A$630:$E$652,5,FALSE)</f>
        <v>1</v>
      </c>
      <c r="P647" s="407">
        <v>383</v>
      </c>
    </row>
    <row r="648" spans="1:16" x14ac:dyDescent="0.25">
      <c r="A648" s="407">
        <v>15</v>
      </c>
      <c r="B648" s="407">
        <v>3</v>
      </c>
      <c r="C648" s="407">
        <v>28453</v>
      </c>
      <c r="D648" s="407">
        <v>1</v>
      </c>
      <c r="E648" s="407">
        <v>1</v>
      </c>
      <c r="F648" s="407" t="s">
        <v>339</v>
      </c>
      <c r="G648" s="408">
        <v>77.23</v>
      </c>
      <c r="H648" s="408">
        <v>1.1466590000000001</v>
      </c>
      <c r="I648" s="408" t="s">
        <v>350</v>
      </c>
      <c r="J648" s="408" t="s">
        <v>351</v>
      </c>
      <c r="K648" s="409">
        <f>VLOOKUP(ws[[#This Row],[hwycov_id]],count[],4,FALSE)</f>
        <v>5940</v>
      </c>
      <c r="L648" s="410">
        <f>VLOOKUP(ws[[#This Row],[hwycov_id]],flow0[],5,FALSE)</f>
        <v>9497</v>
      </c>
      <c r="M648" s="411">
        <f>ws[[#This Row],[flow]]/ws[[#This Row],[count]]-1</f>
        <v>0.59882154882154892</v>
      </c>
      <c r="N648" s="410">
        <f>POWER((ws[[#This Row],[flow]]-ws[[#This Row],[count]]),2)</f>
        <v>12652249</v>
      </c>
      <c r="O648" s="407">
        <f>VLOOKUP(ws[[#This Row],[hwycov_id]],count!$A$630:$E$652,5,FALSE)</f>
        <v>1</v>
      </c>
      <c r="P648" s="407">
        <v>459</v>
      </c>
    </row>
    <row r="649" spans="1:16" x14ac:dyDescent="0.25">
      <c r="A649" s="407">
        <v>16</v>
      </c>
      <c r="B649" s="407">
        <v>3</v>
      </c>
      <c r="C649" s="407">
        <v>16564</v>
      </c>
      <c r="D649" s="407">
        <v>1</v>
      </c>
      <c r="E649" s="407">
        <v>1</v>
      </c>
      <c r="F649" s="407" t="s">
        <v>352</v>
      </c>
      <c r="G649" s="408">
        <v>13.44</v>
      </c>
      <c r="H649" s="408">
        <v>0.52047200000000005</v>
      </c>
      <c r="I649" s="408" t="s">
        <v>156</v>
      </c>
      <c r="J649" s="408" t="s">
        <v>156</v>
      </c>
      <c r="K649" s="409">
        <f>VLOOKUP(ws[[#This Row],[hwycov_id]],count[],4,FALSE)</f>
        <v>16037</v>
      </c>
      <c r="L649" s="410">
        <f>VLOOKUP(ws[[#This Row],[hwycov_id]],flow0[],5,FALSE)</f>
        <v>12558</v>
      </c>
      <c r="M649" s="411">
        <f>ws[[#This Row],[flow]]/ws[[#This Row],[count]]-1</f>
        <v>-0.21693583587952858</v>
      </c>
      <c r="N649" s="410">
        <f>POWER((ws[[#This Row],[flow]]-ws[[#This Row],[count]]),2)</f>
        <v>12103441</v>
      </c>
      <c r="O649" s="407">
        <f>VLOOKUP(ws[[#This Row],[hwycov_id]],count!$A$630:$E$652,5,FALSE)</f>
        <v>1</v>
      </c>
      <c r="P649" s="407">
        <v>477</v>
      </c>
    </row>
    <row r="650" spans="1:16" x14ac:dyDescent="0.25">
      <c r="A650" s="407">
        <v>17</v>
      </c>
      <c r="B650" s="407">
        <v>3</v>
      </c>
      <c r="C650" s="407">
        <v>11100</v>
      </c>
      <c r="D650" s="407">
        <v>1</v>
      </c>
      <c r="E650" s="407">
        <v>1</v>
      </c>
      <c r="F650" s="407" t="s">
        <v>355</v>
      </c>
      <c r="G650" s="408">
        <v>13.72</v>
      </c>
      <c r="H650" s="408">
        <v>0.67438900000000002</v>
      </c>
      <c r="I650" s="408" t="s">
        <v>19</v>
      </c>
      <c r="J650" s="408" t="s">
        <v>19</v>
      </c>
      <c r="K650" s="409">
        <f>VLOOKUP(ws[[#This Row],[hwycov_id]],count[],4,FALSE)</f>
        <v>8072</v>
      </c>
      <c r="L650" s="410">
        <f>VLOOKUP(ws[[#This Row],[hwycov_id]],flow0[],5,FALSE)</f>
        <v>7121</v>
      </c>
      <c r="M650" s="411">
        <f>ws[[#This Row],[flow]]/ws[[#This Row],[count]]-1</f>
        <v>-0.11781466798810702</v>
      </c>
      <c r="N650" s="410">
        <f>POWER((ws[[#This Row],[flow]]-ws[[#This Row],[count]]),2)</f>
        <v>904401</v>
      </c>
      <c r="O650" s="407">
        <f>VLOOKUP(ws[[#This Row],[hwycov_id]],count!$A$630:$E$652,5,FALSE)</f>
        <v>1</v>
      </c>
      <c r="P650" s="407">
        <v>497</v>
      </c>
    </row>
    <row r="651" spans="1:16" x14ac:dyDescent="0.25">
      <c r="A651" s="407">
        <v>22</v>
      </c>
      <c r="B651" s="407">
        <v>4</v>
      </c>
      <c r="C651" s="407">
        <v>14515</v>
      </c>
      <c r="D651" s="407">
        <v>1</v>
      </c>
      <c r="E651" s="407">
        <v>1</v>
      </c>
      <c r="F651" s="407" t="s">
        <v>385</v>
      </c>
      <c r="G651" s="408">
        <v>8.2200000000000006</v>
      </c>
      <c r="H651" s="408">
        <v>0.165854</v>
      </c>
      <c r="I651" s="408" t="s">
        <v>67</v>
      </c>
      <c r="J651" s="408" t="s">
        <v>187</v>
      </c>
      <c r="K651" s="409">
        <f>VLOOKUP(ws[[#This Row],[hwycov_id]],count[],4,FALSE)</f>
        <v>20521</v>
      </c>
      <c r="L651" s="410">
        <f>VLOOKUP(ws[[#This Row],[hwycov_id]],flow0[],5,FALSE)</f>
        <v>35577</v>
      </c>
      <c r="M651" s="411">
        <f>ws[[#This Row],[flow]]/ws[[#This Row],[count]]-1</f>
        <v>0.73368744213244974</v>
      </c>
      <c r="N651" s="410">
        <f>POWER((ws[[#This Row],[flow]]-ws[[#This Row],[count]]),2)</f>
        <v>226683136</v>
      </c>
      <c r="O651" s="407">
        <f>VLOOKUP(ws[[#This Row],[hwycov_id]],count!$A$630:$E$652,5,FALSE)</f>
        <v>1</v>
      </c>
      <c r="P651" s="407">
        <v>556</v>
      </c>
    </row>
    <row r="652" spans="1:16" x14ac:dyDescent="0.25">
      <c r="A652" s="407">
        <v>26</v>
      </c>
      <c r="B652" s="407">
        <v>4</v>
      </c>
      <c r="C652" s="407">
        <v>7636</v>
      </c>
      <c r="D652" s="407">
        <v>1</v>
      </c>
      <c r="E652" s="407">
        <v>1</v>
      </c>
      <c r="F652" s="407" t="s">
        <v>390</v>
      </c>
      <c r="G652" s="408">
        <v>0.17</v>
      </c>
      <c r="H652" s="408">
        <v>0.17438000000000001</v>
      </c>
      <c r="I652" s="408" t="s">
        <v>154</v>
      </c>
      <c r="J652" s="408" t="s">
        <v>170</v>
      </c>
      <c r="K652" s="409">
        <f>VLOOKUP(ws[[#This Row],[hwycov_id]],count[],4,FALSE)</f>
        <v>15453</v>
      </c>
      <c r="L652" s="410">
        <f>VLOOKUP(ws[[#This Row],[hwycov_id]],flow0[],5,FALSE)</f>
        <v>9624</v>
      </c>
      <c r="M652" s="411">
        <f>ws[[#This Row],[flow]]/ws[[#This Row],[count]]-1</f>
        <v>-0.37720830906620073</v>
      </c>
      <c r="N652" s="410">
        <f>POWER((ws[[#This Row],[flow]]-ws[[#This Row],[count]]),2)</f>
        <v>33977241</v>
      </c>
      <c r="O652" s="407">
        <f>VLOOKUP(ws[[#This Row],[hwycov_id]],count!$A$630:$E$652,5,FALSE)</f>
        <v>1</v>
      </c>
      <c r="P652" s="407">
        <v>624</v>
      </c>
    </row>
  </sheetData>
  <sortState ref="A2:N437">
    <sortCondition ref="B2:B437"/>
    <sortCondition ref="A2:A437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O1643"/>
  <sheetViews>
    <sheetView showGridLines="0" tabSelected="1"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10.7109375" customWidth="1"/>
    <col min="2" max="2" width="149.42578125" bestFit="1" customWidth="1"/>
    <col min="3" max="3" width="11.28515625" bestFit="1" customWidth="1"/>
    <col min="5" max="5" width="12.7109375" customWidth="1"/>
    <col min="6" max="6" width="13.42578125" customWidth="1"/>
    <col min="7" max="7" width="11.42578125" customWidth="1"/>
    <col min="8" max="8" width="11" customWidth="1"/>
    <col min="9" max="10" width="11.140625" customWidth="1"/>
    <col min="11" max="11" width="12.7109375" hidden="1" customWidth="1"/>
    <col min="12" max="12" width="13.42578125" hidden="1" customWidth="1"/>
    <col min="13" max="13" width="11.42578125" hidden="1" customWidth="1"/>
    <col min="14" max="14" width="11" hidden="1" customWidth="1"/>
    <col min="15" max="15" width="11.140625" hidden="1" customWidth="1"/>
    <col min="16" max="16" width="11.140625" customWidth="1"/>
  </cols>
  <sheetData>
    <row r="1" spans="1:15" x14ac:dyDescent="0.25">
      <c r="A1" t="s">
        <v>310</v>
      </c>
      <c r="C1" t="s">
        <v>321</v>
      </c>
      <c r="E1" t="s">
        <v>209</v>
      </c>
      <c r="F1" t="s">
        <v>280</v>
      </c>
      <c r="G1" t="s">
        <v>281</v>
      </c>
      <c r="H1" t="s">
        <v>282</v>
      </c>
      <c r="I1" t="s">
        <v>283</v>
      </c>
      <c r="K1" t="s">
        <v>209</v>
      </c>
      <c r="L1" t="s">
        <v>280</v>
      </c>
      <c r="M1" t="s">
        <v>281</v>
      </c>
      <c r="N1" t="s">
        <v>282</v>
      </c>
      <c r="O1" t="s">
        <v>283</v>
      </c>
    </row>
    <row r="2" spans="1:15" x14ac:dyDescent="0.25">
      <c r="A2" s="13">
        <v>1</v>
      </c>
      <c r="B2" s="303" t="s">
        <v>322</v>
      </c>
      <c r="C2" s="302">
        <f>[2]Settings!$B$3</f>
        <v>259</v>
      </c>
      <c r="E2">
        <v>58</v>
      </c>
      <c r="F2">
        <f>C2</f>
        <v>259</v>
      </c>
      <c r="G2">
        <f>IFERROR(VLOOKUP(Table_socioeca8.sandag.org_ws_abm2_f4[[#This Row],[hwycov_id]],[2]flow_freeway!$A$2:$E$1643,3,FALSE),0)</f>
        <v>11354</v>
      </c>
      <c r="H2">
        <f>IFERROR(VLOOKUP(Table_socioeca8.sandag.org_ws_abm2_f4[[#This Row],[hwycov_id]],[2]flow_freeway!$A$2:$E$1643,4,FALSE),0)</f>
        <v>2013</v>
      </c>
      <c r="I2">
        <f>IFERROR(VLOOKUP(Table_socioeca8.sandag.org_ws_abm2_f4[[#This Row],[hwycov_id]],[2]flow_freeway!$A$2:$E$1643,5,FALSE),0)</f>
        <v>4799</v>
      </c>
      <c r="K2">
        <f>Table_socioeca8.sandag.org_ws_abm2_f4[[#This Row],[hwycov_id]]</f>
        <v>58</v>
      </c>
      <c r="L2">
        <f>Table_socioeca8.sandag.org_ws_abm2_f4[[#This Row],[scenario_id]]</f>
        <v>259</v>
      </c>
      <c r="M2">
        <f>Table_socioeca8.sandag.org_ws_abm2_f4[[#This Row],[flow_day]]</f>
        <v>11354</v>
      </c>
      <c r="N2">
        <f>Table_socioeca8.sandag.org_ws_abm2_f4[[#This Row],[flow_am]]</f>
        <v>2013</v>
      </c>
      <c r="O2">
        <f>Table_socioeca8.sandag.org_ws_abm2_f4[[#This Row],[flow_pm]]</f>
        <v>4799</v>
      </c>
    </row>
    <row r="3" spans="1:15" x14ac:dyDescent="0.25">
      <c r="A3">
        <v>2</v>
      </c>
      <c r="B3" t="s">
        <v>319</v>
      </c>
      <c r="E3">
        <v>59</v>
      </c>
      <c r="F3">
        <f>F2</f>
        <v>259</v>
      </c>
      <c r="G3">
        <f>IFERROR(VLOOKUP(Table_socioeca8.sandag.org_ws_abm2_f4[[#This Row],[hwycov_id]],[2]flow_freeway!$A$2:$E$1643,3,FALSE),0)</f>
        <v>98019</v>
      </c>
      <c r="H3">
        <f>IFERROR(VLOOKUP(Table_socioeca8.sandag.org_ws_abm2_f4[[#This Row],[hwycov_id]],[2]flow_freeway!$A$2:$E$1643,4,FALSE),0)</f>
        <v>23331</v>
      </c>
      <c r="I3">
        <f>IFERROR(VLOOKUP(Table_socioeca8.sandag.org_ws_abm2_f4[[#This Row],[hwycov_id]],[2]flow_freeway!$A$2:$E$1643,5,FALSE),0)</f>
        <v>20418</v>
      </c>
      <c r="K3">
        <f>Table_socioeca8.sandag.org_ws_abm2_f4[[#This Row],[hwycov_id]]</f>
        <v>59</v>
      </c>
      <c r="L3">
        <f>Table_socioeca8.sandag.org_ws_abm2_f4[[#This Row],[scenario_id]]</f>
        <v>259</v>
      </c>
      <c r="M3">
        <f>Table_socioeca8.sandag.org_ws_abm2_f4[[#This Row],[flow_day]]</f>
        <v>98019</v>
      </c>
      <c r="N3">
        <f>Table_socioeca8.sandag.org_ws_abm2_f4[[#This Row],[flow_am]]</f>
        <v>23331</v>
      </c>
      <c r="O3">
        <f>Table_socioeca8.sandag.org_ws_abm2_f4[[#This Row],[flow_pm]]</f>
        <v>20418</v>
      </c>
    </row>
    <row r="4" spans="1:15" x14ac:dyDescent="0.25">
      <c r="A4">
        <v>3</v>
      </c>
      <c r="B4" t="s">
        <v>320</v>
      </c>
      <c r="E4">
        <v>323</v>
      </c>
      <c r="F4">
        <f t="shared" ref="F4:F67" si="0">F3</f>
        <v>259</v>
      </c>
      <c r="G4">
        <f>IFERROR(VLOOKUP(Table_socioeca8.sandag.org_ws_abm2_f4[[#This Row],[hwycov_id]],[2]flow_freeway!$A$2:$E$1643,3,FALSE),0)</f>
        <v>32003</v>
      </c>
      <c r="H4">
        <f>IFERROR(VLOOKUP(Table_socioeca8.sandag.org_ws_abm2_f4[[#This Row],[hwycov_id]],[2]flow_freeway!$A$2:$E$1643,4,FALSE),0)</f>
        <v>7412</v>
      </c>
      <c r="I4">
        <f>IFERROR(VLOOKUP(Table_socioeca8.sandag.org_ws_abm2_f4[[#This Row],[hwycov_id]],[2]flow_freeway!$A$2:$E$1643,5,FALSE),0)</f>
        <v>7688</v>
      </c>
      <c r="K4">
        <f>Table_socioeca8.sandag.org_ws_abm2_f4[[#This Row],[hwycov_id]]</f>
        <v>323</v>
      </c>
      <c r="L4">
        <f>Table_socioeca8.sandag.org_ws_abm2_f4[[#This Row],[scenario_id]]</f>
        <v>259</v>
      </c>
      <c r="M4">
        <f>Table_socioeca8.sandag.org_ws_abm2_f4[[#This Row],[flow_day]]</f>
        <v>32003</v>
      </c>
      <c r="N4">
        <f>Table_socioeca8.sandag.org_ws_abm2_f4[[#This Row],[flow_am]]</f>
        <v>7412</v>
      </c>
      <c r="O4">
        <f>Table_socioeca8.sandag.org_ws_abm2_f4[[#This Row],[flow_pm]]</f>
        <v>7688</v>
      </c>
    </row>
    <row r="5" spans="1:15" x14ac:dyDescent="0.25">
      <c r="E5">
        <v>442</v>
      </c>
      <c r="F5">
        <f t="shared" si="0"/>
        <v>259</v>
      </c>
      <c r="G5">
        <f>IFERROR(VLOOKUP(Table_socioeca8.sandag.org_ws_abm2_f4[[#This Row],[hwycov_id]],[2]flow_freeway!$A$2:$E$1643,3,FALSE),0)</f>
        <v>4702</v>
      </c>
      <c r="H5">
        <f>IFERROR(VLOOKUP(Table_socioeca8.sandag.org_ws_abm2_f4[[#This Row],[hwycov_id]],[2]flow_freeway!$A$2:$E$1643,4,FALSE),0)</f>
        <v>716</v>
      </c>
      <c r="I5">
        <f>IFERROR(VLOOKUP(Table_socioeca8.sandag.org_ws_abm2_f4[[#This Row],[hwycov_id]],[2]flow_freeway!$A$2:$E$1643,5,FALSE),0)</f>
        <v>1295</v>
      </c>
      <c r="K5">
        <f>Table_socioeca8.sandag.org_ws_abm2_f4[[#This Row],[hwycov_id]]</f>
        <v>442</v>
      </c>
      <c r="L5">
        <f>Table_socioeca8.sandag.org_ws_abm2_f4[[#This Row],[scenario_id]]</f>
        <v>259</v>
      </c>
      <c r="M5">
        <f>Table_socioeca8.sandag.org_ws_abm2_f4[[#This Row],[flow_day]]</f>
        <v>4702</v>
      </c>
      <c r="N5">
        <f>Table_socioeca8.sandag.org_ws_abm2_f4[[#This Row],[flow_am]]</f>
        <v>716</v>
      </c>
      <c r="O5">
        <f>Table_socioeca8.sandag.org_ws_abm2_f4[[#This Row],[flow_pm]]</f>
        <v>1295</v>
      </c>
    </row>
    <row r="6" spans="1:15" x14ac:dyDescent="0.25">
      <c r="E6">
        <v>457</v>
      </c>
      <c r="F6">
        <f t="shared" si="0"/>
        <v>259</v>
      </c>
      <c r="G6">
        <f>IFERROR(VLOOKUP(Table_socioeca8.sandag.org_ws_abm2_f4[[#This Row],[hwycov_id]],[2]flow_freeway!$A$2:$E$1643,3,FALSE),0)</f>
        <v>39604</v>
      </c>
      <c r="H6">
        <f>IFERROR(VLOOKUP(Table_socioeca8.sandag.org_ws_abm2_f4[[#This Row],[hwycov_id]],[2]flow_freeway!$A$2:$E$1643,4,FALSE),0)</f>
        <v>12415</v>
      </c>
      <c r="I6">
        <f>IFERROR(VLOOKUP(Table_socioeca8.sandag.org_ws_abm2_f4[[#This Row],[hwycov_id]],[2]flow_freeway!$A$2:$E$1643,5,FALSE),0)</f>
        <v>7045</v>
      </c>
      <c r="K6">
        <f>Table_socioeca8.sandag.org_ws_abm2_f4[[#This Row],[hwycov_id]]</f>
        <v>457</v>
      </c>
      <c r="L6">
        <f>Table_socioeca8.sandag.org_ws_abm2_f4[[#This Row],[scenario_id]]</f>
        <v>259</v>
      </c>
      <c r="M6">
        <f>Table_socioeca8.sandag.org_ws_abm2_f4[[#This Row],[flow_day]]</f>
        <v>39604</v>
      </c>
      <c r="N6">
        <f>Table_socioeca8.sandag.org_ws_abm2_f4[[#This Row],[flow_am]]</f>
        <v>12415</v>
      </c>
      <c r="O6">
        <f>Table_socioeca8.sandag.org_ws_abm2_f4[[#This Row],[flow_pm]]</f>
        <v>7045</v>
      </c>
    </row>
    <row r="7" spans="1:15" x14ac:dyDescent="0.25">
      <c r="A7" t="s">
        <v>313</v>
      </c>
      <c r="E7">
        <v>459</v>
      </c>
      <c r="F7">
        <f t="shared" si="0"/>
        <v>259</v>
      </c>
      <c r="G7">
        <f>IFERROR(VLOOKUP(Table_socioeca8.sandag.org_ws_abm2_f4[[#This Row],[hwycov_id]],[2]flow_freeway!$A$2:$E$1643,3,FALSE),0)</f>
        <v>22225</v>
      </c>
      <c r="H7">
        <f>IFERROR(VLOOKUP(Table_socioeca8.sandag.org_ws_abm2_f4[[#This Row],[hwycov_id]],[2]flow_freeway!$A$2:$E$1643,4,FALSE),0)</f>
        <v>2740</v>
      </c>
      <c r="I7">
        <f>IFERROR(VLOOKUP(Table_socioeca8.sandag.org_ws_abm2_f4[[#This Row],[hwycov_id]],[2]flow_freeway!$A$2:$E$1643,5,FALSE),0)</f>
        <v>10524</v>
      </c>
      <c r="K7">
        <f>Table_socioeca8.sandag.org_ws_abm2_f4[[#This Row],[hwycov_id]]</f>
        <v>459</v>
      </c>
      <c r="L7">
        <f>Table_socioeca8.sandag.org_ws_abm2_f4[[#This Row],[scenario_id]]</f>
        <v>259</v>
      </c>
      <c r="M7">
        <f>Table_socioeca8.sandag.org_ws_abm2_f4[[#This Row],[flow_day]]</f>
        <v>22225</v>
      </c>
      <c r="N7">
        <f>Table_socioeca8.sandag.org_ws_abm2_f4[[#This Row],[flow_am]]</f>
        <v>2740</v>
      </c>
      <c r="O7">
        <f>Table_socioeca8.sandag.org_ws_abm2_f4[[#This Row],[flow_pm]]</f>
        <v>10524</v>
      </c>
    </row>
    <row r="8" spans="1:15" x14ac:dyDescent="0.25">
      <c r="A8">
        <v>1</v>
      </c>
      <c r="B8" t="s">
        <v>315</v>
      </c>
      <c r="E8">
        <v>460</v>
      </c>
      <c r="F8">
        <f t="shared" si="0"/>
        <v>259</v>
      </c>
      <c r="G8">
        <f>IFERROR(VLOOKUP(Table_socioeca8.sandag.org_ws_abm2_f4[[#This Row],[hwycov_id]],[2]flow_freeway!$A$2:$E$1643,3,FALSE),0)</f>
        <v>22887</v>
      </c>
      <c r="H8">
        <f>IFERROR(VLOOKUP(Table_socioeca8.sandag.org_ws_abm2_f4[[#This Row],[hwycov_id]],[2]flow_freeway!$A$2:$E$1643,4,FALSE),0)</f>
        <v>3738</v>
      </c>
      <c r="I8">
        <f>IFERROR(VLOOKUP(Table_socioeca8.sandag.org_ws_abm2_f4[[#This Row],[hwycov_id]],[2]flow_freeway!$A$2:$E$1643,5,FALSE),0)</f>
        <v>9795</v>
      </c>
      <c r="K8">
        <f>Table_socioeca8.sandag.org_ws_abm2_f4[[#This Row],[hwycov_id]]</f>
        <v>460</v>
      </c>
      <c r="L8">
        <f>Table_socioeca8.sandag.org_ws_abm2_f4[[#This Row],[scenario_id]]</f>
        <v>259</v>
      </c>
      <c r="M8">
        <f>Table_socioeca8.sandag.org_ws_abm2_f4[[#This Row],[flow_day]]</f>
        <v>22887</v>
      </c>
      <c r="N8">
        <f>Table_socioeca8.sandag.org_ws_abm2_f4[[#This Row],[flow_am]]</f>
        <v>3738</v>
      </c>
      <c r="O8">
        <f>Table_socioeca8.sandag.org_ws_abm2_f4[[#This Row],[flow_pm]]</f>
        <v>9795</v>
      </c>
    </row>
    <row r="9" spans="1:15" x14ac:dyDescent="0.25">
      <c r="A9">
        <v>2</v>
      </c>
      <c r="B9" t="s">
        <v>411</v>
      </c>
      <c r="E9">
        <v>461</v>
      </c>
      <c r="F9">
        <f t="shared" si="0"/>
        <v>259</v>
      </c>
      <c r="G9">
        <f>IFERROR(VLOOKUP(Table_socioeca8.sandag.org_ws_abm2_f4[[#This Row],[hwycov_id]],[2]flow_freeway!$A$2:$E$1643,3,FALSE),0)</f>
        <v>22225</v>
      </c>
      <c r="H9">
        <f>IFERROR(VLOOKUP(Table_socioeca8.sandag.org_ws_abm2_f4[[#This Row],[hwycov_id]],[2]flow_freeway!$A$2:$E$1643,4,FALSE),0)</f>
        <v>2740</v>
      </c>
      <c r="I9">
        <f>IFERROR(VLOOKUP(Table_socioeca8.sandag.org_ws_abm2_f4[[#This Row],[hwycov_id]],[2]flow_freeway!$A$2:$E$1643,5,FALSE),0)</f>
        <v>10524</v>
      </c>
      <c r="K9">
        <f>Table_socioeca8.sandag.org_ws_abm2_f4[[#This Row],[hwycov_id]]</f>
        <v>461</v>
      </c>
      <c r="L9">
        <f>Table_socioeca8.sandag.org_ws_abm2_f4[[#This Row],[scenario_id]]</f>
        <v>259</v>
      </c>
      <c r="M9">
        <f>Table_socioeca8.sandag.org_ws_abm2_f4[[#This Row],[flow_day]]</f>
        <v>22225</v>
      </c>
      <c r="N9">
        <f>Table_socioeca8.sandag.org_ws_abm2_f4[[#This Row],[flow_am]]</f>
        <v>2740</v>
      </c>
      <c r="O9">
        <f>Table_socioeca8.sandag.org_ws_abm2_f4[[#This Row],[flow_pm]]</f>
        <v>10524</v>
      </c>
    </row>
    <row r="10" spans="1:15" x14ac:dyDescent="0.25">
      <c r="A10">
        <v>3</v>
      </c>
      <c r="B10" t="s">
        <v>316</v>
      </c>
      <c r="E10">
        <v>462</v>
      </c>
      <c r="F10">
        <f t="shared" si="0"/>
        <v>259</v>
      </c>
      <c r="G10">
        <f>IFERROR(VLOOKUP(Table_socioeca8.sandag.org_ws_abm2_f4[[#This Row],[hwycov_id]],[2]flow_freeway!$A$2:$E$1643,3,FALSE),0)</f>
        <v>19402</v>
      </c>
      <c r="H10">
        <f>IFERROR(VLOOKUP(Table_socioeca8.sandag.org_ws_abm2_f4[[#This Row],[hwycov_id]],[2]flow_freeway!$A$2:$E$1643,4,FALSE),0)</f>
        <v>2297</v>
      </c>
      <c r="I10">
        <f>IFERROR(VLOOKUP(Table_socioeca8.sandag.org_ws_abm2_f4[[#This Row],[hwycov_id]],[2]flow_freeway!$A$2:$E$1643,5,FALSE),0)</f>
        <v>9260</v>
      </c>
      <c r="K10">
        <f>Table_socioeca8.sandag.org_ws_abm2_f4[[#This Row],[hwycov_id]]</f>
        <v>462</v>
      </c>
      <c r="L10">
        <f>Table_socioeca8.sandag.org_ws_abm2_f4[[#This Row],[scenario_id]]</f>
        <v>259</v>
      </c>
      <c r="M10">
        <f>Table_socioeca8.sandag.org_ws_abm2_f4[[#This Row],[flow_day]]</f>
        <v>19402</v>
      </c>
      <c r="N10">
        <f>Table_socioeca8.sandag.org_ws_abm2_f4[[#This Row],[flow_am]]</f>
        <v>2297</v>
      </c>
      <c r="O10">
        <f>Table_socioeca8.sandag.org_ws_abm2_f4[[#This Row],[flow_pm]]</f>
        <v>9260</v>
      </c>
    </row>
    <row r="11" spans="1:15" x14ac:dyDescent="0.25">
      <c r="A11">
        <v>4</v>
      </c>
      <c r="B11" t="s">
        <v>314</v>
      </c>
      <c r="E11">
        <v>463</v>
      </c>
      <c r="F11">
        <f t="shared" si="0"/>
        <v>259</v>
      </c>
      <c r="G11">
        <f>IFERROR(VLOOKUP(Table_socioeca8.sandag.org_ws_abm2_f4[[#This Row],[hwycov_id]],[2]flow_freeway!$A$2:$E$1643,3,FALSE),0)</f>
        <v>21733</v>
      </c>
      <c r="H11">
        <f>IFERROR(VLOOKUP(Table_socioeca8.sandag.org_ws_abm2_f4[[#This Row],[hwycov_id]],[2]flow_freeway!$A$2:$E$1643,4,FALSE),0)</f>
        <v>2882</v>
      </c>
      <c r="I11">
        <f>IFERROR(VLOOKUP(Table_socioeca8.sandag.org_ws_abm2_f4[[#This Row],[hwycov_id]],[2]flow_freeway!$A$2:$E$1643,5,FALSE),0)</f>
        <v>10757</v>
      </c>
      <c r="K11">
        <f>Table_socioeca8.sandag.org_ws_abm2_f4[[#This Row],[hwycov_id]]</f>
        <v>463</v>
      </c>
      <c r="L11">
        <f>Table_socioeca8.sandag.org_ws_abm2_f4[[#This Row],[scenario_id]]</f>
        <v>259</v>
      </c>
      <c r="M11">
        <f>Table_socioeca8.sandag.org_ws_abm2_f4[[#This Row],[flow_day]]</f>
        <v>21733</v>
      </c>
      <c r="N11">
        <f>Table_socioeca8.sandag.org_ws_abm2_f4[[#This Row],[flow_am]]</f>
        <v>2882</v>
      </c>
      <c r="O11">
        <f>Table_socioeca8.sandag.org_ws_abm2_f4[[#This Row],[flow_pm]]</f>
        <v>10757</v>
      </c>
    </row>
    <row r="12" spans="1:15" x14ac:dyDescent="0.25">
      <c r="A12">
        <v>5</v>
      </c>
      <c r="B12" t="s">
        <v>318</v>
      </c>
      <c r="E12">
        <v>464</v>
      </c>
      <c r="F12">
        <f t="shared" si="0"/>
        <v>259</v>
      </c>
      <c r="G12">
        <f>IFERROR(VLOOKUP(Table_socioeca8.sandag.org_ws_abm2_f4[[#This Row],[hwycov_id]],[2]flow_freeway!$A$2:$E$1643,3,FALSE),0)</f>
        <v>22133</v>
      </c>
      <c r="H12">
        <f>IFERROR(VLOOKUP(Table_socioeca8.sandag.org_ws_abm2_f4[[#This Row],[hwycov_id]],[2]flow_freeway!$A$2:$E$1643,4,FALSE),0)</f>
        <v>2669</v>
      </c>
      <c r="I12">
        <f>IFERROR(VLOOKUP(Table_socioeca8.sandag.org_ws_abm2_f4[[#This Row],[hwycov_id]],[2]flow_freeway!$A$2:$E$1643,5,FALSE),0)</f>
        <v>9716</v>
      </c>
      <c r="K12">
        <f>Table_socioeca8.sandag.org_ws_abm2_f4[[#This Row],[hwycov_id]]</f>
        <v>464</v>
      </c>
      <c r="L12">
        <f>Table_socioeca8.sandag.org_ws_abm2_f4[[#This Row],[scenario_id]]</f>
        <v>259</v>
      </c>
      <c r="M12">
        <f>Table_socioeca8.sandag.org_ws_abm2_f4[[#This Row],[flow_day]]</f>
        <v>22133</v>
      </c>
      <c r="N12">
        <f>Table_socioeca8.sandag.org_ws_abm2_f4[[#This Row],[flow_am]]</f>
        <v>2669</v>
      </c>
      <c r="O12">
        <f>Table_socioeca8.sandag.org_ws_abm2_f4[[#This Row],[flow_pm]]</f>
        <v>9716</v>
      </c>
    </row>
    <row r="13" spans="1:15" x14ac:dyDescent="0.25">
      <c r="A13">
        <v>6</v>
      </c>
      <c r="B13" s="279" t="s">
        <v>317</v>
      </c>
      <c r="E13">
        <v>465</v>
      </c>
      <c r="F13">
        <f t="shared" si="0"/>
        <v>259</v>
      </c>
      <c r="G13">
        <f>IFERROR(VLOOKUP(Table_socioeca8.sandag.org_ws_abm2_f4[[#This Row],[hwycov_id]],[2]flow_freeway!$A$2:$E$1643,3,FALSE),0)</f>
        <v>21733</v>
      </c>
      <c r="H13">
        <f>IFERROR(VLOOKUP(Table_socioeca8.sandag.org_ws_abm2_f4[[#This Row],[hwycov_id]],[2]flow_freeway!$A$2:$E$1643,4,FALSE),0)</f>
        <v>2882</v>
      </c>
      <c r="I13">
        <f>IFERROR(VLOOKUP(Table_socioeca8.sandag.org_ws_abm2_f4[[#This Row],[hwycov_id]],[2]flow_freeway!$A$2:$E$1643,5,FALSE),0)</f>
        <v>10757</v>
      </c>
      <c r="K13">
        <f>Table_socioeca8.sandag.org_ws_abm2_f4[[#This Row],[hwycov_id]]</f>
        <v>465</v>
      </c>
      <c r="L13">
        <f>Table_socioeca8.sandag.org_ws_abm2_f4[[#This Row],[scenario_id]]</f>
        <v>259</v>
      </c>
      <c r="M13">
        <f>Table_socioeca8.sandag.org_ws_abm2_f4[[#This Row],[flow_day]]</f>
        <v>21733</v>
      </c>
      <c r="N13">
        <f>Table_socioeca8.sandag.org_ws_abm2_f4[[#This Row],[flow_am]]</f>
        <v>2882</v>
      </c>
      <c r="O13">
        <f>Table_socioeca8.sandag.org_ws_abm2_f4[[#This Row],[flow_pm]]</f>
        <v>10757</v>
      </c>
    </row>
    <row r="14" spans="1:15" x14ac:dyDescent="0.25">
      <c r="B14" s="279"/>
      <c r="E14">
        <v>468</v>
      </c>
      <c r="F14">
        <f t="shared" si="0"/>
        <v>259</v>
      </c>
      <c r="G14">
        <f>IFERROR(VLOOKUP(Table_socioeca8.sandag.org_ws_abm2_f4[[#This Row],[hwycov_id]],[2]flow_freeway!$A$2:$E$1643,3,FALSE),0)</f>
        <v>20389</v>
      </c>
      <c r="H14">
        <f>IFERROR(VLOOKUP(Table_socioeca8.sandag.org_ws_abm2_f4[[#This Row],[hwycov_id]],[2]flow_freeway!$A$2:$E$1643,4,FALSE),0)</f>
        <v>2396</v>
      </c>
      <c r="I14">
        <f>IFERROR(VLOOKUP(Table_socioeca8.sandag.org_ws_abm2_f4[[#This Row],[hwycov_id]],[2]flow_freeway!$A$2:$E$1643,5,FALSE),0)</f>
        <v>9198</v>
      </c>
      <c r="K14">
        <f>Table_socioeca8.sandag.org_ws_abm2_f4[[#This Row],[hwycov_id]]</f>
        <v>468</v>
      </c>
      <c r="L14">
        <f>Table_socioeca8.sandag.org_ws_abm2_f4[[#This Row],[scenario_id]]</f>
        <v>259</v>
      </c>
      <c r="M14">
        <f>Table_socioeca8.sandag.org_ws_abm2_f4[[#This Row],[flow_day]]</f>
        <v>20389</v>
      </c>
      <c r="N14">
        <f>Table_socioeca8.sandag.org_ws_abm2_f4[[#This Row],[flow_am]]</f>
        <v>2396</v>
      </c>
      <c r="O14">
        <f>Table_socioeca8.sandag.org_ws_abm2_f4[[#This Row],[flow_pm]]</f>
        <v>9198</v>
      </c>
    </row>
    <row r="15" spans="1:15" x14ac:dyDescent="0.25">
      <c r="E15">
        <v>469</v>
      </c>
      <c r="F15">
        <f t="shared" si="0"/>
        <v>259</v>
      </c>
      <c r="G15">
        <f>IFERROR(VLOOKUP(Table_socioeca8.sandag.org_ws_abm2_f4[[#This Row],[hwycov_id]],[2]flow_freeway!$A$2:$E$1643,3,FALSE),0)</f>
        <v>24900</v>
      </c>
      <c r="H15">
        <f>IFERROR(VLOOKUP(Table_socioeca8.sandag.org_ws_abm2_f4[[#This Row],[hwycov_id]],[2]flow_freeway!$A$2:$E$1643,4,FALSE),0)</f>
        <v>3564</v>
      </c>
      <c r="I15">
        <f>IFERROR(VLOOKUP(Table_socioeca8.sandag.org_ws_abm2_f4[[#This Row],[hwycov_id]],[2]flow_freeway!$A$2:$E$1643,5,FALSE),0)</f>
        <v>11956</v>
      </c>
      <c r="K15">
        <f>Table_socioeca8.sandag.org_ws_abm2_f4[[#This Row],[hwycov_id]]</f>
        <v>469</v>
      </c>
      <c r="L15">
        <f>Table_socioeca8.sandag.org_ws_abm2_f4[[#This Row],[scenario_id]]</f>
        <v>259</v>
      </c>
      <c r="M15">
        <f>Table_socioeca8.sandag.org_ws_abm2_f4[[#This Row],[flow_day]]</f>
        <v>24900</v>
      </c>
      <c r="N15">
        <f>Table_socioeca8.sandag.org_ws_abm2_f4[[#This Row],[flow_am]]</f>
        <v>3564</v>
      </c>
      <c r="O15">
        <f>Table_socioeca8.sandag.org_ws_abm2_f4[[#This Row],[flow_pm]]</f>
        <v>11956</v>
      </c>
    </row>
    <row r="16" spans="1:15" x14ac:dyDescent="0.25">
      <c r="E16">
        <v>470</v>
      </c>
      <c r="F16">
        <f t="shared" si="0"/>
        <v>259</v>
      </c>
      <c r="G16">
        <f>IFERROR(VLOOKUP(Table_socioeca8.sandag.org_ws_abm2_f4[[#This Row],[hwycov_id]],[2]flow_freeway!$A$2:$E$1643,3,FALSE),0)</f>
        <v>24358</v>
      </c>
      <c r="H16">
        <f>IFERROR(VLOOKUP(Table_socioeca8.sandag.org_ws_abm2_f4[[#This Row],[hwycov_id]],[2]flow_freeway!$A$2:$E$1643,4,FALSE),0)</f>
        <v>3123</v>
      </c>
      <c r="I16">
        <f>IFERROR(VLOOKUP(Table_socioeca8.sandag.org_ws_abm2_f4[[#This Row],[hwycov_id]],[2]flow_freeway!$A$2:$E$1643,5,FALSE),0)</f>
        <v>10825</v>
      </c>
      <c r="K16">
        <f>Table_socioeca8.sandag.org_ws_abm2_f4[[#This Row],[hwycov_id]]</f>
        <v>470</v>
      </c>
      <c r="L16">
        <f>Table_socioeca8.sandag.org_ws_abm2_f4[[#This Row],[scenario_id]]</f>
        <v>259</v>
      </c>
      <c r="M16">
        <f>Table_socioeca8.sandag.org_ws_abm2_f4[[#This Row],[flow_day]]</f>
        <v>24358</v>
      </c>
      <c r="N16">
        <f>Table_socioeca8.sandag.org_ws_abm2_f4[[#This Row],[flow_am]]</f>
        <v>3123</v>
      </c>
      <c r="O16">
        <f>Table_socioeca8.sandag.org_ws_abm2_f4[[#This Row],[flow_pm]]</f>
        <v>10825</v>
      </c>
    </row>
    <row r="17" spans="1:15" x14ac:dyDescent="0.25">
      <c r="E17">
        <v>473</v>
      </c>
      <c r="F17">
        <f t="shared" si="0"/>
        <v>259</v>
      </c>
      <c r="G17">
        <f>IFERROR(VLOOKUP(Table_socioeca8.sandag.org_ws_abm2_f4[[#This Row],[hwycov_id]],[2]flow_freeway!$A$2:$E$1643,3,FALSE),0)</f>
        <v>21061</v>
      </c>
      <c r="H17">
        <f>IFERROR(VLOOKUP(Table_socioeca8.sandag.org_ws_abm2_f4[[#This Row],[hwycov_id]],[2]flow_freeway!$A$2:$E$1643,4,FALSE),0)</f>
        <v>2771</v>
      </c>
      <c r="I17">
        <f>IFERROR(VLOOKUP(Table_socioeca8.sandag.org_ws_abm2_f4[[#This Row],[hwycov_id]],[2]flow_freeway!$A$2:$E$1643,5,FALSE),0)</f>
        <v>9284</v>
      </c>
      <c r="K17">
        <f>Table_socioeca8.sandag.org_ws_abm2_f4[[#This Row],[hwycov_id]]</f>
        <v>473</v>
      </c>
      <c r="L17">
        <f>Table_socioeca8.sandag.org_ws_abm2_f4[[#This Row],[scenario_id]]</f>
        <v>259</v>
      </c>
      <c r="M17">
        <f>Table_socioeca8.sandag.org_ws_abm2_f4[[#This Row],[flow_day]]</f>
        <v>21061</v>
      </c>
      <c r="N17">
        <f>Table_socioeca8.sandag.org_ws_abm2_f4[[#This Row],[flow_am]]</f>
        <v>2771</v>
      </c>
      <c r="O17">
        <f>Table_socioeca8.sandag.org_ws_abm2_f4[[#This Row],[flow_pm]]</f>
        <v>9284</v>
      </c>
    </row>
    <row r="18" spans="1:15" x14ac:dyDescent="0.25">
      <c r="E18">
        <v>474</v>
      </c>
      <c r="F18">
        <f t="shared" si="0"/>
        <v>259</v>
      </c>
      <c r="G18">
        <f>IFERROR(VLOOKUP(Table_socioeca8.sandag.org_ws_abm2_f4[[#This Row],[hwycov_id]],[2]flow_freeway!$A$2:$E$1643,3,FALSE),0)</f>
        <v>75007</v>
      </c>
      <c r="H18">
        <f>IFERROR(VLOOKUP(Table_socioeca8.sandag.org_ws_abm2_f4[[#This Row],[hwycov_id]],[2]flow_freeway!$A$2:$E$1643,4,FALSE),0)</f>
        <v>14999</v>
      </c>
      <c r="I18">
        <f>IFERROR(VLOOKUP(Table_socioeca8.sandag.org_ws_abm2_f4[[#This Row],[hwycov_id]],[2]flow_freeway!$A$2:$E$1643,5,FALSE),0)</f>
        <v>19274</v>
      </c>
      <c r="K18">
        <f>Table_socioeca8.sandag.org_ws_abm2_f4[[#This Row],[hwycov_id]]</f>
        <v>474</v>
      </c>
      <c r="L18">
        <f>Table_socioeca8.sandag.org_ws_abm2_f4[[#This Row],[scenario_id]]</f>
        <v>259</v>
      </c>
      <c r="M18">
        <f>Table_socioeca8.sandag.org_ws_abm2_f4[[#This Row],[flow_day]]</f>
        <v>75007</v>
      </c>
      <c r="N18">
        <f>Table_socioeca8.sandag.org_ws_abm2_f4[[#This Row],[flow_am]]</f>
        <v>14999</v>
      </c>
      <c r="O18">
        <f>Table_socioeca8.sandag.org_ws_abm2_f4[[#This Row],[flow_pm]]</f>
        <v>19274</v>
      </c>
    </row>
    <row r="19" spans="1:15" x14ac:dyDescent="0.25">
      <c r="E19">
        <v>505</v>
      </c>
      <c r="F19">
        <f t="shared" si="0"/>
        <v>259</v>
      </c>
      <c r="G19">
        <f>IFERROR(VLOOKUP(Table_socioeca8.sandag.org_ws_abm2_f4[[#This Row],[hwycov_id]],[2]flow_freeway!$A$2:$E$1643,3,FALSE),0)</f>
        <v>11836</v>
      </c>
      <c r="H19">
        <f>IFERROR(VLOOKUP(Table_socioeca8.sandag.org_ws_abm2_f4[[#This Row],[hwycov_id]],[2]flow_freeway!$A$2:$E$1643,4,FALSE),0)</f>
        <v>4702</v>
      </c>
      <c r="I19">
        <f>IFERROR(VLOOKUP(Table_socioeca8.sandag.org_ws_abm2_f4[[#This Row],[hwycov_id]],[2]flow_freeway!$A$2:$E$1643,5,FALSE),0)</f>
        <v>1196</v>
      </c>
      <c r="K19">
        <f>Table_socioeca8.sandag.org_ws_abm2_f4[[#This Row],[hwycov_id]]</f>
        <v>505</v>
      </c>
      <c r="L19">
        <f>Table_socioeca8.sandag.org_ws_abm2_f4[[#This Row],[scenario_id]]</f>
        <v>259</v>
      </c>
      <c r="M19">
        <f>Table_socioeca8.sandag.org_ws_abm2_f4[[#This Row],[flow_day]]</f>
        <v>11836</v>
      </c>
      <c r="N19">
        <f>Table_socioeca8.sandag.org_ws_abm2_f4[[#This Row],[flow_am]]</f>
        <v>4702</v>
      </c>
      <c r="O19">
        <f>Table_socioeca8.sandag.org_ws_abm2_f4[[#This Row],[flow_pm]]</f>
        <v>1196</v>
      </c>
    </row>
    <row r="20" spans="1:15" ht="15.75" x14ac:dyDescent="0.25">
      <c r="A20" s="367" t="s">
        <v>311</v>
      </c>
      <c r="B20" s="366" t="s">
        <v>312</v>
      </c>
      <c r="E20">
        <v>510</v>
      </c>
      <c r="F20">
        <f t="shared" si="0"/>
        <v>259</v>
      </c>
      <c r="G20">
        <f>IFERROR(VLOOKUP(Table_socioeca8.sandag.org_ws_abm2_f4[[#This Row],[hwycov_id]],[2]flow_freeway!$A$2:$E$1643,3,FALSE),0)</f>
        <v>23823</v>
      </c>
      <c r="H20">
        <f>IFERROR(VLOOKUP(Table_socioeca8.sandag.org_ws_abm2_f4[[#This Row],[hwycov_id]],[2]flow_freeway!$A$2:$E$1643,4,FALSE),0)</f>
        <v>3361</v>
      </c>
      <c r="I20">
        <f>IFERROR(VLOOKUP(Table_socioeca8.sandag.org_ws_abm2_f4[[#This Row],[hwycov_id]],[2]flow_freeway!$A$2:$E$1643,5,FALSE),0)</f>
        <v>10407</v>
      </c>
      <c r="K20">
        <f>Table_socioeca8.sandag.org_ws_abm2_f4[[#This Row],[hwycov_id]]</f>
        <v>510</v>
      </c>
      <c r="L20">
        <f>Table_socioeca8.sandag.org_ws_abm2_f4[[#This Row],[scenario_id]]</f>
        <v>259</v>
      </c>
      <c r="M20">
        <f>Table_socioeca8.sandag.org_ws_abm2_f4[[#This Row],[flow_day]]</f>
        <v>23823</v>
      </c>
      <c r="N20">
        <f>Table_socioeca8.sandag.org_ws_abm2_f4[[#This Row],[flow_am]]</f>
        <v>3361</v>
      </c>
      <c r="O20">
        <f>Table_socioeca8.sandag.org_ws_abm2_f4[[#This Row],[flow_pm]]</f>
        <v>10407</v>
      </c>
    </row>
    <row r="21" spans="1:15" x14ac:dyDescent="0.25">
      <c r="E21">
        <v>512</v>
      </c>
      <c r="F21">
        <f t="shared" si="0"/>
        <v>259</v>
      </c>
      <c r="G21">
        <f>IFERROR(VLOOKUP(Table_socioeca8.sandag.org_ws_abm2_f4[[#This Row],[hwycov_id]],[2]flow_freeway!$A$2:$E$1643,3,FALSE),0)</f>
        <v>21344</v>
      </c>
      <c r="H21">
        <f>IFERROR(VLOOKUP(Table_socioeca8.sandag.org_ws_abm2_f4[[#This Row],[hwycov_id]],[2]flow_freeway!$A$2:$E$1643,4,FALSE),0)</f>
        <v>2672</v>
      </c>
      <c r="I21">
        <f>IFERROR(VLOOKUP(Table_socioeca8.sandag.org_ws_abm2_f4[[#This Row],[hwycov_id]],[2]flow_freeway!$A$2:$E$1643,5,FALSE),0)</f>
        <v>10080</v>
      </c>
      <c r="K21">
        <f>Table_socioeca8.sandag.org_ws_abm2_f4[[#This Row],[hwycov_id]]</f>
        <v>512</v>
      </c>
      <c r="L21">
        <f>Table_socioeca8.sandag.org_ws_abm2_f4[[#This Row],[scenario_id]]</f>
        <v>259</v>
      </c>
      <c r="M21">
        <f>Table_socioeca8.sandag.org_ws_abm2_f4[[#This Row],[flow_day]]</f>
        <v>21344</v>
      </c>
      <c r="N21">
        <f>Table_socioeca8.sandag.org_ws_abm2_f4[[#This Row],[flow_am]]</f>
        <v>2672</v>
      </c>
      <c r="O21">
        <f>Table_socioeca8.sandag.org_ws_abm2_f4[[#This Row],[flow_pm]]</f>
        <v>10080</v>
      </c>
    </row>
    <row r="22" spans="1:15" x14ac:dyDescent="0.25">
      <c r="E22">
        <v>513</v>
      </c>
      <c r="F22">
        <f t="shared" si="0"/>
        <v>259</v>
      </c>
      <c r="G22">
        <f>IFERROR(VLOOKUP(Table_socioeca8.sandag.org_ws_abm2_f4[[#This Row],[hwycov_id]],[2]flow_freeway!$A$2:$E$1643,3,FALSE),0)</f>
        <v>16167</v>
      </c>
      <c r="H22">
        <f>IFERROR(VLOOKUP(Table_socioeca8.sandag.org_ws_abm2_f4[[#This Row],[hwycov_id]],[2]flow_freeway!$A$2:$E$1643,4,FALSE),0)</f>
        <v>6688</v>
      </c>
      <c r="I22">
        <f>IFERROR(VLOOKUP(Table_socioeca8.sandag.org_ws_abm2_f4[[#This Row],[hwycov_id]],[2]flow_freeway!$A$2:$E$1643,5,FALSE),0)</f>
        <v>2019</v>
      </c>
      <c r="K22">
        <f>Table_socioeca8.sandag.org_ws_abm2_f4[[#This Row],[hwycov_id]]</f>
        <v>513</v>
      </c>
      <c r="L22">
        <f>Table_socioeca8.sandag.org_ws_abm2_f4[[#This Row],[scenario_id]]</f>
        <v>259</v>
      </c>
      <c r="M22">
        <f>Table_socioeca8.sandag.org_ws_abm2_f4[[#This Row],[flow_day]]</f>
        <v>16167</v>
      </c>
      <c r="N22">
        <f>Table_socioeca8.sandag.org_ws_abm2_f4[[#This Row],[flow_am]]</f>
        <v>6688</v>
      </c>
      <c r="O22">
        <f>Table_socioeca8.sandag.org_ws_abm2_f4[[#This Row],[flow_pm]]</f>
        <v>2019</v>
      </c>
    </row>
    <row r="23" spans="1:15" x14ac:dyDescent="0.25">
      <c r="E23">
        <v>514</v>
      </c>
      <c r="F23">
        <f t="shared" si="0"/>
        <v>259</v>
      </c>
      <c r="G23">
        <f>IFERROR(VLOOKUP(Table_socioeca8.sandag.org_ws_abm2_f4[[#This Row],[hwycov_id]],[2]flow_freeway!$A$2:$E$1643,3,FALSE),0)</f>
        <v>111797</v>
      </c>
      <c r="H23">
        <f>IFERROR(VLOOKUP(Table_socioeca8.sandag.org_ws_abm2_f4[[#This Row],[hwycov_id]],[2]flow_freeway!$A$2:$E$1643,4,FALSE),0)</f>
        <v>18403</v>
      </c>
      <c r="I23">
        <f>IFERROR(VLOOKUP(Table_socioeca8.sandag.org_ws_abm2_f4[[#This Row],[hwycov_id]],[2]flow_freeway!$A$2:$E$1643,5,FALSE),0)</f>
        <v>33884</v>
      </c>
      <c r="K23">
        <f>Table_socioeca8.sandag.org_ws_abm2_f4[[#This Row],[hwycov_id]]</f>
        <v>514</v>
      </c>
      <c r="L23">
        <f>Table_socioeca8.sandag.org_ws_abm2_f4[[#This Row],[scenario_id]]</f>
        <v>259</v>
      </c>
      <c r="M23">
        <f>Table_socioeca8.sandag.org_ws_abm2_f4[[#This Row],[flow_day]]</f>
        <v>111797</v>
      </c>
      <c r="N23">
        <f>Table_socioeca8.sandag.org_ws_abm2_f4[[#This Row],[flow_am]]</f>
        <v>18403</v>
      </c>
      <c r="O23">
        <f>Table_socioeca8.sandag.org_ws_abm2_f4[[#This Row],[flow_pm]]</f>
        <v>33884</v>
      </c>
    </row>
    <row r="24" spans="1:15" x14ac:dyDescent="0.25">
      <c r="E24">
        <v>515</v>
      </c>
      <c r="F24">
        <f t="shared" si="0"/>
        <v>259</v>
      </c>
      <c r="G24">
        <f>IFERROR(VLOOKUP(Table_socioeca8.sandag.org_ws_abm2_f4[[#This Row],[hwycov_id]],[2]flow_freeway!$A$2:$E$1643,3,FALSE),0)</f>
        <v>19794</v>
      </c>
      <c r="H24">
        <f>IFERROR(VLOOKUP(Table_socioeca8.sandag.org_ws_abm2_f4[[#This Row],[hwycov_id]],[2]flow_freeway!$A$2:$E$1643,4,FALSE),0)</f>
        <v>7556</v>
      </c>
      <c r="I24">
        <f>IFERROR(VLOOKUP(Table_socioeca8.sandag.org_ws_abm2_f4[[#This Row],[hwycov_id]],[2]flow_freeway!$A$2:$E$1643,5,FALSE),0)</f>
        <v>3010</v>
      </c>
      <c r="K24">
        <f>Table_socioeca8.sandag.org_ws_abm2_f4[[#This Row],[hwycov_id]]</f>
        <v>515</v>
      </c>
      <c r="L24">
        <f>Table_socioeca8.sandag.org_ws_abm2_f4[[#This Row],[scenario_id]]</f>
        <v>259</v>
      </c>
      <c r="M24">
        <f>Table_socioeca8.sandag.org_ws_abm2_f4[[#This Row],[flow_day]]</f>
        <v>19794</v>
      </c>
      <c r="N24">
        <f>Table_socioeca8.sandag.org_ws_abm2_f4[[#This Row],[flow_am]]</f>
        <v>7556</v>
      </c>
      <c r="O24">
        <f>Table_socioeca8.sandag.org_ws_abm2_f4[[#This Row],[flow_pm]]</f>
        <v>3010</v>
      </c>
    </row>
    <row r="25" spans="1:15" x14ac:dyDescent="0.25">
      <c r="E25">
        <v>516</v>
      </c>
      <c r="F25">
        <f t="shared" si="0"/>
        <v>259</v>
      </c>
      <c r="G25">
        <f>IFERROR(VLOOKUP(Table_socioeca8.sandag.org_ws_abm2_f4[[#This Row],[hwycov_id]],[2]flow_freeway!$A$2:$E$1643,3,FALSE),0)</f>
        <v>105581</v>
      </c>
      <c r="H25">
        <f>IFERROR(VLOOKUP(Table_socioeca8.sandag.org_ws_abm2_f4[[#This Row],[hwycov_id]],[2]flow_freeway!$A$2:$E$1643,4,FALSE),0)</f>
        <v>16710</v>
      </c>
      <c r="I25">
        <f>IFERROR(VLOOKUP(Table_socioeca8.sandag.org_ws_abm2_f4[[#This Row],[hwycov_id]],[2]flow_freeway!$A$2:$E$1643,5,FALSE),0)</f>
        <v>31357</v>
      </c>
      <c r="K25">
        <f>Table_socioeca8.sandag.org_ws_abm2_f4[[#This Row],[hwycov_id]]</f>
        <v>516</v>
      </c>
      <c r="L25">
        <f>Table_socioeca8.sandag.org_ws_abm2_f4[[#This Row],[scenario_id]]</f>
        <v>259</v>
      </c>
      <c r="M25">
        <f>Table_socioeca8.sandag.org_ws_abm2_f4[[#This Row],[flow_day]]</f>
        <v>105581</v>
      </c>
      <c r="N25">
        <f>Table_socioeca8.sandag.org_ws_abm2_f4[[#This Row],[flow_am]]</f>
        <v>16710</v>
      </c>
      <c r="O25">
        <f>Table_socioeca8.sandag.org_ws_abm2_f4[[#This Row],[flow_pm]]</f>
        <v>31357</v>
      </c>
    </row>
    <row r="26" spans="1:15" x14ac:dyDescent="0.25">
      <c r="E26">
        <v>517</v>
      </c>
      <c r="F26">
        <f t="shared" si="0"/>
        <v>259</v>
      </c>
      <c r="G26">
        <f>IFERROR(VLOOKUP(Table_socioeca8.sandag.org_ws_abm2_f4[[#This Row],[hwycov_id]],[2]flow_freeway!$A$2:$E$1643,3,FALSE),0)</f>
        <v>17786</v>
      </c>
      <c r="H26">
        <f>IFERROR(VLOOKUP(Table_socioeca8.sandag.org_ws_abm2_f4[[#This Row],[hwycov_id]],[2]flow_freeway!$A$2:$E$1643,4,FALSE),0)</f>
        <v>6758</v>
      </c>
      <c r="I26">
        <f>IFERROR(VLOOKUP(Table_socioeca8.sandag.org_ws_abm2_f4[[#This Row],[hwycov_id]],[2]flow_freeway!$A$2:$E$1643,5,FALSE),0)</f>
        <v>2687</v>
      </c>
      <c r="K26">
        <f>Table_socioeca8.sandag.org_ws_abm2_f4[[#This Row],[hwycov_id]]</f>
        <v>517</v>
      </c>
      <c r="L26">
        <f>Table_socioeca8.sandag.org_ws_abm2_f4[[#This Row],[scenario_id]]</f>
        <v>259</v>
      </c>
      <c r="M26">
        <f>Table_socioeca8.sandag.org_ws_abm2_f4[[#This Row],[flow_day]]</f>
        <v>17786</v>
      </c>
      <c r="N26">
        <f>Table_socioeca8.sandag.org_ws_abm2_f4[[#This Row],[flow_am]]</f>
        <v>6758</v>
      </c>
      <c r="O26">
        <f>Table_socioeca8.sandag.org_ws_abm2_f4[[#This Row],[flow_pm]]</f>
        <v>2687</v>
      </c>
    </row>
    <row r="27" spans="1:15" x14ac:dyDescent="0.25">
      <c r="E27">
        <v>520</v>
      </c>
      <c r="F27">
        <f t="shared" si="0"/>
        <v>259</v>
      </c>
      <c r="G27">
        <f>IFERROR(VLOOKUP(Table_socioeca8.sandag.org_ws_abm2_f4[[#This Row],[hwycov_id]],[2]flow_freeway!$A$2:$E$1643,3,FALSE),0)</f>
        <v>18066</v>
      </c>
      <c r="H27">
        <f>IFERROR(VLOOKUP(Table_socioeca8.sandag.org_ws_abm2_f4[[#This Row],[hwycov_id]],[2]flow_freeway!$A$2:$E$1643,4,FALSE),0)</f>
        <v>6824</v>
      </c>
      <c r="I27">
        <f>IFERROR(VLOOKUP(Table_socioeca8.sandag.org_ws_abm2_f4[[#This Row],[hwycov_id]],[2]flow_freeway!$A$2:$E$1643,5,FALSE),0)</f>
        <v>2869</v>
      </c>
      <c r="K27">
        <f>Table_socioeca8.sandag.org_ws_abm2_f4[[#This Row],[hwycov_id]]</f>
        <v>520</v>
      </c>
      <c r="L27">
        <f>Table_socioeca8.sandag.org_ws_abm2_f4[[#This Row],[scenario_id]]</f>
        <v>259</v>
      </c>
      <c r="M27">
        <f>Table_socioeca8.sandag.org_ws_abm2_f4[[#This Row],[flow_day]]</f>
        <v>18066</v>
      </c>
      <c r="N27">
        <f>Table_socioeca8.sandag.org_ws_abm2_f4[[#This Row],[flow_am]]</f>
        <v>6824</v>
      </c>
      <c r="O27">
        <f>Table_socioeca8.sandag.org_ws_abm2_f4[[#This Row],[flow_pm]]</f>
        <v>2869</v>
      </c>
    </row>
    <row r="28" spans="1:15" x14ac:dyDescent="0.25">
      <c r="E28">
        <v>521</v>
      </c>
      <c r="F28">
        <f t="shared" si="0"/>
        <v>259</v>
      </c>
      <c r="G28">
        <f>IFERROR(VLOOKUP(Table_socioeca8.sandag.org_ws_abm2_f4[[#This Row],[hwycov_id]],[2]flow_freeway!$A$2:$E$1643,3,FALSE),0)</f>
        <v>98287</v>
      </c>
      <c r="H28">
        <f>IFERROR(VLOOKUP(Table_socioeca8.sandag.org_ws_abm2_f4[[#This Row],[hwycov_id]],[2]flow_freeway!$A$2:$E$1643,4,FALSE),0)</f>
        <v>16682</v>
      </c>
      <c r="I28">
        <f>IFERROR(VLOOKUP(Table_socioeca8.sandag.org_ws_abm2_f4[[#This Row],[hwycov_id]],[2]flow_freeway!$A$2:$E$1643,5,FALSE),0)</f>
        <v>26521</v>
      </c>
      <c r="K28">
        <f>Table_socioeca8.sandag.org_ws_abm2_f4[[#This Row],[hwycov_id]]</f>
        <v>521</v>
      </c>
      <c r="L28">
        <f>Table_socioeca8.sandag.org_ws_abm2_f4[[#This Row],[scenario_id]]</f>
        <v>259</v>
      </c>
      <c r="M28">
        <f>Table_socioeca8.sandag.org_ws_abm2_f4[[#This Row],[flow_day]]</f>
        <v>98287</v>
      </c>
      <c r="N28">
        <f>Table_socioeca8.sandag.org_ws_abm2_f4[[#This Row],[flow_am]]</f>
        <v>16682</v>
      </c>
      <c r="O28">
        <f>Table_socioeca8.sandag.org_ws_abm2_f4[[#This Row],[flow_pm]]</f>
        <v>26521</v>
      </c>
    </row>
    <row r="29" spans="1:15" x14ac:dyDescent="0.25">
      <c r="E29">
        <v>522</v>
      </c>
      <c r="F29">
        <f t="shared" si="0"/>
        <v>259</v>
      </c>
      <c r="G29">
        <f>IFERROR(VLOOKUP(Table_socioeca8.sandag.org_ws_abm2_f4[[#This Row],[hwycov_id]],[2]flow_freeway!$A$2:$E$1643,3,FALSE),0)</f>
        <v>17255</v>
      </c>
      <c r="H29">
        <f>IFERROR(VLOOKUP(Table_socioeca8.sandag.org_ws_abm2_f4[[#This Row],[hwycov_id]],[2]flow_freeway!$A$2:$E$1643,4,FALSE),0)</f>
        <v>6358</v>
      </c>
      <c r="I29">
        <f>IFERROR(VLOOKUP(Table_socioeca8.sandag.org_ws_abm2_f4[[#This Row],[hwycov_id]],[2]flow_freeway!$A$2:$E$1643,5,FALSE),0)</f>
        <v>2736</v>
      </c>
      <c r="K29">
        <f>Table_socioeca8.sandag.org_ws_abm2_f4[[#This Row],[hwycov_id]]</f>
        <v>522</v>
      </c>
      <c r="L29">
        <f>Table_socioeca8.sandag.org_ws_abm2_f4[[#This Row],[scenario_id]]</f>
        <v>259</v>
      </c>
      <c r="M29">
        <f>Table_socioeca8.sandag.org_ws_abm2_f4[[#This Row],[flow_day]]</f>
        <v>17255</v>
      </c>
      <c r="N29">
        <f>Table_socioeca8.sandag.org_ws_abm2_f4[[#This Row],[flow_am]]</f>
        <v>6358</v>
      </c>
      <c r="O29">
        <f>Table_socioeca8.sandag.org_ws_abm2_f4[[#This Row],[flow_pm]]</f>
        <v>2736</v>
      </c>
    </row>
    <row r="30" spans="1:15" x14ac:dyDescent="0.25">
      <c r="E30">
        <v>524</v>
      </c>
      <c r="F30">
        <f t="shared" si="0"/>
        <v>259</v>
      </c>
      <c r="G30">
        <f>IFERROR(VLOOKUP(Table_socioeca8.sandag.org_ws_abm2_f4[[#This Row],[hwycov_id]],[2]flow_freeway!$A$2:$E$1643,3,FALSE),0)</f>
        <v>18120</v>
      </c>
      <c r="H30">
        <f>IFERROR(VLOOKUP(Table_socioeca8.sandag.org_ws_abm2_f4[[#This Row],[hwycov_id]],[2]flow_freeway!$A$2:$E$1643,4,FALSE),0)</f>
        <v>6785</v>
      </c>
      <c r="I30">
        <f>IFERROR(VLOOKUP(Table_socioeca8.sandag.org_ws_abm2_f4[[#This Row],[hwycov_id]],[2]flow_freeway!$A$2:$E$1643,5,FALSE),0)</f>
        <v>2924</v>
      </c>
      <c r="K30">
        <f>Table_socioeca8.sandag.org_ws_abm2_f4[[#This Row],[hwycov_id]]</f>
        <v>524</v>
      </c>
      <c r="L30">
        <f>Table_socioeca8.sandag.org_ws_abm2_f4[[#This Row],[scenario_id]]</f>
        <v>259</v>
      </c>
      <c r="M30">
        <f>Table_socioeca8.sandag.org_ws_abm2_f4[[#This Row],[flow_day]]</f>
        <v>18120</v>
      </c>
      <c r="N30">
        <f>Table_socioeca8.sandag.org_ws_abm2_f4[[#This Row],[flow_am]]</f>
        <v>6785</v>
      </c>
      <c r="O30">
        <f>Table_socioeca8.sandag.org_ws_abm2_f4[[#This Row],[flow_pm]]</f>
        <v>2924</v>
      </c>
    </row>
    <row r="31" spans="1:15" x14ac:dyDescent="0.25">
      <c r="E31">
        <v>525</v>
      </c>
      <c r="F31">
        <f t="shared" si="0"/>
        <v>259</v>
      </c>
      <c r="G31">
        <f>IFERROR(VLOOKUP(Table_socioeca8.sandag.org_ws_abm2_f4[[#This Row],[hwycov_id]],[2]flow_freeway!$A$2:$E$1643,3,FALSE),0)</f>
        <v>23224</v>
      </c>
      <c r="H31">
        <f>IFERROR(VLOOKUP(Table_socioeca8.sandag.org_ws_abm2_f4[[#This Row],[hwycov_id]],[2]flow_freeway!$A$2:$E$1643,4,FALSE),0)</f>
        <v>9151</v>
      </c>
      <c r="I31">
        <f>IFERROR(VLOOKUP(Table_socioeca8.sandag.org_ws_abm2_f4[[#This Row],[hwycov_id]],[2]flow_freeway!$A$2:$E$1643,5,FALSE),0)</f>
        <v>4674</v>
      </c>
      <c r="K31">
        <f>Table_socioeca8.sandag.org_ws_abm2_f4[[#This Row],[hwycov_id]]</f>
        <v>525</v>
      </c>
      <c r="L31">
        <f>Table_socioeca8.sandag.org_ws_abm2_f4[[#This Row],[scenario_id]]</f>
        <v>259</v>
      </c>
      <c r="M31">
        <f>Table_socioeca8.sandag.org_ws_abm2_f4[[#This Row],[flow_day]]</f>
        <v>23224</v>
      </c>
      <c r="N31">
        <f>Table_socioeca8.sandag.org_ws_abm2_f4[[#This Row],[flow_am]]</f>
        <v>9151</v>
      </c>
      <c r="O31">
        <f>Table_socioeca8.sandag.org_ws_abm2_f4[[#This Row],[flow_pm]]</f>
        <v>4674</v>
      </c>
    </row>
    <row r="32" spans="1:15" x14ac:dyDescent="0.25">
      <c r="E32">
        <v>526</v>
      </c>
      <c r="F32">
        <f t="shared" si="0"/>
        <v>259</v>
      </c>
      <c r="G32">
        <f>IFERROR(VLOOKUP(Table_socioeca8.sandag.org_ws_abm2_f4[[#This Row],[hwycov_id]],[2]flow_freeway!$A$2:$E$1643,3,FALSE),0)</f>
        <v>23035</v>
      </c>
      <c r="H32">
        <f>IFERROR(VLOOKUP(Table_socioeca8.sandag.org_ws_abm2_f4[[#This Row],[hwycov_id]],[2]flow_freeway!$A$2:$E$1643,4,FALSE),0)</f>
        <v>3738</v>
      </c>
      <c r="I32">
        <f>IFERROR(VLOOKUP(Table_socioeca8.sandag.org_ws_abm2_f4[[#This Row],[hwycov_id]],[2]flow_freeway!$A$2:$E$1643,5,FALSE),0)</f>
        <v>9795</v>
      </c>
      <c r="K32">
        <f>Table_socioeca8.sandag.org_ws_abm2_f4[[#This Row],[hwycov_id]]</f>
        <v>526</v>
      </c>
      <c r="L32">
        <f>Table_socioeca8.sandag.org_ws_abm2_f4[[#This Row],[scenario_id]]</f>
        <v>259</v>
      </c>
      <c r="M32">
        <f>Table_socioeca8.sandag.org_ws_abm2_f4[[#This Row],[flow_day]]</f>
        <v>23035</v>
      </c>
      <c r="N32">
        <f>Table_socioeca8.sandag.org_ws_abm2_f4[[#This Row],[flow_am]]</f>
        <v>3738</v>
      </c>
      <c r="O32">
        <f>Table_socioeca8.sandag.org_ws_abm2_f4[[#This Row],[flow_pm]]</f>
        <v>9795</v>
      </c>
    </row>
    <row r="33" spans="5:15" x14ac:dyDescent="0.25">
      <c r="E33">
        <v>528</v>
      </c>
      <c r="F33">
        <f t="shared" si="0"/>
        <v>259</v>
      </c>
      <c r="G33">
        <f>IFERROR(VLOOKUP(Table_socioeca8.sandag.org_ws_abm2_f4[[#This Row],[hwycov_id]],[2]flow_freeway!$A$2:$E$1643,3,FALSE),0)</f>
        <v>21520</v>
      </c>
      <c r="H33">
        <f>IFERROR(VLOOKUP(Table_socioeca8.sandag.org_ws_abm2_f4[[#This Row],[hwycov_id]],[2]flow_freeway!$A$2:$E$1643,4,FALSE),0)</f>
        <v>8063</v>
      </c>
      <c r="I33">
        <f>IFERROR(VLOOKUP(Table_socioeca8.sandag.org_ws_abm2_f4[[#This Row],[hwycov_id]],[2]flow_freeway!$A$2:$E$1643,5,FALSE),0)</f>
        <v>4020</v>
      </c>
      <c r="K33">
        <f>Table_socioeca8.sandag.org_ws_abm2_f4[[#This Row],[hwycov_id]]</f>
        <v>528</v>
      </c>
      <c r="L33">
        <f>Table_socioeca8.sandag.org_ws_abm2_f4[[#This Row],[scenario_id]]</f>
        <v>259</v>
      </c>
      <c r="M33">
        <f>Table_socioeca8.sandag.org_ws_abm2_f4[[#This Row],[flow_day]]</f>
        <v>21520</v>
      </c>
      <c r="N33">
        <f>Table_socioeca8.sandag.org_ws_abm2_f4[[#This Row],[flow_am]]</f>
        <v>8063</v>
      </c>
      <c r="O33">
        <f>Table_socioeca8.sandag.org_ws_abm2_f4[[#This Row],[flow_pm]]</f>
        <v>4020</v>
      </c>
    </row>
    <row r="34" spans="5:15" x14ac:dyDescent="0.25">
      <c r="E34">
        <v>551</v>
      </c>
      <c r="F34">
        <f t="shared" si="0"/>
        <v>259</v>
      </c>
      <c r="G34">
        <f>IFERROR(VLOOKUP(Table_socioeca8.sandag.org_ws_abm2_f4[[#This Row],[hwycov_id]],[2]flow_freeway!$A$2:$E$1643,3,FALSE),0)</f>
        <v>105859</v>
      </c>
      <c r="H34">
        <f>IFERROR(VLOOKUP(Table_socioeca8.sandag.org_ws_abm2_f4[[#This Row],[hwycov_id]],[2]flow_freeway!$A$2:$E$1643,4,FALSE),0)</f>
        <v>26410</v>
      </c>
      <c r="I34">
        <f>IFERROR(VLOOKUP(Table_socioeca8.sandag.org_ws_abm2_f4[[#This Row],[hwycov_id]],[2]flow_freeway!$A$2:$E$1643,5,FALSE),0)</f>
        <v>22319</v>
      </c>
      <c r="K34">
        <f>Table_socioeca8.sandag.org_ws_abm2_f4[[#This Row],[hwycov_id]]</f>
        <v>551</v>
      </c>
      <c r="L34">
        <f>Table_socioeca8.sandag.org_ws_abm2_f4[[#This Row],[scenario_id]]</f>
        <v>259</v>
      </c>
      <c r="M34">
        <f>Table_socioeca8.sandag.org_ws_abm2_f4[[#This Row],[flow_day]]</f>
        <v>105859</v>
      </c>
      <c r="N34">
        <f>Table_socioeca8.sandag.org_ws_abm2_f4[[#This Row],[flow_am]]</f>
        <v>26410</v>
      </c>
      <c r="O34">
        <f>Table_socioeca8.sandag.org_ws_abm2_f4[[#This Row],[flow_pm]]</f>
        <v>22319</v>
      </c>
    </row>
    <row r="35" spans="5:15" x14ac:dyDescent="0.25">
      <c r="E35">
        <v>552</v>
      </c>
      <c r="F35">
        <f t="shared" si="0"/>
        <v>259</v>
      </c>
      <c r="G35">
        <f>IFERROR(VLOOKUP(Table_socioeca8.sandag.org_ws_abm2_f4[[#This Row],[hwycov_id]],[2]flow_freeway!$A$2:$E$1643,3,FALSE),0)</f>
        <v>21915</v>
      </c>
      <c r="H35">
        <f>IFERROR(VLOOKUP(Table_socioeca8.sandag.org_ws_abm2_f4[[#This Row],[hwycov_id]],[2]flow_freeway!$A$2:$E$1643,4,FALSE),0)</f>
        <v>2720</v>
      </c>
      <c r="I35">
        <f>IFERROR(VLOOKUP(Table_socioeca8.sandag.org_ws_abm2_f4[[#This Row],[hwycov_id]],[2]flow_freeway!$A$2:$E$1643,5,FALSE),0)</f>
        <v>10417</v>
      </c>
      <c r="K35">
        <f>Table_socioeca8.sandag.org_ws_abm2_f4[[#This Row],[hwycov_id]]</f>
        <v>552</v>
      </c>
      <c r="L35">
        <f>Table_socioeca8.sandag.org_ws_abm2_f4[[#This Row],[scenario_id]]</f>
        <v>259</v>
      </c>
      <c r="M35">
        <f>Table_socioeca8.sandag.org_ws_abm2_f4[[#This Row],[flow_day]]</f>
        <v>21915</v>
      </c>
      <c r="N35">
        <f>Table_socioeca8.sandag.org_ws_abm2_f4[[#This Row],[flow_am]]</f>
        <v>2720</v>
      </c>
      <c r="O35">
        <f>Table_socioeca8.sandag.org_ws_abm2_f4[[#This Row],[flow_pm]]</f>
        <v>10417</v>
      </c>
    </row>
    <row r="36" spans="5:15" x14ac:dyDescent="0.25">
      <c r="E36">
        <v>553</v>
      </c>
      <c r="F36">
        <f t="shared" si="0"/>
        <v>259</v>
      </c>
      <c r="G36">
        <f>IFERROR(VLOOKUP(Table_socioeca8.sandag.org_ws_abm2_f4[[#This Row],[hwycov_id]],[2]flow_freeway!$A$2:$E$1643,3,FALSE),0)</f>
        <v>21347</v>
      </c>
      <c r="H36">
        <f>IFERROR(VLOOKUP(Table_socioeca8.sandag.org_ws_abm2_f4[[#This Row],[hwycov_id]],[2]flow_freeway!$A$2:$E$1643,4,FALSE),0)</f>
        <v>8022</v>
      </c>
      <c r="I36">
        <f>IFERROR(VLOOKUP(Table_socioeca8.sandag.org_ws_abm2_f4[[#This Row],[hwycov_id]],[2]flow_freeway!$A$2:$E$1643,5,FALSE),0)</f>
        <v>4012</v>
      </c>
      <c r="K36">
        <f>Table_socioeca8.sandag.org_ws_abm2_f4[[#This Row],[hwycov_id]]</f>
        <v>553</v>
      </c>
      <c r="L36">
        <f>Table_socioeca8.sandag.org_ws_abm2_f4[[#This Row],[scenario_id]]</f>
        <v>259</v>
      </c>
      <c r="M36">
        <f>Table_socioeca8.sandag.org_ws_abm2_f4[[#This Row],[flow_day]]</f>
        <v>21347</v>
      </c>
      <c r="N36">
        <f>Table_socioeca8.sandag.org_ws_abm2_f4[[#This Row],[flow_am]]</f>
        <v>8022</v>
      </c>
      <c r="O36">
        <f>Table_socioeca8.sandag.org_ws_abm2_f4[[#This Row],[flow_pm]]</f>
        <v>4012</v>
      </c>
    </row>
    <row r="37" spans="5:15" x14ac:dyDescent="0.25">
      <c r="E37">
        <v>554</v>
      </c>
      <c r="F37">
        <f t="shared" si="0"/>
        <v>259</v>
      </c>
      <c r="G37">
        <f>IFERROR(VLOOKUP(Table_socioeca8.sandag.org_ws_abm2_f4[[#This Row],[hwycov_id]],[2]flow_freeway!$A$2:$E$1643,3,FALSE),0)</f>
        <v>120998</v>
      </c>
      <c r="H37">
        <f>IFERROR(VLOOKUP(Table_socioeca8.sandag.org_ws_abm2_f4[[#This Row],[hwycov_id]],[2]flow_freeway!$A$2:$E$1643,4,FALSE),0)</f>
        <v>19067</v>
      </c>
      <c r="I37">
        <f>IFERROR(VLOOKUP(Table_socioeca8.sandag.org_ws_abm2_f4[[#This Row],[hwycov_id]],[2]flow_freeway!$A$2:$E$1643,5,FALSE),0)</f>
        <v>35038</v>
      </c>
      <c r="K37">
        <f>Table_socioeca8.sandag.org_ws_abm2_f4[[#This Row],[hwycov_id]]</f>
        <v>554</v>
      </c>
      <c r="L37">
        <f>Table_socioeca8.sandag.org_ws_abm2_f4[[#This Row],[scenario_id]]</f>
        <v>259</v>
      </c>
      <c r="M37">
        <f>Table_socioeca8.sandag.org_ws_abm2_f4[[#This Row],[flow_day]]</f>
        <v>120998</v>
      </c>
      <c r="N37">
        <f>Table_socioeca8.sandag.org_ws_abm2_f4[[#This Row],[flow_am]]</f>
        <v>19067</v>
      </c>
      <c r="O37">
        <f>Table_socioeca8.sandag.org_ws_abm2_f4[[#This Row],[flow_pm]]</f>
        <v>35038</v>
      </c>
    </row>
    <row r="38" spans="5:15" x14ac:dyDescent="0.25">
      <c r="E38">
        <v>556</v>
      </c>
      <c r="F38">
        <f t="shared" si="0"/>
        <v>259</v>
      </c>
      <c r="G38">
        <f>IFERROR(VLOOKUP(Table_socioeca8.sandag.org_ws_abm2_f4[[#This Row],[hwycov_id]],[2]flow_freeway!$A$2:$E$1643,3,FALSE),0)</f>
        <v>109382</v>
      </c>
      <c r="H38">
        <f>IFERROR(VLOOKUP(Table_socioeca8.sandag.org_ws_abm2_f4[[#This Row],[hwycov_id]],[2]flow_freeway!$A$2:$E$1643,4,FALSE),0)</f>
        <v>18123</v>
      </c>
      <c r="I38">
        <f>IFERROR(VLOOKUP(Table_socioeca8.sandag.org_ws_abm2_f4[[#This Row],[hwycov_id]],[2]flow_freeway!$A$2:$E$1643,5,FALSE),0)</f>
        <v>30954</v>
      </c>
      <c r="K38">
        <f>Table_socioeca8.sandag.org_ws_abm2_f4[[#This Row],[hwycov_id]]</f>
        <v>556</v>
      </c>
      <c r="L38">
        <f>Table_socioeca8.sandag.org_ws_abm2_f4[[#This Row],[scenario_id]]</f>
        <v>259</v>
      </c>
      <c r="M38">
        <f>Table_socioeca8.sandag.org_ws_abm2_f4[[#This Row],[flow_day]]</f>
        <v>109382</v>
      </c>
      <c r="N38">
        <f>Table_socioeca8.sandag.org_ws_abm2_f4[[#This Row],[flow_am]]</f>
        <v>18123</v>
      </c>
      <c r="O38">
        <f>Table_socioeca8.sandag.org_ws_abm2_f4[[#This Row],[flow_pm]]</f>
        <v>30954</v>
      </c>
    </row>
    <row r="39" spans="5:15" x14ac:dyDescent="0.25">
      <c r="E39">
        <v>558</v>
      </c>
      <c r="F39">
        <f t="shared" si="0"/>
        <v>259</v>
      </c>
      <c r="G39">
        <f>IFERROR(VLOOKUP(Table_socioeca8.sandag.org_ws_abm2_f4[[#This Row],[hwycov_id]],[2]flow_freeway!$A$2:$E$1643,3,FALSE),0)</f>
        <v>59371</v>
      </c>
      <c r="H39">
        <f>IFERROR(VLOOKUP(Table_socioeca8.sandag.org_ws_abm2_f4[[#This Row],[hwycov_id]],[2]flow_freeway!$A$2:$E$1643,4,FALSE),0)</f>
        <v>8832</v>
      </c>
      <c r="I39">
        <f>IFERROR(VLOOKUP(Table_socioeca8.sandag.org_ws_abm2_f4[[#This Row],[hwycov_id]],[2]flow_freeway!$A$2:$E$1643,5,FALSE),0)</f>
        <v>18391</v>
      </c>
      <c r="K39">
        <f>Table_socioeca8.sandag.org_ws_abm2_f4[[#This Row],[hwycov_id]]</f>
        <v>558</v>
      </c>
      <c r="L39">
        <f>Table_socioeca8.sandag.org_ws_abm2_f4[[#This Row],[scenario_id]]</f>
        <v>259</v>
      </c>
      <c r="M39">
        <f>Table_socioeca8.sandag.org_ws_abm2_f4[[#This Row],[flow_day]]</f>
        <v>59371</v>
      </c>
      <c r="N39">
        <f>Table_socioeca8.sandag.org_ws_abm2_f4[[#This Row],[flow_am]]</f>
        <v>8832</v>
      </c>
      <c r="O39">
        <f>Table_socioeca8.sandag.org_ws_abm2_f4[[#This Row],[flow_pm]]</f>
        <v>18391</v>
      </c>
    </row>
    <row r="40" spans="5:15" x14ac:dyDescent="0.25">
      <c r="E40">
        <v>562</v>
      </c>
      <c r="F40">
        <f t="shared" si="0"/>
        <v>259</v>
      </c>
      <c r="G40">
        <f>IFERROR(VLOOKUP(Table_socioeca8.sandag.org_ws_abm2_f4[[#This Row],[hwycov_id]],[2]flow_freeway!$A$2:$E$1643,3,FALSE),0)</f>
        <v>110132</v>
      </c>
      <c r="H40">
        <f>IFERROR(VLOOKUP(Table_socioeca8.sandag.org_ws_abm2_f4[[#This Row],[hwycov_id]],[2]flow_freeway!$A$2:$E$1643,4,FALSE),0)</f>
        <v>24575</v>
      </c>
      <c r="I40">
        <f>IFERROR(VLOOKUP(Table_socioeca8.sandag.org_ws_abm2_f4[[#This Row],[hwycov_id]],[2]flow_freeway!$A$2:$E$1643,5,FALSE),0)</f>
        <v>21925</v>
      </c>
      <c r="K40">
        <f>Table_socioeca8.sandag.org_ws_abm2_f4[[#This Row],[hwycov_id]]</f>
        <v>562</v>
      </c>
      <c r="L40">
        <f>Table_socioeca8.sandag.org_ws_abm2_f4[[#This Row],[scenario_id]]</f>
        <v>259</v>
      </c>
      <c r="M40">
        <f>Table_socioeca8.sandag.org_ws_abm2_f4[[#This Row],[flow_day]]</f>
        <v>110132</v>
      </c>
      <c r="N40">
        <f>Table_socioeca8.sandag.org_ws_abm2_f4[[#This Row],[flow_am]]</f>
        <v>24575</v>
      </c>
      <c r="O40">
        <f>Table_socioeca8.sandag.org_ws_abm2_f4[[#This Row],[flow_pm]]</f>
        <v>21925</v>
      </c>
    </row>
    <row r="41" spans="5:15" x14ac:dyDescent="0.25">
      <c r="E41">
        <v>564</v>
      </c>
      <c r="F41">
        <f t="shared" si="0"/>
        <v>259</v>
      </c>
      <c r="G41">
        <f>IFERROR(VLOOKUP(Table_socioeca8.sandag.org_ws_abm2_f4[[#This Row],[hwycov_id]],[2]flow_freeway!$A$2:$E$1643,3,FALSE),0)</f>
        <v>73757</v>
      </c>
      <c r="H41">
        <f>IFERROR(VLOOKUP(Table_socioeca8.sandag.org_ws_abm2_f4[[#This Row],[hwycov_id]],[2]flow_freeway!$A$2:$E$1643,4,FALSE),0)</f>
        <v>18744</v>
      </c>
      <c r="I41">
        <f>IFERROR(VLOOKUP(Table_socioeca8.sandag.org_ws_abm2_f4[[#This Row],[hwycov_id]],[2]flow_freeway!$A$2:$E$1643,5,FALSE),0)</f>
        <v>16280</v>
      </c>
      <c r="K41">
        <f>Table_socioeca8.sandag.org_ws_abm2_f4[[#This Row],[hwycov_id]]</f>
        <v>564</v>
      </c>
      <c r="L41">
        <f>Table_socioeca8.sandag.org_ws_abm2_f4[[#This Row],[scenario_id]]</f>
        <v>259</v>
      </c>
      <c r="M41">
        <f>Table_socioeca8.sandag.org_ws_abm2_f4[[#This Row],[flow_day]]</f>
        <v>73757</v>
      </c>
      <c r="N41">
        <f>Table_socioeca8.sandag.org_ws_abm2_f4[[#This Row],[flow_am]]</f>
        <v>18744</v>
      </c>
      <c r="O41">
        <f>Table_socioeca8.sandag.org_ws_abm2_f4[[#This Row],[flow_pm]]</f>
        <v>16280</v>
      </c>
    </row>
    <row r="42" spans="5:15" x14ac:dyDescent="0.25">
      <c r="E42">
        <v>568</v>
      </c>
      <c r="F42">
        <f t="shared" si="0"/>
        <v>259</v>
      </c>
      <c r="G42">
        <f>IFERROR(VLOOKUP(Table_socioeca8.sandag.org_ws_abm2_f4[[#This Row],[hwycov_id]],[2]flow_freeway!$A$2:$E$1643,3,FALSE),0)</f>
        <v>109783</v>
      </c>
      <c r="H42">
        <f>IFERROR(VLOOKUP(Table_socioeca8.sandag.org_ws_abm2_f4[[#This Row],[hwycov_id]],[2]flow_freeway!$A$2:$E$1643,4,FALSE),0)</f>
        <v>26095</v>
      </c>
      <c r="I42">
        <f>IFERROR(VLOOKUP(Table_socioeca8.sandag.org_ws_abm2_f4[[#This Row],[hwycov_id]],[2]flow_freeway!$A$2:$E$1643,5,FALSE),0)</f>
        <v>19931</v>
      </c>
      <c r="K42">
        <f>Table_socioeca8.sandag.org_ws_abm2_f4[[#This Row],[hwycov_id]]</f>
        <v>568</v>
      </c>
      <c r="L42">
        <f>Table_socioeca8.sandag.org_ws_abm2_f4[[#This Row],[scenario_id]]</f>
        <v>259</v>
      </c>
      <c r="M42">
        <f>Table_socioeca8.sandag.org_ws_abm2_f4[[#This Row],[flow_day]]</f>
        <v>109783</v>
      </c>
      <c r="N42">
        <f>Table_socioeca8.sandag.org_ws_abm2_f4[[#This Row],[flow_am]]</f>
        <v>26095</v>
      </c>
      <c r="O42">
        <f>Table_socioeca8.sandag.org_ws_abm2_f4[[#This Row],[flow_pm]]</f>
        <v>19931</v>
      </c>
    </row>
    <row r="43" spans="5:15" x14ac:dyDescent="0.25">
      <c r="E43">
        <v>570</v>
      </c>
      <c r="F43">
        <f t="shared" si="0"/>
        <v>259</v>
      </c>
      <c r="G43">
        <f>IFERROR(VLOOKUP(Table_socioeca8.sandag.org_ws_abm2_f4[[#This Row],[hwycov_id]],[2]flow_freeway!$A$2:$E$1643,3,FALSE),0)</f>
        <v>108983</v>
      </c>
      <c r="H43">
        <f>IFERROR(VLOOKUP(Table_socioeca8.sandag.org_ws_abm2_f4[[#This Row],[hwycov_id]],[2]flow_freeway!$A$2:$E$1643,4,FALSE),0)</f>
        <v>25957</v>
      </c>
      <c r="I43">
        <f>IFERROR(VLOOKUP(Table_socioeca8.sandag.org_ws_abm2_f4[[#This Row],[hwycov_id]],[2]flow_freeway!$A$2:$E$1643,5,FALSE),0)</f>
        <v>20296</v>
      </c>
      <c r="K43">
        <f>Table_socioeca8.sandag.org_ws_abm2_f4[[#This Row],[hwycov_id]]</f>
        <v>570</v>
      </c>
      <c r="L43">
        <f>Table_socioeca8.sandag.org_ws_abm2_f4[[#This Row],[scenario_id]]</f>
        <v>259</v>
      </c>
      <c r="M43">
        <f>Table_socioeca8.sandag.org_ws_abm2_f4[[#This Row],[flow_day]]</f>
        <v>108983</v>
      </c>
      <c r="N43">
        <f>Table_socioeca8.sandag.org_ws_abm2_f4[[#This Row],[flow_am]]</f>
        <v>25957</v>
      </c>
      <c r="O43">
        <f>Table_socioeca8.sandag.org_ws_abm2_f4[[#This Row],[flow_pm]]</f>
        <v>20296</v>
      </c>
    </row>
    <row r="44" spans="5:15" x14ac:dyDescent="0.25">
      <c r="E44">
        <v>573</v>
      </c>
      <c r="F44">
        <f t="shared" si="0"/>
        <v>259</v>
      </c>
      <c r="G44">
        <f>IFERROR(VLOOKUP(Table_socioeca8.sandag.org_ws_abm2_f4[[#This Row],[hwycov_id]],[2]flow_freeway!$A$2:$E$1643,3,FALSE),0)</f>
        <v>104412</v>
      </c>
      <c r="H44">
        <f>IFERROR(VLOOKUP(Table_socioeca8.sandag.org_ws_abm2_f4[[#This Row],[hwycov_id]],[2]flow_freeway!$A$2:$E$1643,4,FALSE),0)</f>
        <v>17717</v>
      </c>
      <c r="I44">
        <f>IFERROR(VLOOKUP(Table_socioeca8.sandag.org_ws_abm2_f4[[#This Row],[hwycov_id]],[2]flow_freeway!$A$2:$E$1643,5,FALSE),0)</f>
        <v>30283</v>
      </c>
      <c r="K44">
        <f>Table_socioeca8.sandag.org_ws_abm2_f4[[#This Row],[hwycov_id]]</f>
        <v>573</v>
      </c>
      <c r="L44">
        <f>Table_socioeca8.sandag.org_ws_abm2_f4[[#This Row],[scenario_id]]</f>
        <v>259</v>
      </c>
      <c r="M44">
        <f>Table_socioeca8.sandag.org_ws_abm2_f4[[#This Row],[flow_day]]</f>
        <v>104412</v>
      </c>
      <c r="N44">
        <f>Table_socioeca8.sandag.org_ws_abm2_f4[[#This Row],[flow_am]]</f>
        <v>17717</v>
      </c>
      <c r="O44">
        <f>Table_socioeca8.sandag.org_ws_abm2_f4[[#This Row],[flow_pm]]</f>
        <v>30283</v>
      </c>
    </row>
    <row r="45" spans="5:15" x14ac:dyDescent="0.25">
      <c r="E45">
        <v>574</v>
      </c>
      <c r="F45">
        <f t="shared" si="0"/>
        <v>259</v>
      </c>
      <c r="G45">
        <f>IFERROR(VLOOKUP(Table_socioeca8.sandag.org_ws_abm2_f4[[#This Row],[hwycov_id]],[2]flow_freeway!$A$2:$E$1643,3,FALSE),0)</f>
        <v>167626</v>
      </c>
      <c r="H45">
        <f>IFERROR(VLOOKUP(Table_socioeca8.sandag.org_ws_abm2_f4[[#This Row],[hwycov_id]],[2]flow_freeway!$A$2:$E$1643,4,FALSE),0)</f>
        <v>31191</v>
      </c>
      <c r="I45">
        <f>IFERROR(VLOOKUP(Table_socioeca8.sandag.org_ws_abm2_f4[[#This Row],[hwycov_id]],[2]flow_freeway!$A$2:$E$1643,5,FALSE),0)</f>
        <v>44796</v>
      </c>
      <c r="K45">
        <f>Table_socioeca8.sandag.org_ws_abm2_f4[[#This Row],[hwycov_id]]</f>
        <v>574</v>
      </c>
      <c r="L45">
        <f>Table_socioeca8.sandag.org_ws_abm2_f4[[#This Row],[scenario_id]]</f>
        <v>259</v>
      </c>
      <c r="M45">
        <f>Table_socioeca8.sandag.org_ws_abm2_f4[[#This Row],[flow_day]]</f>
        <v>167626</v>
      </c>
      <c r="N45">
        <f>Table_socioeca8.sandag.org_ws_abm2_f4[[#This Row],[flow_am]]</f>
        <v>31191</v>
      </c>
      <c r="O45">
        <f>Table_socioeca8.sandag.org_ws_abm2_f4[[#This Row],[flow_pm]]</f>
        <v>44796</v>
      </c>
    </row>
    <row r="46" spans="5:15" x14ac:dyDescent="0.25">
      <c r="E46">
        <v>575</v>
      </c>
      <c r="F46">
        <f t="shared" si="0"/>
        <v>259</v>
      </c>
      <c r="G46">
        <f>IFERROR(VLOOKUP(Table_socioeca8.sandag.org_ws_abm2_f4[[#This Row],[hwycov_id]],[2]flow_freeway!$A$2:$E$1643,3,FALSE),0)</f>
        <v>148586</v>
      </c>
      <c r="H46">
        <f>IFERROR(VLOOKUP(Table_socioeca8.sandag.org_ws_abm2_f4[[#This Row],[hwycov_id]],[2]flow_freeway!$A$2:$E$1643,4,FALSE),0)</f>
        <v>24806</v>
      </c>
      <c r="I46">
        <f>IFERROR(VLOOKUP(Table_socioeca8.sandag.org_ws_abm2_f4[[#This Row],[hwycov_id]],[2]flow_freeway!$A$2:$E$1643,5,FALSE),0)</f>
        <v>42793</v>
      </c>
      <c r="K46">
        <f>Table_socioeca8.sandag.org_ws_abm2_f4[[#This Row],[hwycov_id]]</f>
        <v>575</v>
      </c>
      <c r="L46">
        <f>Table_socioeca8.sandag.org_ws_abm2_f4[[#This Row],[scenario_id]]</f>
        <v>259</v>
      </c>
      <c r="M46">
        <f>Table_socioeca8.sandag.org_ws_abm2_f4[[#This Row],[flow_day]]</f>
        <v>148586</v>
      </c>
      <c r="N46">
        <f>Table_socioeca8.sandag.org_ws_abm2_f4[[#This Row],[flow_am]]</f>
        <v>24806</v>
      </c>
      <c r="O46">
        <f>Table_socioeca8.sandag.org_ws_abm2_f4[[#This Row],[flow_pm]]</f>
        <v>42793</v>
      </c>
    </row>
    <row r="47" spans="5:15" x14ac:dyDescent="0.25">
      <c r="E47">
        <v>578</v>
      </c>
      <c r="F47">
        <f t="shared" si="0"/>
        <v>259</v>
      </c>
      <c r="G47">
        <f>IFERROR(VLOOKUP(Table_socioeca8.sandag.org_ws_abm2_f4[[#This Row],[hwycov_id]],[2]flow_freeway!$A$2:$E$1643,3,FALSE),0)</f>
        <v>104412</v>
      </c>
      <c r="H47">
        <f>IFERROR(VLOOKUP(Table_socioeca8.sandag.org_ws_abm2_f4[[#This Row],[hwycov_id]],[2]flow_freeway!$A$2:$E$1643,4,FALSE),0)</f>
        <v>17717</v>
      </c>
      <c r="I47">
        <f>IFERROR(VLOOKUP(Table_socioeca8.sandag.org_ws_abm2_f4[[#This Row],[hwycov_id]],[2]flow_freeway!$A$2:$E$1643,5,FALSE),0)</f>
        <v>30283</v>
      </c>
      <c r="K47">
        <f>Table_socioeca8.sandag.org_ws_abm2_f4[[#This Row],[hwycov_id]]</f>
        <v>578</v>
      </c>
      <c r="L47">
        <f>Table_socioeca8.sandag.org_ws_abm2_f4[[#This Row],[scenario_id]]</f>
        <v>259</v>
      </c>
      <c r="M47">
        <f>Table_socioeca8.sandag.org_ws_abm2_f4[[#This Row],[flow_day]]</f>
        <v>104412</v>
      </c>
      <c r="N47">
        <f>Table_socioeca8.sandag.org_ws_abm2_f4[[#This Row],[flow_am]]</f>
        <v>17717</v>
      </c>
      <c r="O47">
        <f>Table_socioeca8.sandag.org_ws_abm2_f4[[#This Row],[flow_pm]]</f>
        <v>30283</v>
      </c>
    </row>
    <row r="48" spans="5:15" x14ac:dyDescent="0.25">
      <c r="E48">
        <v>579</v>
      </c>
      <c r="F48">
        <f t="shared" si="0"/>
        <v>259</v>
      </c>
      <c r="G48">
        <f>IFERROR(VLOOKUP(Table_socioeca8.sandag.org_ws_abm2_f4[[#This Row],[hwycov_id]],[2]flow_freeway!$A$2:$E$1643,3,FALSE),0)</f>
        <v>62934</v>
      </c>
      <c r="H48">
        <f>IFERROR(VLOOKUP(Table_socioeca8.sandag.org_ws_abm2_f4[[#This Row],[hwycov_id]],[2]flow_freeway!$A$2:$E$1643,4,FALSE),0)</f>
        <v>13950</v>
      </c>
      <c r="I48">
        <f>IFERROR(VLOOKUP(Table_socioeca8.sandag.org_ws_abm2_f4[[#This Row],[hwycov_id]],[2]flow_freeway!$A$2:$E$1643,5,FALSE),0)</f>
        <v>15413</v>
      </c>
      <c r="K48">
        <f>Table_socioeca8.sandag.org_ws_abm2_f4[[#This Row],[hwycov_id]]</f>
        <v>579</v>
      </c>
      <c r="L48">
        <f>Table_socioeca8.sandag.org_ws_abm2_f4[[#This Row],[scenario_id]]</f>
        <v>259</v>
      </c>
      <c r="M48">
        <f>Table_socioeca8.sandag.org_ws_abm2_f4[[#This Row],[flow_day]]</f>
        <v>62934</v>
      </c>
      <c r="N48">
        <f>Table_socioeca8.sandag.org_ws_abm2_f4[[#This Row],[flow_am]]</f>
        <v>13950</v>
      </c>
      <c r="O48">
        <f>Table_socioeca8.sandag.org_ws_abm2_f4[[#This Row],[flow_pm]]</f>
        <v>15413</v>
      </c>
    </row>
    <row r="49" spans="5:15" x14ac:dyDescent="0.25">
      <c r="E49">
        <v>580</v>
      </c>
      <c r="F49">
        <f t="shared" si="0"/>
        <v>259</v>
      </c>
      <c r="G49">
        <f>IFERROR(VLOOKUP(Table_socioeca8.sandag.org_ws_abm2_f4[[#This Row],[hwycov_id]],[2]flow_freeway!$A$2:$E$1643,3,FALSE),0)</f>
        <v>99739</v>
      </c>
      <c r="H49">
        <f>IFERROR(VLOOKUP(Table_socioeca8.sandag.org_ws_abm2_f4[[#This Row],[hwycov_id]],[2]flow_freeway!$A$2:$E$1643,4,FALSE),0)</f>
        <v>23009</v>
      </c>
      <c r="I49">
        <f>IFERROR(VLOOKUP(Table_socioeca8.sandag.org_ws_abm2_f4[[#This Row],[hwycov_id]],[2]flow_freeway!$A$2:$E$1643,5,FALSE),0)</f>
        <v>18303</v>
      </c>
      <c r="K49">
        <f>Table_socioeca8.sandag.org_ws_abm2_f4[[#This Row],[hwycov_id]]</f>
        <v>580</v>
      </c>
      <c r="L49">
        <f>Table_socioeca8.sandag.org_ws_abm2_f4[[#This Row],[scenario_id]]</f>
        <v>259</v>
      </c>
      <c r="M49">
        <f>Table_socioeca8.sandag.org_ws_abm2_f4[[#This Row],[flow_day]]</f>
        <v>99739</v>
      </c>
      <c r="N49">
        <f>Table_socioeca8.sandag.org_ws_abm2_f4[[#This Row],[flow_am]]</f>
        <v>23009</v>
      </c>
      <c r="O49">
        <f>Table_socioeca8.sandag.org_ws_abm2_f4[[#This Row],[flow_pm]]</f>
        <v>18303</v>
      </c>
    </row>
    <row r="50" spans="5:15" x14ac:dyDescent="0.25">
      <c r="E50">
        <v>589</v>
      </c>
      <c r="F50">
        <f t="shared" si="0"/>
        <v>259</v>
      </c>
      <c r="G50">
        <f>IFERROR(VLOOKUP(Table_socioeca8.sandag.org_ws_abm2_f4[[#This Row],[hwycov_id]],[2]flow_freeway!$A$2:$E$1643,3,FALSE),0)</f>
        <v>70005</v>
      </c>
      <c r="H50">
        <f>IFERROR(VLOOKUP(Table_socioeca8.sandag.org_ws_abm2_f4[[#This Row],[hwycov_id]],[2]flow_freeway!$A$2:$E$1643,4,FALSE),0)</f>
        <v>11607</v>
      </c>
      <c r="I50">
        <f>IFERROR(VLOOKUP(Table_socioeca8.sandag.org_ws_abm2_f4[[#This Row],[hwycov_id]],[2]flow_freeway!$A$2:$E$1643,5,FALSE),0)</f>
        <v>19195</v>
      </c>
      <c r="K50">
        <f>Table_socioeca8.sandag.org_ws_abm2_f4[[#This Row],[hwycov_id]]</f>
        <v>589</v>
      </c>
      <c r="L50">
        <f>Table_socioeca8.sandag.org_ws_abm2_f4[[#This Row],[scenario_id]]</f>
        <v>259</v>
      </c>
      <c r="M50">
        <f>Table_socioeca8.sandag.org_ws_abm2_f4[[#This Row],[flow_day]]</f>
        <v>70005</v>
      </c>
      <c r="N50">
        <f>Table_socioeca8.sandag.org_ws_abm2_f4[[#This Row],[flow_am]]</f>
        <v>11607</v>
      </c>
      <c r="O50">
        <f>Table_socioeca8.sandag.org_ws_abm2_f4[[#This Row],[flow_pm]]</f>
        <v>19195</v>
      </c>
    </row>
    <row r="51" spans="5:15" x14ac:dyDescent="0.25">
      <c r="E51">
        <v>590</v>
      </c>
      <c r="F51">
        <f t="shared" si="0"/>
        <v>259</v>
      </c>
      <c r="G51">
        <f>IFERROR(VLOOKUP(Table_socioeca8.sandag.org_ws_abm2_f4[[#This Row],[hwycov_id]],[2]flow_freeway!$A$2:$E$1643,3,FALSE),0)</f>
        <v>85203</v>
      </c>
      <c r="H51">
        <f>IFERROR(VLOOKUP(Table_socioeca8.sandag.org_ws_abm2_f4[[#This Row],[hwycov_id]],[2]flow_freeway!$A$2:$E$1643,4,FALSE),0)</f>
        <v>14312</v>
      </c>
      <c r="I51">
        <f>IFERROR(VLOOKUP(Table_socioeca8.sandag.org_ws_abm2_f4[[#This Row],[hwycov_id]],[2]flow_freeway!$A$2:$E$1643,5,FALSE),0)</f>
        <v>23048</v>
      </c>
      <c r="K51">
        <f>Table_socioeca8.sandag.org_ws_abm2_f4[[#This Row],[hwycov_id]]</f>
        <v>590</v>
      </c>
      <c r="L51">
        <f>Table_socioeca8.sandag.org_ws_abm2_f4[[#This Row],[scenario_id]]</f>
        <v>259</v>
      </c>
      <c r="M51">
        <f>Table_socioeca8.sandag.org_ws_abm2_f4[[#This Row],[flow_day]]</f>
        <v>85203</v>
      </c>
      <c r="N51">
        <f>Table_socioeca8.sandag.org_ws_abm2_f4[[#This Row],[flow_am]]</f>
        <v>14312</v>
      </c>
      <c r="O51">
        <f>Table_socioeca8.sandag.org_ws_abm2_f4[[#This Row],[flow_pm]]</f>
        <v>23048</v>
      </c>
    </row>
    <row r="52" spans="5:15" x14ac:dyDescent="0.25">
      <c r="E52">
        <v>605</v>
      </c>
      <c r="F52">
        <f t="shared" si="0"/>
        <v>259</v>
      </c>
      <c r="G52">
        <f>IFERROR(VLOOKUP(Table_socioeca8.sandag.org_ws_abm2_f4[[#This Row],[hwycov_id]],[2]flow_freeway!$A$2:$E$1643,3,FALSE),0)</f>
        <v>42282</v>
      </c>
      <c r="H52">
        <f>IFERROR(VLOOKUP(Table_socioeca8.sandag.org_ws_abm2_f4[[#This Row],[hwycov_id]],[2]flow_freeway!$A$2:$E$1643,4,FALSE),0)</f>
        <v>8476</v>
      </c>
      <c r="I52">
        <f>IFERROR(VLOOKUP(Table_socioeca8.sandag.org_ws_abm2_f4[[#This Row],[hwycov_id]],[2]flow_freeway!$A$2:$E$1643,5,FALSE),0)</f>
        <v>7120</v>
      </c>
      <c r="K52">
        <f>Table_socioeca8.sandag.org_ws_abm2_f4[[#This Row],[hwycov_id]]</f>
        <v>605</v>
      </c>
      <c r="L52">
        <f>Table_socioeca8.sandag.org_ws_abm2_f4[[#This Row],[scenario_id]]</f>
        <v>259</v>
      </c>
      <c r="M52">
        <f>Table_socioeca8.sandag.org_ws_abm2_f4[[#This Row],[flow_day]]</f>
        <v>42282</v>
      </c>
      <c r="N52">
        <f>Table_socioeca8.sandag.org_ws_abm2_f4[[#This Row],[flow_am]]</f>
        <v>8476</v>
      </c>
      <c r="O52">
        <f>Table_socioeca8.sandag.org_ws_abm2_f4[[#This Row],[flow_pm]]</f>
        <v>7120</v>
      </c>
    </row>
    <row r="53" spans="5:15" x14ac:dyDescent="0.25">
      <c r="E53">
        <v>610</v>
      </c>
      <c r="F53">
        <f t="shared" si="0"/>
        <v>259</v>
      </c>
      <c r="G53">
        <f>IFERROR(VLOOKUP(Table_socioeca8.sandag.org_ws_abm2_f4[[#This Row],[hwycov_id]],[2]flow_freeway!$A$2:$E$1643,3,FALSE),0)</f>
        <v>58995</v>
      </c>
      <c r="H53">
        <f>IFERROR(VLOOKUP(Table_socioeca8.sandag.org_ws_abm2_f4[[#This Row],[hwycov_id]],[2]flow_freeway!$A$2:$E$1643,4,FALSE),0)</f>
        <v>12603</v>
      </c>
      <c r="I53">
        <f>IFERROR(VLOOKUP(Table_socioeca8.sandag.org_ws_abm2_f4[[#This Row],[hwycov_id]],[2]flow_freeway!$A$2:$E$1643,5,FALSE),0)</f>
        <v>14256</v>
      </c>
      <c r="K53">
        <f>Table_socioeca8.sandag.org_ws_abm2_f4[[#This Row],[hwycov_id]]</f>
        <v>610</v>
      </c>
      <c r="L53">
        <f>Table_socioeca8.sandag.org_ws_abm2_f4[[#This Row],[scenario_id]]</f>
        <v>259</v>
      </c>
      <c r="M53">
        <f>Table_socioeca8.sandag.org_ws_abm2_f4[[#This Row],[flow_day]]</f>
        <v>58995</v>
      </c>
      <c r="N53">
        <f>Table_socioeca8.sandag.org_ws_abm2_f4[[#This Row],[flow_am]]</f>
        <v>12603</v>
      </c>
      <c r="O53">
        <f>Table_socioeca8.sandag.org_ws_abm2_f4[[#This Row],[flow_pm]]</f>
        <v>14256</v>
      </c>
    </row>
    <row r="54" spans="5:15" x14ac:dyDescent="0.25">
      <c r="E54">
        <v>611</v>
      </c>
      <c r="F54">
        <f t="shared" si="0"/>
        <v>259</v>
      </c>
      <c r="G54">
        <f>IFERROR(VLOOKUP(Table_socioeca8.sandag.org_ws_abm2_f4[[#This Row],[hwycov_id]],[2]flow_freeway!$A$2:$E$1643,3,FALSE),0)</f>
        <v>59409</v>
      </c>
      <c r="H54">
        <f>IFERROR(VLOOKUP(Table_socioeca8.sandag.org_ws_abm2_f4[[#This Row],[hwycov_id]],[2]flow_freeway!$A$2:$E$1643,4,FALSE),0)</f>
        <v>12799</v>
      </c>
      <c r="I54">
        <f>IFERROR(VLOOKUP(Table_socioeca8.sandag.org_ws_abm2_f4[[#This Row],[hwycov_id]],[2]flow_freeway!$A$2:$E$1643,5,FALSE),0)</f>
        <v>14313</v>
      </c>
      <c r="K54">
        <f>Table_socioeca8.sandag.org_ws_abm2_f4[[#This Row],[hwycov_id]]</f>
        <v>611</v>
      </c>
      <c r="L54">
        <f>Table_socioeca8.sandag.org_ws_abm2_f4[[#This Row],[scenario_id]]</f>
        <v>259</v>
      </c>
      <c r="M54">
        <f>Table_socioeca8.sandag.org_ws_abm2_f4[[#This Row],[flow_day]]</f>
        <v>59409</v>
      </c>
      <c r="N54">
        <f>Table_socioeca8.sandag.org_ws_abm2_f4[[#This Row],[flow_am]]</f>
        <v>12799</v>
      </c>
      <c r="O54">
        <f>Table_socioeca8.sandag.org_ws_abm2_f4[[#This Row],[flow_pm]]</f>
        <v>14313</v>
      </c>
    </row>
    <row r="55" spans="5:15" x14ac:dyDescent="0.25">
      <c r="E55">
        <v>615</v>
      </c>
      <c r="F55">
        <f t="shared" si="0"/>
        <v>259</v>
      </c>
      <c r="G55">
        <f>IFERROR(VLOOKUP(Table_socioeca8.sandag.org_ws_abm2_f4[[#This Row],[hwycov_id]],[2]flow_freeway!$A$2:$E$1643,3,FALSE),0)</f>
        <v>102390</v>
      </c>
      <c r="H55">
        <f>IFERROR(VLOOKUP(Table_socioeca8.sandag.org_ws_abm2_f4[[#This Row],[hwycov_id]],[2]flow_freeway!$A$2:$E$1643,4,FALSE),0)</f>
        <v>16281</v>
      </c>
      <c r="I55">
        <f>IFERROR(VLOOKUP(Table_socioeca8.sandag.org_ws_abm2_f4[[#This Row],[hwycov_id]],[2]flow_freeway!$A$2:$E$1643,5,FALSE),0)</f>
        <v>29248</v>
      </c>
      <c r="K55">
        <f>Table_socioeca8.sandag.org_ws_abm2_f4[[#This Row],[hwycov_id]]</f>
        <v>615</v>
      </c>
      <c r="L55">
        <f>Table_socioeca8.sandag.org_ws_abm2_f4[[#This Row],[scenario_id]]</f>
        <v>259</v>
      </c>
      <c r="M55">
        <f>Table_socioeca8.sandag.org_ws_abm2_f4[[#This Row],[flow_day]]</f>
        <v>102390</v>
      </c>
      <c r="N55">
        <f>Table_socioeca8.sandag.org_ws_abm2_f4[[#This Row],[flow_am]]</f>
        <v>16281</v>
      </c>
      <c r="O55">
        <f>Table_socioeca8.sandag.org_ws_abm2_f4[[#This Row],[flow_pm]]</f>
        <v>29248</v>
      </c>
    </row>
    <row r="56" spans="5:15" x14ac:dyDescent="0.25">
      <c r="E56">
        <v>617</v>
      </c>
      <c r="F56">
        <f t="shared" si="0"/>
        <v>259</v>
      </c>
      <c r="G56">
        <f>IFERROR(VLOOKUP(Table_socioeca8.sandag.org_ws_abm2_f4[[#This Row],[hwycov_id]],[2]flow_freeway!$A$2:$E$1643,3,FALSE),0)</f>
        <v>60375</v>
      </c>
      <c r="H56">
        <f>IFERROR(VLOOKUP(Table_socioeca8.sandag.org_ws_abm2_f4[[#This Row],[hwycov_id]],[2]flow_freeway!$A$2:$E$1643,4,FALSE),0)</f>
        <v>11849</v>
      </c>
      <c r="I56">
        <f>IFERROR(VLOOKUP(Table_socioeca8.sandag.org_ws_abm2_f4[[#This Row],[hwycov_id]],[2]flow_freeway!$A$2:$E$1643,5,FALSE),0)</f>
        <v>12554</v>
      </c>
      <c r="K56">
        <f>Table_socioeca8.sandag.org_ws_abm2_f4[[#This Row],[hwycov_id]]</f>
        <v>617</v>
      </c>
      <c r="L56">
        <f>Table_socioeca8.sandag.org_ws_abm2_f4[[#This Row],[scenario_id]]</f>
        <v>259</v>
      </c>
      <c r="M56">
        <f>Table_socioeca8.sandag.org_ws_abm2_f4[[#This Row],[flow_day]]</f>
        <v>60375</v>
      </c>
      <c r="N56">
        <f>Table_socioeca8.sandag.org_ws_abm2_f4[[#This Row],[flow_am]]</f>
        <v>11849</v>
      </c>
      <c r="O56">
        <f>Table_socioeca8.sandag.org_ws_abm2_f4[[#This Row],[flow_pm]]</f>
        <v>12554</v>
      </c>
    </row>
    <row r="57" spans="5:15" x14ac:dyDescent="0.25">
      <c r="E57">
        <v>619</v>
      </c>
      <c r="F57">
        <f t="shared" si="0"/>
        <v>259</v>
      </c>
      <c r="G57">
        <f>IFERROR(VLOOKUP(Table_socioeca8.sandag.org_ws_abm2_f4[[#This Row],[hwycov_id]],[2]flow_freeway!$A$2:$E$1643,3,FALSE),0)</f>
        <v>29312</v>
      </c>
      <c r="H57">
        <f>IFERROR(VLOOKUP(Table_socioeca8.sandag.org_ws_abm2_f4[[#This Row],[hwycov_id]],[2]flow_freeway!$A$2:$E$1643,4,FALSE),0)</f>
        <v>2542</v>
      </c>
      <c r="I57">
        <f>IFERROR(VLOOKUP(Table_socioeca8.sandag.org_ws_abm2_f4[[#This Row],[hwycov_id]],[2]flow_freeway!$A$2:$E$1643,5,FALSE),0)</f>
        <v>9040</v>
      </c>
      <c r="K57">
        <f>Table_socioeca8.sandag.org_ws_abm2_f4[[#This Row],[hwycov_id]]</f>
        <v>619</v>
      </c>
      <c r="L57">
        <f>Table_socioeca8.sandag.org_ws_abm2_f4[[#This Row],[scenario_id]]</f>
        <v>259</v>
      </c>
      <c r="M57">
        <f>Table_socioeca8.sandag.org_ws_abm2_f4[[#This Row],[flow_day]]</f>
        <v>29312</v>
      </c>
      <c r="N57">
        <f>Table_socioeca8.sandag.org_ws_abm2_f4[[#This Row],[flow_am]]</f>
        <v>2542</v>
      </c>
      <c r="O57">
        <f>Table_socioeca8.sandag.org_ws_abm2_f4[[#This Row],[flow_pm]]</f>
        <v>9040</v>
      </c>
    </row>
    <row r="58" spans="5:15" x14ac:dyDescent="0.25">
      <c r="E58">
        <v>621</v>
      </c>
      <c r="F58">
        <f t="shared" si="0"/>
        <v>259</v>
      </c>
      <c r="G58">
        <f>IFERROR(VLOOKUP(Table_socioeca8.sandag.org_ws_abm2_f4[[#This Row],[hwycov_id]],[2]flow_freeway!$A$2:$E$1643,3,FALSE),0)</f>
        <v>102638</v>
      </c>
      <c r="H58">
        <f>IFERROR(VLOOKUP(Table_socioeca8.sandag.org_ws_abm2_f4[[#This Row],[hwycov_id]],[2]flow_freeway!$A$2:$E$1643,4,FALSE),0)</f>
        <v>23863</v>
      </c>
      <c r="I58">
        <f>IFERROR(VLOOKUP(Table_socioeca8.sandag.org_ws_abm2_f4[[#This Row],[hwycov_id]],[2]flow_freeway!$A$2:$E$1643,5,FALSE),0)</f>
        <v>19090</v>
      </c>
      <c r="K58">
        <f>Table_socioeca8.sandag.org_ws_abm2_f4[[#This Row],[hwycov_id]]</f>
        <v>621</v>
      </c>
      <c r="L58">
        <f>Table_socioeca8.sandag.org_ws_abm2_f4[[#This Row],[scenario_id]]</f>
        <v>259</v>
      </c>
      <c r="M58">
        <f>Table_socioeca8.sandag.org_ws_abm2_f4[[#This Row],[flow_day]]</f>
        <v>102638</v>
      </c>
      <c r="N58">
        <f>Table_socioeca8.sandag.org_ws_abm2_f4[[#This Row],[flow_am]]</f>
        <v>23863</v>
      </c>
      <c r="O58">
        <f>Table_socioeca8.sandag.org_ws_abm2_f4[[#This Row],[flow_pm]]</f>
        <v>19090</v>
      </c>
    </row>
    <row r="59" spans="5:15" x14ac:dyDescent="0.25">
      <c r="E59">
        <v>637</v>
      </c>
      <c r="F59">
        <f t="shared" si="0"/>
        <v>259</v>
      </c>
      <c r="G59">
        <f>IFERROR(VLOOKUP(Table_socioeca8.sandag.org_ws_abm2_f4[[#This Row],[hwycov_id]],[2]flow_freeway!$A$2:$E$1643,3,FALSE),0)</f>
        <v>100286</v>
      </c>
      <c r="H59">
        <f>IFERROR(VLOOKUP(Table_socioeca8.sandag.org_ws_abm2_f4[[#This Row],[hwycov_id]],[2]flow_freeway!$A$2:$E$1643,4,FALSE),0)</f>
        <v>26646</v>
      </c>
      <c r="I59">
        <f>IFERROR(VLOOKUP(Table_socioeca8.sandag.org_ws_abm2_f4[[#This Row],[hwycov_id]],[2]flow_freeway!$A$2:$E$1643,5,FALSE),0)</f>
        <v>19816</v>
      </c>
      <c r="K59">
        <f>Table_socioeca8.sandag.org_ws_abm2_f4[[#This Row],[hwycov_id]]</f>
        <v>637</v>
      </c>
      <c r="L59">
        <f>Table_socioeca8.sandag.org_ws_abm2_f4[[#This Row],[scenario_id]]</f>
        <v>259</v>
      </c>
      <c r="M59">
        <f>Table_socioeca8.sandag.org_ws_abm2_f4[[#This Row],[flow_day]]</f>
        <v>100286</v>
      </c>
      <c r="N59">
        <f>Table_socioeca8.sandag.org_ws_abm2_f4[[#This Row],[flow_am]]</f>
        <v>26646</v>
      </c>
      <c r="O59">
        <f>Table_socioeca8.sandag.org_ws_abm2_f4[[#This Row],[flow_pm]]</f>
        <v>19816</v>
      </c>
    </row>
    <row r="60" spans="5:15" x14ac:dyDescent="0.25">
      <c r="E60">
        <v>640</v>
      </c>
      <c r="F60">
        <f t="shared" si="0"/>
        <v>259</v>
      </c>
      <c r="G60">
        <f>IFERROR(VLOOKUP(Table_socioeca8.sandag.org_ws_abm2_f4[[#This Row],[hwycov_id]],[2]flow_freeway!$A$2:$E$1643,3,FALSE),0)</f>
        <v>88117</v>
      </c>
      <c r="H60">
        <f>IFERROR(VLOOKUP(Table_socioeca8.sandag.org_ws_abm2_f4[[#This Row],[hwycov_id]],[2]flow_freeway!$A$2:$E$1643,4,FALSE),0)</f>
        <v>21974</v>
      </c>
      <c r="I60">
        <f>IFERROR(VLOOKUP(Table_socioeca8.sandag.org_ws_abm2_f4[[#This Row],[hwycov_id]],[2]flow_freeway!$A$2:$E$1643,5,FALSE),0)</f>
        <v>20784</v>
      </c>
      <c r="K60">
        <f>Table_socioeca8.sandag.org_ws_abm2_f4[[#This Row],[hwycov_id]]</f>
        <v>640</v>
      </c>
      <c r="L60">
        <f>Table_socioeca8.sandag.org_ws_abm2_f4[[#This Row],[scenario_id]]</f>
        <v>259</v>
      </c>
      <c r="M60">
        <f>Table_socioeca8.sandag.org_ws_abm2_f4[[#This Row],[flow_day]]</f>
        <v>88117</v>
      </c>
      <c r="N60">
        <f>Table_socioeca8.sandag.org_ws_abm2_f4[[#This Row],[flow_am]]</f>
        <v>21974</v>
      </c>
      <c r="O60">
        <f>Table_socioeca8.sandag.org_ws_abm2_f4[[#This Row],[flow_pm]]</f>
        <v>20784</v>
      </c>
    </row>
    <row r="61" spans="5:15" x14ac:dyDescent="0.25">
      <c r="E61">
        <v>643</v>
      </c>
      <c r="F61">
        <f t="shared" si="0"/>
        <v>259</v>
      </c>
      <c r="G61">
        <f>IFERROR(VLOOKUP(Table_socioeca8.sandag.org_ws_abm2_f4[[#This Row],[hwycov_id]],[2]flow_freeway!$A$2:$E$1643,3,FALSE),0)</f>
        <v>112031</v>
      </c>
      <c r="H61">
        <f>IFERROR(VLOOKUP(Table_socioeca8.sandag.org_ws_abm2_f4[[#This Row],[hwycov_id]],[2]flow_freeway!$A$2:$E$1643,4,FALSE),0)</f>
        <v>27308</v>
      </c>
      <c r="I61">
        <f>IFERROR(VLOOKUP(Table_socioeca8.sandag.org_ws_abm2_f4[[#This Row],[hwycov_id]],[2]flow_freeway!$A$2:$E$1643,5,FALSE),0)</f>
        <v>21076</v>
      </c>
      <c r="K61">
        <f>Table_socioeca8.sandag.org_ws_abm2_f4[[#This Row],[hwycov_id]]</f>
        <v>643</v>
      </c>
      <c r="L61">
        <f>Table_socioeca8.sandag.org_ws_abm2_f4[[#This Row],[scenario_id]]</f>
        <v>259</v>
      </c>
      <c r="M61">
        <f>Table_socioeca8.sandag.org_ws_abm2_f4[[#This Row],[flow_day]]</f>
        <v>112031</v>
      </c>
      <c r="N61">
        <f>Table_socioeca8.sandag.org_ws_abm2_f4[[#This Row],[flow_am]]</f>
        <v>27308</v>
      </c>
      <c r="O61">
        <f>Table_socioeca8.sandag.org_ws_abm2_f4[[#This Row],[flow_pm]]</f>
        <v>21076</v>
      </c>
    </row>
    <row r="62" spans="5:15" x14ac:dyDescent="0.25">
      <c r="E62">
        <v>651</v>
      </c>
      <c r="F62">
        <f t="shared" si="0"/>
        <v>259</v>
      </c>
      <c r="G62">
        <f>IFERROR(VLOOKUP(Table_socioeca8.sandag.org_ws_abm2_f4[[#This Row],[hwycov_id]],[2]flow_freeway!$A$2:$E$1643,3,FALSE),0)</f>
        <v>40375</v>
      </c>
      <c r="H62">
        <f>IFERROR(VLOOKUP(Table_socioeca8.sandag.org_ws_abm2_f4[[#This Row],[hwycov_id]],[2]flow_freeway!$A$2:$E$1643,4,FALSE),0)</f>
        <v>2550</v>
      </c>
      <c r="I62">
        <f>IFERROR(VLOOKUP(Table_socioeca8.sandag.org_ws_abm2_f4[[#This Row],[hwycov_id]],[2]flow_freeway!$A$2:$E$1643,5,FALSE),0)</f>
        <v>13325</v>
      </c>
      <c r="K62">
        <f>Table_socioeca8.sandag.org_ws_abm2_f4[[#This Row],[hwycov_id]]</f>
        <v>651</v>
      </c>
      <c r="L62">
        <f>Table_socioeca8.sandag.org_ws_abm2_f4[[#This Row],[scenario_id]]</f>
        <v>259</v>
      </c>
      <c r="M62">
        <f>Table_socioeca8.sandag.org_ws_abm2_f4[[#This Row],[flow_day]]</f>
        <v>40375</v>
      </c>
      <c r="N62">
        <f>Table_socioeca8.sandag.org_ws_abm2_f4[[#This Row],[flow_am]]</f>
        <v>2550</v>
      </c>
      <c r="O62">
        <f>Table_socioeca8.sandag.org_ws_abm2_f4[[#This Row],[flow_pm]]</f>
        <v>13325</v>
      </c>
    </row>
    <row r="63" spans="5:15" x14ac:dyDescent="0.25">
      <c r="E63">
        <v>653</v>
      </c>
      <c r="F63">
        <f t="shared" si="0"/>
        <v>259</v>
      </c>
      <c r="G63">
        <f>IFERROR(VLOOKUP(Table_socioeca8.sandag.org_ws_abm2_f4[[#This Row],[hwycov_id]],[2]flow_freeway!$A$2:$E$1643,3,FALSE),0)</f>
        <v>1833</v>
      </c>
      <c r="H63">
        <f>IFERROR(VLOOKUP(Table_socioeca8.sandag.org_ws_abm2_f4[[#This Row],[hwycov_id]],[2]flow_freeway!$A$2:$E$1643,4,FALSE),0)</f>
        <v>1833</v>
      </c>
      <c r="I63">
        <f>IFERROR(VLOOKUP(Table_socioeca8.sandag.org_ws_abm2_f4[[#This Row],[hwycov_id]],[2]flow_freeway!$A$2:$E$1643,5,FALSE),0)</f>
        <v>0</v>
      </c>
      <c r="K63">
        <f>Table_socioeca8.sandag.org_ws_abm2_f4[[#This Row],[hwycov_id]]</f>
        <v>653</v>
      </c>
      <c r="L63">
        <f>Table_socioeca8.sandag.org_ws_abm2_f4[[#This Row],[scenario_id]]</f>
        <v>259</v>
      </c>
      <c r="M63">
        <f>Table_socioeca8.sandag.org_ws_abm2_f4[[#This Row],[flow_day]]</f>
        <v>1833</v>
      </c>
      <c r="N63">
        <f>Table_socioeca8.sandag.org_ws_abm2_f4[[#This Row],[flow_am]]</f>
        <v>1833</v>
      </c>
      <c r="O63">
        <f>Table_socioeca8.sandag.org_ws_abm2_f4[[#This Row],[flow_pm]]</f>
        <v>0</v>
      </c>
    </row>
    <row r="64" spans="5:15" x14ac:dyDescent="0.25">
      <c r="E64">
        <v>659</v>
      </c>
      <c r="F64">
        <f t="shared" si="0"/>
        <v>259</v>
      </c>
      <c r="G64">
        <f>IFERROR(VLOOKUP(Table_socioeca8.sandag.org_ws_abm2_f4[[#This Row],[hwycov_id]],[2]flow_freeway!$A$2:$E$1643,3,FALSE),0)</f>
        <v>1833</v>
      </c>
      <c r="H64">
        <f>IFERROR(VLOOKUP(Table_socioeca8.sandag.org_ws_abm2_f4[[#This Row],[hwycov_id]],[2]flow_freeway!$A$2:$E$1643,4,FALSE),0)</f>
        <v>1833</v>
      </c>
      <c r="I64">
        <f>IFERROR(VLOOKUP(Table_socioeca8.sandag.org_ws_abm2_f4[[#This Row],[hwycov_id]],[2]flow_freeway!$A$2:$E$1643,5,FALSE),0)</f>
        <v>0</v>
      </c>
      <c r="K64">
        <f>Table_socioeca8.sandag.org_ws_abm2_f4[[#This Row],[hwycov_id]]</f>
        <v>659</v>
      </c>
      <c r="L64">
        <f>Table_socioeca8.sandag.org_ws_abm2_f4[[#This Row],[scenario_id]]</f>
        <v>259</v>
      </c>
      <c r="M64">
        <f>Table_socioeca8.sandag.org_ws_abm2_f4[[#This Row],[flow_day]]</f>
        <v>1833</v>
      </c>
      <c r="N64">
        <f>Table_socioeca8.sandag.org_ws_abm2_f4[[#This Row],[flow_am]]</f>
        <v>1833</v>
      </c>
      <c r="O64">
        <f>Table_socioeca8.sandag.org_ws_abm2_f4[[#This Row],[flow_pm]]</f>
        <v>0</v>
      </c>
    </row>
    <row r="65" spans="5:15" x14ac:dyDescent="0.25">
      <c r="E65">
        <v>660</v>
      </c>
      <c r="F65">
        <f t="shared" si="0"/>
        <v>259</v>
      </c>
      <c r="G65">
        <f>IFERROR(VLOOKUP(Table_socioeca8.sandag.org_ws_abm2_f4[[#This Row],[hwycov_id]],[2]flow_freeway!$A$2:$E$1643,3,FALSE),0)</f>
        <v>1833</v>
      </c>
      <c r="H65">
        <f>IFERROR(VLOOKUP(Table_socioeca8.sandag.org_ws_abm2_f4[[#This Row],[hwycov_id]],[2]flow_freeway!$A$2:$E$1643,4,FALSE),0)</f>
        <v>1833</v>
      </c>
      <c r="I65">
        <f>IFERROR(VLOOKUP(Table_socioeca8.sandag.org_ws_abm2_f4[[#This Row],[hwycov_id]],[2]flow_freeway!$A$2:$E$1643,5,FALSE),0)</f>
        <v>0</v>
      </c>
      <c r="K65">
        <f>Table_socioeca8.sandag.org_ws_abm2_f4[[#This Row],[hwycov_id]]</f>
        <v>660</v>
      </c>
      <c r="L65">
        <f>Table_socioeca8.sandag.org_ws_abm2_f4[[#This Row],[scenario_id]]</f>
        <v>259</v>
      </c>
      <c r="M65">
        <f>Table_socioeca8.sandag.org_ws_abm2_f4[[#This Row],[flow_day]]</f>
        <v>1833</v>
      </c>
      <c r="N65">
        <f>Table_socioeca8.sandag.org_ws_abm2_f4[[#This Row],[flow_am]]</f>
        <v>1833</v>
      </c>
      <c r="O65">
        <f>Table_socioeca8.sandag.org_ws_abm2_f4[[#This Row],[flow_pm]]</f>
        <v>0</v>
      </c>
    </row>
    <row r="66" spans="5:15" x14ac:dyDescent="0.25">
      <c r="E66">
        <v>662</v>
      </c>
      <c r="F66">
        <f t="shared" si="0"/>
        <v>259</v>
      </c>
      <c r="G66">
        <f>IFERROR(VLOOKUP(Table_socioeca8.sandag.org_ws_abm2_f4[[#This Row],[hwycov_id]],[2]flow_freeway!$A$2:$E$1643,3,FALSE),0)</f>
        <v>1833</v>
      </c>
      <c r="H66">
        <f>IFERROR(VLOOKUP(Table_socioeca8.sandag.org_ws_abm2_f4[[#This Row],[hwycov_id]],[2]flow_freeway!$A$2:$E$1643,4,FALSE),0)</f>
        <v>1833</v>
      </c>
      <c r="I66">
        <f>IFERROR(VLOOKUP(Table_socioeca8.sandag.org_ws_abm2_f4[[#This Row],[hwycov_id]],[2]flow_freeway!$A$2:$E$1643,5,FALSE),0)</f>
        <v>0</v>
      </c>
      <c r="K66">
        <f>Table_socioeca8.sandag.org_ws_abm2_f4[[#This Row],[hwycov_id]]</f>
        <v>662</v>
      </c>
      <c r="L66">
        <f>Table_socioeca8.sandag.org_ws_abm2_f4[[#This Row],[scenario_id]]</f>
        <v>259</v>
      </c>
      <c r="M66">
        <f>Table_socioeca8.sandag.org_ws_abm2_f4[[#This Row],[flow_day]]</f>
        <v>1833</v>
      </c>
      <c r="N66">
        <f>Table_socioeca8.sandag.org_ws_abm2_f4[[#This Row],[flow_am]]</f>
        <v>1833</v>
      </c>
      <c r="O66">
        <f>Table_socioeca8.sandag.org_ws_abm2_f4[[#This Row],[flow_pm]]</f>
        <v>0</v>
      </c>
    </row>
    <row r="67" spans="5:15" x14ac:dyDescent="0.25">
      <c r="E67">
        <v>663</v>
      </c>
      <c r="F67">
        <f t="shared" si="0"/>
        <v>259</v>
      </c>
      <c r="G67">
        <f>IFERROR(VLOOKUP(Table_socioeca8.sandag.org_ws_abm2_f4[[#This Row],[hwycov_id]],[2]flow_freeway!$A$2:$E$1643,3,FALSE),0)</f>
        <v>14381</v>
      </c>
      <c r="H67">
        <f>IFERROR(VLOOKUP(Table_socioeca8.sandag.org_ws_abm2_f4[[#This Row],[hwycov_id]],[2]flow_freeway!$A$2:$E$1643,4,FALSE),0)</f>
        <v>4001</v>
      </c>
      <c r="I67">
        <f>IFERROR(VLOOKUP(Table_socioeca8.sandag.org_ws_abm2_f4[[#This Row],[hwycov_id]],[2]flow_freeway!$A$2:$E$1643,5,FALSE),0)</f>
        <v>4527</v>
      </c>
      <c r="K67">
        <f>Table_socioeca8.sandag.org_ws_abm2_f4[[#This Row],[hwycov_id]]</f>
        <v>663</v>
      </c>
      <c r="L67">
        <f>Table_socioeca8.sandag.org_ws_abm2_f4[[#This Row],[scenario_id]]</f>
        <v>259</v>
      </c>
      <c r="M67">
        <f>Table_socioeca8.sandag.org_ws_abm2_f4[[#This Row],[flow_day]]</f>
        <v>14381</v>
      </c>
      <c r="N67">
        <f>Table_socioeca8.sandag.org_ws_abm2_f4[[#This Row],[flow_am]]</f>
        <v>4001</v>
      </c>
      <c r="O67">
        <f>Table_socioeca8.sandag.org_ws_abm2_f4[[#This Row],[flow_pm]]</f>
        <v>4527</v>
      </c>
    </row>
    <row r="68" spans="5:15" x14ac:dyDescent="0.25">
      <c r="E68">
        <v>664</v>
      </c>
      <c r="F68">
        <f t="shared" ref="F68:F131" si="1">F67</f>
        <v>259</v>
      </c>
      <c r="G68">
        <f>IFERROR(VLOOKUP(Table_socioeca8.sandag.org_ws_abm2_f4[[#This Row],[hwycov_id]],[2]flow_freeway!$A$2:$E$1643,3,FALSE),0)</f>
        <v>16309</v>
      </c>
      <c r="H68">
        <f>IFERROR(VLOOKUP(Table_socioeca8.sandag.org_ws_abm2_f4[[#This Row],[hwycov_id]],[2]flow_freeway!$A$2:$E$1643,4,FALSE),0)</f>
        <v>3966</v>
      </c>
      <c r="I68">
        <f>IFERROR(VLOOKUP(Table_socioeca8.sandag.org_ws_abm2_f4[[#This Row],[hwycov_id]],[2]flow_freeway!$A$2:$E$1643,5,FALSE),0)</f>
        <v>5287</v>
      </c>
      <c r="K68">
        <f>Table_socioeca8.sandag.org_ws_abm2_f4[[#This Row],[hwycov_id]]</f>
        <v>664</v>
      </c>
      <c r="L68">
        <f>Table_socioeca8.sandag.org_ws_abm2_f4[[#This Row],[scenario_id]]</f>
        <v>259</v>
      </c>
      <c r="M68">
        <f>Table_socioeca8.sandag.org_ws_abm2_f4[[#This Row],[flow_day]]</f>
        <v>16309</v>
      </c>
      <c r="N68">
        <f>Table_socioeca8.sandag.org_ws_abm2_f4[[#This Row],[flow_am]]</f>
        <v>3966</v>
      </c>
      <c r="O68">
        <f>Table_socioeca8.sandag.org_ws_abm2_f4[[#This Row],[flow_pm]]</f>
        <v>5287</v>
      </c>
    </row>
    <row r="69" spans="5:15" x14ac:dyDescent="0.25">
      <c r="E69">
        <v>665</v>
      </c>
      <c r="F69">
        <f t="shared" si="1"/>
        <v>259</v>
      </c>
      <c r="G69">
        <f>IFERROR(VLOOKUP(Table_socioeca8.sandag.org_ws_abm2_f4[[#This Row],[hwycov_id]],[2]flow_freeway!$A$2:$E$1643,3,FALSE),0)</f>
        <v>2132</v>
      </c>
      <c r="H69">
        <f>IFERROR(VLOOKUP(Table_socioeca8.sandag.org_ws_abm2_f4[[#This Row],[hwycov_id]],[2]flow_freeway!$A$2:$E$1643,4,FALSE),0)</f>
        <v>0</v>
      </c>
      <c r="I69">
        <f>IFERROR(VLOOKUP(Table_socioeca8.sandag.org_ws_abm2_f4[[#This Row],[hwycov_id]],[2]flow_freeway!$A$2:$E$1643,5,FALSE),0)</f>
        <v>2132</v>
      </c>
      <c r="K69">
        <f>Table_socioeca8.sandag.org_ws_abm2_f4[[#This Row],[hwycov_id]]</f>
        <v>665</v>
      </c>
      <c r="L69">
        <f>Table_socioeca8.sandag.org_ws_abm2_f4[[#This Row],[scenario_id]]</f>
        <v>259</v>
      </c>
      <c r="M69">
        <f>Table_socioeca8.sandag.org_ws_abm2_f4[[#This Row],[flow_day]]</f>
        <v>2132</v>
      </c>
      <c r="N69">
        <f>Table_socioeca8.sandag.org_ws_abm2_f4[[#This Row],[flow_am]]</f>
        <v>0</v>
      </c>
      <c r="O69">
        <f>Table_socioeca8.sandag.org_ws_abm2_f4[[#This Row],[flow_pm]]</f>
        <v>2132</v>
      </c>
    </row>
    <row r="70" spans="5:15" x14ac:dyDescent="0.25">
      <c r="E70">
        <v>666</v>
      </c>
      <c r="F70">
        <f t="shared" si="1"/>
        <v>259</v>
      </c>
      <c r="G70">
        <f>IFERROR(VLOOKUP(Table_socioeca8.sandag.org_ws_abm2_f4[[#This Row],[hwycov_id]],[2]flow_freeway!$A$2:$E$1643,3,FALSE),0)</f>
        <v>2132</v>
      </c>
      <c r="H70">
        <f>IFERROR(VLOOKUP(Table_socioeca8.sandag.org_ws_abm2_f4[[#This Row],[hwycov_id]],[2]flow_freeway!$A$2:$E$1643,4,FALSE),0)</f>
        <v>0</v>
      </c>
      <c r="I70">
        <f>IFERROR(VLOOKUP(Table_socioeca8.sandag.org_ws_abm2_f4[[#This Row],[hwycov_id]],[2]flow_freeway!$A$2:$E$1643,5,FALSE),0)</f>
        <v>2132</v>
      </c>
      <c r="K70">
        <f>Table_socioeca8.sandag.org_ws_abm2_f4[[#This Row],[hwycov_id]]</f>
        <v>666</v>
      </c>
      <c r="L70">
        <f>Table_socioeca8.sandag.org_ws_abm2_f4[[#This Row],[scenario_id]]</f>
        <v>259</v>
      </c>
      <c r="M70">
        <f>Table_socioeca8.sandag.org_ws_abm2_f4[[#This Row],[flow_day]]</f>
        <v>2132</v>
      </c>
      <c r="N70">
        <f>Table_socioeca8.sandag.org_ws_abm2_f4[[#This Row],[flow_am]]</f>
        <v>0</v>
      </c>
      <c r="O70">
        <f>Table_socioeca8.sandag.org_ws_abm2_f4[[#This Row],[flow_pm]]</f>
        <v>2132</v>
      </c>
    </row>
    <row r="71" spans="5:15" x14ac:dyDescent="0.25">
      <c r="E71">
        <v>668</v>
      </c>
      <c r="F71">
        <f t="shared" si="1"/>
        <v>259</v>
      </c>
      <c r="G71">
        <f>IFERROR(VLOOKUP(Table_socioeca8.sandag.org_ws_abm2_f4[[#This Row],[hwycov_id]],[2]flow_freeway!$A$2:$E$1643,3,FALSE),0)</f>
        <v>2132</v>
      </c>
      <c r="H71">
        <f>IFERROR(VLOOKUP(Table_socioeca8.sandag.org_ws_abm2_f4[[#This Row],[hwycov_id]],[2]flow_freeway!$A$2:$E$1643,4,FALSE),0)</f>
        <v>0</v>
      </c>
      <c r="I71">
        <f>IFERROR(VLOOKUP(Table_socioeca8.sandag.org_ws_abm2_f4[[#This Row],[hwycov_id]],[2]flow_freeway!$A$2:$E$1643,5,FALSE),0)</f>
        <v>2132</v>
      </c>
      <c r="K71">
        <f>Table_socioeca8.sandag.org_ws_abm2_f4[[#This Row],[hwycov_id]]</f>
        <v>668</v>
      </c>
      <c r="L71">
        <f>Table_socioeca8.sandag.org_ws_abm2_f4[[#This Row],[scenario_id]]</f>
        <v>259</v>
      </c>
      <c r="M71">
        <f>Table_socioeca8.sandag.org_ws_abm2_f4[[#This Row],[flow_day]]</f>
        <v>2132</v>
      </c>
      <c r="N71">
        <f>Table_socioeca8.sandag.org_ws_abm2_f4[[#This Row],[flow_am]]</f>
        <v>0</v>
      </c>
      <c r="O71">
        <f>Table_socioeca8.sandag.org_ws_abm2_f4[[#This Row],[flow_pm]]</f>
        <v>2132</v>
      </c>
    </row>
    <row r="72" spans="5:15" x14ac:dyDescent="0.25">
      <c r="E72">
        <v>669</v>
      </c>
      <c r="F72">
        <f t="shared" si="1"/>
        <v>259</v>
      </c>
      <c r="G72">
        <f>IFERROR(VLOOKUP(Table_socioeca8.sandag.org_ws_abm2_f4[[#This Row],[hwycov_id]],[2]flow_freeway!$A$2:$E$1643,3,FALSE),0)</f>
        <v>101802</v>
      </c>
      <c r="H72">
        <f>IFERROR(VLOOKUP(Table_socioeca8.sandag.org_ws_abm2_f4[[#This Row],[hwycov_id]],[2]flow_freeway!$A$2:$E$1643,4,FALSE),0)</f>
        <v>16911</v>
      </c>
      <c r="I72">
        <f>IFERROR(VLOOKUP(Table_socioeca8.sandag.org_ws_abm2_f4[[#This Row],[hwycov_id]],[2]flow_freeway!$A$2:$E$1643,5,FALSE),0)</f>
        <v>28939</v>
      </c>
      <c r="K72">
        <f>Table_socioeca8.sandag.org_ws_abm2_f4[[#This Row],[hwycov_id]]</f>
        <v>669</v>
      </c>
      <c r="L72">
        <f>Table_socioeca8.sandag.org_ws_abm2_f4[[#This Row],[scenario_id]]</f>
        <v>259</v>
      </c>
      <c r="M72">
        <f>Table_socioeca8.sandag.org_ws_abm2_f4[[#This Row],[flow_day]]</f>
        <v>101802</v>
      </c>
      <c r="N72">
        <f>Table_socioeca8.sandag.org_ws_abm2_f4[[#This Row],[flow_am]]</f>
        <v>16911</v>
      </c>
      <c r="O72">
        <f>Table_socioeca8.sandag.org_ws_abm2_f4[[#This Row],[flow_pm]]</f>
        <v>28939</v>
      </c>
    </row>
    <row r="73" spans="5:15" x14ac:dyDescent="0.25">
      <c r="E73">
        <v>671</v>
      </c>
      <c r="F73">
        <f t="shared" si="1"/>
        <v>259</v>
      </c>
      <c r="G73">
        <f>IFERROR(VLOOKUP(Table_socioeca8.sandag.org_ws_abm2_f4[[#This Row],[hwycov_id]],[2]flow_freeway!$A$2:$E$1643,3,FALSE),0)</f>
        <v>97194</v>
      </c>
      <c r="H73">
        <f>IFERROR(VLOOKUP(Table_socioeca8.sandag.org_ws_abm2_f4[[#This Row],[hwycov_id]],[2]flow_freeway!$A$2:$E$1643,4,FALSE),0)</f>
        <v>15651</v>
      </c>
      <c r="I73">
        <f>IFERROR(VLOOKUP(Table_socioeca8.sandag.org_ws_abm2_f4[[#This Row],[hwycov_id]],[2]flow_freeway!$A$2:$E$1643,5,FALSE),0)</f>
        <v>27940</v>
      </c>
      <c r="K73">
        <f>Table_socioeca8.sandag.org_ws_abm2_f4[[#This Row],[hwycov_id]]</f>
        <v>671</v>
      </c>
      <c r="L73">
        <f>Table_socioeca8.sandag.org_ws_abm2_f4[[#This Row],[scenario_id]]</f>
        <v>259</v>
      </c>
      <c r="M73">
        <f>Table_socioeca8.sandag.org_ws_abm2_f4[[#This Row],[flow_day]]</f>
        <v>97194</v>
      </c>
      <c r="N73">
        <f>Table_socioeca8.sandag.org_ws_abm2_f4[[#This Row],[flow_am]]</f>
        <v>15651</v>
      </c>
      <c r="O73">
        <f>Table_socioeca8.sandag.org_ws_abm2_f4[[#This Row],[flow_pm]]</f>
        <v>27940</v>
      </c>
    </row>
    <row r="74" spans="5:15" x14ac:dyDescent="0.25">
      <c r="E74">
        <v>672</v>
      </c>
      <c r="F74">
        <f t="shared" si="1"/>
        <v>259</v>
      </c>
      <c r="G74">
        <f>IFERROR(VLOOKUP(Table_socioeca8.sandag.org_ws_abm2_f4[[#This Row],[hwycov_id]],[2]flow_freeway!$A$2:$E$1643,3,FALSE),0)</f>
        <v>97812</v>
      </c>
      <c r="H74">
        <f>IFERROR(VLOOKUP(Table_socioeca8.sandag.org_ws_abm2_f4[[#This Row],[hwycov_id]],[2]flow_freeway!$A$2:$E$1643,4,FALSE),0)</f>
        <v>22490</v>
      </c>
      <c r="I74">
        <f>IFERROR(VLOOKUP(Table_socioeca8.sandag.org_ws_abm2_f4[[#This Row],[hwycov_id]],[2]flow_freeway!$A$2:$E$1643,5,FALSE),0)</f>
        <v>18540</v>
      </c>
      <c r="K74">
        <f>Table_socioeca8.sandag.org_ws_abm2_f4[[#This Row],[hwycov_id]]</f>
        <v>672</v>
      </c>
      <c r="L74">
        <f>Table_socioeca8.sandag.org_ws_abm2_f4[[#This Row],[scenario_id]]</f>
        <v>259</v>
      </c>
      <c r="M74">
        <f>Table_socioeca8.sandag.org_ws_abm2_f4[[#This Row],[flow_day]]</f>
        <v>97812</v>
      </c>
      <c r="N74">
        <f>Table_socioeca8.sandag.org_ws_abm2_f4[[#This Row],[flow_am]]</f>
        <v>22490</v>
      </c>
      <c r="O74">
        <f>Table_socioeca8.sandag.org_ws_abm2_f4[[#This Row],[flow_pm]]</f>
        <v>18540</v>
      </c>
    </row>
    <row r="75" spans="5:15" x14ac:dyDescent="0.25">
      <c r="E75">
        <v>673</v>
      </c>
      <c r="F75">
        <f t="shared" si="1"/>
        <v>259</v>
      </c>
      <c r="G75">
        <f>IFERROR(VLOOKUP(Table_socioeca8.sandag.org_ws_abm2_f4[[#This Row],[hwycov_id]],[2]flow_freeway!$A$2:$E$1643,3,FALSE),0)</f>
        <v>90341</v>
      </c>
      <c r="H75">
        <f>IFERROR(VLOOKUP(Table_socioeca8.sandag.org_ws_abm2_f4[[#This Row],[hwycov_id]],[2]flow_freeway!$A$2:$E$1643,4,FALSE),0)</f>
        <v>14367</v>
      </c>
      <c r="I75">
        <f>IFERROR(VLOOKUP(Table_socioeca8.sandag.org_ws_abm2_f4[[#This Row],[hwycov_id]],[2]flow_freeway!$A$2:$E$1643,5,FALSE),0)</f>
        <v>26538</v>
      </c>
      <c r="K75">
        <f>Table_socioeca8.sandag.org_ws_abm2_f4[[#This Row],[hwycov_id]]</f>
        <v>673</v>
      </c>
      <c r="L75">
        <f>Table_socioeca8.sandag.org_ws_abm2_f4[[#This Row],[scenario_id]]</f>
        <v>259</v>
      </c>
      <c r="M75">
        <f>Table_socioeca8.sandag.org_ws_abm2_f4[[#This Row],[flow_day]]</f>
        <v>90341</v>
      </c>
      <c r="N75">
        <f>Table_socioeca8.sandag.org_ws_abm2_f4[[#This Row],[flow_am]]</f>
        <v>14367</v>
      </c>
      <c r="O75">
        <f>Table_socioeca8.sandag.org_ws_abm2_f4[[#This Row],[flow_pm]]</f>
        <v>26538</v>
      </c>
    </row>
    <row r="76" spans="5:15" x14ac:dyDescent="0.25">
      <c r="E76">
        <v>674</v>
      </c>
      <c r="F76">
        <f t="shared" si="1"/>
        <v>259</v>
      </c>
      <c r="G76">
        <f>IFERROR(VLOOKUP(Table_socioeca8.sandag.org_ws_abm2_f4[[#This Row],[hwycov_id]],[2]flow_freeway!$A$2:$E$1643,3,FALSE),0)</f>
        <v>90963</v>
      </c>
      <c r="H76">
        <f>IFERROR(VLOOKUP(Table_socioeca8.sandag.org_ws_abm2_f4[[#This Row],[hwycov_id]],[2]flow_freeway!$A$2:$E$1643,4,FALSE),0)</f>
        <v>21706</v>
      </c>
      <c r="I76">
        <f>IFERROR(VLOOKUP(Table_socioeca8.sandag.org_ws_abm2_f4[[#This Row],[hwycov_id]],[2]flow_freeway!$A$2:$E$1643,5,FALSE),0)</f>
        <v>16231</v>
      </c>
      <c r="K76">
        <f>Table_socioeca8.sandag.org_ws_abm2_f4[[#This Row],[hwycov_id]]</f>
        <v>674</v>
      </c>
      <c r="L76">
        <f>Table_socioeca8.sandag.org_ws_abm2_f4[[#This Row],[scenario_id]]</f>
        <v>259</v>
      </c>
      <c r="M76">
        <f>Table_socioeca8.sandag.org_ws_abm2_f4[[#This Row],[flow_day]]</f>
        <v>90963</v>
      </c>
      <c r="N76">
        <f>Table_socioeca8.sandag.org_ws_abm2_f4[[#This Row],[flow_am]]</f>
        <v>21706</v>
      </c>
      <c r="O76">
        <f>Table_socioeca8.sandag.org_ws_abm2_f4[[#This Row],[flow_pm]]</f>
        <v>16231</v>
      </c>
    </row>
    <row r="77" spans="5:15" x14ac:dyDescent="0.25">
      <c r="E77">
        <v>675</v>
      </c>
      <c r="F77">
        <f t="shared" si="1"/>
        <v>259</v>
      </c>
      <c r="G77">
        <f>IFERROR(VLOOKUP(Table_socioeca8.sandag.org_ws_abm2_f4[[#This Row],[hwycov_id]],[2]flow_freeway!$A$2:$E$1643,3,FALSE),0)</f>
        <v>96409</v>
      </c>
      <c r="H77">
        <f>IFERROR(VLOOKUP(Table_socioeca8.sandag.org_ws_abm2_f4[[#This Row],[hwycov_id]],[2]flow_freeway!$A$2:$E$1643,4,FALSE),0)</f>
        <v>22683</v>
      </c>
      <c r="I77">
        <f>IFERROR(VLOOKUP(Table_socioeca8.sandag.org_ws_abm2_f4[[#This Row],[hwycov_id]],[2]flow_freeway!$A$2:$E$1643,5,FALSE),0)</f>
        <v>17354</v>
      </c>
      <c r="K77">
        <f>Table_socioeca8.sandag.org_ws_abm2_f4[[#This Row],[hwycov_id]]</f>
        <v>675</v>
      </c>
      <c r="L77">
        <f>Table_socioeca8.sandag.org_ws_abm2_f4[[#This Row],[scenario_id]]</f>
        <v>259</v>
      </c>
      <c r="M77">
        <f>Table_socioeca8.sandag.org_ws_abm2_f4[[#This Row],[flow_day]]</f>
        <v>96409</v>
      </c>
      <c r="N77">
        <f>Table_socioeca8.sandag.org_ws_abm2_f4[[#This Row],[flow_am]]</f>
        <v>22683</v>
      </c>
      <c r="O77">
        <f>Table_socioeca8.sandag.org_ws_abm2_f4[[#This Row],[flow_pm]]</f>
        <v>17354</v>
      </c>
    </row>
    <row r="78" spans="5:15" x14ac:dyDescent="0.25">
      <c r="E78">
        <v>684</v>
      </c>
      <c r="F78">
        <f t="shared" si="1"/>
        <v>259</v>
      </c>
      <c r="G78">
        <f>IFERROR(VLOOKUP(Table_socioeca8.sandag.org_ws_abm2_f4[[#This Row],[hwycov_id]],[2]flow_freeway!$A$2:$E$1643,3,FALSE),0)</f>
        <v>26423</v>
      </c>
      <c r="H78">
        <f>IFERROR(VLOOKUP(Table_socioeca8.sandag.org_ws_abm2_f4[[#This Row],[hwycov_id]],[2]flow_freeway!$A$2:$E$1643,4,FALSE),0)</f>
        <v>4457</v>
      </c>
      <c r="I78">
        <f>IFERROR(VLOOKUP(Table_socioeca8.sandag.org_ws_abm2_f4[[#This Row],[hwycov_id]],[2]flow_freeway!$A$2:$E$1643,5,FALSE),0)</f>
        <v>5506</v>
      </c>
      <c r="K78">
        <f>Table_socioeca8.sandag.org_ws_abm2_f4[[#This Row],[hwycov_id]]</f>
        <v>684</v>
      </c>
      <c r="L78">
        <f>Table_socioeca8.sandag.org_ws_abm2_f4[[#This Row],[scenario_id]]</f>
        <v>259</v>
      </c>
      <c r="M78">
        <f>Table_socioeca8.sandag.org_ws_abm2_f4[[#This Row],[flow_day]]</f>
        <v>26423</v>
      </c>
      <c r="N78">
        <f>Table_socioeca8.sandag.org_ws_abm2_f4[[#This Row],[flow_am]]</f>
        <v>4457</v>
      </c>
      <c r="O78">
        <f>Table_socioeca8.sandag.org_ws_abm2_f4[[#This Row],[flow_pm]]</f>
        <v>5506</v>
      </c>
    </row>
    <row r="79" spans="5:15" x14ac:dyDescent="0.25">
      <c r="E79">
        <v>685</v>
      </c>
      <c r="F79">
        <f t="shared" si="1"/>
        <v>259</v>
      </c>
      <c r="G79">
        <f>IFERROR(VLOOKUP(Table_socioeca8.sandag.org_ws_abm2_f4[[#This Row],[hwycov_id]],[2]flow_freeway!$A$2:$E$1643,3,FALSE),0)</f>
        <v>25411</v>
      </c>
      <c r="H79">
        <f>IFERROR(VLOOKUP(Table_socioeca8.sandag.org_ws_abm2_f4[[#This Row],[hwycov_id]],[2]flow_freeway!$A$2:$E$1643,4,FALSE),0)</f>
        <v>4137</v>
      </c>
      <c r="I79">
        <f>IFERROR(VLOOKUP(Table_socioeca8.sandag.org_ws_abm2_f4[[#This Row],[hwycov_id]],[2]flow_freeway!$A$2:$E$1643,5,FALSE),0)</f>
        <v>5489</v>
      </c>
      <c r="K79">
        <f>Table_socioeca8.sandag.org_ws_abm2_f4[[#This Row],[hwycov_id]]</f>
        <v>685</v>
      </c>
      <c r="L79">
        <f>Table_socioeca8.sandag.org_ws_abm2_f4[[#This Row],[scenario_id]]</f>
        <v>259</v>
      </c>
      <c r="M79">
        <f>Table_socioeca8.sandag.org_ws_abm2_f4[[#This Row],[flow_day]]</f>
        <v>25411</v>
      </c>
      <c r="N79">
        <f>Table_socioeca8.sandag.org_ws_abm2_f4[[#This Row],[flow_am]]</f>
        <v>4137</v>
      </c>
      <c r="O79">
        <f>Table_socioeca8.sandag.org_ws_abm2_f4[[#This Row],[flow_pm]]</f>
        <v>5489</v>
      </c>
    </row>
    <row r="80" spans="5:15" x14ac:dyDescent="0.25">
      <c r="E80">
        <v>686</v>
      </c>
      <c r="F80">
        <f t="shared" si="1"/>
        <v>259</v>
      </c>
      <c r="G80">
        <f>IFERROR(VLOOKUP(Table_socioeca8.sandag.org_ws_abm2_f4[[#This Row],[hwycov_id]],[2]flow_freeway!$A$2:$E$1643,3,FALSE),0)</f>
        <v>34026</v>
      </c>
      <c r="H80">
        <f>IFERROR(VLOOKUP(Table_socioeca8.sandag.org_ws_abm2_f4[[#This Row],[hwycov_id]],[2]flow_freeway!$A$2:$E$1643,4,FALSE),0)</f>
        <v>5784</v>
      </c>
      <c r="I80">
        <f>IFERROR(VLOOKUP(Table_socioeca8.sandag.org_ws_abm2_f4[[#This Row],[hwycov_id]],[2]flow_freeway!$A$2:$E$1643,5,FALSE),0)</f>
        <v>7736</v>
      </c>
      <c r="K80">
        <f>Table_socioeca8.sandag.org_ws_abm2_f4[[#This Row],[hwycov_id]]</f>
        <v>686</v>
      </c>
      <c r="L80">
        <f>Table_socioeca8.sandag.org_ws_abm2_f4[[#This Row],[scenario_id]]</f>
        <v>259</v>
      </c>
      <c r="M80">
        <f>Table_socioeca8.sandag.org_ws_abm2_f4[[#This Row],[flow_day]]</f>
        <v>34026</v>
      </c>
      <c r="N80">
        <f>Table_socioeca8.sandag.org_ws_abm2_f4[[#This Row],[flow_am]]</f>
        <v>5784</v>
      </c>
      <c r="O80">
        <f>Table_socioeca8.sandag.org_ws_abm2_f4[[#This Row],[flow_pm]]</f>
        <v>7736</v>
      </c>
    </row>
    <row r="81" spans="5:15" x14ac:dyDescent="0.25">
      <c r="E81">
        <v>687</v>
      </c>
      <c r="F81">
        <f t="shared" si="1"/>
        <v>259</v>
      </c>
      <c r="G81">
        <f>IFERROR(VLOOKUP(Table_socioeca8.sandag.org_ws_abm2_f4[[#This Row],[hwycov_id]],[2]flow_freeway!$A$2:$E$1643,3,FALSE),0)</f>
        <v>29731</v>
      </c>
      <c r="H81">
        <f>IFERROR(VLOOKUP(Table_socioeca8.sandag.org_ws_abm2_f4[[#This Row],[hwycov_id]],[2]flow_freeway!$A$2:$E$1643,4,FALSE),0)</f>
        <v>5176</v>
      </c>
      <c r="I81">
        <f>IFERROR(VLOOKUP(Table_socioeca8.sandag.org_ws_abm2_f4[[#This Row],[hwycov_id]],[2]flow_freeway!$A$2:$E$1643,5,FALSE),0)</f>
        <v>6773</v>
      </c>
      <c r="K81">
        <f>Table_socioeca8.sandag.org_ws_abm2_f4[[#This Row],[hwycov_id]]</f>
        <v>687</v>
      </c>
      <c r="L81">
        <f>Table_socioeca8.sandag.org_ws_abm2_f4[[#This Row],[scenario_id]]</f>
        <v>259</v>
      </c>
      <c r="M81">
        <f>Table_socioeca8.sandag.org_ws_abm2_f4[[#This Row],[flow_day]]</f>
        <v>29731</v>
      </c>
      <c r="N81">
        <f>Table_socioeca8.sandag.org_ws_abm2_f4[[#This Row],[flow_am]]</f>
        <v>5176</v>
      </c>
      <c r="O81">
        <f>Table_socioeca8.sandag.org_ws_abm2_f4[[#This Row],[flow_pm]]</f>
        <v>6773</v>
      </c>
    </row>
    <row r="82" spans="5:15" x14ac:dyDescent="0.25">
      <c r="E82">
        <v>688</v>
      </c>
      <c r="F82">
        <f t="shared" si="1"/>
        <v>259</v>
      </c>
      <c r="G82">
        <f>IFERROR(VLOOKUP(Table_socioeca8.sandag.org_ws_abm2_f4[[#This Row],[hwycov_id]],[2]flow_freeway!$A$2:$E$1643,3,FALSE),0)</f>
        <v>64577</v>
      </c>
      <c r="H82">
        <f>IFERROR(VLOOKUP(Table_socioeca8.sandag.org_ws_abm2_f4[[#This Row],[hwycov_id]],[2]flow_freeway!$A$2:$E$1643,4,FALSE),0)</f>
        <v>11910</v>
      </c>
      <c r="I82">
        <f>IFERROR(VLOOKUP(Table_socioeca8.sandag.org_ws_abm2_f4[[#This Row],[hwycov_id]],[2]flow_freeway!$A$2:$E$1643,5,FALSE),0)</f>
        <v>14788</v>
      </c>
      <c r="K82">
        <f>Table_socioeca8.sandag.org_ws_abm2_f4[[#This Row],[hwycov_id]]</f>
        <v>688</v>
      </c>
      <c r="L82">
        <f>Table_socioeca8.sandag.org_ws_abm2_f4[[#This Row],[scenario_id]]</f>
        <v>259</v>
      </c>
      <c r="M82">
        <f>Table_socioeca8.sandag.org_ws_abm2_f4[[#This Row],[flow_day]]</f>
        <v>64577</v>
      </c>
      <c r="N82">
        <f>Table_socioeca8.sandag.org_ws_abm2_f4[[#This Row],[flow_am]]</f>
        <v>11910</v>
      </c>
      <c r="O82">
        <f>Table_socioeca8.sandag.org_ws_abm2_f4[[#This Row],[flow_pm]]</f>
        <v>14788</v>
      </c>
    </row>
    <row r="83" spans="5:15" x14ac:dyDescent="0.25">
      <c r="E83">
        <v>689</v>
      </c>
      <c r="F83">
        <f t="shared" si="1"/>
        <v>259</v>
      </c>
      <c r="G83">
        <f>IFERROR(VLOOKUP(Table_socioeca8.sandag.org_ws_abm2_f4[[#This Row],[hwycov_id]],[2]flow_freeway!$A$2:$E$1643,3,FALSE),0)</f>
        <v>58684</v>
      </c>
      <c r="H83">
        <f>IFERROR(VLOOKUP(Table_socioeca8.sandag.org_ws_abm2_f4[[#This Row],[hwycov_id]],[2]flow_freeway!$A$2:$E$1643,4,FALSE),0)</f>
        <v>10846</v>
      </c>
      <c r="I83">
        <f>IFERROR(VLOOKUP(Table_socioeca8.sandag.org_ws_abm2_f4[[#This Row],[hwycov_id]],[2]flow_freeway!$A$2:$E$1643,5,FALSE),0)</f>
        <v>13696</v>
      </c>
      <c r="K83">
        <f>Table_socioeca8.sandag.org_ws_abm2_f4[[#This Row],[hwycov_id]]</f>
        <v>689</v>
      </c>
      <c r="L83">
        <f>Table_socioeca8.sandag.org_ws_abm2_f4[[#This Row],[scenario_id]]</f>
        <v>259</v>
      </c>
      <c r="M83">
        <f>Table_socioeca8.sandag.org_ws_abm2_f4[[#This Row],[flow_day]]</f>
        <v>58684</v>
      </c>
      <c r="N83">
        <f>Table_socioeca8.sandag.org_ws_abm2_f4[[#This Row],[flow_am]]</f>
        <v>10846</v>
      </c>
      <c r="O83">
        <f>Table_socioeca8.sandag.org_ws_abm2_f4[[#This Row],[flow_pm]]</f>
        <v>13696</v>
      </c>
    </row>
    <row r="84" spans="5:15" x14ac:dyDescent="0.25">
      <c r="E84">
        <v>690</v>
      </c>
      <c r="F84">
        <f t="shared" si="1"/>
        <v>259</v>
      </c>
      <c r="G84">
        <f>IFERROR(VLOOKUP(Table_socioeca8.sandag.org_ws_abm2_f4[[#This Row],[hwycov_id]],[2]flow_freeway!$A$2:$E$1643,3,FALSE),0)</f>
        <v>77025</v>
      </c>
      <c r="H84">
        <f>IFERROR(VLOOKUP(Table_socioeca8.sandag.org_ws_abm2_f4[[#This Row],[hwycov_id]],[2]flow_freeway!$A$2:$E$1643,4,FALSE),0)</f>
        <v>15287</v>
      </c>
      <c r="I84">
        <f>IFERROR(VLOOKUP(Table_socioeca8.sandag.org_ws_abm2_f4[[#This Row],[hwycov_id]],[2]flow_freeway!$A$2:$E$1643,5,FALSE),0)</f>
        <v>17760</v>
      </c>
      <c r="K84">
        <f>Table_socioeca8.sandag.org_ws_abm2_f4[[#This Row],[hwycov_id]]</f>
        <v>690</v>
      </c>
      <c r="L84">
        <f>Table_socioeca8.sandag.org_ws_abm2_f4[[#This Row],[scenario_id]]</f>
        <v>259</v>
      </c>
      <c r="M84">
        <f>Table_socioeca8.sandag.org_ws_abm2_f4[[#This Row],[flow_day]]</f>
        <v>77025</v>
      </c>
      <c r="N84">
        <f>Table_socioeca8.sandag.org_ws_abm2_f4[[#This Row],[flow_am]]</f>
        <v>15287</v>
      </c>
      <c r="O84">
        <f>Table_socioeca8.sandag.org_ws_abm2_f4[[#This Row],[flow_pm]]</f>
        <v>17760</v>
      </c>
    </row>
    <row r="85" spans="5:15" x14ac:dyDescent="0.25">
      <c r="E85">
        <v>696</v>
      </c>
      <c r="F85">
        <f t="shared" si="1"/>
        <v>259</v>
      </c>
      <c r="G85">
        <f>IFERROR(VLOOKUP(Table_socioeca8.sandag.org_ws_abm2_f4[[#This Row],[hwycov_id]],[2]flow_freeway!$A$2:$E$1643,3,FALSE),0)</f>
        <v>68301</v>
      </c>
      <c r="H85">
        <f>IFERROR(VLOOKUP(Table_socioeca8.sandag.org_ws_abm2_f4[[#This Row],[hwycov_id]],[2]flow_freeway!$A$2:$E$1643,4,FALSE),0)</f>
        <v>13740</v>
      </c>
      <c r="I85">
        <f>IFERROR(VLOOKUP(Table_socioeca8.sandag.org_ws_abm2_f4[[#This Row],[hwycov_id]],[2]flow_freeway!$A$2:$E$1643,5,FALSE),0)</f>
        <v>15857</v>
      </c>
      <c r="K85">
        <f>Table_socioeca8.sandag.org_ws_abm2_f4[[#This Row],[hwycov_id]]</f>
        <v>696</v>
      </c>
      <c r="L85">
        <f>Table_socioeca8.sandag.org_ws_abm2_f4[[#This Row],[scenario_id]]</f>
        <v>259</v>
      </c>
      <c r="M85">
        <f>Table_socioeca8.sandag.org_ws_abm2_f4[[#This Row],[flow_day]]</f>
        <v>68301</v>
      </c>
      <c r="N85">
        <f>Table_socioeca8.sandag.org_ws_abm2_f4[[#This Row],[flow_am]]</f>
        <v>13740</v>
      </c>
      <c r="O85">
        <f>Table_socioeca8.sandag.org_ws_abm2_f4[[#This Row],[flow_pm]]</f>
        <v>15857</v>
      </c>
    </row>
    <row r="86" spans="5:15" x14ac:dyDescent="0.25">
      <c r="E86">
        <v>698</v>
      </c>
      <c r="F86">
        <f t="shared" si="1"/>
        <v>259</v>
      </c>
      <c r="G86">
        <f>IFERROR(VLOOKUP(Table_socioeca8.sandag.org_ws_abm2_f4[[#This Row],[hwycov_id]],[2]flow_freeway!$A$2:$E$1643,3,FALSE),0)</f>
        <v>77015</v>
      </c>
      <c r="H86">
        <f>IFERROR(VLOOKUP(Table_socioeca8.sandag.org_ws_abm2_f4[[#This Row],[hwycov_id]],[2]flow_freeway!$A$2:$E$1643,4,FALSE),0)</f>
        <v>16088</v>
      </c>
      <c r="I86">
        <f>IFERROR(VLOOKUP(Table_socioeca8.sandag.org_ws_abm2_f4[[#This Row],[hwycov_id]],[2]flow_freeway!$A$2:$E$1643,5,FALSE),0)</f>
        <v>17825</v>
      </c>
      <c r="K86">
        <f>Table_socioeca8.sandag.org_ws_abm2_f4[[#This Row],[hwycov_id]]</f>
        <v>698</v>
      </c>
      <c r="L86">
        <f>Table_socioeca8.sandag.org_ws_abm2_f4[[#This Row],[scenario_id]]</f>
        <v>259</v>
      </c>
      <c r="M86">
        <f>Table_socioeca8.sandag.org_ws_abm2_f4[[#This Row],[flow_day]]</f>
        <v>77015</v>
      </c>
      <c r="N86">
        <f>Table_socioeca8.sandag.org_ws_abm2_f4[[#This Row],[flow_am]]</f>
        <v>16088</v>
      </c>
      <c r="O86">
        <f>Table_socioeca8.sandag.org_ws_abm2_f4[[#This Row],[flow_pm]]</f>
        <v>17825</v>
      </c>
    </row>
    <row r="87" spans="5:15" x14ac:dyDescent="0.25">
      <c r="E87">
        <v>699</v>
      </c>
      <c r="F87">
        <f t="shared" si="1"/>
        <v>259</v>
      </c>
      <c r="G87">
        <f>IFERROR(VLOOKUP(Table_socioeca8.sandag.org_ws_abm2_f4[[#This Row],[hwycov_id]],[2]flow_freeway!$A$2:$E$1643,3,FALSE),0)</f>
        <v>64289</v>
      </c>
      <c r="H87">
        <f>IFERROR(VLOOKUP(Table_socioeca8.sandag.org_ws_abm2_f4[[#This Row],[hwycov_id]],[2]flow_freeway!$A$2:$E$1643,4,FALSE),0)</f>
        <v>13861</v>
      </c>
      <c r="I87">
        <f>IFERROR(VLOOKUP(Table_socioeca8.sandag.org_ws_abm2_f4[[#This Row],[hwycov_id]],[2]flow_freeway!$A$2:$E$1643,5,FALSE),0)</f>
        <v>14870</v>
      </c>
      <c r="K87">
        <f>Table_socioeca8.sandag.org_ws_abm2_f4[[#This Row],[hwycov_id]]</f>
        <v>699</v>
      </c>
      <c r="L87">
        <f>Table_socioeca8.sandag.org_ws_abm2_f4[[#This Row],[scenario_id]]</f>
        <v>259</v>
      </c>
      <c r="M87">
        <f>Table_socioeca8.sandag.org_ws_abm2_f4[[#This Row],[flow_day]]</f>
        <v>64289</v>
      </c>
      <c r="N87">
        <f>Table_socioeca8.sandag.org_ws_abm2_f4[[#This Row],[flow_am]]</f>
        <v>13861</v>
      </c>
      <c r="O87">
        <f>Table_socioeca8.sandag.org_ws_abm2_f4[[#This Row],[flow_pm]]</f>
        <v>14870</v>
      </c>
    </row>
    <row r="88" spans="5:15" x14ac:dyDescent="0.25">
      <c r="E88">
        <v>700</v>
      </c>
      <c r="F88">
        <f t="shared" si="1"/>
        <v>259</v>
      </c>
      <c r="G88">
        <f>IFERROR(VLOOKUP(Table_socioeca8.sandag.org_ws_abm2_f4[[#This Row],[hwycov_id]],[2]flow_freeway!$A$2:$E$1643,3,FALSE),0)</f>
        <v>80790</v>
      </c>
      <c r="H88">
        <f>IFERROR(VLOOKUP(Table_socioeca8.sandag.org_ws_abm2_f4[[#This Row],[hwycov_id]],[2]flow_freeway!$A$2:$E$1643,4,FALSE),0)</f>
        <v>17623</v>
      </c>
      <c r="I88">
        <f>IFERROR(VLOOKUP(Table_socioeca8.sandag.org_ws_abm2_f4[[#This Row],[hwycov_id]],[2]flow_freeway!$A$2:$E$1643,5,FALSE),0)</f>
        <v>17614</v>
      </c>
      <c r="K88">
        <f>Table_socioeca8.sandag.org_ws_abm2_f4[[#This Row],[hwycov_id]]</f>
        <v>700</v>
      </c>
      <c r="L88">
        <f>Table_socioeca8.sandag.org_ws_abm2_f4[[#This Row],[scenario_id]]</f>
        <v>259</v>
      </c>
      <c r="M88">
        <f>Table_socioeca8.sandag.org_ws_abm2_f4[[#This Row],[flow_day]]</f>
        <v>80790</v>
      </c>
      <c r="N88">
        <f>Table_socioeca8.sandag.org_ws_abm2_f4[[#This Row],[flow_am]]</f>
        <v>17623</v>
      </c>
      <c r="O88">
        <f>Table_socioeca8.sandag.org_ws_abm2_f4[[#This Row],[flow_pm]]</f>
        <v>17614</v>
      </c>
    </row>
    <row r="89" spans="5:15" x14ac:dyDescent="0.25">
      <c r="E89">
        <v>702</v>
      </c>
      <c r="F89">
        <f t="shared" si="1"/>
        <v>259</v>
      </c>
      <c r="G89">
        <f>IFERROR(VLOOKUP(Table_socioeca8.sandag.org_ws_abm2_f4[[#This Row],[hwycov_id]],[2]flow_freeway!$A$2:$E$1643,3,FALSE),0)</f>
        <v>79266</v>
      </c>
      <c r="H89">
        <f>IFERROR(VLOOKUP(Table_socioeca8.sandag.org_ws_abm2_f4[[#This Row],[hwycov_id]],[2]flow_freeway!$A$2:$E$1643,4,FALSE),0)</f>
        <v>16100</v>
      </c>
      <c r="I89">
        <f>IFERROR(VLOOKUP(Table_socioeca8.sandag.org_ws_abm2_f4[[#This Row],[hwycov_id]],[2]flow_freeway!$A$2:$E$1643,5,FALSE),0)</f>
        <v>17614</v>
      </c>
      <c r="K89">
        <f>Table_socioeca8.sandag.org_ws_abm2_f4[[#This Row],[hwycov_id]]</f>
        <v>702</v>
      </c>
      <c r="L89">
        <f>Table_socioeca8.sandag.org_ws_abm2_f4[[#This Row],[scenario_id]]</f>
        <v>259</v>
      </c>
      <c r="M89">
        <f>Table_socioeca8.sandag.org_ws_abm2_f4[[#This Row],[flow_day]]</f>
        <v>79266</v>
      </c>
      <c r="N89">
        <f>Table_socioeca8.sandag.org_ws_abm2_f4[[#This Row],[flow_am]]</f>
        <v>16100</v>
      </c>
      <c r="O89">
        <f>Table_socioeca8.sandag.org_ws_abm2_f4[[#This Row],[flow_pm]]</f>
        <v>17614</v>
      </c>
    </row>
    <row r="90" spans="5:15" x14ac:dyDescent="0.25">
      <c r="E90">
        <v>703</v>
      </c>
      <c r="F90">
        <f t="shared" si="1"/>
        <v>259</v>
      </c>
      <c r="G90">
        <f>IFERROR(VLOOKUP(Table_socioeca8.sandag.org_ws_abm2_f4[[#This Row],[hwycov_id]],[2]flow_freeway!$A$2:$E$1643,3,FALSE),0)</f>
        <v>72299</v>
      </c>
      <c r="H90">
        <f>IFERROR(VLOOKUP(Table_socioeca8.sandag.org_ws_abm2_f4[[#This Row],[hwycov_id]],[2]flow_freeway!$A$2:$E$1643,4,FALSE),0)</f>
        <v>14710</v>
      </c>
      <c r="I90">
        <f>IFERROR(VLOOKUP(Table_socioeca8.sandag.org_ws_abm2_f4[[#This Row],[hwycov_id]],[2]flow_freeway!$A$2:$E$1643,5,FALSE),0)</f>
        <v>16098</v>
      </c>
      <c r="K90">
        <f>Table_socioeca8.sandag.org_ws_abm2_f4[[#This Row],[hwycov_id]]</f>
        <v>703</v>
      </c>
      <c r="L90">
        <f>Table_socioeca8.sandag.org_ws_abm2_f4[[#This Row],[scenario_id]]</f>
        <v>259</v>
      </c>
      <c r="M90">
        <f>Table_socioeca8.sandag.org_ws_abm2_f4[[#This Row],[flow_day]]</f>
        <v>72299</v>
      </c>
      <c r="N90">
        <f>Table_socioeca8.sandag.org_ws_abm2_f4[[#This Row],[flow_am]]</f>
        <v>14710</v>
      </c>
      <c r="O90">
        <f>Table_socioeca8.sandag.org_ws_abm2_f4[[#This Row],[flow_pm]]</f>
        <v>16098</v>
      </c>
    </row>
    <row r="91" spans="5:15" x14ac:dyDescent="0.25">
      <c r="E91">
        <v>704</v>
      </c>
      <c r="F91">
        <f t="shared" si="1"/>
        <v>259</v>
      </c>
      <c r="G91">
        <f>IFERROR(VLOOKUP(Table_socioeca8.sandag.org_ws_abm2_f4[[#This Row],[hwycov_id]],[2]flow_freeway!$A$2:$E$1643,3,FALSE),0)</f>
        <v>95908</v>
      </c>
      <c r="H91">
        <f>IFERROR(VLOOKUP(Table_socioeca8.sandag.org_ws_abm2_f4[[#This Row],[hwycov_id]],[2]flow_freeway!$A$2:$E$1643,4,FALSE),0)</f>
        <v>18632</v>
      </c>
      <c r="I91">
        <f>IFERROR(VLOOKUP(Table_socioeca8.sandag.org_ws_abm2_f4[[#This Row],[hwycov_id]],[2]flow_freeway!$A$2:$E$1643,5,FALSE),0)</f>
        <v>19842</v>
      </c>
      <c r="K91">
        <f>Table_socioeca8.sandag.org_ws_abm2_f4[[#This Row],[hwycov_id]]</f>
        <v>704</v>
      </c>
      <c r="L91">
        <f>Table_socioeca8.sandag.org_ws_abm2_f4[[#This Row],[scenario_id]]</f>
        <v>259</v>
      </c>
      <c r="M91">
        <f>Table_socioeca8.sandag.org_ws_abm2_f4[[#This Row],[flow_day]]</f>
        <v>95908</v>
      </c>
      <c r="N91">
        <f>Table_socioeca8.sandag.org_ws_abm2_f4[[#This Row],[flow_am]]</f>
        <v>18632</v>
      </c>
      <c r="O91">
        <f>Table_socioeca8.sandag.org_ws_abm2_f4[[#This Row],[flow_pm]]</f>
        <v>19842</v>
      </c>
    </row>
    <row r="92" spans="5:15" x14ac:dyDescent="0.25">
      <c r="E92">
        <v>705</v>
      </c>
      <c r="F92">
        <f t="shared" si="1"/>
        <v>259</v>
      </c>
      <c r="G92">
        <f>IFERROR(VLOOKUP(Table_socioeca8.sandag.org_ws_abm2_f4[[#This Row],[hwycov_id]],[2]flow_freeway!$A$2:$E$1643,3,FALSE),0)</f>
        <v>103157</v>
      </c>
      <c r="H92">
        <f>IFERROR(VLOOKUP(Table_socioeca8.sandag.org_ws_abm2_f4[[#This Row],[hwycov_id]],[2]flow_freeway!$A$2:$E$1643,4,FALSE),0)</f>
        <v>21327</v>
      </c>
      <c r="I92">
        <f>IFERROR(VLOOKUP(Table_socioeca8.sandag.org_ws_abm2_f4[[#This Row],[hwycov_id]],[2]flow_freeway!$A$2:$E$1643,5,FALSE),0)</f>
        <v>21241</v>
      </c>
      <c r="K92">
        <f>Table_socioeca8.sandag.org_ws_abm2_f4[[#This Row],[hwycov_id]]</f>
        <v>705</v>
      </c>
      <c r="L92">
        <f>Table_socioeca8.sandag.org_ws_abm2_f4[[#This Row],[scenario_id]]</f>
        <v>259</v>
      </c>
      <c r="M92">
        <f>Table_socioeca8.sandag.org_ws_abm2_f4[[#This Row],[flow_day]]</f>
        <v>103157</v>
      </c>
      <c r="N92">
        <f>Table_socioeca8.sandag.org_ws_abm2_f4[[#This Row],[flow_am]]</f>
        <v>21327</v>
      </c>
      <c r="O92">
        <f>Table_socioeca8.sandag.org_ws_abm2_f4[[#This Row],[flow_pm]]</f>
        <v>21241</v>
      </c>
    </row>
    <row r="93" spans="5:15" x14ac:dyDescent="0.25">
      <c r="E93">
        <v>706</v>
      </c>
      <c r="F93">
        <f t="shared" si="1"/>
        <v>259</v>
      </c>
      <c r="G93">
        <f>IFERROR(VLOOKUP(Table_socioeca8.sandag.org_ws_abm2_f4[[#This Row],[hwycov_id]],[2]flow_freeway!$A$2:$E$1643,3,FALSE),0)</f>
        <v>111962</v>
      </c>
      <c r="H93">
        <f>IFERROR(VLOOKUP(Table_socioeca8.sandag.org_ws_abm2_f4[[#This Row],[hwycov_id]],[2]flow_freeway!$A$2:$E$1643,4,FALSE),0)</f>
        <v>23553</v>
      </c>
      <c r="I93">
        <f>IFERROR(VLOOKUP(Table_socioeca8.sandag.org_ws_abm2_f4[[#This Row],[hwycov_id]],[2]flow_freeway!$A$2:$E$1643,5,FALSE),0)</f>
        <v>22891</v>
      </c>
      <c r="K93">
        <f>Table_socioeca8.sandag.org_ws_abm2_f4[[#This Row],[hwycov_id]]</f>
        <v>706</v>
      </c>
      <c r="L93">
        <f>Table_socioeca8.sandag.org_ws_abm2_f4[[#This Row],[scenario_id]]</f>
        <v>259</v>
      </c>
      <c r="M93">
        <f>Table_socioeca8.sandag.org_ws_abm2_f4[[#This Row],[flow_day]]</f>
        <v>111962</v>
      </c>
      <c r="N93">
        <f>Table_socioeca8.sandag.org_ws_abm2_f4[[#This Row],[flow_am]]</f>
        <v>23553</v>
      </c>
      <c r="O93">
        <f>Table_socioeca8.sandag.org_ws_abm2_f4[[#This Row],[flow_pm]]</f>
        <v>22891</v>
      </c>
    </row>
    <row r="94" spans="5:15" x14ac:dyDescent="0.25">
      <c r="E94">
        <v>707</v>
      </c>
      <c r="F94">
        <f t="shared" si="1"/>
        <v>259</v>
      </c>
      <c r="G94">
        <f>IFERROR(VLOOKUP(Table_socioeca8.sandag.org_ws_abm2_f4[[#This Row],[hwycov_id]],[2]flow_freeway!$A$2:$E$1643,3,FALSE),0)</f>
        <v>83103</v>
      </c>
      <c r="H94">
        <f>IFERROR(VLOOKUP(Table_socioeca8.sandag.org_ws_abm2_f4[[#This Row],[hwycov_id]],[2]flow_freeway!$A$2:$E$1643,4,FALSE),0)</f>
        <v>18203</v>
      </c>
      <c r="I94">
        <f>IFERROR(VLOOKUP(Table_socioeca8.sandag.org_ws_abm2_f4[[#This Row],[hwycov_id]],[2]flow_freeway!$A$2:$E$1643,5,FALSE),0)</f>
        <v>15990</v>
      </c>
      <c r="K94">
        <f>Table_socioeca8.sandag.org_ws_abm2_f4[[#This Row],[hwycov_id]]</f>
        <v>707</v>
      </c>
      <c r="L94">
        <f>Table_socioeca8.sandag.org_ws_abm2_f4[[#This Row],[scenario_id]]</f>
        <v>259</v>
      </c>
      <c r="M94">
        <f>Table_socioeca8.sandag.org_ws_abm2_f4[[#This Row],[flow_day]]</f>
        <v>83103</v>
      </c>
      <c r="N94">
        <f>Table_socioeca8.sandag.org_ws_abm2_f4[[#This Row],[flow_am]]</f>
        <v>18203</v>
      </c>
      <c r="O94">
        <f>Table_socioeca8.sandag.org_ws_abm2_f4[[#This Row],[flow_pm]]</f>
        <v>15990</v>
      </c>
    </row>
    <row r="95" spans="5:15" x14ac:dyDescent="0.25">
      <c r="E95">
        <v>708</v>
      </c>
      <c r="F95">
        <f t="shared" si="1"/>
        <v>259</v>
      </c>
      <c r="G95">
        <f>IFERROR(VLOOKUP(Table_socioeca8.sandag.org_ws_abm2_f4[[#This Row],[hwycov_id]],[2]flow_freeway!$A$2:$E$1643,3,FALSE),0)</f>
        <v>78008</v>
      </c>
      <c r="H95">
        <f>IFERROR(VLOOKUP(Table_socioeca8.sandag.org_ws_abm2_f4[[#This Row],[hwycov_id]],[2]flow_freeway!$A$2:$E$1643,4,FALSE),0)</f>
        <v>16892</v>
      </c>
      <c r="I95">
        <f>IFERROR(VLOOKUP(Table_socioeca8.sandag.org_ws_abm2_f4[[#This Row],[hwycov_id]],[2]flow_freeway!$A$2:$E$1643,5,FALSE),0)</f>
        <v>14847</v>
      </c>
      <c r="K95">
        <f>Table_socioeca8.sandag.org_ws_abm2_f4[[#This Row],[hwycov_id]]</f>
        <v>708</v>
      </c>
      <c r="L95">
        <f>Table_socioeca8.sandag.org_ws_abm2_f4[[#This Row],[scenario_id]]</f>
        <v>259</v>
      </c>
      <c r="M95">
        <f>Table_socioeca8.sandag.org_ws_abm2_f4[[#This Row],[flow_day]]</f>
        <v>78008</v>
      </c>
      <c r="N95">
        <f>Table_socioeca8.sandag.org_ws_abm2_f4[[#This Row],[flow_am]]</f>
        <v>16892</v>
      </c>
      <c r="O95">
        <f>Table_socioeca8.sandag.org_ws_abm2_f4[[#This Row],[flow_pm]]</f>
        <v>14847</v>
      </c>
    </row>
    <row r="96" spans="5:15" x14ac:dyDescent="0.25">
      <c r="E96">
        <v>711</v>
      </c>
      <c r="F96">
        <f t="shared" si="1"/>
        <v>259</v>
      </c>
      <c r="G96">
        <f>IFERROR(VLOOKUP(Table_socioeca8.sandag.org_ws_abm2_f4[[#This Row],[hwycov_id]],[2]flow_freeway!$A$2:$E$1643,3,FALSE),0)</f>
        <v>92294</v>
      </c>
      <c r="H96">
        <f>IFERROR(VLOOKUP(Table_socioeca8.sandag.org_ws_abm2_f4[[#This Row],[hwycov_id]],[2]flow_freeway!$A$2:$E$1643,4,FALSE),0)</f>
        <v>20659</v>
      </c>
      <c r="I96">
        <f>IFERROR(VLOOKUP(Table_socioeca8.sandag.org_ws_abm2_f4[[#This Row],[hwycov_id]],[2]flow_freeway!$A$2:$E$1643,5,FALSE),0)</f>
        <v>18525</v>
      </c>
      <c r="K96">
        <f>Table_socioeca8.sandag.org_ws_abm2_f4[[#This Row],[hwycov_id]]</f>
        <v>711</v>
      </c>
      <c r="L96">
        <f>Table_socioeca8.sandag.org_ws_abm2_f4[[#This Row],[scenario_id]]</f>
        <v>259</v>
      </c>
      <c r="M96">
        <f>Table_socioeca8.sandag.org_ws_abm2_f4[[#This Row],[flow_day]]</f>
        <v>92294</v>
      </c>
      <c r="N96">
        <f>Table_socioeca8.sandag.org_ws_abm2_f4[[#This Row],[flow_am]]</f>
        <v>20659</v>
      </c>
      <c r="O96">
        <f>Table_socioeca8.sandag.org_ws_abm2_f4[[#This Row],[flow_pm]]</f>
        <v>18525</v>
      </c>
    </row>
    <row r="97" spans="5:15" x14ac:dyDescent="0.25">
      <c r="E97">
        <v>716</v>
      </c>
      <c r="F97">
        <f t="shared" si="1"/>
        <v>259</v>
      </c>
      <c r="G97">
        <f>IFERROR(VLOOKUP(Table_socioeca8.sandag.org_ws_abm2_f4[[#This Row],[hwycov_id]],[2]flow_freeway!$A$2:$E$1643,3,FALSE),0)</f>
        <v>117115</v>
      </c>
      <c r="H97">
        <f>IFERROR(VLOOKUP(Table_socioeca8.sandag.org_ws_abm2_f4[[#This Row],[hwycov_id]],[2]flow_freeway!$A$2:$E$1643,4,FALSE),0)</f>
        <v>27701</v>
      </c>
      <c r="I97">
        <f>IFERROR(VLOOKUP(Table_socioeca8.sandag.org_ws_abm2_f4[[#This Row],[hwycov_id]],[2]flow_freeway!$A$2:$E$1643,5,FALSE),0)</f>
        <v>23023</v>
      </c>
      <c r="K97">
        <f>Table_socioeca8.sandag.org_ws_abm2_f4[[#This Row],[hwycov_id]]</f>
        <v>716</v>
      </c>
      <c r="L97">
        <f>Table_socioeca8.sandag.org_ws_abm2_f4[[#This Row],[scenario_id]]</f>
        <v>259</v>
      </c>
      <c r="M97">
        <f>Table_socioeca8.sandag.org_ws_abm2_f4[[#This Row],[flow_day]]</f>
        <v>117115</v>
      </c>
      <c r="N97">
        <f>Table_socioeca8.sandag.org_ws_abm2_f4[[#This Row],[flow_am]]</f>
        <v>27701</v>
      </c>
      <c r="O97">
        <f>Table_socioeca8.sandag.org_ws_abm2_f4[[#This Row],[flow_pm]]</f>
        <v>23023</v>
      </c>
    </row>
    <row r="98" spans="5:15" x14ac:dyDescent="0.25">
      <c r="E98">
        <v>717</v>
      </c>
      <c r="F98">
        <f t="shared" si="1"/>
        <v>259</v>
      </c>
      <c r="G98">
        <f>IFERROR(VLOOKUP(Table_socioeca8.sandag.org_ws_abm2_f4[[#This Row],[hwycov_id]],[2]flow_freeway!$A$2:$E$1643,3,FALSE),0)</f>
        <v>113605</v>
      </c>
      <c r="H98">
        <f>IFERROR(VLOOKUP(Table_socioeca8.sandag.org_ws_abm2_f4[[#This Row],[hwycov_id]],[2]flow_freeway!$A$2:$E$1643,4,FALSE),0)</f>
        <v>26802</v>
      </c>
      <c r="I98">
        <f>IFERROR(VLOOKUP(Table_socioeca8.sandag.org_ws_abm2_f4[[#This Row],[hwycov_id]],[2]flow_freeway!$A$2:$E$1643,5,FALSE),0)</f>
        <v>22306</v>
      </c>
      <c r="K98">
        <f>Table_socioeca8.sandag.org_ws_abm2_f4[[#This Row],[hwycov_id]]</f>
        <v>717</v>
      </c>
      <c r="L98">
        <f>Table_socioeca8.sandag.org_ws_abm2_f4[[#This Row],[scenario_id]]</f>
        <v>259</v>
      </c>
      <c r="M98">
        <f>Table_socioeca8.sandag.org_ws_abm2_f4[[#This Row],[flow_day]]</f>
        <v>113605</v>
      </c>
      <c r="N98">
        <f>Table_socioeca8.sandag.org_ws_abm2_f4[[#This Row],[flow_am]]</f>
        <v>26802</v>
      </c>
      <c r="O98">
        <f>Table_socioeca8.sandag.org_ws_abm2_f4[[#This Row],[flow_pm]]</f>
        <v>22306</v>
      </c>
    </row>
    <row r="99" spans="5:15" x14ac:dyDescent="0.25">
      <c r="E99">
        <v>720</v>
      </c>
      <c r="F99">
        <f t="shared" si="1"/>
        <v>259</v>
      </c>
      <c r="G99">
        <f>IFERROR(VLOOKUP(Table_socioeca8.sandag.org_ws_abm2_f4[[#This Row],[hwycov_id]],[2]flow_freeway!$A$2:$E$1643,3,FALSE),0)</f>
        <v>118003</v>
      </c>
      <c r="H99">
        <f>IFERROR(VLOOKUP(Table_socioeca8.sandag.org_ws_abm2_f4[[#This Row],[hwycov_id]],[2]flow_freeway!$A$2:$E$1643,4,FALSE),0)</f>
        <v>27887</v>
      </c>
      <c r="I99">
        <f>IFERROR(VLOOKUP(Table_socioeca8.sandag.org_ws_abm2_f4[[#This Row],[hwycov_id]],[2]flow_freeway!$A$2:$E$1643,5,FALSE),0)</f>
        <v>22482</v>
      </c>
      <c r="K99">
        <f>Table_socioeca8.sandag.org_ws_abm2_f4[[#This Row],[hwycov_id]]</f>
        <v>720</v>
      </c>
      <c r="L99">
        <f>Table_socioeca8.sandag.org_ws_abm2_f4[[#This Row],[scenario_id]]</f>
        <v>259</v>
      </c>
      <c r="M99">
        <f>Table_socioeca8.sandag.org_ws_abm2_f4[[#This Row],[flow_day]]</f>
        <v>118003</v>
      </c>
      <c r="N99">
        <f>Table_socioeca8.sandag.org_ws_abm2_f4[[#This Row],[flow_am]]</f>
        <v>27887</v>
      </c>
      <c r="O99">
        <f>Table_socioeca8.sandag.org_ws_abm2_f4[[#This Row],[flow_pm]]</f>
        <v>22482</v>
      </c>
    </row>
    <row r="100" spans="5:15" x14ac:dyDescent="0.25">
      <c r="E100">
        <v>721</v>
      </c>
      <c r="F100">
        <f t="shared" si="1"/>
        <v>259</v>
      </c>
      <c r="G100">
        <f>IFERROR(VLOOKUP(Table_socioeca8.sandag.org_ws_abm2_f4[[#This Row],[hwycov_id]],[2]flow_freeway!$A$2:$E$1643,3,FALSE),0)</f>
        <v>112419</v>
      </c>
      <c r="H100">
        <f>IFERROR(VLOOKUP(Table_socioeca8.sandag.org_ws_abm2_f4[[#This Row],[hwycov_id]],[2]flow_freeway!$A$2:$E$1643,4,FALSE),0)</f>
        <v>18570</v>
      </c>
      <c r="I100">
        <f>IFERROR(VLOOKUP(Table_socioeca8.sandag.org_ws_abm2_f4[[#This Row],[hwycov_id]],[2]flow_freeway!$A$2:$E$1643,5,FALSE),0)</f>
        <v>32233</v>
      </c>
      <c r="K100">
        <f>Table_socioeca8.sandag.org_ws_abm2_f4[[#This Row],[hwycov_id]]</f>
        <v>721</v>
      </c>
      <c r="L100">
        <f>Table_socioeca8.sandag.org_ws_abm2_f4[[#This Row],[scenario_id]]</f>
        <v>259</v>
      </c>
      <c r="M100">
        <f>Table_socioeca8.sandag.org_ws_abm2_f4[[#This Row],[flow_day]]</f>
        <v>112419</v>
      </c>
      <c r="N100">
        <f>Table_socioeca8.sandag.org_ws_abm2_f4[[#This Row],[flow_am]]</f>
        <v>18570</v>
      </c>
      <c r="O100">
        <f>Table_socioeca8.sandag.org_ws_abm2_f4[[#This Row],[flow_pm]]</f>
        <v>32233</v>
      </c>
    </row>
    <row r="101" spans="5:15" x14ac:dyDescent="0.25">
      <c r="E101">
        <v>722</v>
      </c>
      <c r="F101">
        <f t="shared" si="1"/>
        <v>259</v>
      </c>
      <c r="G101">
        <f>IFERROR(VLOOKUP(Table_socioeca8.sandag.org_ws_abm2_f4[[#This Row],[hwycov_id]],[2]flow_freeway!$A$2:$E$1643,3,FALSE),0)</f>
        <v>120679</v>
      </c>
      <c r="H101">
        <f>IFERROR(VLOOKUP(Table_socioeca8.sandag.org_ws_abm2_f4[[#This Row],[hwycov_id]],[2]flow_freeway!$A$2:$E$1643,4,FALSE),0)</f>
        <v>27703</v>
      </c>
      <c r="I101">
        <f>IFERROR(VLOOKUP(Table_socioeca8.sandag.org_ws_abm2_f4[[#This Row],[hwycov_id]],[2]flow_freeway!$A$2:$E$1643,5,FALSE),0)</f>
        <v>23465</v>
      </c>
      <c r="K101">
        <f>Table_socioeca8.sandag.org_ws_abm2_f4[[#This Row],[hwycov_id]]</f>
        <v>722</v>
      </c>
      <c r="L101">
        <f>Table_socioeca8.sandag.org_ws_abm2_f4[[#This Row],[scenario_id]]</f>
        <v>259</v>
      </c>
      <c r="M101">
        <f>Table_socioeca8.sandag.org_ws_abm2_f4[[#This Row],[flow_day]]</f>
        <v>120679</v>
      </c>
      <c r="N101">
        <f>Table_socioeca8.sandag.org_ws_abm2_f4[[#This Row],[flow_am]]</f>
        <v>27703</v>
      </c>
      <c r="O101">
        <f>Table_socioeca8.sandag.org_ws_abm2_f4[[#This Row],[flow_pm]]</f>
        <v>23465</v>
      </c>
    </row>
    <row r="102" spans="5:15" x14ac:dyDescent="0.25">
      <c r="E102">
        <v>725</v>
      </c>
      <c r="F102">
        <f t="shared" si="1"/>
        <v>259</v>
      </c>
      <c r="G102">
        <f>IFERROR(VLOOKUP(Table_socioeca8.sandag.org_ws_abm2_f4[[#This Row],[hwycov_id]],[2]flow_freeway!$A$2:$E$1643,3,FALSE),0)</f>
        <v>122730</v>
      </c>
      <c r="H102">
        <f>IFERROR(VLOOKUP(Table_socioeca8.sandag.org_ws_abm2_f4[[#This Row],[hwycov_id]],[2]flow_freeway!$A$2:$E$1643,4,FALSE),0)</f>
        <v>29001</v>
      </c>
      <c r="I102">
        <f>IFERROR(VLOOKUP(Table_socioeca8.sandag.org_ws_abm2_f4[[#This Row],[hwycov_id]],[2]flow_freeway!$A$2:$E$1643,5,FALSE),0)</f>
        <v>23560</v>
      </c>
      <c r="K102">
        <f>Table_socioeca8.sandag.org_ws_abm2_f4[[#This Row],[hwycov_id]]</f>
        <v>725</v>
      </c>
      <c r="L102">
        <f>Table_socioeca8.sandag.org_ws_abm2_f4[[#This Row],[scenario_id]]</f>
        <v>259</v>
      </c>
      <c r="M102">
        <f>Table_socioeca8.sandag.org_ws_abm2_f4[[#This Row],[flow_day]]</f>
        <v>122730</v>
      </c>
      <c r="N102">
        <f>Table_socioeca8.sandag.org_ws_abm2_f4[[#This Row],[flow_am]]</f>
        <v>29001</v>
      </c>
      <c r="O102">
        <f>Table_socioeca8.sandag.org_ws_abm2_f4[[#This Row],[flow_pm]]</f>
        <v>23560</v>
      </c>
    </row>
    <row r="103" spans="5:15" x14ac:dyDescent="0.25">
      <c r="E103">
        <v>726</v>
      </c>
      <c r="F103">
        <f t="shared" si="1"/>
        <v>259</v>
      </c>
      <c r="G103">
        <f>IFERROR(VLOOKUP(Table_socioeca8.sandag.org_ws_abm2_f4[[#This Row],[hwycov_id]],[2]flow_freeway!$A$2:$E$1643,3,FALSE),0)</f>
        <v>118605</v>
      </c>
      <c r="H103">
        <f>IFERROR(VLOOKUP(Table_socioeca8.sandag.org_ws_abm2_f4[[#This Row],[hwycov_id]],[2]flow_freeway!$A$2:$E$1643,4,FALSE),0)</f>
        <v>28294</v>
      </c>
      <c r="I103">
        <f>IFERROR(VLOOKUP(Table_socioeca8.sandag.org_ws_abm2_f4[[#This Row],[hwycov_id]],[2]flow_freeway!$A$2:$E$1643,5,FALSE),0)</f>
        <v>22825</v>
      </c>
      <c r="K103">
        <f>Table_socioeca8.sandag.org_ws_abm2_f4[[#This Row],[hwycov_id]]</f>
        <v>726</v>
      </c>
      <c r="L103">
        <f>Table_socioeca8.sandag.org_ws_abm2_f4[[#This Row],[scenario_id]]</f>
        <v>259</v>
      </c>
      <c r="M103">
        <f>Table_socioeca8.sandag.org_ws_abm2_f4[[#This Row],[flow_day]]</f>
        <v>118605</v>
      </c>
      <c r="N103">
        <f>Table_socioeca8.sandag.org_ws_abm2_f4[[#This Row],[flow_am]]</f>
        <v>28294</v>
      </c>
      <c r="O103">
        <f>Table_socioeca8.sandag.org_ws_abm2_f4[[#This Row],[flow_pm]]</f>
        <v>22825</v>
      </c>
    </row>
    <row r="104" spans="5:15" x14ac:dyDescent="0.25">
      <c r="E104">
        <v>727</v>
      </c>
      <c r="F104">
        <f t="shared" si="1"/>
        <v>259</v>
      </c>
      <c r="G104">
        <f>IFERROR(VLOOKUP(Table_socioeca8.sandag.org_ws_abm2_f4[[#This Row],[hwycov_id]],[2]flow_freeway!$A$2:$E$1643,3,FALSE),0)</f>
        <v>129217</v>
      </c>
      <c r="H104">
        <f>IFERROR(VLOOKUP(Table_socioeca8.sandag.org_ws_abm2_f4[[#This Row],[hwycov_id]],[2]flow_freeway!$A$2:$E$1643,4,FALSE),0)</f>
        <v>30318</v>
      </c>
      <c r="I104">
        <f>IFERROR(VLOOKUP(Table_socioeca8.sandag.org_ws_abm2_f4[[#This Row],[hwycov_id]],[2]flow_freeway!$A$2:$E$1643,5,FALSE),0)</f>
        <v>24521</v>
      </c>
      <c r="K104">
        <f>Table_socioeca8.sandag.org_ws_abm2_f4[[#This Row],[hwycov_id]]</f>
        <v>727</v>
      </c>
      <c r="L104">
        <f>Table_socioeca8.sandag.org_ws_abm2_f4[[#This Row],[scenario_id]]</f>
        <v>259</v>
      </c>
      <c r="M104">
        <f>Table_socioeca8.sandag.org_ws_abm2_f4[[#This Row],[flow_day]]</f>
        <v>129217</v>
      </c>
      <c r="N104">
        <f>Table_socioeca8.sandag.org_ws_abm2_f4[[#This Row],[flow_am]]</f>
        <v>30318</v>
      </c>
      <c r="O104">
        <f>Table_socioeca8.sandag.org_ws_abm2_f4[[#This Row],[flow_pm]]</f>
        <v>24521</v>
      </c>
    </row>
    <row r="105" spans="5:15" x14ac:dyDescent="0.25">
      <c r="E105">
        <v>728</v>
      </c>
      <c r="F105">
        <f t="shared" si="1"/>
        <v>259</v>
      </c>
      <c r="G105">
        <f>IFERROR(VLOOKUP(Table_socioeca8.sandag.org_ws_abm2_f4[[#This Row],[hwycov_id]],[2]flow_freeway!$A$2:$E$1643,3,FALSE),0)</f>
        <v>124500</v>
      </c>
      <c r="H105">
        <f>IFERROR(VLOOKUP(Table_socioeca8.sandag.org_ws_abm2_f4[[#This Row],[hwycov_id]],[2]flow_freeway!$A$2:$E$1643,4,FALSE),0)</f>
        <v>28970</v>
      </c>
      <c r="I105">
        <f>IFERROR(VLOOKUP(Table_socioeca8.sandag.org_ws_abm2_f4[[#This Row],[hwycov_id]],[2]flow_freeway!$A$2:$E$1643,5,FALSE),0)</f>
        <v>23517</v>
      </c>
      <c r="K105">
        <f>Table_socioeca8.sandag.org_ws_abm2_f4[[#This Row],[hwycov_id]]</f>
        <v>728</v>
      </c>
      <c r="L105">
        <f>Table_socioeca8.sandag.org_ws_abm2_f4[[#This Row],[scenario_id]]</f>
        <v>259</v>
      </c>
      <c r="M105">
        <f>Table_socioeca8.sandag.org_ws_abm2_f4[[#This Row],[flow_day]]</f>
        <v>124500</v>
      </c>
      <c r="N105">
        <f>Table_socioeca8.sandag.org_ws_abm2_f4[[#This Row],[flow_am]]</f>
        <v>28970</v>
      </c>
      <c r="O105">
        <f>Table_socioeca8.sandag.org_ws_abm2_f4[[#This Row],[flow_pm]]</f>
        <v>23517</v>
      </c>
    </row>
    <row r="106" spans="5:15" x14ac:dyDescent="0.25">
      <c r="E106">
        <v>729</v>
      </c>
      <c r="F106">
        <f t="shared" si="1"/>
        <v>259</v>
      </c>
      <c r="G106">
        <f>IFERROR(VLOOKUP(Table_socioeca8.sandag.org_ws_abm2_f4[[#This Row],[hwycov_id]],[2]flow_freeway!$A$2:$E$1643,3,FALSE),0)</f>
        <v>96068</v>
      </c>
      <c r="H106">
        <f>IFERROR(VLOOKUP(Table_socioeca8.sandag.org_ws_abm2_f4[[#This Row],[hwycov_id]],[2]flow_freeway!$A$2:$E$1643,4,FALSE),0)</f>
        <v>26412</v>
      </c>
      <c r="I106">
        <f>IFERROR(VLOOKUP(Table_socioeca8.sandag.org_ws_abm2_f4[[#This Row],[hwycov_id]],[2]flow_freeway!$A$2:$E$1643,5,FALSE),0)</f>
        <v>18735</v>
      </c>
      <c r="K106">
        <f>Table_socioeca8.sandag.org_ws_abm2_f4[[#This Row],[hwycov_id]]</f>
        <v>729</v>
      </c>
      <c r="L106">
        <f>Table_socioeca8.sandag.org_ws_abm2_f4[[#This Row],[scenario_id]]</f>
        <v>259</v>
      </c>
      <c r="M106">
        <f>Table_socioeca8.sandag.org_ws_abm2_f4[[#This Row],[flow_day]]</f>
        <v>96068</v>
      </c>
      <c r="N106">
        <f>Table_socioeca8.sandag.org_ws_abm2_f4[[#This Row],[flow_am]]</f>
        <v>26412</v>
      </c>
      <c r="O106">
        <f>Table_socioeca8.sandag.org_ws_abm2_f4[[#This Row],[flow_pm]]</f>
        <v>18735</v>
      </c>
    </row>
    <row r="107" spans="5:15" x14ac:dyDescent="0.25">
      <c r="E107">
        <v>730</v>
      </c>
      <c r="F107">
        <f t="shared" si="1"/>
        <v>259</v>
      </c>
      <c r="G107">
        <f>IFERROR(VLOOKUP(Table_socioeca8.sandag.org_ws_abm2_f4[[#This Row],[hwycov_id]],[2]flow_freeway!$A$2:$E$1643,3,FALSE),0)</f>
        <v>98728</v>
      </c>
      <c r="H107">
        <f>IFERROR(VLOOKUP(Table_socioeca8.sandag.org_ws_abm2_f4[[#This Row],[hwycov_id]],[2]flow_freeway!$A$2:$E$1643,4,FALSE),0)</f>
        <v>27570</v>
      </c>
      <c r="I107">
        <f>IFERROR(VLOOKUP(Table_socioeca8.sandag.org_ws_abm2_f4[[#This Row],[hwycov_id]],[2]flow_freeway!$A$2:$E$1643,5,FALSE),0)</f>
        <v>19261</v>
      </c>
      <c r="K107">
        <f>Table_socioeca8.sandag.org_ws_abm2_f4[[#This Row],[hwycov_id]]</f>
        <v>730</v>
      </c>
      <c r="L107">
        <f>Table_socioeca8.sandag.org_ws_abm2_f4[[#This Row],[scenario_id]]</f>
        <v>259</v>
      </c>
      <c r="M107">
        <f>Table_socioeca8.sandag.org_ws_abm2_f4[[#This Row],[flow_day]]</f>
        <v>98728</v>
      </c>
      <c r="N107">
        <f>Table_socioeca8.sandag.org_ws_abm2_f4[[#This Row],[flow_am]]</f>
        <v>27570</v>
      </c>
      <c r="O107">
        <f>Table_socioeca8.sandag.org_ws_abm2_f4[[#This Row],[flow_pm]]</f>
        <v>19261</v>
      </c>
    </row>
    <row r="108" spans="5:15" x14ac:dyDescent="0.25">
      <c r="E108">
        <v>733</v>
      </c>
      <c r="F108">
        <f t="shared" si="1"/>
        <v>259</v>
      </c>
      <c r="G108">
        <f>IFERROR(VLOOKUP(Table_socioeca8.sandag.org_ws_abm2_f4[[#This Row],[hwycov_id]],[2]flow_freeway!$A$2:$E$1643,3,FALSE),0)</f>
        <v>93953</v>
      </c>
      <c r="H108">
        <f>IFERROR(VLOOKUP(Table_socioeca8.sandag.org_ws_abm2_f4[[#This Row],[hwycov_id]],[2]flow_freeway!$A$2:$E$1643,4,FALSE),0)</f>
        <v>26667</v>
      </c>
      <c r="I108">
        <f>IFERROR(VLOOKUP(Table_socioeca8.sandag.org_ws_abm2_f4[[#This Row],[hwycov_id]],[2]flow_freeway!$A$2:$E$1643,5,FALSE),0)</f>
        <v>17995</v>
      </c>
      <c r="K108">
        <f>Table_socioeca8.sandag.org_ws_abm2_f4[[#This Row],[hwycov_id]]</f>
        <v>733</v>
      </c>
      <c r="L108">
        <f>Table_socioeca8.sandag.org_ws_abm2_f4[[#This Row],[scenario_id]]</f>
        <v>259</v>
      </c>
      <c r="M108">
        <f>Table_socioeca8.sandag.org_ws_abm2_f4[[#This Row],[flow_day]]</f>
        <v>93953</v>
      </c>
      <c r="N108">
        <f>Table_socioeca8.sandag.org_ws_abm2_f4[[#This Row],[flow_am]]</f>
        <v>26667</v>
      </c>
      <c r="O108">
        <f>Table_socioeca8.sandag.org_ws_abm2_f4[[#This Row],[flow_pm]]</f>
        <v>17995</v>
      </c>
    </row>
    <row r="109" spans="5:15" x14ac:dyDescent="0.25">
      <c r="E109">
        <v>734</v>
      </c>
      <c r="F109">
        <f t="shared" si="1"/>
        <v>259</v>
      </c>
      <c r="G109">
        <f>IFERROR(VLOOKUP(Table_socioeca8.sandag.org_ws_abm2_f4[[#This Row],[hwycov_id]],[2]flow_freeway!$A$2:$E$1643,3,FALSE),0)</f>
        <v>94034</v>
      </c>
      <c r="H109">
        <f>IFERROR(VLOOKUP(Table_socioeca8.sandag.org_ws_abm2_f4[[#This Row],[hwycov_id]],[2]flow_freeway!$A$2:$E$1643,4,FALSE),0)</f>
        <v>15196</v>
      </c>
      <c r="I109">
        <f>IFERROR(VLOOKUP(Table_socioeca8.sandag.org_ws_abm2_f4[[#This Row],[hwycov_id]],[2]flow_freeway!$A$2:$E$1643,5,FALSE),0)</f>
        <v>26895</v>
      </c>
      <c r="K109">
        <f>Table_socioeca8.sandag.org_ws_abm2_f4[[#This Row],[hwycov_id]]</f>
        <v>734</v>
      </c>
      <c r="L109">
        <f>Table_socioeca8.sandag.org_ws_abm2_f4[[#This Row],[scenario_id]]</f>
        <v>259</v>
      </c>
      <c r="M109">
        <f>Table_socioeca8.sandag.org_ws_abm2_f4[[#This Row],[flow_day]]</f>
        <v>94034</v>
      </c>
      <c r="N109">
        <f>Table_socioeca8.sandag.org_ws_abm2_f4[[#This Row],[flow_am]]</f>
        <v>15196</v>
      </c>
      <c r="O109">
        <f>Table_socioeca8.sandag.org_ws_abm2_f4[[#This Row],[flow_pm]]</f>
        <v>26895</v>
      </c>
    </row>
    <row r="110" spans="5:15" x14ac:dyDescent="0.25">
      <c r="E110">
        <v>735</v>
      </c>
      <c r="F110">
        <f t="shared" si="1"/>
        <v>259</v>
      </c>
      <c r="G110">
        <f>IFERROR(VLOOKUP(Table_socioeca8.sandag.org_ws_abm2_f4[[#This Row],[hwycov_id]],[2]flow_freeway!$A$2:$E$1643,3,FALSE),0)</f>
        <v>94018</v>
      </c>
      <c r="H110">
        <f>IFERROR(VLOOKUP(Table_socioeca8.sandag.org_ws_abm2_f4[[#This Row],[hwycov_id]],[2]flow_freeway!$A$2:$E$1643,4,FALSE),0)</f>
        <v>21682</v>
      </c>
      <c r="I110">
        <f>IFERROR(VLOOKUP(Table_socioeca8.sandag.org_ws_abm2_f4[[#This Row],[hwycov_id]],[2]flow_freeway!$A$2:$E$1643,5,FALSE),0)</f>
        <v>18053</v>
      </c>
      <c r="K110">
        <f>Table_socioeca8.sandag.org_ws_abm2_f4[[#This Row],[hwycov_id]]</f>
        <v>735</v>
      </c>
      <c r="L110">
        <f>Table_socioeca8.sandag.org_ws_abm2_f4[[#This Row],[scenario_id]]</f>
        <v>259</v>
      </c>
      <c r="M110">
        <f>Table_socioeca8.sandag.org_ws_abm2_f4[[#This Row],[flow_day]]</f>
        <v>94018</v>
      </c>
      <c r="N110">
        <f>Table_socioeca8.sandag.org_ws_abm2_f4[[#This Row],[flow_am]]</f>
        <v>21682</v>
      </c>
      <c r="O110">
        <f>Table_socioeca8.sandag.org_ws_abm2_f4[[#This Row],[flow_pm]]</f>
        <v>18053</v>
      </c>
    </row>
    <row r="111" spans="5:15" x14ac:dyDescent="0.25">
      <c r="E111">
        <v>738</v>
      </c>
      <c r="F111">
        <f t="shared" si="1"/>
        <v>259</v>
      </c>
      <c r="G111">
        <f>IFERROR(VLOOKUP(Table_socioeca8.sandag.org_ws_abm2_f4[[#This Row],[hwycov_id]],[2]flow_freeway!$A$2:$E$1643,3,FALSE),0)</f>
        <v>77158</v>
      </c>
      <c r="H111">
        <f>IFERROR(VLOOKUP(Table_socioeca8.sandag.org_ws_abm2_f4[[#This Row],[hwycov_id]],[2]flow_freeway!$A$2:$E$1643,4,FALSE),0)</f>
        <v>22514</v>
      </c>
      <c r="I111">
        <f>IFERROR(VLOOKUP(Table_socioeca8.sandag.org_ws_abm2_f4[[#This Row],[hwycov_id]],[2]flow_freeway!$A$2:$E$1643,5,FALSE),0)</f>
        <v>14162</v>
      </c>
      <c r="K111">
        <f>Table_socioeca8.sandag.org_ws_abm2_f4[[#This Row],[hwycov_id]]</f>
        <v>738</v>
      </c>
      <c r="L111">
        <f>Table_socioeca8.sandag.org_ws_abm2_f4[[#This Row],[scenario_id]]</f>
        <v>259</v>
      </c>
      <c r="M111">
        <f>Table_socioeca8.sandag.org_ws_abm2_f4[[#This Row],[flow_day]]</f>
        <v>77158</v>
      </c>
      <c r="N111">
        <f>Table_socioeca8.sandag.org_ws_abm2_f4[[#This Row],[flow_am]]</f>
        <v>22514</v>
      </c>
      <c r="O111">
        <f>Table_socioeca8.sandag.org_ws_abm2_f4[[#This Row],[flow_pm]]</f>
        <v>14162</v>
      </c>
    </row>
    <row r="112" spans="5:15" x14ac:dyDescent="0.25">
      <c r="E112">
        <v>743</v>
      </c>
      <c r="F112">
        <f t="shared" si="1"/>
        <v>259</v>
      </c>
      <c r="G112">
        <f>IFERROR(VLOOKUP(Table_socioeca8.sandag.org_ws_abm2_f4[[#This Row],[hwycov_id]],[2]flow_freeway!$A$2:$E$1643,3,FALSE),0)</f>
        <v>98648</v>
      </c>
      <c r="H112">
        <f>IFERROR(VLOOKUP(Table_socioeca8.sandag.org_ws_abm2_f4[[#This Row],[hwycov_id]],[2]flow_freeway!$A$2:$E$1643,4,FALSE),0)</f>
        <v>27404</v>
      </c>
      <c r="I112">
        <f>IFERROR(VLOOKUP(Table_socioeca8.sandag.org_ws_abm2_f4[[#This Row],[hwycov_id]],[2]flow_freeway!$A$2:$E$1643,5,FALSE),0)</f>
        <v>19117</v>
      </c>
      <c r="K112">
        <f>Table_socioeca8.sandag.org_ws_abm2_f4[[#This Row],[hwycov_id]]</f>
        <v>743</v>
      </c>
      <c r="L112">
        <f>Table_socioeca8.sandag.org_ws_abm2_f4[[#This Row],[scenario_id]]</f>
        <v>259</v>
      </c>
      <c r="M112">
        <f>Table_socioeca8.sandag.org_ws_abm2_f4[[#This Row],[flow_day]]</f>
        <v>98648</v>
      </c>
      <c r="N112">
        <f>Table_socioeca8.sandag.org_ws_abm2_f4[[#This Row],[flow_am]]</f>
        <v>27404</v>
      </c>
      <c r="O112">
        <f>Table_socioeca8.sandag.org_ws_abm2_f4[[#This Row],[flow_pm]]</f>
        <v>19117</v>
      </c>
    </row>
    <row r="113" spans="5:15" x14ac:dyDescent="0.25">
      <c r="E113">
        <v>744</v>
      </c>
      <c r="F113">
        <f t="shared" si="1"/>
        <v>259</v>
      </c>
      <c r="G113">
        <f>IFERROR(VLOOKUP(Table_socioeca8.sandag.org_ws_abm2_f4[[#This Row],[hwycov_id]],[2]flow_freeway!$A$2:$E$1643,3,FALSE),0)</f>
        <v>89800</v>
      </c>
      <c r="H113">
        <f>IFERROR(VLOOKUP(Table_socioeca8.sandag.org_ws_abm2_f4[[#This Row],[hwycov_id]],[2]flow_freeway!$A$2:$E$1643,4,FALSE),0)</f>
        <v>25692</v>
      </c>
      <c r="I113">
        <f>IFERROR(VLOOKUP(Table_socioeca8.sandag.org_ws_abm2_f4[[#This Row],[hwycov_id]],[2]flow_freeway!$A$2:$E$1643,5,FALSE),0)</f>
        <v>16947</v>
      </c>
      <c r="K113">
        <f>Table_socioeca8.sandag.org_ws_abm2_f4[[#This Row],[hwycov_id]]</f>
        <v>744</v>
      </c>
      <c r="L113">
        <f>Table_socioeca8.sandag.org_ws_abm2_f4[[#This Row],[scenario_id]]</f>
        <v>259</v>
      </c>
      <c r="M113">
        <f>Table_socioeca8.sandag.org_ws_abm2_f4[[#This Row],[flow_day]]</f>
        <v>89800</v>
      </c>
      <c r="N113">
        <f>Table_socioeca8.sandag.org_ws_abm2_f4[[#This Row],[flow_am]]</f>
        <v>25692</v>
      </c>
      <c r="O113">
        <f>Table_socioeca8.sandag.org_ws_abm2_f4[[#This Row],[flow_pm]]</f>
        <v>16947</v>
      </c>
    </row>
    <row r="114" spans="5:15" x14ac:dyDescent="0.25">
      <c r="E114">
        <v>746</v>
      </c>
      <c r="F114">
        <f t="shared" si="1"/>
        <v>259</v>
      </c>
      <c r="G114">
        <f>IFERROR(VLOOKUP(Table_socioeca8.sandag.org_ws_abm2_f4[[#This Row],[hwycov_id]],[2]flow_freeway!$A$2:$E$1643,3,FALSE),0)</f>
        <v>99576</v>
      </c>
      <c r="H114">
        <f>IFERROR(VLOOKUP(Table_socioeca8.sandag.org_ws_abm2_f4[[#This Row],[hwycov_id]],[2]flow_freeway!$A$2:$E$1643,4,FALSE),0)</f>
        <v>27782</v>
      </c>
      <c r="I114">
        <f>IFERROR(VLOOKUP(Table_socioeca8.sandag.org_ws_abm2_f4[[#This Row],[hwycov_id]],[2]flow_freeway!$A$2:$E$1643,5,FALSE),0)</f>
        <v>18847</v>
      </c>
      <c r="K114">
        <f>Table_socioeca8.sandag.org_ws_abm2_f4[[#This Row],[hwycov_id]]</f>
        <v>746</v>
      </c>
      <c r="L114">
        <f>Table_socioeca8.sandag.org_ws_abm2_f4[[#This Row],[scenario_id]]</f>
        <v>259</v>
      </c>
      <c r="M114">
        <f>Table_socioeca8.sandag.org_ws_abm2_f4[[#This Row],[flow_day]]</f>
        <v>99576</v>
      </c>
      <c r="N114">
        <f>Table_socioeca8.sandag.org_ws_abm2_f4[[#This Row],[flow_am]]</f>
        <v>27782</v>
      </c>
      <c r="O114">
        <f>Table_socioeca8.sandag.org_ws_abm2_f4[[#This Row],[flow_pm]]</f>
        <v>18847</v>
      </c>
    </row>
    <row r="115" spans="5:15" x14ac:dyDescent="0.25">
      <c r="E115">
        <v>748</v>
      </c>
      <c r="F115">
        <f t="shared" si="1"/>
        <v>259</v>
      </c>
      <c r="G115">
        <f>IFERROR(VLOOKUP(Table_socioeca8.sandag.org_ws_abm2_f4[[#This Row],[hwycov_id]],[2]flow_freeway!$A$2:$E$1643,3,FALSE),0)</f>
        <v>100230</v>
      </c>
      <c r="H115">
        <f>IFERROR(VLOOKUP(Table_socioeca8.sandag.org_ws_abm2_f4[[#This Row],[hwycov_id]],[2]flow_freeway!$A$2:$E$1643,4,FALSE),0)</f>
        <v>27500</v>
      </c>
      <c r="I115">
        <f>IFERROR(VLOOKUP(Table_socioeca8.sandag.org_ws_abm2_f4[[#This Row],[hwycov_id]],[2]flow_freeway!$A$2:$E$1643,5,FALSE),0)</f>
        <v>17916</v>
      </c>
      <c r="K115">
        <f>Table_socioeca8.sandag.org_ws_abm2_f4[[#This Row],[hwycov_id]]</f>
        <v>748</v>
      </c>
      <c r="L115">
        <f>Table_socioeca8.sandag.org_ws_abm2_f4[[#This Row],[scenario_id]]</f>
        <v>259</v>
      </c>
      <c r="M115">
        <f>Table_socioeca8.sandag.org_ws_abm2_f4[[#This Row],[flow_day]]</f>
        <v>100230</v>
      </c>
      <c r="N115">
        <f>Table_socioeca8.sandag.org_ws_abm2_f4[[#This Row],[flow_am]]</f>
        <v>27500</v>
      </c>
      <c r="O115">
        <f>Table_socioeca8.sandag.org_ws_abm2_f4[[#This Row],[flow_pm]]</f>
        <v>17916</v>
      </c>
    </row>
    <row r="116" spans="5:15" x14ac:dyDescent="0.25">
      <c r="E116">
        <v>749</v>
      </c>
      <c r="F116">
        <f t="shared" si="1"/>
        <v>259</v>
      </c>
      <c r="G116">
        <f>IFERROR(VLOOKUP(Table_socioeca8.sandag.org_ws_abm2_f4[[#This Row],[hwycov_id]],[2]flow_freeway!$A$2:$E$1643,3,FALSE),0)</f>
        <v>114463</v>
      </c>
      <c r="H116">
        <f>IFERROR(VLOOKUP(Table_socioeca8.sandag.org_ws_abm2_f4[[#This Row],[hwycov_id]],[2]flow_freeway!$A$2:$E$1643,4,FALSE),0)</f>
        <v>31635</v>
      </c>
      <c r="I116">
        <f>IFERROR(VLOOKUP(Table_socioeca8.sandag.org_ws_abm2_f4[[#This Row],[hwycov_id]],[2]flow_freeway!$A$2:$E$1643,5,FALSE),0)</f>
        <v>21080</v>
      </c>
      <c r="K116">
        <f>Table_socioeca8.sandag.org_ws_abm2_f4[[#This Row],[hwycov_id]]</f>
        <v>749</v>
      </c>
      <c r="L116">
        <f>Table_socioeca8.sandag.org_ws_abm2_f4[[#This Row],[scenario_id]]</f>
        <v>259</v>
      </c>
      <c r="M116">
        <f>Table_socioeca8.sandag.org_ws_abm2_f4[[#This Row],[flow_day]]</f>
        <v>114463</v>
      </c>
      <c r="N116">
        <f>Table_socioeca8.sandag.org_ws_abm2_f4[[#This Row],[flow_am]]</f>
        <v>31635</v>
      </c>
      <c r="O116">
        <f>Table_socioeca8.sandag.org_ws_abm2_f4[[#This Row],[flow_pm]]</f>
        <v>21080</v>
      </c>
    </row>
    <row r="117" spans="5:15" x14ac:dyDescent="0.25">
      <c r="E117">
        <v>751</v>
      </c>
      <c r="F117">
        <f t="shared" si="1"/>
        <v>259</v>
      </c>
      <c r="G117">
        <f>IFERROR(VLOOKUP(Table_socioeca8.sandag.org_ws_abm2_f4[[#This Row],[hwycov_id]],[2]flow_freeway!$A$2:$E$1643,3,FALSE),0)</f>
        <v>116628</v>
      </c>
      <c r="H117">
        <f>IFERROR(VLOOKUP(Table_socioeca8.sandag.org_ws_abm2_f4[[#This Row],[hwycov_id]],[2]flow_freeway!$A$2:$E$1643,4,FALSE),0)</f>
        <v>31323</v>
      </c>
      <c r="I117">
        <f>IFERROR(VLOOKUP(Table_socioeca8.sandag.org_ws_abm2_f4[[#This Row],[hwycov_id]],[2]flow_freeway!$A$2:$E$1643,5,FALSE),0)</f>
        <v>22387</v>
      </c>
      <c r="K117">
        <f>Table_socioeca8.sandag.org_ws_abm2_f4[[#This Row],[hwycov_id]]</f>
        <v>751</v>
      </c>
      <c r="L117">
        <f>Table_socioeca8.sandag.org_ws_abm2_f4[[#This Row],[scenario_id]]</f>
        <v>259</v>
      </c>
      <c r="M117">
        <f>Table_socioeca8.sandag.org_ws_abm2_f4[[#This Row],[flow_day]]</f>
        <v>116628</v>
      </c>
      <c r="N117">
        <f>Table_socioeca8.sandag.org_ws_abm2_f4[[#This Row],[flow_am]]</f>
        <v>31323</v>
      </c>
      <c r="O117">
        <f>Table_socioeca8.sandag.org_ws_abm2_f4[[#This Row],[flow_pm]]</f>
        <v>22387</v>
      </c>
    </row>
    <row r="118" spans="5:15" x14ac:dyDescent="0.25">
      <c r="E118">
        <v>752</v>
      </c>
      <c r="F118">
        <f t="shared" si="1"/>
        <v>259</v>
      </c>
      <c r="G118">
        <f>IFERROR(VLOOKUP(Table_socioeca8.sandag.org_ws_abm2_f4[[#This Row],[hwycov_id]],[2]flow_freeway!$A$2:$E$1643,3,FALSE),0)</f>
        <v>111005</v>
      </c>
      <c r="H118">
        <f>IFERROR(VLOOKUP(Table_socioeca8.sandag.org_ws_abm2_f4[[#This Row],[hwycov_id]],[2]flow_freeway!$A$2:$E$1643,4,FALSE),0)</f>
        <v>30073</v>
      </c>
      <c r="I118">
        <f>IFERROR(VLOOKUP(Table_socioeca8.sandag.org_ws_abm2_f4[[#This Row],[hwycov_id]],[2]flow_freeway!$A$2:$E$1643,5,FALSE),0)</f>
        <v>20941</v>
      </c>
      <c r="K118">
        <f>Table_socioeca8.sandag.org_ws_abm2_f4[[#This Row],[hwycov_id]]</f>
        <v>752</v>
      </c>
      <c r="L118">
        <f>Table_socioeca8.sandag.org_ws_abm2_f4[[#This Row],[scenario_id]]</f>
        <v>259</v>
      </c>
      <c r="M118">
        <f>Table_socioeca8.sandag.org_ws_abm2_f4[[#This Row],[flow_day]]</f>
        <v>111005</v>
      </c>
      <c r="N118">
        <f>Table_socioeca8.sandag.org_ws_abm2_f4[[#This Row],[flow_am]]</f>
        <v>30073</v>
      </c>
      <c r="O118">
        <f>Table_socioeca8.sandag.org_ws_abm2_f4[[#This Row],[flow_pm]]</f>
        <v>20941</v>
      </c>
    </row>
    <row r="119" spans="5:15" x14ac:dyDescent="0.25">
      <c r="E119">
        <v>753</v>
      </c>
      <c r="F119">
        <f t="shared" si="1"/>
        <v>259</v>
      </c>
      <c r="G119">
        <f>IFERROR(VLOOKUP(Table_socioeca8.sandag.org_ws_abm2_f4[[#This Row],[hwycov_id]],[2]flow_freeway!$A$2:$E$1643,3,FALSE),0)</f>
        <v>114855</v>
      </c>
      <c r="H119">
        <f>IFERROR(VLOOKUP(Table_socioeca8.sandag.org_ws_abm2_f4[[#This Row],[hwycov_id]],[2]flow_freeway!$A$2:$E$1643,4,FALSE),0)</f>
        <v>31181</v>
      </c>
      <c r="I119">
        <f>IFERROR(VLOOKUP(Table_socioeca8.sandag.org_ws_abm2_f4[[#This Row],[hwycov_id]],[2]flow_freeway!$A$2:$E$1643,5,FALSE),0)</f>
        <v>21831</v>
      </c>
      <c r="K119">
        <f>Table_socioeca8.sandag.org_ws_abm2_f4[[#This Row],[hwycov_id]]</f>
        <v>753</v>
      </c>
      <c r="L119">
        <f>Table_socioeca8.sandag.org_ws_abm2_f4[[#This Row],[scenario_id]]</f>
        <v>259</v>
      </c>
      <c r="M119">
        <f>Table_socioeca8.sandag.org_ws_abm2_f4[[#This Row],[flow_day]]</f>
        <v>114855</v>
      </c>
      <c r="N119">
        <f>Table_socioeca8.sandag.org_ws_abm2_f4[[#This Row],[flow_am]]</f>
        <v>31181</v>
      </c>
      <c r="O119">
        <f>Table_socioeca8.sandag.org_ws_abm2_f4[[#This Row],[flow_pm]]</f>
        <v>21831</v>
      </c>
    </row>
    <row r="120" spans="5:15" x14ac:dyDescent="0.25">
      <c r="E120">
        <v>754</v>
      </c>
      <c r="F120">
        <f t="shared" si="1"/>
        <v>259</v>
      </c>
      <c r="G120">
        <f>IFERROR(VLOOKUP(Table_socioeca8.sandag.org_ws_abm2_f4[[#This Row],[hwycov_id]],[2]flow_freeway!$A$2:$E$1643,3,FALSE),0)</f>
        <v>99502</v>
      </c>
      <c r="H120">
        <f>IFERROR(VLOOKUP(Table_socioeca8.sandag.org_ws_abm2_f4[[#This Row],[hwycov_id]],[2]flow_freeway!$A$2:$E$1643,4,FALSE),0)</f>
        <v>27605</v>
      </c>
      <c r="I120">
        <f>IFERROR(VLOOKUP(Table_socioeca8.sandag.org_ws_abm2_f4[[#This Row],[hwycov_id]],[2]flow_freeway!$A$2:$E$1643,5,FALSE),0)</f>
        <v>18865</v>
      </c>
      <c r="K120">
        <f>Table_socioeca8.sandag.org_ws_abm2_f4[[#This Row],[hwycov_id]]</f>
        <v>754</v>
      </c>
      <c r="L120">
        <f>Table_socioeca8.sandag.org_ws_abm2_f4[[#This Row],[scenario_id]]</f>
        <v>259</v>
      </c>
      <c r="M120">
        <f>Table_socioeca8.sandag.org_ws_abm2_f4[[#This Row],[flow_day]]</f>
        <v>99502</v>
      </c>
      <c r="N120">
        <f>Table_socioeca8.sandag.org_ws_abm2_f4[[#This Row],[flow_am]]</f>
        <v>27605</v>
      </c>
      <c r="O120">
        <f>Table_socioeca8.sandag.org_ws_abm2_f4[[#This Row],[flow_pm]]</f>
        <v>18865</v>
      </c>
    </row>
    <row r="121" spans="5:15" x14ac:dyDescent="0.25">
      <c r="E121">
        <v>755</v>
      </c>
      <c r="F121">
        <f t="shared" si="1"/>
        <v>259</v>
      </c>
      <c r="G121">
        <f>IFERROR(VLOOKUP(Table_socioeca8.sandag.org_ws_abm2_f4[[#This Row],[hwycov_id]],[2]flow_freeway!$A$2:$E$1643,3,FALSE),0)</f>
        <v>81327</v>
      </c>
      <c r="H121">
        <f>IFERROR(VLOOKUP(Table_socioeca8.sandag.org_ws_abm2_f4[[#This Row],[hwycov_id]],[2]flow_freeway!$A$2:$E$1643,4,FALSE),0)</f>
        <v>21689</v>
      </c>
      <c r="I121">
        <f>IFERROR(VLOOKUP(Table_socioeca8.sandag.org_ws_abm2_f4[[#This Row],[hwycov_id]],[2]flow_freeway!$A$2:$E$1643,5,FALSE),0)</f>
        <v>15889</v>
      </c>
      <c r="K121">
        <f>Table_socioeca8.sandag.org_ws_abm2_f4[[#This Row],[hwycov_id]]</f>
        <v>755</v>
      </c>
      <c r="L121">
        <f>Table_socioeca8.sandag.org_ws_abm2_f4[[#This Row],[scenario_id]]</f>
        <v>259</v>
      </c>
      <c r="M121">
        <f>Table_socioeca8.sandag.org_ws_abm2_f4[[#This Row],[flow_day]]</f>
        <v>81327</v>
      </c>
      <c r="N121">
        <f>Table_socioeca8.sandag.org_ws_abm2_f4[[#This Row],[flow_am]]</f>
        <v>21689</v>
      </c>
      <c r="O121">
        <f>Table_socioeca8.sandag.org_ws_abm2_f4[[#This Row],[flow_pm]]</f>
        <v>15889</v>
      </c>
    </row>
    <row r="122" spans="5:15" x14ac:dyDescent="0.25">
      <c r="E122">
        <v>756</v>
      </c>
      <c r="F122">
        <f t="shared" si="1"/>
        <v>259</v>
      </c>
      <c r="G122">
        <f>IFERROR(VLOOKUP(Table_socioeca8.sandag.org_ws_abm2_f4[[#This Row],[hwycov_id]],[2]flow_freeway!$A$2:$E$1643,3,FALSE),0)</f>
        <v>116224</v>
      </c>
      <c r="H122">
        <f>IFERROR(VLOOKUP(Table_socioeca8.sandag.org_ws_abm2_f4[[#This Row],[hwycov_id]],[2]flow_freeway!$A$2:$E$1643,4,FALSE),0)</f>
        <v>28931</v>
      </c>
      <c r="I122">
        <f>IFERROR(VLOOKUP(Table_socioeca8.sandag.org_ws_abm2_f4[[#This Row],[hwycov_id]],[2]flow_freeway!$A$2:$E$1643,5,FALSE),0)</f>
        <v>24341</v>
      </c>
      <c r="K122">
        <f>Table_socioeca8.sandag.org_ws_abm2_f4[[#This Row],[hwycov_id]]</f>
        <v>756</v>
      </c>
      <c r="L122">
        <f>Table_socioeca8.sandag.org_ws_abm2_f4[[#This Row],[scenario_id]]</f>
        <v>259</v>
      </c>
      <c r="M122">
        <f>Table_socioeca8.sandag.org_ws_abm2_f4[[#This Row],[flow_day]]</f>
        <v>116224</v>
      </c>
      <c r="N122">
        <f>Table_socioeca8.sandag.org_ws_abm2_f4[[#This Row],[flow_am]]</f>
        <v>28931</v>
      </c>
      <c r="O122">
        <f>Table_socioeca8.sandag.org_ws_abm2_f4[[#This Row],[flow_pm]]</f>
        <v>24341</v>
      </c>
    </row>
    <row r="123" spans="5:15" x14ac:dyDescent="0.25">
      <c r="E123">
        <v>757</v>
      </c>
      <c r="F123">
        <f t="shared" si="1"/>
        <v>259</v>
      </c>
      <c r="G123">
        <f>IFERROR(VLOOKUP(Table_socioeca8.sandag.org_ws_abm2_f4[[#This Row],[hwycov_id]],[2]flow_freeway!$A$2:$E$1643,3,FALSE),0)</f>
        <v>97750</v>
      </c>
      <c r="H123">
        <f>IFERROR(VLOOKUP(Table_socioeca8.sandag.org_ws_abm2_f4[[#This Row],[hwycov_id]],[2]flow_freeway!$A$2:$E$1643,4,FALSE),0)</f>
        <v>24675</v>
      </c>
      <c r="I123">
        <f>IFERROR(VLOOKUP(Table_socioeca8.sandag.org_ws_abm2_f4[[#This Row],[hwycov_id]],[2]flow_freeway!$A$2:$E$1643,5,FALSE),0)</f>
        <v>20207</v>
      </c>
      <c r="K123">
        <f>Table_socioeca8.sandag.org_ws_abm2_f4[[#This Row],[hwycov_id]]</f>
        <v>757</v>
      </c>
      <c r="L123">
        <f>Table_socioeca8.sandag.org_ws_abm2_f4[[#This Row],[scenario_id]]</f>
        <v>259</v>
      </c>
      <c r="M123">
        <f>Table_socioeca8.sandag.org_ws_abm2_f4[[#This Row],[flow_day]]</f>
        <v>97750</v>
      </c>
      <c r="N123">
        <f>Table_socioeca8.sandag.org_ws_abm2_f4[[#This Row],[flow_am]]</f>
        <v>24675</v>
      </c>
      <c r="O123">
        <f>Table_socioeca8.sandag.org_ws_abm2_f4[[#This Row],[flow_pm]]</f>
        <v>20207</v>
      </c>
    </row>
    <row r="124" spans="5:15" x14ac:dyDescent="0.25">
      <c r="E124">
        <v>758</v>
      </c>
      <c r="F124">
        <f t="shared" si="1"/>
        <v>259</v>
      </c>
      <c r="G124">
        <f>IFERROR(VLOOKUP(Table_socioeca8.sandag.org_ws_abm2_f4[[#This Row],[hwycov_id]],[2]flow_freeway!$A$2:$E$1643,3,FALSE),0)</f>
        <v>112392</v>
      </c>
      <c r="H124">
        <f>IFERROR(VLOOKUP(Table_socioeca8.sandag.org_ws_abm2_f4[[#This Row],[hwycov_id]],[2]flow_freeway!$A$2:$E$1643,4,FALSE),0)</f>
        <v>26839</v>
      </c>
      <c r="I124">
        <f>IFERROR(VLOOKUP(Table_socioeca8.sandag.org_ws_abm2_f4[[#This Row],[hwycov_id]],[2]flow_freeway!$A$2:$E$1643,5,FALSE),0)</f>
        <v>23817</v>
      </c>
      <c r="K124">
        <f>Table_socioeca8.sandag.org_ws_abm2_f4[[#This Row],[hwycov_id]]</f>
        <v>758</v>
      </c>
      <c r="L124">
        <f>Table_socioeca8.sandag.org_ws_abm2_f4[[#This Row],[scenario_id]]</f>
        <v>259</v>
      </c>
      <c r="M124">
        <f>Table_socioeca8.sandag.org_ws_abm2_f4[[#This Row],[flow_day]]</f>
        <v>112392</v>
      </c>
      <c r="N124">
        <f>Table_socioeca8.sandag.org_ws_abm2_f4[[#This Row],[flow_am]]</f>
        <v>26839</v>
      </c>
      <c r="O124">
        <f>Table_socioeca8.sandag.org_ws_abm2_f4[[#This Row],[flow_pm]]</f>
        <v>23817</v>
      </c>
    </row>
    <row r="125" spans="5:15" x14ac:dyDescent="0.25">
      <c r="E125">
        <v>759</v>
      </c>
      <c r="F125">
        <f t="shared" si="1"/>
        <v>259</v>
      </c>
      <c r="G125">
        <f>IFERROR(VLOOKUP(Table_socioeca8.sandag.org_ws_abm2_f4[[#This Row],[hwycov_id]],[2]flow_freeway!$A$2:$E$1643,3,FALSE),0)</f>
        <v>96484</v>
      </c>
      <c r="H125">
        <f>IFERROR(VLOOKUP(Table_socioeca8.sandag.org_ws_abm2_f4[[#This Row],[hwycov_id]],[2]flow_freeway!$A$2:$E$1643,4,FALSE),0)</f>
        <v>22968</v>
      </c>
      <c r="I125">
        <f>IFERROR(VLOOKUP(Table_socioeca8.sandag.org_ws_abm2_f4[[#This Row],[hwycov_id]],[2]flow_freeway!$A$2:$E$1643,5,FALSE),0)</f>
        <v>20518</v>
      </c>
      <c r="K125">
        <f>Table_socioeca8.sandag.org_ws_abm2_f4[[#This Row],[hwycov_id]]</f>
        <v>759</v>
      </c>
      <c r="L125">
        <f>Table_socioeca8.sandag.org_ws_abm2_f4[[#This Row],[scenario_id]]</f>
        <v>259</v>
      </c>
      <c r="M125">
        <f>Table_socioeca8.sandag.org_ws_abm2_f4[[#This Row],[flow_day]]</f>
        <v>96484</v>
      </c>
      <c r="N125">
        <f>Table_socioeca8.sandag.org_ws_abm2_f4[[#This Row],[flow_am]]</f>
        <v>22968</v>
      </c>
      <c r="O125">
        <f>Table_socioeca8.sandag.org_ws_abm2_f4[[#This Row],[flow_pm]]</f>
        <v>20518</v>
      </c>
    </row>
    <row r="126" spans="5:15" x14ac:dyDescent="0.25">
      <c r="E126">
        <v>760</v>
      </c>
      <c r="F126">
        <f t="shared" si="1"/>
        <v>259</v>
      </c>
      <c r="G126">
        <f>IFERROR(VLOOKUP(Table_socioeca8.sandag.org_ws_abm2_f4[[#This Row],[hwycov_id]],[2]flow_freeway!$A$2:$E$1643,3,FALSE),0)</f>
        <v>110028</v>
      </c>
      <c r="H126">
        <f>IFERROR(VLOOKUP(Table_socioeca8.sandag.org_ws_abm2_f4[[#This Row],[hwycov_id]],[2]flow_freeway!$A$2:$E$1643,4,FALSE),0)</f>
        <v>25057</v>
      </c>
      <c r="I126">
        <f>IFERROR(VLOOKUP(Table_socioeca8.sandag.org_ws_abm2_f4[[#This Row],[hwycov_id]],[2]flow_freeway!$A$2:$E$1643,5,FALSE),0)</f>
        <v>23881</v>
      </c>
      <c r="K126">
        <f>Table_socioeca8.sandag.org_ws_abm2_f4[[#This Row],[hwycov_id]]</f>
        <v>760</v>
      </c>
      <c r="L126">
        <f>Table_socioeca8.sandag.org_ws_abm2_f4[[#This Row],[scenario_id]]</f>
        <v>259</v>
      </c>
      <c r="M126">
        <f>Table_socioeca8.sandag.org_ws_abm2_f4[[#This Row],[flow_day]]</f>
        <v>110028</v>
      </c>
      <c r="N126">
        <f>Table_socioeca8.sandag.org_ws_abm2_f4[[#This Row],[flow_am]]</f>
        <v>25057</v>
      </c>
      <c r="O126">
        <f>Table_socioeca8.sandag.org_ws_abm2_f4[[#This Row],[flow_pm]]</f>
        <v>23881</v>
      </c>
    </row>
    <row r="127" spans="5:15" x14ac:dyDescent="0.25">
      <c r="E127">
        <v>762</v>
      </c>
      <c r="F127">
        <f t="shared" si="1"/>
        <v>259</v>
      </c>
      <c r="G127">
        <f>IFERROR(VLOOKUP(Table_socioeca8.sandag.org_ws_abm2_f4[[#This Row],[hwycov_id]],[2]flow_freeway!$A$2:$E$1643,3,FALSE),0)</f>
        <v>93727</v>
      </c>
      <c r="H127">
        <f>IFERROR(VLOOKUP(Table_socioeca8.sandag.org_ws_abm2_f4[[#This Row],[hwycov_id]],[2]flow_freeway!$A$2:$E$1643,4,FALSE),0)</f>
        <v>21967</v>
      </c>
      <c r="I127">
        <f>IFERROR(VLOOKUP(Table_socioeca8.sandag.org_ws_abm2_f4[[#This Row],[hwycov_id]],[2]flow_freeway!$A$2:$E$1643,5,FALSE),0)</f>
        <v>19603</v>
      </c>
      <c r="K127">
        <f>Table_socioeca8.sandag.org_ws_abm2_f4[[#This Row],[hwycov_id]]</f>
        <v>762</v>
      </c>
      <c r="L127">
        <f>Table_socioeca8.sandag.org_ws_abm2_f4[[#This Row],[scenario_id]]</f>
        <v>259</v>
      </c>
      <c r="M127">
        <f>Table_socioeca8.sandag.org_ws_abm2_f4[[#This Row],[flow_day]]</f>
        <v>93727</v>
      </c>
      <c r="N127">
        <f>Table_socioeca8.sandag.org_ws_abm2_f4[[#This Row],[flow_am]]</f>
        <v>21967</v>
      </c>
      <c r="O127">
        <f>Table_socioeca8.sandag.org_ws_abm2_f4[[#This Row],[flow_pm]]</f>
        <v>19603</v>
      </c>
    </row>
    <row r="128" spans="5:15" x14ac:dyDescent="0.25">
      <c r="E128">
        <v>763</v>
      </c>
      <c r="F128">
        <f t="shared" si="1"/>
        <v>259</v>
      </c>
      <c r="G128">
        <f>IFERROR(VLOOKUP(Table_socioeca8.sandag.org_ws_abm2_f4[[#This Row],[hwycov_id]],[2]flow_freeway!$A$2:$E$1643,3,FALSE),0)</f>
        <v>86226</v>
      </c>
      <c r="H128">
        <f>IFERROR(VLOOKUP(Table_socioeca8.sandag.org_ws_abm2_f4[[#This Row],[hwycov_id]],[2]flow_freeway!$A$2:$E$1643,4,FALSE),0)</f>
        <v>20259</v>
      </c>
      <c r="I128">
        <f>IFERROR(VLOOKUP(Table_socioeca8.sandag.org_ws_abm2_f4[[#This Row],[hwycov_id]],[2]flow_freeway!$A$2:$E$1643,5,FALSE),0)</f>
        <v>17134</v>
      </c>
      <c r="K128">
        <f>Table_socioeca8.sandag.org_ws_abm2_f4[[#This Row],[hwycov_id]]</f>
        <v>763</v>
      </c>
      <c r="L128">
        <f>Table_socioeca8.sandag.org_ws_abm2_f4[[#This Row],[scenario_id]]</f>
        <v>259</v>
      </c>
      <c r="M128">
        <f>Table_socioeca8.sandag.org_ws_abm2_f4[[#This Row],[flow_day]]</f>
        <v>86226</v>
      </c>
      <c r="N128">
        <f>Table_socioeca8.sandag.org_ws_abm2_f4[[#This Row],[flow_am]]</f>
        <v>20259</v>
      </c>
      <c r="O128">
        <f>Table_socioeca8.sandag.org_ws_abm2_f4[[#This Row],[flow_pm]]</f>
        <v>17134</v>
      </c>
    </row>
    <row r="129" spans="5:15" x14ac:dyDescent="0.25">
      <c r="E129">
        <v>764</v>
      </c>
      <c r="F129">
        <f t="shared" si="1"/>
        <v>259</v>
      </c>
      <c r="G129">
        <f>IFERROR(VLOOKUP(Table_socioeca8.sandag.org_ws_abm2_f4[[#This Row],[hwycov_id]],[2]flow_freeway!$A$2:$E$1643,3,FALSE),0)</f>
        <v>123314</v>
      </c>
      <c r="H129">
        <f>IFERROR(VLOOKUP(Table_socioeca8.sandag.org_ws_abm2_f4[[#This Row],[hwycov_id]],[2]flow_freeway!$A$2:$E$1643,4,FALSE),0)</f>
        <v>29159</v>
      </c>
      <c r="I129">
        <f>IFERROR(VLOOKUP(Table_socioeca8.sandag.org_ws_abm2_f4[[#This Row],[hwycov_id]],[2]flow_freeway!$A$2:$E$1643,5,FALSE),0)</f>
        <v>25994</v>
      </c>
      <c r="K129">
        <f>Table_socioeca8.sandag.org_ws_abm2_f4[[#This Row],[hwycov_id]]</f>
        <v>764</v>
      </c>
      <c r="L129">
        <f>Table_socioeca8.sandag.org_ws_abm2_f4[[#This Row],[scenario_id]]</f>
        <v>259</v>
      </c>
      <c r="M129">
        <f>Table_socioeca8.sandag.org_ws_abm2_f4[[#This Row],[flow_day]]</f>
        <v>123314</v>
      </c>
      <c r="N129">
        <f>Table_socioeca8.sandag.org_ws_abm2_f4[[#This Row],[flow_am]]</f>
        <v>29159</v>
      </c>
      <c r="O129">
        <f>Table_socioeca8.sandag.org_ws_abm2_f4[[#This Row],[flow_pm]]</f>
        <v>25994</v>
      </c>
    </row>
    <row r="130" spans="5:15" x14ac:dyDescent="0.25">
      <c r="E130">
        <v>768</v>
      </c>
      <c r="F130">
        <f t="shared" si="1"/>
        <v>259</v>
      </c>
      <c r="G130">
        <f>IFERROR(VLOOKUP(Table_socioeca8.sandag.org_ws_abm2_f4[[#This Row],[hwycov_id]],[2]flow_freeway!$A$2:$E$1643,3,FALSE),0)</f>
        <v>127825</v>
      </c>
      <c r="H130">
        <f>IFERROR(VLOOKUP(Table_socioeca8.sandag.org_ws_abm2_f4[[#This Row],[hwycov_id]],[2]flow_freeway!$A$2:$E$1643,4,FALSE),0)</f>
        <v>21842</v>
      </c>
      <c r="I130">
        <f>IFERROR(VLOOKUP(Table_socioeca8.sandag.org_ws_abm2_f4[[#This Row],[hwycov_id]],[2]flow_freeway!$A$2:$E$1643,5,FALSE),0)</f>
        <v>33351</v>
      </c>
      <c r="K130">
        <f>Table_socioeca8.sandag.org_ws_abm2_f4[[#This Row],[hwycov_id]]</f>
        <v>768</v>
      </c>
      <c r="L130">
        <f>Table_socioeca8.sandag.org_ws_abm2_f4[[#This Row],[scenario_id]]</f>
        <v>259</v>
      </c>
      <c r="M130">
        <f>Table_socioeca8.sandag.org_ws_abm2_f4[[#This Row],[flow_day]]</f>
        <v>127825</v>
      </c>
      <c r="N130">
        <f>Table_socioeca8.sandag.org_ws_abm2_f4[[#This Row],[flow_am]]</f>
        <v>21842</v>
      </c>
      <c r="O130">
        <f>Table_socioeca8.sandag.org_ws_abm2_f4[[#This Row],[flow_pm]]</f>
        <v>33351</v>
      </c>
    </row>
    <row r="131" spans="5:15" x14ac:dyDescent="0.25">
      <c r="E131">
        <v>769</v>
      </c>
      <c r="F131">
        <f t="shared" si="1"/>
        <v>259</v>
      </c>
      <c r="G131">
        <f>IFERROR(VLOOKUP(Table_socioeca8.sandag.org_ws_abm2_f4[[#This Row],[hwycov_id]],[2]flow_freeway!$A$2:$E$1643,3,FALSE),0)</f>
        <v>96856</v>
      </c>
      <c r="H131">
        <f>IFERROR(VLOOKUP(Table_socioeca8.sandag.org_ws_abm2_f4[[#This Row],[hwycov_id]],[2]flow_freeway!$A$2:$E$1643,4,FALSE),0)</f>
        <v>17196</v>
      </c>
      <c r="I131">
        <f>IFERROR(VLOOKUP(Table_socioeca8.sandag.org_ws_abm2_f4[[#This Row],[hwycov_id]],[2]flow_freeway!$A$2:$E$1643,5,FALSE),0)</f>
        <v>26702</v>
      </c>
      <c r="K131">
        <f>Table_socioeca8.sandag.org_ws_abm2_f4[[#This Row],[hwycov_id]]</f>
        <v>769</v>
      </c>
      <c r="L131">
        <f>Table_socioeca8.sandag.org_ws_abm2_f4[[#This Row],[scenario_id]]</f>
        <v>259</v>
      </c>
      <c r="M131">
        <f>Table_socioeca8.sandag.org_ws_abm2_f4[[#This Row],[flow_day]]</f>
        <v>96856</v>
      </c>
      <c r="N131">
        <f>Table_socioeca8.sandag.org_ws_abm2_f4[[#This Row],[flow_am]]</f>
        <v>17196</v>
      </c>
      <c r="O131">
        <f>Table_socioeca8.sandag.org_ws_abm2_f4[[#This Row],[flow_pm]]</f>
        <v>26702</v>
      </c>
    </row>
    <row r="132" spans="5:15" x14ac:dyDescent="0.25">
      <c r="E132">
        <v>770</v>
      </c>
      <c r="F132">
        <f t="shared" ref="F132:F195" si="2">F131</f>
        <v>259</v>
      </c>
      <c r="G132">
        <f>IFERROR(VLOOKUP(Table_socioeca8.sandag.org_ws_abm2_f4[[#This Row],[hwycov_id]],[2]flow_freeway!$A$2:$E$1643,3,FALSE),0)</f>
        <v>97895</v>
      </c>
      <c r="H132">
        <f>IFERROR(VLOOKUP(Table_socioeca8.sandag.org_ws_abm2_f4[[#This Row],[hwycov_id]],[2]flow_freeway!$A$2:$E$1643,4,FALSE),0)</f>
        <v>17491</v>
      </c>
      <c r="I132">
        <f>IFERROR(VLOOKUP(Table_socioeca8.sandag.org_ws_abm2_f4[[#This Row],[hwycov_id]],[2]flow_freeway!$A$2:$E$1643,5,FALSE),0)</f>
        <v>26909</v>
      </c>
      <c r="K132">
        <f>Table_socioeca8.sandag.org_ws_abm2_f4[[#This Row],[hwycov_id]]</f>
        <v>770</v>
      </c>
      <c r="L132">
        <f>Table_socioeca8.sandag.org_ws_abm2_f4[[#This Row],[scenario_id]]</f>
        <v>259</v>
      </c>
      <c r="M132">
        <f>Table_socioeca8.sandag.org_ws_abm2_f4[[#This Row],[flow_day]]</f>
        <v>97895</v>
      </c>
      <c r="N132">
        <f>Table_socioeca8.sandag.org_ws_abm2_f4[[#This Row],[flow_am]]</f>
        <v>17491</v>
      </c>
      <c r="O132">
        <f>Table_socioeca8.sandag.org_ws_abm2_f4[[#This Row],[flow_pm]]</f>
        <v>26909</v>
      </c>
    </row>
    <row r="133" spans="5:15" x14ac:dyDescent="0.25">
      <c r="E133">
        <v>771</v>
      </c>
      <c r="F133">
        <f t="shared" si="2"/>
        <v>259</v>
      </c>
      <c r="G133">
        <f>IFERROR(VLOOKUP(Table_socioeca8.sandag.org_ws_abm2_f4[[#This Row],[hwycov_id]],[2]flow_freeway!$A$2:$E$1643,3,FALSE),0)</f>
        <v>112245</v>
      </c>
      <c r="H133">
        <f>IFERROR(VLOOKUP(Table_socioeca8.sandag.org_ws_abm2_f4[[#This Row],[hwycov_id]],[2]flow_freeway!$A$2:$E$1643,4,FALSE),0)</f>
        <v>21180</v>
      </c>
      <c r="I133">
        <f>IFERROR(VLOOKUP(Table_socioeca8.sandag.org_ws_abm2_f4[[#This Row],[hwycov_id]],[2]flow_freeway!$A$2:$E$1643,5,FALSE),0)</f>
        <v>30884</v>
      </c>
      <c r="K133">
        <f>Table_socioeca8.sandag.org_ws_abm2_f4[[#This Row],[hwycov_id]]</f>
        <v>771</v>
      </c>
      <c r="L133">
        <f>Table_socioeca8.sandag.org_ws_abm2_f4[[#This Row],[scenario_id]]</f>
        <v>259</v>
      </c>
      <c r="M133">
        <f>Table_socioeca8.sandag.org_ws_abm2_f4[[#This Row],[flow_day]]</f>
        <v>112245</v>
      </c>
      <c r="N133">
        <f>Table_socioeca8.sandag.org_ws_abm2_f4[[#This Row],[flow_am]]</f>
        <v>21180</v>
      </c>
      <c r="O133">
        <f>Table_socioeca8.sandag.org_ws_abm2_f4[[#This Row],[flow_pm]]</f>
        <v>30884</v>
      </c>
    </row>
    <row r="134" spans="5:15" x14ac:dyDescent="0.25">
      <c r="E134">
        <v>772</v>
      </c>
      <c r="F134">
        <f t="shared" si="2"/>
        <v>259</v>
      </c>
      <c r="G134">
        <f>IFERROR(VLOOKUP(Table_socioeca8.sandag.org_ws_abm2_f4[[#This Row],[hwycov_id]],[2]flow_freeway!$A$2:$E$1643,3,FALSE),0)</f>
        <v>96883</v>
      </c>
      <c r="H134">
        <f>IFERROR(VLOOKUP(Table_socioeca8.sandag.org_ws_abm2_f4[[#This Row],[hwycov_id]],[2]flow_freeway!$A$2:$E$1643,4,FALSE),0)</f>
        <v>17683</v>
      </c>
      <c r="I134">
        <f>IFERROR(VLOOKUP(Table_socioeca8.sandag.org_ws_abm2_f4[[#This Row],[hwycov_id]],[2]flow_freeway!$A$2:$E$1643,5,FALSE),0)</f>
        <v>27147</v>
      </c>
      <c r="K134">
        <f>Table_socioeca8.sandag.org_ws_abm2_f4[[#This Row],[hwycov_id]]</f>
        <v>772</v>
      </c>
      <c r="L134">
        <f>Table_socioeca8.sandag.org_ws_abm2_f4[[#This Row],[scenario_id]]</f>
        <v>259</v>
      </c>
      <c r="M134">
        <f>Table_socioeca8.sandag.org_ws_abm2_f4[[#This Row],[flow_day]]</f>
        <v>96883</v>
      </c>
      <c r="N134">
        <f>Table_socioeca8.sandag.org_ws_abm2_f4[[#This Row],[flow_am]]</f>
        <v>17683</v>
      </c>
      <c r="O134">
        <f>Table_socioeca8.sandag.org_ws_abm2_f4[[#This Row],[flow_pm]]</f>
        <v>27147</v>
      </c>
    </row>
    <row r="135" spans="5:15" x14ac:dyDescent="0.25">
      <c r="E135">
        <v>773</v>
      </c>
      <c r="F135">
        <f t="shared" si="2"/>
        <v>259</v>
      </c>
      <c r="G135">
        <f>IFERROR(VLOOKUP(Table_socioeca8.sandag.org_ws_abm2_f4[[#This Row],[hwycov_id]],[2]flow_freeway!$A$2:$E$1643,3,FALSE),0)</f>
        <v>102923</v>
      </c>
      <c r="H135">
        <f>IFERROR(VLOOKUP(Table_socioeca8.sandag.org_ws_abm2_f4[[#This Row],[hwycov_id]],[2]flow_freeway!$A$2:$E$1643,4,FALSE),0)</f>
        <v>18282</v>
      </c>
      <c r="I135">
        <f>IFERROR(VLOOKUP(Table_socioeca8.sandag.org_ws_abm2_f4[[#This Row],[hwycov_id]],[2]flow_freeway!$A$2:$E$1643,5,FALSE),0)</f>
        <v>29307</v>
      </c>
      <c r="K135">
        <f>Table_socioeca8.sandag.org_ws_abm2_f4[[#This Row],[hwycov_id]]</f>
        <v>773</v>
      </c>
      <c r="L135">
        <f>Table_socioeca8.sandag.org_ws_abm2_f4[[#This Row],[scenario_id]]</f>
        <v>259</v>
      </c>
      <c r="M135">
        <f>Table_socioeca8.sandag.org_ws_abm2_f4[[#This Row],[flow_day]]</f>
        <v>102923</v>
      </c>
      <c r="N135">
        <f>Table_socioeca8.sandag.org_ws_abm2_f4[[#This Row],[flow_am]]</f>
        <v>18282</v>
      </c>
      <c r="O135">
        <f>Table_socioeca8.sandag.org_ws_abm2_f4[[#This Row],[flow_pm]]</f>
        <v>29307</v>
      </c>
    </row>
    <row r="136" spans="5:15" x14ac:dyDescent="0.25">
      <c r="E136">
        <v>774</v>
      </c>
      <c r="F136">
        <f t="shared" si="2"/>
        <v>259</v>
      </c>
      <c r="G136">
        <f>IFERROR(VLOOKUP(Table_socioeca8.sandag.org_ws_abm2_f4[[#This Row],[hwycov_id]],[2]flow_freeway!$A$2:$E$1643,3,FALSE),0)</f>
        <v>109670</v>
      </c>
      <c r="H136">
        <f>IFERROR(VLOOKUP(Table_socioeca8.sandag.org_ws_abm2_f4[[#This Row],[hwycov_id]],[2]flow_freeway!$A$2:$E$1643,4,FALSE),0)</f>
        <v>19777</v>
      </c>
      <c r="I136">
        <f>IFERROR(VLOOKUP(Table_socioeca8.sandag.org_ws_abm2_f4[[#This Row],[hwycov_id]],[2]flow_freeway!$A$2:$E$1643,5,FALSE),0)</f>
        <v>30895</v>
      </c>
      <c r="K136">
        <f>Table_socioeca8.sandag.org_ws_abm2_f4[[#This Row],[hwycov_id]]</f>
        <v>774</v>
      </c>
      <c r="L136">
        <f>Table_socioeca8.sandag.org_ws_abm2_f4[[#This Row],[scenario_id]]</f>
        <v>259</v>
      </c>
      <c r="M136">
        <f>Table_socioeca8.sandag.org_ws_abm2_f4[[#This Row],[flow_day]]</f>
        <v>109670</v>
      </c>
      <c r="N136">
        <f>Table_socioeca8.sandag.org_ws_abm2_f4[[#This Row],[flow_am]]</f>
        <v>19777</v>
      </c>
      <c r="O136">
        <f>Table_socioeca8.sandag.org_ws_abm2_f4[[#This Row],[flow_pm]]</f>
        <v>30895</v>
      </c>
    </row>
    <row r="137" spans="5:15" x14ac:dyDescent="0.25">
      <c r="E137">
        <v>776</v>
      </c>
      <c r="F137">
        <f t="shared" si="2"/>
        <v>259</v>
      </c>
      <c r="G137">
        <f>IFERROR(VLOOKUP(Table_socioeca8.sandag.org_ws_abm2_f4[[#This Row],[hwycov_id]],[2]flow_freeway!$A$2:$E$1643,3,FALSE),0)</f>
        <v>93735</v>
      </c>
      <c r="H137">
        <f>IFERROR(VLOOKUP(Table_socioeca8.sandag.org_ws_abm2_f4[[#This Row],[hwycov_id]],[2]flow_freeway!$A$2:$E$1643,4,FALSE),0)</f>
        <v>16333</v>
      </c>
      <c r="I137">
        <f>IFERROR(VLOOKUP(Table_socioeca8.sandag.org_ws_abm2_f4[[#This Row],[hwycov_id]],[2]flow_freeway!$A$2:$E$1643,5,FALSE),0)</f>
        <v>27221</v>
      </c>
      <c r="K137">
        <f>Table_socioeca8.sandag.org_ws_abm2_f4[[#This Row],[hwycov_id]]</f>
        <v>776</v>
      </c>
      <c r="L137">
        <f>Table_socioeca8.sandag.org_ws_abm2_f4[[#This Row],[scenario_id]]</f>
        <v>259</v>
      </c>
      <c r="M137">
        <f>Table_socioeca8.sandag.org_ws_abm2_f4[[#This Row],[flow_day]]</f>
        <v>93735</v>
      </c>
      <c r="N137">
        <f>Table_socioeca8.sandag.org_ws_abm2_f4[[#This Row],[flow_am]]</f>
        <v>16333</v>
      </c>
      <c r="O137">
        <f>Table_socioeca8.sandag.org_ws_abm2_f4[[#This Row],[flow_pm]]</f>
        <v>27221</v>
      </c>
    </row>
    <row r="138" spans="5:15" x14ac:dyDescent="0.25">
      <c r="E138">
        <v>777</v>
      </c>
      <c r="F138">
        <f t="shared" si="2"/>
        <v>259</v>
      </c>
      <c r="G138">
        <f>IFERROR(VLOOKUP(Table_socioeca8.sandag.org_ws_abm2_f4[[#This Row],[hwycov_id]],[2]flow_freeway!$A$2:$E$1643,3,FALSE),0)</f>
        <v>107252</v>
      </c>
      <c r="H138">
        <f>IFERROR(VLOOKUP(Table_socioeca8.sandag.org_ws_abm2_f4[[#This Row],[hwycov_id]],[2]flow_freeway!$A$2:$E$1643,4,FALSE),0)</f>
        <v>18687</v>
      </c>
      <c r="I138">
        <f>IFERROR(VLOOKUP(Table_socioeca8.sandag.org_ws_abm2_f4[[#This Row],[hwycov_id]],[2]flow_freeway!$A$2:$E$1643,5,FALSE),0)</f>
        <v>31447</v>
      </c>
      <c r="K138">
        <f>Table_socioeca8.sandag.org_ws_abm2_f4[[#This Row],[hwycov_id]]</f>
        <v>777</v>
      </c>
      <c r="L138">
        <f>Table_socioeca8.sandag.org_ws_abm2_f4[[#This Row],[scenario_id]]</f>
        <v>259</v>
      </c>
      <c r="M138">
        <f>Table_socioeca8.sandag.org_ws_abm2_f4[[#This Row],[flow_day]]</f>
        <v>107252</v>
      </c>
      <c r="N138">
        <f>Table_socioeca8.sandag.org_ws_abm2_f4[[#This Row],[flow_am]]</f>
        <v>18687</v>
      </c>
      <c r="O138">
        <f>Table_socioeca8.sandag.org_ws_abm2_f4[[#This Row],[flow_pm]]</f>
        <v>31447</v>
      </c>
    </row>
    <row r="139" spans="5:15" x14ac:dyDescent="0.25">
      <c r="E139">
        <v>778</v>
      </c>
      <c r="F139">
        <f t="shared" si="2"/>
        <v>259</v>
      </c>
      <c r="G139">
        <f>IFERROR(VLOOKUP(Table_socioeca8.sandag.org_ws_abm2_f4[[#This Row],[hwycov_id]],[2]flow_freeway!$A$2:$E$1643,3,FALSE),0)</f>
        <v>81053</v>
      </c>
      <c r="H139">
        <f>IFERROR(VLOOKUP(Table_socioeca8.sandag.org_ws_abm2_f4[[#This Row],[hwycov_id]],[2]flow_freeway!$A$2:$E$1643,4,FALSE),0)</f>
        <v>14147</v>
      </c>
      <c r="I139">
        <f>IFERROR(VLOOKUP(Table_socioeca8.sandag.org_ws_abm2_f4[[#This Row],[hwycov_id]],[2]flow_freeway!$A$2:$E$1643,5,FALSE),0)</f>
        <v>24689</v>
      </c>
      <c r="K139">
        <f>Table_socioeca8.sandag.org_ws_abm2_f4[[#This Row],[hwycov_id]]</f>
        <v>778</v>
      </c>
      <c r="L139">
        <f>Table_socioeca8.sandag.org_ws_abm2_f4[[#This Row],[scenario_id]]</f>
        <v>259</v>
      </c>
      <c r="M139">
        <f>Table_socioeca8.sandag.org_ws_abm2_f4[[#This Row],[flow_day]]</f>
        <v>81053</v>
      </c>
      <c r="N139">
        <f>Table_socioeca8.sandag.org_ws_abm2_f4[[#This Row],[flow_am]]</f>
        <v>14147</v>
      </c>
      <c r="O139">
        <f>Table_socioeca8.sandag.org_ws_abm2_f4[[#This Row],[flow_pm]]</f>
        <v>24689</v>
      </c>
    </row>
    <row r="140" spans="5:15" x14ac:dyDescent="0.25">
      <c r="E140">
        <v>779</v>
      </c>
      <c r="F140">
        <f t="shared" si="2"/>
        <v>259</v>
      </c>
      <c r="G140">
        <f>IFERROR(VLOOKUP(Table_socioeca8.sandag.org_ws_abm2_f4[[#This Row],[hwycov_id]],[2]flow_freeway!$A$2:$E$1643,3,FALSE),0)</f>
        <v>105526</v>
      </c>
      <c r="H140">
        <f>IFERROR(VLOOKUP(Table_socioeca8.sandag.org_ws_abm2_f4[[#This Row],[hwycov_id]],[2]flow_freeway!$A$2:$E$1643,4,FALSE),0)</f>
        <v>17316</v>
      </c>
      <c r="I140">
        <f>IFERROR(VLOOKUP(Table_socioeca8.sandag.org_ws_abm2_f4[[#This Row],[hwycov_id]],[2]flow_freeway!$A$2:$E$1643,5,FALSE),0)</f>
        <v>33623</v>
      </c>
      <c r="K140">
        <f>Table_socioeca8.sandag.org_ws_abm2_f4[[#This Row],[hwycov_id]]</f>
        <v>779</v>
      </c>
      <c r="L140">
        <f>Table_socioeca8.sandag.org_ws_abm2_f4[[#This Row],[scenario_id]]</f>
        <v>259</v>
      </c>
      <c r="M140">
        <f>Table_socioeca8.sandag.org_ws_abm2_f4[[#This Row],[flow_day]]</f>
        <v>105526</v>
      </c>
      <c r="N140">
        <f>Table_socioeca8.sandag.org_ws_abm2_f4[[#This Row],[flow_am]]</f>
        <v>17316</v>
      </c>
      <c r="O140">
        <f>Table_socioeca8.sandag.org_ws_abm2_f4[[#This Row],[flow_pm]]</f>
        <v>33623</v>
      </c>
    </row>
    <row r="141" spans="5:15" x14ac:dyDescent="0.25">
      <c r="E141">
        <v>782</v>
      </c>
      <c r="F141">
        <f t="shared" si="2"/>
        <v>259</v>
      </c>
      <c r="G141">
        <f>IFERROR(VLOOKUP(Table_socioeca8.sandag.org_ws_abm2_f4[[#This Row],[hwycov_id]],[2]flow_freeway!$A$2:$E$1643,3,FALSE),0)</f>
        <v>104456</v>
      </c>
      <c r="H141">
        <f>IFERROR(VLOOKUP(Table_socioeca8.sandag.org_ws_abm2_f4[[#This Row],[hwycov_id]],[2]flow_freeway!$A$2:$E$1643,4,FALSE),0)</f>
        <v>25376</v>
      </c>
      <c r="I141">
        <f>IFERROR(VLOOKUP(Table_socioeca8.sandag.org_ws_abm2_f4[[#This Row],[hwycov_id]],[2]flow_freeway!$A$2:$E$1643,5,FALSE),0)</f>
        <v>19412</v>
      </c>
      <c r="K141">
        <f>Table_socioeca8.sandag.org_ws_abm2_f4[[#This Row],[hwycov_id]]</f>
        <v>782</v>
      </c>
      <c r="L141">
        <f>Table_socioeca8.sandag.org_ws_abm2_f4[[#This Row],[scenario_id]]</f>
        <v>259</v>
      </c>
      <c r="M141">
        <f>Table_socioeca8.sandag.org_ws_abm2_f4[[#This Row],[flow_day]]</f>
        <v>104456</v>
      </c>
      <c r="N141">
        <f>Table_socioeca8.sandag.org_ws_abm2_f4[[#This Row],[flow_am]]</f>
        <v>25376</v>
      </c>
      <c r="O141">
        <f>Table_socioeca8.sandag.org_ws_abm2_f4[[#This Row],[flow_pm]]</f>
        <v>19412</v>
      </c>
    </row>
    <row r="142" spans="5:15" x14ac:dyDescent="0.25">
      <c r="E142">
        <v>783</v>
      </c>
      <c r="F142">
        <f t="shared" si="2"/>
        <v>259</v>
      </c>
      <c r="G142">
        <f>IFERROR(VLOOKUP(Table_socioeca8.sandag.org_ws_abm2_f4[[#This Row],[hwycov_id]],[2]flow_freeway!$A$2:$E$1643,3,FALSE),0)</f>
        <v>108700</v>
      </c>
      <c r="H142">
        <f>IFERROR(VLOOKUP(Table_socioeca8.sandag.org_ws_abm2_f4[[#This Row],[hwycov_id]],[2]flow_freeway!$A$2:$E$1643,4,FALSE),0)</f>
        <v>16715</v>
      </c>
      <c r="I142">
        <f>IFERROR(VLOOKUP(Table_socioeca8.sandag.org_ws_abm2_f4[[#This Row],[hwycov_id]],[2]flow_freeway!$A$2:$E$1643,5,FALSE),0)</f>
        <v>31028</v>
      </c>
      <c r="K142">
        <f>Table_socioeca8.sandag.org_ws_abm2_f4[[#This Row],[hwycov_id]]</f>
        <v>783</v>
      </c>
      <c r="L142">
        <f>Table_socioeca8.sandag.org_ws_abm2_f4[[#This Row],[scenario_id]]</f>
        <v>259</v>
      </c>
      <c r="M142">
        <f>Table_socioeca8.sandag.org_ws_abm2_f4[[#This Row],[flow_day]]</f>
        <v>108700</v>
      </c>
      <c r="N142">
        <f>Table_socioeca8.sandag.org_ws_abm2_f4[[#This Row],[flow_am]]</f>
        <v>16715</v>
      </c>
      <c r="O142">
        <f>Table_socioeca8.sandag.org_ws_abm2_f4[[#This Row],[flow_pm]]</f>
        <v>31028</v>
      </c>
    </row>
    <row r="143" spans="5:15" x14ac:dyDescent="0.25">
      <c r="E143">
        <v>786</v>
      </c>
      <c r="F143">
        <f t="shared" si="2"/>
        <v>259</v>
      </c>
      <c r="G143">
        <f>IFERROR(VLOOKUP(Table_socioeca8.sandag.org_ws_abm2_f4[[#This Row],[hwycov_id]],[2]flow_freeway!$A$2:$E$1643,3,FALSE),0)</f>
        <v>123333</v>
      </c>
      <c r="H143">
        <f>IFERROR(VLOOKUP(Table_socioeca8.sandag.org_ws_abm2_f4[[#This Row],[hwycov_id]],[2]flow_freeway!$A$2:$E$1643,4,FALSE),0)</f>
        <v>19403</v>
      </c>
      <c r="I143">
        <f>IFERROR(VLOOKUP(Table_socioeca8.sandag.org_ws_abm2_f4[[#This Row],[hwycov_id]],[2]flow_freeway!$A$2:$E$1643,5,FALSE),0)</f>
        <v>37778</v>
      </c>
      <c r="K143">
        <f>Table_socioeca8.sandag.org_ws_abm2_f4[[#This Row],[hwycov_id]]</f>
        <v>786</v>
      </c>
      <c r="L143">
        <f>Table_socioeca8.sandag.org_ws_abm2_f4[[#This Row],[scenario_id]]</f>
        <v>259</v>
      </c>
      <c r="M143">
        <f>Table_socioeca8.sandag.org_ws_abm2_f4[[#This Row],[flow_day]]</f>
        <v>123333</v>
      </c>
      <c r="N143">
        <f>Table_socioeca8.sandag.org_ws_abm2_f4[[#This Row],[flow_am]]</f>
        <v>19403</v>
      </c>
      <c r="O143">
        <f>Table_socioeca8.sandag.org_ws_abm2_f4[[#This Row],[flow_pm]]</f>
        <v>37778</v>
      </c>
    </row>
    <row r="144" spans="5:15" x14ac:dyDescent="0.25">
      <c r="E144">
        <v>787</v>
      </c>
      <c r="F144">
        <f t="shared" si="2"/>
        <v>259</v>
      </c>
      <c r="G144">
        <f>IFERROR(VLOOKUP(Table_socioeca8.sandag.org_ws_abm2_f4[[#This Row],[hwycov_id]],[2]flow_freeway!$A$2:$E$1643,3,FALSE),0)</f>
        <v>117436</v>
      </c>
      <c r="H144">
        <f>IFERROR(VLOOKUP(Table_socioeca8.sandag.org_ws_abm2_f4[[#This Row],[hwycov_id]],[2]flow_freeway!$A$2:$E$1643,4,FALSE),0)</f>
        <v>18199</v>
      </c>
      <c r="I144">
        <f>IFERROR(VLOOKUP(Table_socioeca8.sandag.org_ws_abm2_f4[[#This Row],[hwycov_id]],[2]flow_freeway!$A$2:$E$1643,5,FALSE),0)</f>
        <v>36116</v>
      </c>
      <c r="K144">
        <f>Table_socioeca8.sandag.org_ws_abm2_f4[[#This Row],[hwycov_id]]</f>
        <v>787</v>
      </c>
      <c r="L144">
        <f>Table_socioeca8.sandag.org_ws_abm2_f4[[#This Row],[scenario_id]]</f>
        <v>259</v>
      </c>
      <c r="M144">
        <f>Table_socioeca8.sandag.org_ws_abm2_f4[[#This Row],[flow_day]]</f>
        <v>117436</v>
      </c>
      <c r="N144">
        <f>Table_socioeca8.sandag.org_ws_abm2_f4[[#This Row],[flow_am]]</f>
        <v>18199</v>
      </c>
      <c r="O144">
        <f>Table_socioeca8.sandag.org_ws_abm2_f4[[#This Row],[flow_pm]]</f>
        <v>36116</v>
      </c>
    </row>
    <row r="145" spans="5:15" x14ac:dyDescent="0.25">
      <c r="E145">
        <v>788</v>
      </c>
      <c r="F145">
        <f t="shared" si="2"/>
        <v>259</v>
      </c>
      <c r="G145">
        <f>IFERROR(VLOOKUP(Table_socioeca8.sandag.org_ws_abm2_f4[[#This Row],[hwycov_id]],[2]flow_freeway!$A$2:$E$1643,3,FALSE),0)</f>
        <v>123052</v>
      </c>
      <c r="H145">
        <f>IFERROR(VLOOKUP(Table_socioeca8.sandag.org_ws_abm2_f4[[#This Row],[hwycov_id]],[2]flow_freeway!$A$2:$E$1643,4,FALSE),0)</f>
        <v>19366</v>
      </c>
      <c r="I145">
        <f>IFERROR(VLOOKUP(Table_socioeca8.sandag.org_ws_abm2_f4[[#This Row],[hwycov_id]],[2]flow_freeway!$A$2:$E$1643,5,FALSE),0)</f>
        <v>37623</v>
      </c>
      <c r="K145">
        <f>Table_socioeca8.sandag.org_ws_abm2_f4[[#This Row],[hwycov_id]]</f>
        <v>788</v>
      </c>
      <c r="L145">
        <f>Table_socioeca8.sandag.org_ws_abm2_f4[[#This Row],[scenario_id]]</f>
        <v>259</v>
      </c>
      <c r="M145">
        <f>Table_socioeca8.sandag.org_ws_abm2_f4[[#This Row],[flow_day]]</f>
        <v>123052</v>
      </c>
      <c r="N145">
        <f>Table_socioeca8.sandag.org_ws_abm2_f4[[#This Row],[flow_am]]</f>
        <v>19366</v>
      </c>
      <c r="O145">
        <f>Table_socioeca8.sandag.org_ws_abm2_f4[[#This Row],[flow_pm]]</f>
        <v>37623</v>
      </c>
    </row>
    <row r="146" spans="5:15" x14ac:dyDescent="0.25">
      <c r="E146">
        <v>789</v>
      </c>
      <c r="F146">
        <f t="shared" si="2"/>
        <v>259</v>
      </c>
      <c r="G146">
        <f>IFERROR(VLOOKUP(Table_socioeca8.sandag.org_ws_abm2_f4[[#This Row],[hwycov_id]],[2]flow_freeway!$A$2:$E$1643,3,FALSE),0)</f>
        <v>131950</v>
      </c>
      <c r="H146">
        <f>IFERROR(VLOOKUP(Table_socioeca8.sandag.org_ws_abm2_f4[[#This Row],[hwycov_id]],[2]flow_freeway!$A$2:$E$1643,4,FALSE),0)</f>
        <v>31916</v>
      </c>
      <c r="I146">
        <f>IFERROR(VLOOKUP(Table_socioeca8.sandag.org_ws_abm2_f4[[#This Row],[hwycov_id]],[2]flow_freeway!$A$2:$E$1643,5,FALSE),0)</f>
        <v>24077</v>
      </c>
      <c r="K146">
        <f>Table_socioeca8.sandag.org_ws_abm2_f4[[#This Row],[hwycov_id]]</f>
        <v>789</v>
      </c>
      <c r="L146">
        <f>Table_socioeca8.sandag.org_ws_abm2_f4[[#This Row],[scenario_id]]</f>
        <v>259</v>
      </c>
      <c r="M146">
        <f>Table_socioeca8.sandag.org_ws_abm2_f4[[#This Row],[flow_day]]</f>
        <v>131950</v>
      </c>
      <c r="N146">
        <f>Table_socioeca8.sandag.org_ws_abm2_f4[[#This Row],[flow_am]]</f>
        <v>31916</v>
      </c>
      <c r="O146">
        <f>Table_socioeca8.sandag.org_ws_abm2_f4[[#This Row],[flow_pm]]</f>
        <v>24077</v>
      </c>
    </row>
    <row r="147" spans="5:15" x14ac:dyDescent="0.25">
      <c r="E147">
        <v>790</v>
      </c>
      <c r="F147">
        <f t="shared" si="2"/>
        <v>259</v>
      </c>
      <c r="G147">
        <f>IFERROR(VLOOKUP(Table_socioeca8.sandag.org_ws_abm2_f4[[#This Row],[hwycov_id]],[2]flow_freeway!$A$2:$E$1643,3,FALSE),0)</f>
        <v>43160</v>
      </c>
      <c r="H147">
        <f>IFERROR(VLOOKUP(Table_socioeca8.sandag.org_ws_abm2_f4[[#This Row],[hwycov_id]],[2]flow_freeway!$A$2:$E$1643,4,FALSE),0)</f>
        <v>9029</v>
      </c>
      <c r="I147">
        <f>IFERROR(VLOOKUP(Table_socioeca8.sandag.org_ws_abm2_f4[[#This Row],[hwycov_id]],[2]flow_freeway!$A$2:$E$1643,5,FALSE),0)</f>
        <v>10598</v>
      </c>
      <c r="K147">
        <f>Table_socioeca8.sandag.org_ws_abm2_f4[[#This Row],[hwycov_id]]</f>
        <v>790</v>
      </c>
      <c r="L147">
        <f>Table_socioeca8.sandag.org_ws_abm2_f4[[#This Row],[scenario_id]]</f>
        <v>259</v>
      </c>
      <c r="M147">
        <f>Table_socioeca8.sandag.org_ws_abm2_f4[[#This Row],[flow_day]]</f>
        <v>43160</v>
      </c>
      <c r="N147">
        <f>Table_socioeca8.sandag.org_ws_abm2_f4[[#This Row],[flow_am]]</f>
        <v>9029</v>
      </c>
      <c r="O147">
        <f>Table_socioeca8.sandag.org_ws_abm2_f4[[#This Row],[flow_pm]]</f>
        <v>10598</v>
      </c>
    </row>
    <row r="148" spans="5:15" x14ac:dyDescent="0.25">
      <c r="E148">
        <v>791</v>
      </c>
      <c r="F148">
        <f t="shared" si="2"/>
        <v>259</v>
      </c>
      <c r="G148">
        <f>IFERROR(VLOOKUP(Table_socioeca8.sandag.org_ws_abm2_f4[[#This Row],[hwycov_id]],[2]flow_freeway!$A$2:$E$1643,3,FALSE),0)</f>
        <v>123549</v>
      </c>
      <c r="H148">
        <f>IFERROR(VLOOKUP(Table_socioeca8.sandag.org_ws_abm2_f4[[#This Row],[hwycov_id]],[2]flow_freeway!$A$2:$E$1643,4,FALSE),0)</f>
        <v>18083</v>
      </c>
      <c r="I148">
        <f>IFERROR(VLOOKUP(Table_socioeca8.sandag.org_ws_abm2_f4[[#This Row],[hwycov_id]],[2]flow_freeway!$A$2:$E$1643,5,FALSE),0)</f>
        <v>38919</v>
      </c>
      <c r="K148">
        <f>Table_socioeca8.sandag.org_ws_abm2_f4[[#This Row],[hwycov_id]]</f>
        <v>791</v>
      </c>
      <c r="L148">
        <f>Table_socioeca8.sandag.org_ws_abm2_f4[[#This Row],[scenario_id]]</f>
        <v>259</v>
      </c>
      <c r="M148">
        <f>Table_socioeca8.sandag.org_ws_abm2_f4[[#This Row],[flow_day]]</f>
        <v>123549</v>
      </c>
      <c r="N148">
        <f>Table_socioeca8.sandag.org_ws_abm2_f4[[#This Row],[flow_am]]</f>
        <v>18083</v>
      </c>
      <c r="O148">
        <f>Table_socioeca8.sandag.org_ws_abm2_f4[[#This Row],[flow_pm]]</f>
        <v>38919</v>
      </c>
    </row>
    <row r="149" spans="5:15" x14ac:dyDescent="0.25">
      <c r="E149">
        <v>792</v>
      </c>
      <c r="F149">
        <f t="shared" si="2"/>
        <v>259</v>
      </c>
      <c r="G149">
        <f>IFERROR(VLOOKUP(Table_socioeca8.sandag.org_ws_abm2_f4[[#This Row],[hwycov_id]],[2]flow_freeway!$A$2:$E$1643,3,FALSE),0)</f>
        <v>108734</v>
      </c>
      <c r="H149">
        <f>IFERROR(VLOOKUP(Table_socioeca8.sandag.org_ws_abm2_f4[[#This Row],[hwycov_id]],[2]flow_freeway!$A$2:$E$1643,4,FALSE),0)</f>
        <v>15826</v>
      </c>
      <c r="I149">
        <f>IFERROR(VLOOKUP(Table_socioeca8.sandag.org_ws_abm2_f4[[#This Row],[hwycov_id]],[2]flow_freeway!$A$2:$E$1643,5,FALSE),0)</f>
        <v>34512</v>
      </c>
      <c r="K149">
        <f>Table_socioeca8.sandag.org_ws_abm2_f4[[#This Row],[hwycov_id]]</f>
        <v>792</v>
      </c>
      <c r="L149">
        <f>Table_socioeca8.sandag.org_ws_abm2_f4[[#This Row],[scenario_id]]</f>
        <v>259</v>
      </c>
      <c r="M149">
        <f>Table_socioeca8.sandag.org_ws_abm2_f4[[#This Row],[flow_day]]</f>
        <v>108734</v>
      </c>
      <c r="N149">
        <f>Table_socioeca8.sandag.org_ws_abm2_f4[[#This Row],[flow_am]]</f>
        <v>15826</v>
      </c>
      <c r="O149">
        <f>Table_socioeca8.sandag.org_ws_abm2_f4[[#This Row],[flow_pm]]</f>
        <v>34512</v>
      </c>
    </row>
    <row r="150" spans="5:15" x14ac:dyDescent="0.25">
      <c r="E150">
        <v>797</v>
      </c>
      <c r="F150">
        <f t="shared" si="2"/>
        <v>259</v>
      </c>
      <c r="G150">
        <f>IFERROR(VLOOKUP(Table_socioeca8.sandag.org_ws_abm2_f4[[#This Row],[hwycov_id]],[2]flow_freeway!$A$2:$E$1643,3,FALSE),0)</f>
        <v>108600</v>
      </c>
      <c r="H150">
        <f>IFERROR(VLOOKUP(Table_socioeca8.sandag.org_ws_abm2_f4[[#This Row],[hwycov_id]],[2]flow_freeway!$A$2:$E$1643,4,FALSE),0)</f>
        <v>16562</v>
      </c>
      <c r="I150">
        <f>IFERROR(VLOOKUP(Table_socioeca8.sandag.org_ws_abm2_f4[[#This Row],[hwycov_id]],[2]flow_freeway!$A$2:$E$1643,5,FALSE),0)</f>
        <v>34264</v>
      </c>
      <c r="K150">
        <f>Table_socioeca8.sandag.org_ws_abm2_f4[[#This Row],[hwycov_id]]</f>
        <v>797</v>
      </c>
      <c r="L150">
        <f>Table_socioeca8.sandag.org_ws_abm2_f4[[#This Row],[scenario_id]]</f>
        <v>259</v>
      </c>
      <c r="M150">
        <f>Table_socioeca8.sandag.org_ws_abm2_f4[[#This Row],[flow_day]]</f>
        <v>108600</v>
      </c>
      <c r="N150">
        <f>Table_socioeca8.sandag.org_ws_abm2_f4[[#This Row],[flow_am]]</f>
        <v>16562</v>
      </c>
      <c r="O150">
        <f>Table_socioeca8.sandag.org_ws_abm2_f4[[#This Row],[flow_pm]]</f>
        <v>34264</v>
      </c>
    </row>
    <row r="151" spans="5:15" x14ac:dyDescent="0.25">
      <c r="E151">
        <v>799</v>
      </c>
      <c r="F151">
        <f t="shared" si="2"/>
        <v>259</v>
      </c>
      <c r="G151">
        <f>IFERROR(VLOOKUP(Table_socioeca8.sandag.org_ws_abm2_f4[[#This Row],[hwycov_id]],[2]flow_freeway!$A$2:$E$1643,3,FALSE),0)</f>
        <v>94841</v>
      </c>
      <c r="H151">
        <f>IFERROR(VLOOKUP(Table_socioeca8.sandag.org_ws_abm2_f4[[#This Row],[hwycov_id]],[2]flow_freeway!$A$2:$E$1643,4,FALSE),0)</f>
        <v>14368</v>
      </c>
      <c r="I151">
        <f>IFERROR(VLOOKUP(Table_socioeca8.sandag.org_ws_abm2_f4[[#This Row],[hwycov_id]],[2]flow_freeway!$A$2:$E$1643,5,FALSE),0)</f>
        <v>30146</v>
      </c>
      <c r="K151">
        <f>Table_socioeca8.sandag.org_ws_abm2_f4[[#This Row],[hwycov_id]]</f>
        <v>799</v>
      </c>
      <c r="L151">
        <f>Table_socioeca8.sandag.org_ws_abm2_f4[[#This Row],[scenario_id]]</f>
        <v>259</v>
      </c>
      <c r="M151">
        <f>Table_socioeca8.sandag.org_ws_abm2_f4[[#This Row],[flow_day]]</f>
        <v>94841</v>
      </c>
      <c r="N151">
        <f>Table_socioeca8.sandag.org_ws_abm2_f4[[#This Row],[flow_am]]</f>
        <v>14368</v>
      </c>
      <c r="O151">
        <f>Table_socioeca8.sandag.org_ws_abm2_f4[[#This Row],[flow_pm]]</f>
        <v>30146</v>
      </c>
    </row>
    <row r="152" spans="5:15" x14ac:dyDescent="0.25">
      <c r="E152">
        <v>800</v>
      </c>
      <c r="F152">
        <f t="shared" si="2"/>
        <v>259</v>
      </c>
      <c r="G152">
        <f>IFERROR(VLOOKUP(Table_socioeca8.sandag.org_ws_abm2_f4[[#This Row],[hwycov_id]],[2]flow_freeway!$A$2:$E$1643,3,FALSE),0)</f>
        <v>105785</v>
      </c>
      <c r="H152">
        <f>IFERROR(VLOOKUP(Table_socioeca8.sandag.org_ws_abm2_f4[[#This Row],[hwycov_id]],[2]flow_freeway!$A$2:$E$1643,4,FALSE),0)</f>
        <v>16677</v>
      </c>
      <c r="I152">
        <f>IFERROR(VLOOKUP(Table_socioeca8.sandag.org_ws_abm2_f4[[#This Row],[hwycov_id]],[2]flow_freeway!$A$2:$E$1643,5,FALSE),0)</f>
        <v>33002</v>
      </c>
      <c r="K152">
        <f>Table_socioeca8.sandag.org_ws_abm2_f4[[#This Row],[hwycov_id]]</f>
        <v>800</v>
      </c>
      <c r="L152">
        <f>Table_socioeca8.sandag.org_ws_abm2_f4[[#This Row],[scenario_id]]</f>
        <v>259</v>
      </c>
      <c r="M152">
        <f>Table_socioeca8.sandag.org_ws_abm2_f4[[#This Row],[flow_day]]</f>
        <v>105785</v>
      </c>
      <c r="N152">
        <f>Table_socioeca8.sandag.org_ws_abm2_f4[[#This Row],[flow_am]]</f>
        <v>16677</v>
      </c>
      <c r="O152">
        <f>Table_socioeca8.sandag.org_ws_abm2_f4[[#This Row],[flow_pm]]</f>
        <v>33002</v>
      </c>
    </row>
    <row r="153" spans="5:15" x14ac:dyDescent="0.25">
      <c r="E153">
        <v>801</v>
      </c>
      <c r="F153">
        <f t="shared" si="2"/>
        <v>259</v>
      </c>
      <c r="G153">
        <f>IFERROR(VLOOKUP(Table_socioeca8.sandag.org_ws_abm2_f4[[#This Row],[hwycov_id]],[2]flow_freeway!$A$2:$E$1643,3,FALSE),0)</f>
        <v>83923</v>
      </c>
      <c r="H153">
        <f>IFERROR(VLOOKUP(Table_socioeca8.sandag.org_ws_abm2_f4[[#This Row],[hwycov_id]],[2]flow_freeway!$A$2:$E$1643,4,FALSE),0)</f>
        <v>12760</v>
      </c>
      <c r="I153">
        <f>IFERROR(VLOOKUP(Table_socioeca8.sandag.org_ws_abm2_f4[[#This Row],[hwycov_id]],[2]flow_freeway!$A$2:$E$1643,5,FALSE),0)</f>
        <v>27228</v>
      </c>
      <c r="K153">
        <f>Table_socioeca8.sandag.org_ws_abm2_f4[[#This Row],[hwycov_id]]</f>
        <v>801</v>
      </c>
      <c r="L153">
        <f>Table_socioeca8.sandag.org_ws_abm2_f4[[#This Row],[scenario_id]]</f>
        <v>259</v>
      </c>
      <c r="M153">
        <f>Table_socioeca8.sandag.org_ws_abm2_f4[[#This Row],[flow_day]]</f>
        <v>83923</v>
      </c>
      <c r="N153">
        <f>Table_socioeca8.sandag.org_ws_abm2_f4[[#This Row],[flow_am]]</f>
        <v>12760</v>
      </c>
      <c r="O153">
        <f>Table_socioeca8.sandag.org_ws_abm2_f4[[#This Row],[flow_pm]]</f>
        <v>27228</v>
      </c>
    </row>
    <row r="154" spans="5:15" x14ac:dyDescent="0.25">
      <c r="E154">
        <v>802</v>
      </c>
      <c r="F154">
        <f t="shared" si="2"/>
        <v>259</v>
      </c>
      <c r="G154">
        <f>IFERROR(VLOOKUP(Table_socioeca8.sandag.org_ws_abm2_f4[[#This Row],[hwycov_id]],[2]flow_freeway!$A$2:$E$1643,3,FALSE),0)</f>
        <v>132845</v>
      </c>
      <c r="H154">
        <f>IFERROR(VLOOKUP(Table_socioeca8.sandag.org_ws_abm2_f4[[#This Row],[hwycov_id]],[2]flow_freeway!$A$2:$E$1643,4,FALSE),0)</f>
        <v>21038</v>
      </c>
      <c r="I154">
        <f>IFERROR(VLOOKUP(Table_socioeca8.sandag.org_ws_abm2_f4[[#This Row],[hwycov_id]],[2]flow_freeway!$A$2:$E$1643,5,FALSE),0)</f>
        <v>40048</v>
      </c>
      <c r="K154">
        <f>Table_socioeca8.sandag.org_ws_abm2_f4[[#This Row],[hwycov_id]]</f>
        <v>802</v>
      </c>
      <c r="L154">
        <f>Table_socioeca8.sandag.org_ws_abm2_f4[[#This Row],[scenario_id]]</f>
        <v>259</v>
      </c>
      <c r="M154">
        <f>Table_socioeca8.sandag.org_ws_abm2_f4[[#This Row],[flow_day]]</f>
        <v>132845</v>
      </c>
      <c r="N154">
        <f>Table_socioeca8.sandag.org_ws_abm2_f4[[#This Row],[flow_am]]</f>
        <v>21038</v>
      </c>
      <c r="O154">
        <f>Table_socioeca8.sandag.org_ws_abm2_f4[[#This Row],[flow_pm]]</f>
        <v>40048</v>
      </c>
    </row>
    <row r="155" spans="5:15" x14ac:dyDescent="0.25">
      <c r="E155">
        <v>803</v>
      </c>
      <c r="F155">
        <f t="shared" si="2"/>
        <v>259</v>
      </c>
      <c r="G155">
        <f>IFERROR(VLOOKUP(Table_socioeca8.sandag.org_ws_abm2_f4[[#This Row],[hwycov_id]],[2]flow_freeway!$A$2:$E$1643,3,FALSE),0)</f>
        <v>125015</v>
      </c>
      <c r="H155">
        <f>IFERROR(VLOOKUP(Table_socioeca8.sandag.org_ws_abm2_f4[[#This Row],[hwycov_id]],[2]flow_freeway!$A$2:$E$1643,4,FALSE),0)</f>
        <v>19920</v>
      </c>
      <c r="I155">
        <f>IFERROR(VLOOKUP(Table_socioeca8.sandag.org_ws_abm2_f4[[#This Row],[hwycov_id]],[2]flow_freeway!$A$2:$E$1643,5,FALSE),0)</f>
        <v>37663</v>
      </c>
      <c r="K155">
        <f>Table_socioeca8.sandag.org_ws_abm2_f4[[#This Row],[hwycov_id]]</f>
        <v>803</v>
      </c>
      <c r="L155">
        <f>Table_socioeca8.sandag.org_ws_abm2_f4[[#This Row],[scenario_id]]</f>
        <v>259</v>
      </c>
      <c r="M155">
        <f>Table_socioeca8.sandag.org_ws_abm2_f4[[#This Row],[flow_day]]</f>
        <v>125015</v>
      </c>
      <c r="N155">
        <f>Table_socioeca8.sandag.org_ws_abm2_f4[[#This Row],[flow_am]]</f>
        <v>19920</v>
      </c>
      <c r="O155">
        <f>Table_socioeca8.sandag.org_ws_abm2_f4[[#This Row],[flow_pm]]</f>
        <v>37663</v>
      </c>
    </row>
    <row r="156" spans="5:15" x14ac:dyDescent="0.25">
      <c r="E156">
        <v>804</v>
      </c>
      <c r="F156">
        <f t="shared" si="2"/>
        <v>259</v>
      </c>
      <c r="G156">
        <f>IFERROR(VLOOKUP(Table_socioeca8.sandag.org_ws_abm2_f4[[#This Row],[hwycov_id]],[2]flow_freeway!$A$2:$E$1643,3,FALSE),0)</f>
        <v>96114</v>
      </c>
      <c r="H156">
        <f>IFERROR(VLOOKUP(Table_socioeca8.sandag.org_ws_abm2_f4[[#This Row],[hwycov_id]],[2]flow_freeway!$A$2:$E$1643,4,FALSE),0)</f>
        <v>14981</v>
      </c>
      <c r="I156">
        <f>IFERROR(VLOOKUP(Table_socioeca8.sandag.org_ws_abm2_f4[[#This Row],[hwycov_id]],[2]flow_freeway!$A$2:$E$1643,5,FALSE),0)</f>
        <v>29357</v>
      </c>
      <c r="K156">
        <f>Table_socioeca8.sandag.org_ws_abm2_f4[[#This Row],[hwycov_id]]</f>
        <v>804</v>
      </c>
      <c r="L156">
        <f>Table_socioeca8.sandag.org_ws_abm2_f4[[#This Row],[scenario_id]]</f>
        <v>259</v>
      </c>
      <c r="M156">
        <f>Table_socioeca8.sandag.org_ws_abm2_f4[[#This Row],[flow_day]]</f>
        <v>96114</v>
      </c>
      <c r="N156">
        <f>Table_socioeca8.sandag.org_ws_abm2_f4[[#This Row],[flow_am]]</f>
        <v>14981</v>
      </c>
      <c r="O156">
        <f>Table_socioeca8.sandag.org_ws_abm2_f4[[#This Row],[flow_pm]]</f>
        <v>29357</v>
      </c>
    </row>
    <row r="157" spans="5:15" x14ac:dyDescent="0.25">
      <c r="E157">
        <v>805</v>
      </c>
      <c r="F157">
        <f t="shared" si="2"/>
        <v>259</v>
      </c>
      <c r="G157">
        <f>IFERROR(VLOOKUP(Table_socioeca8.sandag.org_ws_abm2_f4[[#This Row],[hwycov_id]],[2]flow_freeway!$A$2:$E$1643,3,FALSE),0)</f>
        <v>104344</v>
      </c>
      <c r="H157">
        <f>IFERROR(VLOOKUP(Table_socioeca8.sandag.org_ws_abm2_f4[[#This Row],[hwycov_id]],[2]flow_freeway!$A$2:$E$1643,4,FALSE),0)</f>
        <v>17085</v>
      </c>
      <c r="I157">
        <f>IFERROR(VLOOKUP(Table_socioeca8.sandag.org_ws_abm2_f4[[#This Row],[hwycov_id]],[2]flow_freeway!$A$2:$E$1643,5,FALSE),0)</f>
        <v>31357</v>
      </c>
      <c r="K157">
        <f>Table_socioeca8.sandag.org_ws_abm2_f4[[#This Row],[hwycov_id]]</f>
        <v>805</v>
      </c>
      <c r="L157">
        <f>Table_socioeca8.sandag.org_ws_abm2_f4[[#This Row],[scenario_id]]</f>
        <v>259</v>
      </c>
      <c r="M157">
        <f>Table_socioeca8.sandag.org_ws_abm2_f4[[#This Row],[flow_day]]</f>
        <v>104344</v>
      </c>
      <c r="N157">
        <f>Table_socioeca8.sandag.org_ws_abm2_f4[[#This Row],[flow_am]]</f>
        <v>17085</v>
      </c>
      <c r="O157">
        <f>Table_socioeca8.sandag.org_ws_abm2_f4[[#This Row],[flow_pm]]</f>
        <v>31357</v>
      </c>
    </row>
    <row r="158" spans="5:15" x14ac:dyDescent="0.25">
      <c r="E158">
        <v>806</v>
      </c>
      <c r="F158">
        <f t="shared" si="2"/>
        <v>259</v>
      </c>
      <c r="G158">
        <f>IFERROR(VLOOKUP(Table_socioeca8.sandag.org_ws_abm2_f4[[#This Row],[hwycov_id]],[2]flow_freeway!$A$2:$E$1643,3,FALSE),0)</f>
        <v>97351</v>
      </c>
      <c r="H158">
        <f>IFERROR(VLOOKUP(Table_socioeca8.sandag.org_ws_abm2_f4[[#This Row],[hwycov_id]],[2]flow_freeway!$A$2:$E$1643,4,FALSE),0)</f>
        <v>16425</v>
      </c>
      <c r="I158">
        <f>IFERROR(VLOOKUP(Table_socioeca8.sandag.org_ws_abm2_f4[[#This Row],[hwycov_id]],[2]flow_freeway!$A$2:$E$1643,5,FALSE),0)</f>
        <v>26710</v>
      </c>
      <c r="K158">
        <f>Table_socioeca8.sandag.org_ws_abm2_f4[[#This Row],[hwycov_id]]</f>
        <v>806</v>
      </c>
      <c r="L158">
        <f>Table_socioeca8.sandag.org_ws_abm2_f4[[#This Row],[scenario_id]]</f>
        <v>259</v>
      </c>
      <c r="M158">
        <f>Table_socioeca8.sandag.org_ws_abm2_f4[[#This Row],[flow_day]]</f>
        <v>97351</v>
      </c>
      <c r="N158">
        <f>Table_socioeca8.sandag.org_ws_abm2_f4[[#This Row],[flow_am]]</f>
        <v>16425</v>
      </c>
      <c r="O158">
        <f>Table_socioeca8.sandag.org_ws_abm2_f4[[#This Row],[flow_pm]]</f>
        <v>26710</v>
      </c>
    </row>
    <row r="159" spans="5:15" x14ac:dyDescent="0.25">
      <c r="E159">
        <v>807</v>
      </c>
      <c r="F159">
        <f t="shared" si="2"/>
        <v>259</v>
      </c>
      <c r="G159">
        <f>IFERROR(VLOOKUP(Table_socioeca8.sandag.org_ws_abm2_f4[[#This Row],[hwycov_id]],[2]flow_freeway!$A$2:$E$1643,3,FALSE),0)</f>
        <v>131792</v>
      </c>
      <c r="H159">
        <f>IFERROR(VLOOKUP(Table_socioeca8.sandag.org_ws_abm2_f4[[#This Row],[hwycov_id]],[2]flow_freeway!$A$2:$E$1643,4,FALSE),0)</f>
        <v>21176</v>
      </c>
      <c r="I159">
        <f>IFERROR(VLOOKUP(Table_socioeca8.sandag.org_ws_abm2_f4[[#This Row],[hwycov_id]],[2]flow_freeway!$A$2:$E$1643,5,FALSE),0)</f>
        <v>35761</v>
      </c>
      <c r="K159">
        <f>Table_socioeca8.sandag.org_ws_abm2_f4[[#This Row],[hwycov_id]]</f>
        <v>807</v>
      </c>
      <c r="L159">
        <f>Table_socioeca8.sandag.org_ws_abm2_f4[[#This Row],[scenario_id]]</f>
        <v>259</v>
      </c>
      <c r="M159">
        <f>Table_socioeca8.sandag.org_ws_abm2_f4[[#This Row],[flow_day]]</f>
        <v>131792</v>
      </c>
      <c r="N159">
        <f>Table_socioeca8.sandag.org_ws_abm2_f4[[#This Row],[flow_am]]</f>
        <v>21176</v>
      </c>
      <c r="O159">
        <f>Table_socioeca8.sandag.org_ws_abm2_f4[[#This Row],[flow_pm]]</f>
        <v>35761</v>
      </c>
    </row>
    <row r="160" spans="5:15" x14ac:dyDescent="0.25">
      <c r="E160">
        <v>808</v>
      </c>
      <c r="F160">
        <f t="shared" si="2"/>
        <v>259</v>
      </c>
      <c r="G160">
        <f>IFERROR(VLOOKUP(Table_socioeca8.sandag.org_ws_abm2_f4[[#This Row],[hwycov_id]],[2]flow_freeway!$A$2:$E$1643,3,FALSE),0)</f>
        <v>135087</v>
      </c>
      <c r="H160">
        <f>IFERROR(VLOOKUP(Table_socioeca8.sandag.org_ws_abm2_f4[[#This Row],[hwycov_id]],[2]flow_freeway!$A$2:$E$1643,4,FALSE),0)</f>
        <v>21682</v>
      </c>
      <c r="I160">
        <f>IFERROR(VLOOKUP(Table_socioeca8.sandag.org_ws_abm2_f4[[#This Row],[hwycov_id]],[2]flow_freeway!$A$2:$E$1643,5,FALSE),0)</f>
        <v>36815</v>
      </c>
      <c r="K160">
        <f>Table_socioeca8.sandag.org_ws_abm2_f4[[#This Row],[hwycov_id]]</f>
        <v>808</v>
      </c>
      <c r="L160">
        <f>Table_socioeca8.sandag.org_ws_abm2_f4[[#This Row],[scenario_id]]</f>
        <v>259</v>
      </c>
      <c r="M160">
        <f>Table_socioeca8.sandag.org_ws_abm2_f4[[#This Row],[flow_day]]</f>
        <v>135087</v>
      </c>
      <c r="N160">
        <f>Table_socioeca8.sandag.org_ws_abm2_f4[[#This Row],[flow_am]]</f>
        <v>21682</v>
      </c>
      <c r="O160">
        <f>Table_socioeca8.sandag.org_ws_abm2_f4[[#This Row],[flow_pm]]</f>
        <v>36815</v>
      </c>
    </row>
    <row r="161" spans="5:15" x14ac:dyDescent="0.25">
      <c r="E161">
        <v>809</v>
      </c>
      <c r="F161">
        <f t="shared" si="2"/>
        <v>259</v>
      </c>
      <c r="G161">
        <f>IFERROR(VLOOKUP(Table_socioeca8.sandag.org_ws_abm2_f4[[#This Row],[hwycov_id]],[2]flow_freeway!$A$2:$E$1643,3,FALSE),0)</f>
        <v>122754</v>
      </c>
      <c r="H161">
        <f>IFERROR(VLOOKUP(Table_socioeca8.sandag.org_ws_abm2_f4[[#This Row],[hwycov_id]],[2]flow_freeway!$A$2:$E$1643,4,FALSE),0)</f>
        <v>19497</v>
      </c>
      <c r="I161">
        <f>IFERROR(VLOOKUP(Table_socioeca8.sandag.org_ws_abm2_f4[[#This Row],[hwycov_id]],[2]flow_freeway!$A$2:$E$1643,5,FALSE),0)</f>
        <v>33454</v>
      </c>
      <c r="K161">
        <f>Table_socioeca8.sandag.org_ws_abm2_f4[[#This Row],[hwycov_id]]</f>
        <v>809</v>
      </c>
      <c r="L161">
        <f>Table_socioeca8.sandag.org_ws_abm2_f4[[#This Row],[scenario_id]]</f>
        <v>259</v>
      </c>
      <c r="M161">
        <f>Table_socioeca8.sandag.org_ws_abm2_f4[[#This Row],[flow_day]]</f>
        <v>122754</v>
      </c>
      <c r="N161">
        <f>Table_socioeca8.sandag.org_ws_abm2_f4[[#This Row],[flow_am]]</f>
        <v>19497</v>
      </c>
      <c r="O161">
        <f>Table_socioeca8.sandag.org_ws_abm2_f4[[#This Row],[flow_pm]]</f>
        <v>33454</v>
      </c>
    </row>
    <row r="162" spans="5:15" x14ac:dyDescent="0.25">
      <c r="E162">
        <v>810</v>
      </c>
      <c r="F162">
        <f t="shared" si="2"/>
        <v>259</v>
      </c>
      <c r="G162">
        <f>IFERROR(VLOOKUP(Table_socioeca8.sandag.org_ws_abm2_f4[[#This Row],[hwycov_id]],[2]flow_freeway!$A$2:$E$1643,3,FALSE),0)</f>
        <v>128194</v>
      </c>
      <c r="H162">
        <f>IFERROR(VLOOKUP(Table_socioeca8.sandag.org_ws_abm2_f4[[#This Row],[hwycov_id]],[2]flow_freeway!$A$2:$E$1643,4,FALSE),0)</f>
        <v>20422</v>
      </c>
      <c r="I162">
        <f>IFERROR(VLOOKUP(Table_socioeca8.sandag.org_ws_abm2_f4[[#This Row],[hwycov_id]],[2]flow_freeway!$A$2:$E$1643,5,FALSE),0)</f>
        <v>34620</v>
      </c>
      <c r="K162">
        <f>Table_socioeca8.sandag.org_ws_abm2_f4[[#This Row],[hwycov_id]]</f>
        <v>810</v>
      </c>
      <c r="L162">
        <f>Table_socioeca8.sandag.org_ws_abm2_f4[[#This Row],[scenario_id]]</f>
        <v>259</v>
      </c>
      <c r="M162">
        <f>Table_socioeca8.sandag.org_ws_abm2_f4[[#This Row],[flow_day]]</f>
        <v>128194</v>
      </c>
      <c r="N162">
        <f>Table_socioeca8.sandag.org_ws_abm2_f4[[#This Row],[flow_am]]</f>
        <v>20422</v>
      </c>
      <c r="O162">
        <f>Table_socioeca8.sandag.org_ws_abm2_f4[[#This Row],[flow_pm]]</f>
        <v>34620</v>
      </c>
    </row>
    <row r="163" spans="5:15" x14ac:dyDescent="0.25">
      <c r="E163">
        <v>811</v>
      </c>
      <c r="F163">
        <f t="shared" si="2"/>
        <v>259</v>
      </c>
      <c r="G163">
        <f>IFERROR(VLOOKUP(Table_socioeca8.sandag.org_ws_abm2_f4[[#This Row],[hwycov_id]],[2]flow_freeway!$A$2:$E$1643,3,FALSE),0)</f>
        <v>122849</v>
      </c>
      <c r="H163">
        <f>IFERROR(VLOOKUP(Table_socioeca8.sandag.org_ws_abm2_f4[[#This Row],[hwycov_id]],[2]flow_freeway!$A$2:$E$1643,4,FALSE),0)</f>
        <v>19489</v>
      </c>
      <c r="I163">
        <f>IFERROR(VLOOKUP(Table_socioeca8.sandag.org_ws_abm2_f4[[#This Row],[hwycov_id]],[2]flow_freeway!$A$2:$E$1643,5,FALSE),0)</f>
        <v>33278</v>
      </c>
      <c r="K163">
        <f>Table_socioeca8.sandag.org_ws_abm2_f4[[#This Row],[hwycov_id]]</f>
        <v>811</v>
      </c>
      <c r="L163">
        <f>Table_socioeca8.sandag.org_ws_abm2_f4[[#This Row],[scenario_id]]</f>
        <v>259</v>
      </c>
      <c r="M163">
        <f>Table_socioeca8.sandag.org_ws_abm2_f4[[#This Row],[flow_day]]</f>
        <v>122849</v>
      </c>
      <c r="N163">
        <f>Table_socioeca8.sandag.org_ws_abm2_f4[[#This Row],[flow_am]]</f>
        <v>19489</v>
      </c>
      <c r="O163">
        <f>Table_socioeca8.sandag.org_ws_abm2_f4[[#This Row],[flow_pm]]</f>
        <v>33278</v>
      </c>
    </row>
    <row r="164" spans="5:15" x14ac:dyDescent="0.25">
      <c r="E164">
        <v>813</v>
      </c>
      <c r="F164">
        <f t="shared" si="2"/>
        <v>259</v>
      </c>
      <c r="G164">
        <f>IFERROR(VLOOKUP(Table_socioeca8.sandag.org_ws_abm2_f4[[#This Row],[hwycov_id]],[2]flow_freeway!$A$2:$E$1643,3,FALSE),0)</f>
        <v>117085</v>
      </c>
      <c r="H164">
        <f>IFERROR(VLOOKUP(Table_socioeca8.sandag.org_ws_abm2_f4[[#This Row],[hwycov_id]],[2]flow_freeway!$A$2:$E$1643,4,FALSE),0)</f>
        <v>19509</v>
      </c>
      <c r="I164">
        <f>IFERROR(VLOOKUP(Table_socioeca8.sandag.org_ws_abm2_f4[[#This Row],[hwycov_id]],[2]flow_freeway!$A$2:$E$1643,5,FALSE),0)</f>
        <v>31145</v>
      </c>
      <c r="K164">
        <f>Table_socioeca8.sandag.org_ws_abm2_f4[[#This Row],[hwycov_id]]</f>
        <v>813</v>
      </c>
      <c r="L164">
        <f>Table_socioeca8.sandag.org_ws_abm2_f4[[#This Row],[scenario_id]]</f>
        <v>259</v>
      </c>
      <c r="M164">
        <f>Table_socioeca8.sandag.org_ws_abm2_f4[[#This Row],[flow_day]]</f>
        <v>117085</v>
      </c>
      <c r="N164">
        <f>Table_socioeca8.sandag.org_ws_abm2_f4[[#This Row],[flow_am]]</f>
        <v>19509</v>
      </c>
      <c r="O164">
        <f>Table_socioeca8.sandag.org_ws_abm2_f4[[#This Row],[flow_pm]]</f>
        <v>31145</v>
      </c>
    </row>
    <row r="165" spans="5:15" x14ac:dyDescent="0.25">
      <c r="E165">
        <v>815</v>
      </c>
      <c r="F165">
        <f t="shared" si="2"/>
        <v>259</v>
      </c>
      <c r="G165">
        <f>IFERROR(VLOOKUP(Table_socioeca8.sandag.org_ws_abm2_f4[[#This Row],[hwycov_id]],[2]flow_freeway!$A$2:$E$1643,3,FALSE),0)</f>
        <v>122355</v>
      </c>
      <c r="H165">
        <f>IFERROR(VLOOKUP(Table_socioeca8.sandag.org_ws_abm2_f4[[#This Row],[hwycov_id]],[2]flow_freeway!$A$2:$E$1643,4,FALSE),0)</f>
        <v>20389</v>
      </c>
      <c r="I165">
        <f>IFERROR(VLOOKUP(Table_socioeca8.sandag.org_ws_abm2_f4[[#This Row],[hwycov_id]],[2]flow_freeway!$A$2:$E$1643,5,FALSE),0)</f>
        <v>32872</v>
      </c>
      <c r="K165">
        <f>Table_socioeca8.sandag.org_ws_abm2_f4[[#This Row],[hwycov_id]]</f>
        <v>815</v>
      </c>
      <c r="L165">
        <f>Table_socioeca8.sandag.org_ws_abm2_f4[[#This Row],[scenario_id]]</f>
        <v>259</v>
      </c>
      <c r="M165">
        <f>Table_socioeca8.sandag.org_ws_abm2_f4[[#This Row],[flow_day]]</f>
        <v>122355</v>
      </c>
      <c r="N165">
        <f>Table_socioeca8.sandag.org_ws_abm2_f4[[#This Row],[flow_am]]</f>
        <v>20389</v>
      </c>
      <c r="O165">
        <f>Table_socioeca8.sandag.org_ws_abm2_f4[[#This Row],[flow_pm]]</f>
        <v>32872</v>
      </c>
    </row>
    <row r="166" spans="5:15" x14ac:dyDescent="0.25">
      <c r="E166">
        <v>822</v>
      </c>
      <c r="F166">
        <f t="shared" si="2"/>
        <v>259</v>
      </c>
      <c r="G166">
        <f>IFERROR(VLOOKUP(Table_socioeca8.sandag.org_ws_abm2_f4[[#This Row],[hwycov_id]],[2]flow_freeway!$A$2:$E$1643,3,FALSE),0)</f>
        <v>97000</v>
      </c>
      <c r="H166">
        <f>IFERROR(VLOOKUP(Table_socioeca8.sandag.org_ws_abm2_f4[[#This Row],[hwycov_id]],[2]flow_freeway!$A$2:$E$1643,4,FALSE),0)</f>
        <v>15756</v>
      </c>
      <c r="I166">
        <f>IFERROR(VLOOKUP(Table_socioeca8.sandag.org_ws_abm2_f4[[#This Row],[hwycov_id]],[2]flow_freeway!$A$2:$E$1643,5,FALSE),0)</f>
        <v>25240</v>
      </c>
      <c r="K166">
        <f>Table_socioeca8.sandag.org_ws_abm2_f4[[#This Row],[hwycov_id]]</f>
        <v>822</v>
      </c>
      <c r="L166">
        <f>Table_socioeca8.sandag.org_ws_abm2_f4[[#This Row],[scenario_id]]</f>
        <v>259</v>
      </c>
      <c r="M166">
        <f>Table_socioeca8.sandag.org_ws_abm2_f4[[#This Row],[flow_day]]</f>
        <v>97000</v>
      </c>
      <c r="N166">
        <f>Table_socioeca8.sandag.org_ws_abm2_f4[[#This Row],[flow_am]]</f>
        <v>15756</v>
      </c>
      <c r="O166">
        <f>Table_socioeca8.sandag.org_ws_abm2_f4[[#This Row],[flow_pm]]</f>
        <v>25240</v>
      </c>
    </row>
    <row r="167" spans="5:15" x14ac:dyDescent="0.25">
      <c r="E167">
        <v>823</v>
      </c>
      <c r="F167">
        <f t="shared" si="2"/>
        <v>259</v>
      </c>
      <c r="G167">
        <f>IFERROR(VLOOKUP(Table_socioeca8.sandag.org_ws_abm2_f4[[#This Row],[hwycov_id]],[2]flow_freeway!$A$2:$E$1643,3,FALSE),0)</f>
        <v>86589</v>
      </c>
      <c r="H167">
        <f>IFERROR(VLOOKUP(Table_socioeca8.sandag.org_ws_abm2_f4[[#This Row],[hwycov_id]],[2]flow_freeway!$A$2:$E$1643,4,FALSE),0)</f>
        <v>14022</v>
      </c>
      <c r="I167">
        <f>IFERROR(VLOOKUP(Table_socioeca8.sandag.org_ws_abm2_f4[[#This Row],[hwycov_id]],[2]flow_freeway!$A$2:$E$1643,5,FALSE),0)</f>
        <v>23319</v>
      </c>
      <c r="K167">
        <f>Table_socioeca8.sandag.org_ws_abm2_f4[[#This Row],[hwycov_id]]</f>
        <v>823</v>
      </c>
      <c r="L167">
        <f>Table_socioeca8.sandag.org_ws_abm2_f4[[#This Row],[scenario_id]]</f>
        <v>259</v>
      </c>
      <c r="M167">
        <f>Table_socioeca8.sandag.org_ws_abm2_f4[[#This Row],[flow_day]]</f>
        <v>86589</v>
      </c>
      <c r="N167">
        <f>Table_socioeca8.sandag.org_ws_abm2_f4[[#This Row],[flow_am]]</f>
        <v>14022</v>
      </c>
      <c r="O167">
        <f>Table_socioeca8.sandag.org_ws_abm2_f4[[#This Row],[flow_pm]]</f>
        <v>23319</v>
      </c>
    </row>
    <row r="168" spans="5:15" x14ac:dyDescent="0.25">
      <c r="E168">
        <v>824</v>
      </c>
      <c r="F168">
        <f t="shared" si="2"/>
        <v>259</v>
      </c>
      <c r="G168">
        <f>IFERROR(VLOOKUP(Table_socioeca8.sandag.org_ws_abm2_f4[[#This Row],[hwycov_id]],[2]flow_freeway!$A$2:$E$1643,3,FALSE),0)</f>
        <v>90085</v>
      </c>
      <c r="H168">
        <f>IFERROR(VLOOKUP(Table_socioeca8.sandag.org_ws_abm2_f4[[#This Row],[hwycov_id]],[2]flow_freeway!$A$2:$E$1643,4,FALSE),0)</f>
        <v>15026</v>
      </c>
      <c r="I168">
        <f>IFERROR(VLOOKUP(Table_socioeca8.sandag.org_ws_abm2_f4[[#This Row],[hwycov_id]],[2]flow_freeway!$A$2:$E$1643,5,FALSE),0)</f>
        <v>24309</v>
      </c>
      <c r="K168">
        <f>Table_socioeca8.sandag.org_ws_abm2_f4[[#This Row],[hwycov_id]]</f>
        <v>824</v>
      </c>
      <c r="L168">
        <f>Table_socioeca8.sandag.org_ws_abm2_f4[[#This Row],[scenario_id]]</f>
        <v>259</v>
      </c>
      <c r="M168">
        <f>Table_socioeca8.sandag.org_ws_abm2_f4[[#This Row],[flow_day]]</f>
        <v>90085</v>
      </c>
      <c r="N168">
        <f>Table_socioeca8.sandag.org_ws_abm2_f4[[#This Row],[flow_am]]</f>
        <v>15026</v>
      </c>
      <c r="O168">
        <f>Table_socioeca8.sandag.org_ws_abm2_f4[[#This Row],[flow_pm]]</f>
        <v>24309</v>
      </c>
    </row>
    <row r="169" spans="5:15" x14ac:dyDescent="0.25">
      <c r="E169">
        <v>834</v>
      </c>
      <c r="F169">
        <f t="shared" si="2"/>
        <v>259</v>
      </c>
      <c r="G169">
        <f>IFERROR(VLOOKUP(Table_socioeca8.sandag.org_ws_abm2_f4[[#This Row],[hwycov_id]],[2]flow_freeway!$A$2:$E$1643,3,FALSE),0)</f>
        <v>108258</v>
      </c>
      <c r="H169">
        <f>IFERROR(VLOOKUP(Table_socioeca8.sandag.org_ws_abm2_f4[[#This Row],[hwycov_id]],[2]flow_freeway!$A$2:$E$1643,4,FALSE),0)</f>
        <v>17735</v>
      </c>
      <c r="I169">
        <f>IFERROR(VLOOKUP(Table_socioeca8.sandag.org_ws_abm2_f4[[#This Row],[hwycov_id]],[2]flow_freeway!$A$2:$E$1643,5,FALSE),0)</f>
        <v>29159</v>
      </c>
      <c r="K169">
        <f>Table_socioeca8.sandag.org_ws_abm2_f4[[#This Row],[hwycov_id]]</f>
        <v>834</v>
      </c>
      <c r="L169">
        <f>Table_socioeca8.sandag.org_ws_abm2_f4[[#This Row],[scenario_id]]</f>
        <v>259</v>
      </c>
      <c r="M169">
        <f>Table_socioeca8.sandag.org_ws_abm2_f4[[#This Row],[flow_day]]</f>
        <v>108258</v>
      </c>
      <c r="N169">
        <f>Table_socioeca8.sandag.org_ws_abm2_f4[[#This Row],[flow_am]]</f>
        <v>17735</v>
      </c>
      <c r="O169">
        <f>Table_socioeca8.sandag.org_ws_abm2_f4[[#This Row],[flow_pm]]</f>
        <v>29159</v>
      </c>
    </row>
    <row r="170" spans="5:15" x14ac:dyDescent="0.25">
      <c r="E170">
        <v>835</v>
      </c>
      <c r="F170">
        <f t="shared" si="2"/>
        <v>259</v>
      </c>
      <c r="G170">
        <f>IFERROR(VLOOKUP(Table_socioeca8.sandag.org_ws_abm2_f4[[#This Row],[hwycov_id]],[2]flow_freeway!$A$2:$E$1643,3,FALSE),0)</f>
        <v>126287</v>
      </c>
      <c r="H170">
        <f>IFERROR(VLOOKUP(Table_socioeca8.sandag.org_ws_abm2_f4[[#This Row],[hwycov_id]],[2]flow_freeway!$A$2:$E$1643,4,FALSE),0)</f>
        <v>20410</v>
      </c>
      <c r="I170">
        <f>IFERROR(VLOOKUP(Table_socioeca8.sandag.org_ws_abm2_f4[[#This Row],[hwycov_id]],[2]flow_freeway!$A$2:$E$1643,5,FALSE),0)</f>
        <v>32237</v>
      </c>
      <c r="K170">
        <f>Table_socioeca8.sandag.org_ws_abm2_f4[[#This Row],[hwycov_id]]</f>
        <v>835</v>
      </c>
      <c r="L170">
        <f>Table_socioeca8.sandag.org_ws_abm2_f4[[#This Row],[scenario_id]]</f>
        <v>259</v>
      </c>
      <c r="M170">
        <f>Table_socioeca8.sandag.org_ws_abm2_f4[[#This Row],[flow_day]]</f>
        <v>126287</v>
      </c>
      <c r="N170">
        <f>Table_socioeca8.sandag.org_ws_abm2_f4[[#This Row],[flow_am]]</f>
        <v>20410</v>
      </c>
      <c r="O170">
        <f>Table_socioeca8.sandag.org_ws_abm2_f4[[#This Row],[flow_pm]]</f>
        <v>32237</v>
      </c>
    </row>
    <row r="171" spans="5:15" x14ac:dyDescent="0.25">
      <c r="E171">
        <v>836</v>
      </c>
      <c r="F171">
        <f t="shared" si="2"/>
        <v>259</v>
      </c>
      <c r="G171">
        <f>IFERROR(VLOOKUP(Table_socioeca8.sandag.org_ws_abm2_f4[[#This Row],[hwycov_id]],[2]flow_freeway!$A$2:$E$1643,3,FALSE),0)</f>
        <v>116492</v>
      </c>
      <c r="H171">
        <f>IFERROR(VLOOKUP(Table_socioeca8.sandag.org_ws_abm2_f4[[#This Row],[hwycov_id]],[2]flow_freeway!$A$2:$E$1643,4,FALSE),0)</f>
        <v>18761</v>
      </c>
      <c r="I171">
        <f>IFERROR(VLOOKUP(Table_socioeca8.sandag.org_ws_abm2_f4[[#This Row],[hwycov_id]],[2]flow_freeway!$A$2:$E$1643,5,FALSE),0)</f>
        <v>29444</v>
      </c>
      <c r="K171">
        <f>Table_socioeca8.sandag.org_ws_abm2_f4[[#This Row],[hwycov_id]]</f>
        <v>836</v>
      </c>
      <c r="L171">
        <f>Table_socioeca8.sandag.org_ws_abm2_f4[[#This Row],[scenario_id]]</f>
        <v>259</v>
      </c>
      <c r="M171">
        <f>Table_socioeca8.sandag.org_ws_abm2_f4[[#This Row],[flow_day]]</f>
        <v>116492</v>
      </c>
      <c r="N171">
        <f>Table_socioeca8.sandag.org_ws_abm2_f4[[#This Row],[flow_am]]</f>
        <v>18761</v>
      </c>
      <c r="O171">
        <f>Table_socioeca8.sandag.org_ws_abm2_f4[[#This Row],[flow_pm]]</f>
        <v>29444</v>
      </c>
    </row>
    <row r="172" spans="5:15" x14ac:dyDescent="0.25">
      <c r="E172">
        <v>837</v>
      </c>
      <c r="F172">
        <f t="shared" si="2"/>
        <v>259</v>
      </c>
      <c r="G172">
        <f>IFERROR(VLOOKUP(Table_socioeca8.sandag.org_ws_abm2_f4[[#This Row],[hwycov_id]],[2]flow_freeway!$A$2:$E$1643,3,FALSE),0)</f>
        <v>129054</v>
      </c>
      <c r="H172">
        <f>IFERROR(VLOOKUP(Table_socioeca8.sandag.org_ws_abm2_f4[[#This Row],[hwycov_id]],[2]flow_freeway!$A$2:$E$1643,4,FALSE),0)</f>
        <v>20712</v>
      </c>
      <c r="I172">
        <f>IFERROR(VLOOKUP(Table_socioeca8.sandag.org_ws_abm2_f4[[#This Row],[hwycov_id]],[2]flow_freeway!$A$2:$E$1643,5,FALSE),0)</f>
        <v>32869</v>
      </c>
      <c r="K172">
        <f>Table_socioeca8.sandag.org_ws_abm2_f4[[#This Row],[hwycov_id]]</f>
        <v>837</v>
      </c>
      <c r="L172">
        <f>Table_socioeca8.sandag.org_ws_abm2_f4[[#This Row],[scenario_id]]</f>
        <v>259</v>
      </c>
      <c r="M172">
        <f>Table_socioeca8.sandag.org_ws_abm2_f4[[#This Row],[flow_day]]</f>
        <v>129054</v>
      </c>
      <c r="N172">
        <f>Table_socioeca8.sandag.org_ws_abm2_f4[[#This Row],[flow_am]]</f>
        <v>20712</v>
      </c>
      <c r="O172">
        <f>Table_socioeca8.sandag.org_ws_abm2_f4[[#This Row],[flow_pm]]</f>
        <v>32869</v>
      </c>
    </row>
    <row r="173" spans="5:15" x14ac:dyDescent="0.25">
      <c r="E173">
        <v>839</v>
      </c>
      <c r="F173">
        <f t="shared" si="2"/>
        <v>259</v>
      </c>
      <c r="G173">
        <f>IFERROR(VLOOKUP(Table_socioeca8.sandag.org_ws_abm2_f4[[#This Row],[hwycov_id]],[2]flow_freeway!$A$2:$E$1643,3,FALSE),0)</f>
        <v>98549</v>
      </c>
      <c r="H173">
        <f>IFERROR(VLOOKUP(Table_socioeca8.sandag.org_ws_abm2_f4[[#This Row],[hwycov_id]],[2]flow_freeway!$A$2:$E$1643,4,FALSE),0)</f>
        <v>16348</v>
      </c>
      <c r="I173">
        <f>IFERROR(VLOOKUP(Table_socioeca8.sandag.org_ws_abm2_f4[[#This Row],[hwycov_id]],[2]flow_freeway!$A$2:$E$1643,5,FALSE),0)</f>
        <v>24298</v>
      </c>
      <c r="K173">
        <f>Table_socioeca8.sandag.org_ws_abm2_f4[[#This Row],[hwycov_id]]</f>
        <v>839</v>
      </c>
      <c r="L173">
        <f>Table_socioeca8.sandag.org_ws_abm2_f4[[#This Row],[scenario_id]]</f>
        <v>259</v>
      </c>
      <c r="M173">
        <f>Table_socioeca8.sandag.org_ws_abm2_f4[[#This Row],[flow_day]]</f>
        <v>98549</v>
      </c>
      <c r="N173">
        <f>Table_socioeca8.sandag.org_ws_abm2_f4[[#This Row],[flow_am]]</f>
        <v>16348</v>
      </c>
      <c r="O173">
        <f>Table_socioeca8.sandag.org_ws_abm2_f4[[#This Row],[flow_pm]]</f>
        <v>24298</v>
      </c>
    </row>
    <row r="174" spans="5:15" x14ac:dyDescent="0.25">
      <c r="E174">
        <v>841</v>
      </c>
      <c r="F174">
        <f t="shared" si="2"/>
        <v>259</v>
      </c>
      <c r="G174">
        <f>IFERROR(VLOOKUP(Table_socioeca8.sandag.org_ws_abm2_f4[[#This Row],[hwycov_id]],[2]flow_freeway!$A$2:$E$1643,3,FALSE),0)</f>
        <v>104945</v>
      </c>
      <c r="H174">
        <f>IFERROR(VLOOKUP(Table_socioeca8.sandag.org_ws_abm2_f4[[#This Row],[hwycov_id]],[2]flow_freeway!$A$2:$E$1643,4,FALSE),0)</f>
        <v>17581</v>
      </c>
      <c r="I174">
        <f>IFERROR(VLOOKUP(Table_socioeca8.sandag.org_ws_abm2_f4[[#This Row],[hwycov_id]],[2]flow_freeway!$A$2:$E$1643,5,FALSE),0)</f>
        <v>25933</v>
      </c>
      <c r="K174">
        <f>Table_socioeca8.sandag.org_ws_abm2_f4[[#This Row],[hwycov_id]]</f>
        <v>841</v>
      </c>
      <c r="L174">
        <f>Table_socioeca8.sandag.org_ws_abm2_f4[[#This Row],[scenario_id]]</f>
        <v>259</v>
      </c>
      <c r="M174">
        <f>Table_socioeca8.sandag.org_ws_abm2_f4[[#This Row],[flow_day]]</f>
        <v>104945</v>
      </c>
      <c r="N174">
        <f>Table_socioeca8.sandag.org_ws_abm2_f4[[#This Row],[flow_am]]</f>
        <v>17581</v>
      </c>
      <c r="O174">
        <f>Table_socioeca8.sandag.org_ws_abm2_f4[[#This Row],[flow_pm]]</f>
        <v>25933</v>
      </c>
    </row>
    <row r="175" spans="5:15" x14ac:dyDescent="0.25">
      <c r="E175">
        <v>842</v>
      </c>
      <c r="F175">
        <f t="shared" si="2"/>
        <v>259</v>
      </c>
      <c r="G175">
        <f>IFERROR(VLOOKUP(Table_socioeca8.sandag.org_ws_abm2_f4[[#This Row],[hwycov_id]],[2]flow_freeway!$A$2:$E$1643,3,FALSE),0)</f>
        <v>70903</v>
      </c>
      <c r="H175">
        <f>IFERROR(VLOOKUP(Table_socioeca8.sandag.org_ws_abm2_f4[[#This Row],[hwycov_id]],[2]flow_freeway!$A$2:$E$1643,4,FALSE),0)</f>
        <v>12868</v>
      </c>
      <c r="I175">
        <f>IFERROR(VLOOKUP(Table_socioeca8.sandag.org_ws_abm2_f4[[#This Row],[hwycov_id]],[2]flow_freeway!$A$2:$E$1643,5,FALSE),0)</f>
        <v>15836</v>
      </c>
      <c r="K175">
        <f>Table_socioeca8.sandag.org_ws_abm2_f4[[#This Row],[hwycov_id]]</f>
        <v>842</v>
      </c>
      <c r="L175">
        <f>Table_socioeca8.sandag.org_ws_abm2_f4[[#This Row],[scenario_id]]</f>
        <v>259</v>
      </c>
      <c r="M175">
        <f>Table_socioeca8.sandag.org_ws_abm2_f4[[#This Row],[flow_day]]</f>
        <v>70903</v>
      </c>
      <c r="N175">
        <f>Table_socioeca8.sandag.org_ws_abm2_f4[[#This Row],[flow_am]]</f>
        <v>12868</v>
      </c>
      <c r="O175">
        <f>Table_socioeca8.sandag.org_ws_abm2_f4[[#This Row],[flow_pm]]</f>
        <v>15836</v>
      </c>
    </row>
    <row r="176" spans="5:15" x14ac:dyDescent="0.25">
      <c r="E176">
        <v>843</v>
      </c>
      <c r="F176">
        <f t="shared" si="2"/>
        <v>259</v>
      </c>
      <c r="G176">
        <f>IFERROR(VLOOKUP(Table_socioeca8.sandag.org_ws_abm2_f4[[#This Row],[hwycov_id]],[2]flow_freeway!$A$2:$E$1643,3,FALSE),0)</f>
        <v>77493</v>
      </c>
      <c r="H176">
        <f>IFERROR(VLOOKUP(Table_socioeca8.sandag.org_ws_abm2_f4[[#This Row],[hwycov_id]],[2]flow_freeway!$A$2:$E$1643,4,FALSE),0)</f>
        <v>14561</v>
      </c>
      <c r="I176">
        <f>IFERROR(VLOOKUP(Table_socioeca8.sandag.org_ws_abm2_f4[[#This Row],[hwycov_id]],[2]flow_freeway!$A$2:$E$1643,5,FALSE),0)</f>
        <v>17522</v>
      </c>
      <c r="K176">
        <f>Table_socioeca8.sandag.org_ws_abm2_f4[[#This Row],[hwycov_id]]</f>
        <v>843</v>
      </c>
      <c r="L176">
        <f>Table_socioeca8.sandag.org_ws_abm2_f4[[#This Row],[scenario_id]]</f>
        <v>259</v>
      </c>
      <c r="M176">
        <f>Table_socioeca8.sandag.org_ws_abm2_f4[[#This Row],[flow_day]]</f>
        <v>77493</v>
      </c>
      <c r="N176">
        <f>Table_socioeca8.sandag.org_ws_abm2_f4[[#This Row],[flow_am]]</f>
        <v>14561</v>
      </c>
      <c r="O176">
        <f>Table_socioeca8.sandag.org_ws_abm2_f4[[#This Row],[flow_pm]]</f>
        <v>17522</v>
      </c>
    </row>
    <row r="177" spans="5:15" x14ac:dyDescent="0.25">
      <c r="E177">
        <v>844</v>
      </c>
      <c r="F177">
        <f t="shared" si="2"/>
        <v>259</v>
      </c>
      <c r="G177">
        <f>IFERROR(VLOOKUP(Table_socioeca8.sandag.org_ws_abm2_f4[[#This Row],[hwycov_id]],[2]flow_freeway!$A$2:$E$1643,3,FALSE),0)</f>
        <v>67790</v>
      </c>
      <c r="H177">
        <f>IFERROR(VLOOKUP(Table_socioeca8.sandag.org_ws_abm2_f4[[#This Row],[hwycov_id]],[2]flow_freeway!$A$2:$E$1643,4,FALSE),0)</f>
        <v>12818</v>
      </c>
      <c r="I177">
        <f>IFERROR(VLOOKUP(Table_socioeca8.sandag.org_ws_abm2_f4[[#This Row],[hwycov_id]],[2]flow_freeway!$A$2:$E$1643,5,FALSE),0)</f>
        <v>16159</v>
      </c>
      <c r="K177">
        <f>Table_socioeca8.sandag.org_ws_abm2_f4[[#This Row],[hwycov_id]]</f>
        <v>844</v>
      </c>
      <c r="L177">
        <f>Table_socioeca8.sandag.org_ws_abm2_f4[[#This Row],[scenario_id]]</f>
        <v>259</v>
      </c>
      <c r="M177">
        <f>Table_socioeca8.sandag.org_ws_abm2_f4[[#This Row],[flow_day]]</f>
        <v>67790</v>
      </c>
      <c r="N177">
        <f>Table_socioeca8.sandag.org_ws_abm2_f4[[#This Row],[flow_am]]</f>
        <v>12818</v>
      </c>
      <c r="O177">
        <f>Table_socioeca8.sandag.org_ws_abm2_f4[[#This Row],[flow_pm]]</f>
        <v>16159</v>
      </c>
    </row>
    <row r="178" spans="5:15" x14ac:dyDescent="0.25">
      <c r="E178">
        <v>845</v>
      </c>
      <c r="F178">
        <f t="shared" si="2"/>
        <v>259</v>
      </c>
      <c r="G178">
        <f>IFERROR(VLOOKUP(Table_socioeca8.sandag.org_ws_abm2_f4[[#This Row],[hwycov_id]],[2]flow_freeway!$A$2:$E$1643,3,FALSE),0)</f>
        <v>85651</v>
      </c>
      <c r="H178">
        <f>IFERROR(VLOOKUP(Table_socioeca8.sandag.org_ws_abm2_f4[[#This Row],[hwycov_id]],[2]flow_freeway!$A$2:$E$1643,4,FALSE),0)</f>
        <v>16401</v>
      </c>
      <c r="I178">
        <f>IFERROR(VLOOKUP(Table_socioeca8.sandag.org_ws_abm2_f4[[#This Row],[hwycov_id]],[2]flow_freeway!$A$2:$E$1643,5,FALSE),0)</f>
        <v>20117</v>
      </c>
      <c r="K178">
        <f>Table_socioeca8.sandag.org_ws_abm2_f4[[#This Row],[hwycov_id]]</f>
        <v>845</v>
      </c>
      <c r="L178">
        <f>Table_socioeca8.sandag.org_ws_abm2_f4[[#This Row],[scenario_id]]</f>
        <v>259</v>
      </c>
      <c r="M178">
        <f>Table_socioeca8.sandag.org_ws_abm2_f4[[#This Row],[flow_day]]</f>
        <v>85651</v>
      </c>
      <c r="N178">
        <f>Table_socioeca8.sandag.org_ws_abm2_f4[[#This Row],[flow_am]]</f>
        <v>16401</v>
      </c>
      <c r="O178">
        <f>Table_socioeca8.sandag.org_ws_abm2_f4[[#This Row],[flow_pm]]</f>
        <v>20117</v>
      </c>
    </row>
    <row r="179" spans="5:15" x14ac:dyDescent="0.25">
      <c r="E179">
        <v>851</v>
      </c>
      <c r="F179">
        <f t="shared" si="2"/>
        <v>259</v>
      </c>
      <c r="G179">
        <f>IFERROR(VLOOKUP(Table_socioeca8.sandag.org_ws_abm2_f4[[#This Row],[hwycov_id]],[2]flow_freeway!$A$2:$E$1643,3,FALSE),0)</f>
        <v>76776</v>
      </c>
      <c r="H179">
        <f>IFERROR(VLOOKUP(Table_socioeca8.sandag.org_ws_abm2_f4[[#This Row],[hwycov_id]],[2]flow_freeway!$A$2:$E$1643,4,FALSE),0)</f>
        <v>14823</v>
      </c>
      <c r="I179">
        <f>IFERROR(VLOOKUP(Table_socioeca8.sandag.org_ws_abm2_f4[[#This Row],[hwycov_id]],[2]flow_freeway!$A$2:$E$1643,5,FALSE),0)</f>
        <v>17494</v>
      </c>
      <c r="K179">
        <f>Table_socioeca8.sandag.org_ws_abm2_f4[[#This Row],[hwycov_id]]</f>
        <v>851</v>
      </c>
      <c r="L179">
        <f>Table_socioeca8.sandag.org_ws_abm2_f4[[#This Row],[scenario_id]]</f>
        <v>259</v>
      </c>
      <c r="M179">
        <f>Table_socioeca8.sandag.org_ws_abm2_f4[[#This Row],[flow_day]]</f>
        <v>76776</v>
      </c>
      <c r="N179">
        <f>Table_socioeca8.sandag.org_ws_abm2_f4[[#This Row],[flow_am]]</f>
        <v>14823</v>
      </c>
      <c r="O179">
        <f>Table_socioeca8.sandag.org_ws_abm2_f4[[#This Row],[flow_pm]]</f>
        <v>17494</v>
      </c>
    </row>
    <row r="180" spans="5:15" x14ac:dyDescent="0.25">
      <c r="E180">
        <v>852</v>
      </c>
      <c r="F180">
        <f t="shared" si="2"/>
        <v>259</v>
      </c>
      <c r="G180">
        <f>IFERROR(VLOOKUP(Table_socioeca8.sandag.org_ws_abm2_f4[[#This Row],[hwycov_id]],[2]flow_freeway!$A$2:$E$1643,3,FALSE),0)</f>
        <v>86996</v>
      </c>
      <c r="H180">
        <f>IFERROR(VLOOKUP(Table_socioeca8.sandag.org_ws_abm2_f4[[#This Row],[hwycov_id]],[2]flow_freeway!$A$2:$E$1643,4,FALSE),0)</f>
        <v>16400</v>
      </c>
      <c r="I180">
        <f>IFERROR(VLOOKUP(Table_socioeca8.sandag.org_ws_abm2_f4[[#This Row],[hwycov_id]],[2]flow_freeway!$A$2:$E$1643,5,FALSE),0)</f>
        <v>20052</v>
      </c>
      <c r="K180">
        <f>Table_socioeca8.sandag.org_ws_abm2_f4[[#This Row],[hwycov_id]]</f>
        <v>852</v>
      </c>
      <c r="L180">
        <f>Table_socioeca8.sandag.org_ws_abm2_f4[[#This Row],[scenario_id]]</f>
        <v>259</v>
      </c>
      <c r="M180">
        <f>Table_socioeca8.sandag.org_ws_abm2_f4[[#This Row],[flow_day]]</f>
        <v>86996</v>
      </c>
      <c r="N180">
        <f>Table_socioeca8.sandag.org_ws_abm2_f4[[#This Row],[flow_am]]</f>
        <v>16400</v>
      </c>
      <c r="O180">
        <f>Table_socioeca8.sandag.org_ws_abm2_f4[[#This Row],[flow_pm]]</f>
        <v>20052</v>
      </c>
    </row>
    <row r="181" spans="5:15" x14ac:dyDescent="0.25">
      <c r="E181">
        <v>853</v>
      </c>
      <c r="F181">
        <f t="shared" si="2"/>
        <v>259</v>
      </c>
      <c r="G181">
        <f>IFERROR(VLOOKUP(Table_socioeca8.sandag.org_ws_abm2_f4[[#This Row],[hwycov_id]],[2]flow_freeway!$A$2:$E$1643,3,FALSE),0)</f>
        <v>68767</v>
      </c>
      <c r="H181">
        <f>IFERROR(VLOOKUP(Table_socioeca8.sandag.org_ws_abm2_f4[[#This Row],[hwycov_id]],[2]flow_freeway!$A$2:$E$1643,4,FALSE),0)</f>
        <v>13349</v>
      </c>
      <c r="I181">
        <f>IFERROR(VLOOKUP(Table_socioeca8.sandag.org_ws_abm2_f4[[#This Row],[hwycov_id]],[2]flow_freeway!$A$2:$E$1643,5,FALSE),0)</f>
        <v>15154</v>
      </c>
      <c r="K181">
        <f>Table_socioeca8.sandag.org_ws_abm2_f4[[#This Row],[hwycov_id]]</f>
        <v>853</v>
      </c>
      <c r="L181">
        <f>Table_socioeca8.sandag.org_ws_abm2_f4[[#This Row],[scenario_id]]</f>
        <v>259</v>
      </c>
      <c r="M181">
        <f>Table_socioeca8.sandag.org_ws_abm2_f4[[#This Row],[flow_day]]</f>
        <v>68767</v>
      </c>
      <c r="N181">
        <f>Table_socioeca8.sandag.org_ws_abm2_f4[[#This Row],[flow_am]]</f>
        <v>13349</v>
      </c>
      <c r="O181">
        <f>Table_socioeca8.sandag.org_ws_abm2_f4[[#This Row],[flow_pm]]</f>
        <v>15154</v>
      </c>
    </row>
    <row r="182" spans="5:15" x14ac:dyDescent="0.25">
      <c r="E182">
        <v>854</v>
      </c>
      <c r="F182">
        <f t="shared" si="2"/>
        <v>259</v>
      </c>
      <c r="G182">
        <f>IFERROR(VLOOKUP(Table_socioeca8.sandag.org_ws_abm2_f4[[#This Row],[hwycov_id]],[2]flow_freeway!$A$2:$E$1643,3,FALSE),0)</f>
        <v>75580</v>
      </c>
      <c r="H182">
        <f>IFERROR(VLOOKUP(Table_socioeca8.sandag.org_ws_abm2_f4[[#This Row],[hwycov_id]],[2]flow_freeway!$A$2:$E$1643,4,FALSE),0)</f>
        <v>14248</v>
      </c>
      <c r="I182">
        <f>IFERROR(VLOOKUP(Table_socioeca8.sandag.org_ws_abm2_f4[[#This Row],[hwycov_id]],[2]flow_freeway!$A$2:$E$1643,5,FALSE),0)</f>
        <v>17034</v>
      </c>
      <c r="K182">
        <f>Table_socioeca8.sandag.org_ws_abm2_f4[[#This Row],[hwycov_id]]</f>
        <v>854</v>
      </c>
      <c r="L182">
        <f>Table_socioeca8.sandag.org_ws_abm2_f4[[#This Row],[scenario_id]]</f>
        <v>259</v>
      </c>
      <c r="M182">
        <f>Table_socioeca8.sandag.org_ws_abm2_f4[[#This Row],[flow_day]]</f>
        <v>75580</v>
      </c>
      <c r="N182">
        <f>Table_socioeca8.sandag.org_ws_abm2_f4[[#This Row],[flow_am]]</f>
        <v>14248</v>
      </c>
      <c r="O182">
        <f>Table_socioeca8.sandag.org_ws_abm2_f4[[#This Row],[flow_pm]]</f>
        <v>17034</v>
      </c>
    </row>
    <row r="183" spans="5:15" x14ac:dyDescent="0.25">
      <c r="E183">
        <v>855</v>
      </c>
      <c r="F183">
        <f t="shared" si="2"/>
        <v>259</v>
      </c>
      <c r="G183">
        <f>IFERROR(VLOOKUP(Table_socioeca8.sandag.org_ws_abm2_f4[[#This Row],[hwycov_id]],[2]flow_freeway!$A$2:$E$1643,3,FALSE),0)</f>
        <v>31675</v>
      </c>
      <c r="H183">
        <f>IFERROR(VLOOKUP(Table_socioeca8.sandag.org_ws_abm2_f4[[#This Row],[hwycov_id]],[2]flow_freeway!$A$2:$E$1643,4,FALSE),0)</f>
        <v>5349</v>
      </c>
      <c r="I183">
        <f>IFERROR(VLOOKUP(Table_socioeca8.sandag.org_ws_abm2_f4[[#This Row],[hwycov_id]],[2]flow_freeway!$A$2:$E$1643,5,FALSE),0)</f>
        <v>7397</v>
      </c>
      <c r="K183">
        <f>Table_socioeca8.sandag.org_ws_abm2_f4[[#This Row],[hwycov_id]]</f>
        <v>855</v>
      </c>
      <c r="L183">
        <f>Table_socioeca8.sandag.org_ws_abm2_f4[[#This Row],[scenario_id]]</f>
        <v>259</v>
      </c>
      <c r="M183">
        <f>Table_socioeca8.sandag.org_ws_abm2_f4[[#This Row],[flow_day]]</f>
        <v>31675</v>
      </c>
      <c r="N183">
        <f>Table_socioeca8.sandag.org_ws_abm2_f4[[#This Row],[flow_am]]</f>
        <v>5349</v>
      </c>
      <c r="O183">
        <f>Table_socioeca8.sandag.org_ws_abm2_f4[[#This Row],[flow_pm]]</f>
        <v>7397</v>
      </c>
    </row>
    <row r="184" spans="5:15" x14ac:dyDescent="0.25">
      <c r="E184">
        <v>856</v>
      </c>
      <c r="F184">
        <f t="shared" si="2"/>
        <v>259</v>
      </c>
      <c r="G184">
        <f>IFERROR(VLOOKUP(Table_socioeca8.sandag.org_ws_abm2_f4[[#This Row],[hwycov_id]],[2]flow_freeway!$A$2:$E$1643,3,FALSE),0)</f>
        <v>35304</v>
      </c>
      <c r="H184">
        <f>IFERROR(VLOOKUP(Table_socioeca8.sandag.org_ws_abm2_f4[[#This Row],[hwycov_id]],[2]flow_freeway!$A$2:$E$1643,4,FALSE),0)</f>
        <v>5952</v>
      </c>
      <c r="I184">
        <f>IFERROR(VLOOKUP(Table_socioeca8.sandag.org_ws_abm2_f4[[#This Row],[hwycov_id]],[2]flow_freeway!$A$2:$E$1643,5,FALSE),0)</f>
        <v>8075</v>
      </c>
      <c r="K184">
        <f>Table_socioeca8.sandag.org_ws_abm2_f4[[#This Row],[hwycov_id]]</f>
        <v>856</v>
      </c>
      <c r="L184">
        <f>Table_socioeca8.sandag.org_ws_abm2_f4[[#This Row],[scenario_id]]</f>
        <v>259</v>
      </c>
      <c r="M184">
        <f>Table_socioeca8.sandag.org_ws_abm2_f4[[#This Row],[flow_day]]</f>
        <v>35304</v>
      </c>
      <c r="N184">
        <f>Table_socioeca8.sandag.org_ws_abm2_f4[[#This Row],[flow_am]]</f>
        <v>5952</v>
      </c>
      <c r="O184">
        <f>Table_socioeca8.sandag.org_ws_abm2_f4[[#This Row],[flow_pm]]</f>
        <v>8075</v>
      </c>
    </row>
    <row r="185" spans="5:15" x14ac:dyDescent="0.25">
      <c r="E185">
        <v>857</v>
      </c>
      <c r="F185">
        <f t="shared" si="2"/>
        <v>259</v>
      </c>
      <c r="G185">
        <f>IFERROR(VLOOKUP(Table_socioeca8.sandag.org_ws_abm2_f4[[#This Row],[hwycov_id]],[2]flow_freeway!$A$2:$E$1643,3,FALSE),0)</f>
        <v>36888</v>
      </c>
      <c r="H185">
        <f>IFERROR(VLOOKUP(Table_socioeca8.sandag.org_ws_abm2_f4[[#This Row],[hwycov_id]],[2]flow_freeway!$A$2:$E$1643,4,FALSE),0)</f>
        <v>6157</v>
      </c>
      <c r="I185">
        <f>IFERROR(VLOOKUP(Table_socioeca8.sandag.org_ws_abm2_f4[[#This Row],[hwycov_id]],[2]flow_freeway!$A$2:$E$1643,5,FALSE),0)</f>
        <v>8532</v>
      </c>
      <c r="K185">
        <f>Table_socioeca8.sandag.org_ws_abm2_f4[[#This Row],[hwycov_id]]</f>
        <v>857</v>
      </c>
      <c r="L185">
        <f>Table_socioeca8.sandag.org_ws_abm2_f4[[#This Row],[scenario_id]]</f>
        <v>259</v>
      </c>
      <c r="M185">
        <f>Table_socioeca8.sandag.org_ws_abm2_f4[[#This Row],[flow_day]]</f>
        <v>36888</v>
      </c>
      <c r="N185">
        <f>Table_socioeca8.sandag.org_ws_abm2_f4[[#This Row],[flow_am]]</f>
        <v>6157</v>
      </c>
      <c r="O185">
        <f>Table_socioeca8.sandag.org_ws_abm2_f4[[#This Row],[flow_pm]]</f>
        <v>8532</v>
      </c>
    </row>
    <row r="186" spans="5:15" x14ac:dyDescent="0.25">
      <c r="E186">
        <v>858</v>
      </c>
      <c r="F186">
        <f t="shared" si="2"/>
        <v>259</v>
      </c>
      <c r="G186">
        <f>IFERROR(VLOOKUP(Table_socioeca8.sandag.org_ws_abm2_f4[[#This Row],[hwycov_id]],[2]flow_freeway!$A$2:$E$1643,3,FALSE),0)</f>
        <v>28494</v>
      </c>
      <c r="H186">
        <f>IFERROR(VLOOKUP(Table_socioeca8.sandag.org_ws_abm2_f4[[#This Row],[hwycov_id]],[2]flow_freeway!$A$2:$E$1643,4,FALSE),0)</f>
        <v>4414</v>
      </c>
      <c r="I186">
        <f>IFERROR(VLOOKUP(Table_socioeca8.sandag.org_ws_abm2_f4[[#This Row],[hwycov_id]],[2]flow_freeway!$A$2:$E$1643,5,FALSE),0)</f>
        <v>6676</v>
      </c>
      <c r="K186">
        <f>Table_socioeca8.sandag.org_ws_abm2_f4[[#This Row],[hwycov_id]]</f>
        <v>858</v>
      </c>
      <c r="L186">
        <f>Table_socioeca8.sandag.org_ws_abm2_f4[[#This Row],[scenario_id]]</f>
        <v>259</v>
      </c>
      <c r="M186">
        <f>Table_socioeca8.sandag.org_ws_abm2_f4[[#This Row],[flow_day]]</f>
        <v>28494</v>
      </c>
      <c r="N186">
        <f>Table_socioeca8.sandag.org_ws_abm2_f4[[#This Row],[flow_am]]</f>
        <v>4414</v>
      </c>
      <c r="O186">
        <f>Table_socioeca8.sandag.org_ws_abm2_f4[[#This Row],[flow_pm]]</f>
        <v>6676</v>
      </c>
    </row>
    <row r="187" spans="5:15" x14ac:dyDescent="0.25">
      <c r="E187">
        <v>859</v>
      </c>
      <c r="F187">
        <f t="shared" si="2"/>
        <v>259</v>
      </c>
      <c r="G187">
        <f>IFERROR(VLOOKUP(Table_socioeca8.sandag.org_ws_abm2_f4[[#This Row],[hwycov_id]],[2]flow_freeway!$A$2:$E$1643,3,FALSE),0)</f>
        <v>29494</v>
      </c>
      <c r="H187">
        <f>IFERROR(VLOOKUP(Table_socioeca8.sandag.org_ws_abm2_f4[[#This Row],[hwycov_id]],[2]flow_freeway!$A$2:$E$1643,4,FALSE),0)</f>
        <v>4424</v>
      </c>
      <c r="I187">
        <f>IFERROR(VLOOKUP(Table_socioeca8.sandag.org_ws_abm2_f4[[#This Row],[hwycov_id]],[2]flow_freeway!$A$2:$E$1643,5,FALSE),0)</f>
        <v>7024</v>
      </c>
      <c r="K187">
        <f>Table_socioeca8.sandag.org_ws_abm2_f4[[#This Row],[hwycov_id]]</f>
        <v>859</v>
      </c>
      <c r="L187">
        <f>Table_socioeca8.sandag.org_ws_abm2_f4[[#This Row],[scenario_id]]</f>
        <v>259</v>
      </c>
      <c r="M187">
        <f>Table_socioeca8.sandag.org_ws_abm2_f4[[#This Row],[flow_day]]</f>
        <v>29494</v>
      </c>
      <c r="N187">
        <f>Table_socioeca8.sandag.org_ws_abm2_f4[[#This Row],[flow_am]]</f>
        <v>4424</v>
      </c>
      <c r="O187">
        <f>Table_socioeca8.sandag.org_ws_abm2_f4[[#This Row],[flow_pm]]</f>
        <v>7024</v>
      </c>
    </row>
    <row r="188" spans="5:15" x14ac:dyDescent="0.25">
      <c r="E188">
        <v>860</v>
      </c>
      <c r="F188">
        <f t="shared" si="2"/>
        <v>259</v>
      </c>
      <c r="G188">
        <f>IFERROR(VLOOKUP(Table_socioeca8.sandag.org_ws_abm2_f4[[#This Row],[hwycov_id]],[2]flow_freeway!$A$2:$E$1643,3,FALSE),0)</f>
        <v>17993</v>
      </c>
      <c r="H188">
        <f>IFERROR(VLOOKUP(Table_socioeca8.sandag.org_ws_abm2_f4[[#This Row],[hwycov_id]],[2]flow_freeway!$A$2:$E$1643,4,FALSE),0)</f>
        <v>2012</v>
      </c>
      <c r="I188">
        <f>IFERROR(VLOOKUP(Table_socioeca8.sandag.org_ws_abm2_f4[[#This Row],[hwycov_id]],[2]flow_freeway!$A$2:$E$1643,5,FALSE),0)</f>
        <v>4960</v>
      </c>
      <c r="K188">
        <f>Table_socioeca8.sandag.org_ws_abm2_f4[[#This Row],[hwycov_id]]</f>
        <v>860</v>
      </c>
      <c r="L188">
        <f>Table_socioeca8.sandag.org_ws_abm2_f4[[#This Row],[scenario_id]]</f>
        <v>259</v>
      </c>
      <c r="M188">
        <f>Table_socioeca8.sandag.org_ws_abm2_f4[[#This Row],[flow_day]]</f>
        <v>17993</v>
      </c>
      <c r="N188">
        <f>Table_socioeca8.sandag.org_ws_abm2_f4[[#This Row],[flow_am]]</f>
        <v>2012</v>
      </c>
      <c r="O188">
        <f>Table_socioeca8.sandag.org_ws_abm2_f4[[#This Row],[flow_pm]]</f>
        <v>4960</v>
      </c>
    </row>
    <row r="189" spans="5:15" x14ac:dyDescent="0.25">
      <c r="E189">
        <v>1042</v>
      </c>
      <c r="F189">
        <f t="shared" si="2"/>
        <v>259</v>
      </c>
      <c r="G189">
        <f>IFERROR(VLOOKUP(Table_socioeca8.sandag.org_ws_abm2_f4[[#This Row],[hwycov_id]],[2]flow_freeway!$A$2:$E$1643,3,FALSE),0)</f>
        <v>25207</v>
      </c>
      <c r="H189">
        <f>IFERROR(VLOOKUP(Table_socioeca8.sandag.org_ws_abm2_f4[[#This Row],[hwycov_id]],[2]flow_freeway!$A$2:$E$1643,4,FALSE),0)</f>
        <v>3608</v>
      </c>
      <c r="I189">
        <f>IFERROR(VLOOKUP(Table_socioeca8.sandag.org_ws_abm2_f4[[#This Row],[hwycov_id]],[2]flow_freeway!$A$2:$E$1643,5,FALSE),0)</f>
        <v>8600</v>
      </c>
      <c r="K189">
        <f>Table_socioeca8.sandag.org_ws_abm2_f4[[#This Row],[hwycov_id]]</f>
        <v>1042</v>
      </c>
      <c r="L189">
        <f>Table_socioeca8.sandag.org_ws_abm2_f4[[#This Row],[scenario_id]]</f>
        <v>259</v>
      </c>
      <c r="M189">
        <f>Table_socioeca8.sandag.org_ws_abm2_f4[[#This Row],[flow_day]]</f>
        <v>25207</v>
      </c>
      <c r="N189">
        <f>Table_socioeca8.sandag.org_ws_abm2_f4[[#This Row],[flow_am]]</f>
        <v>3608</v>
      </c>
      <c r="O189">
        <f>Table_socioeca8.sandag.org_ws_abm2_f4[[#This Row],[flow_pm]]</f>
        <v>8600</v>
      </c>
    </row>
    <row r="190" spans="5:15" x14ac:dyDescent="0.25">
      <c r="E190">
        <v>1173</v>
      </c>
      <c r="F190">
        <f t="shared" si="2"/>
        <v>259</v>
      </c>
      <c r="G190">
        <f>IFERROR(VLOOKUP(Table_socioeca8.sandag.org_ws_abm2_f4[[#This Row],[hwycov_id]],[2]flow_freeway!$A$2:$E$1643,3,FALSE),0)</f>
        <v>67756</v>
      </c>
      <c r="H190">
        <f>IFERROR(VLOOKUP(Table_socioeca8.sandag.org_ws_abm2_f4[[#This Row],[hwycov_id]],[2]flow_freeway!$A$2:$E$1643,4,FALSE),0)</f>
        <v>14949</v>
      </c>
      <c r="I190">
        <f>IFERROR(VLOOKUP(Table_socioeca8.sandag.org_ws_abm2_f4[[#This Row],[hwycov_id]],[2]flow_freeway!$A$2:$E$1643,5,FALSE),0)</f>
        <v>16576</v>
      </c>
      <c r="K190">
        <f>Table_socioeca8.sandag.org_ws_abm2_f4[[#This Row],[hwycov_id]]</f>
        <v>1173</v>
      </c>
      <c r="L190">
        <f>Table_socioeca8.sandag.org_ws_abm2_f4[[#This Row],[scenario_id]]</f>
        <v>259</v>
      </c>
      <c r="M190">
        <f>Table_socioeca8.sandag.org_ws_abm2_f4[[#This Row],[flow_day]]</f>
        <v>67756</v>
      </c>
      <c r="N190">
        <f>Table_socioeca8.sandag.org_ws_abm2_f4[[#This Row],[flow_am]]</f>
        <v>14949</v>
      </c>
      <c r="O190">
        <f>Table_socioeca8.sandag.org_ws_abm2_f4[[#This Row],[flow_pm]]</f>
        <v>16576</v>
      </c>
    </row>
    <row r="191" spans="5:15" x14ac:dyDescent="0.25">
      <c r="E191">
        <v>1250</v>
      </c>
      <c r="F191">
        <f t="shared" si="2"/>
        <v>259</v>
      </c>
      <c r="G191">
        <f>IFERROR(VLOOKUP(Table_socioeca8.sandag.org_ws_abm2_f4[[#This Row],[hwycov_id]],[2]flow_freeway!$A$2:$E$1643,3,FALSE),0)</f>
        <v>105919</v>
      </c>
      <c r="H191">
        <f>IFERROR(VLOOKUP(Table_socioeca8.sandag.org_ws_abm2_f4[[#This Row],[hwycov_id]],[2]flow_freeway!$A$2:$E$1643,4,FALSE),0)</f>
        <v>24299</v>
      </c>
      <c r="I191">
        <f>IFERROR(VLOOKUP(Table_socioeca8.sandag.org_ws_abm2_f4[[#This Row],[hwycov_id]],[2]flow_freeway!$A$2:$E$1643,5,FALSE),0)</f>
        <v>20110</v>
      </c>
      <c r="K191">
        <f>Table_socioeca8.sandag.org_ws_abm2_f4[[#This Row],[hwycov_id]]</f>
        <v>1250</v>
      </c>
      <c r="L191">
        <f>Table_socioeca8.sandag.org_ws_abm2_f4[[#This Row],[scenario_id]]</f>
        <v>259</v>
      </c>
      <c r="M191">
        <f>Table_socioeca8.sandag.org_ws_abm2_f4[[#This Row],[flow_day]]</f>
        <v>105919</v>
      </c>
      <c r="N191">
        <f>Table_socioeca8.sandag.org_ws_abm2_f4[[#This Row],[flow_am]]</f>
        <v>24299</v>
      </c>
      <c r="O191">
        <f>Table_socioeca8.sandag.org_ws_abm2_f4[[#This Row],[flow_pm]]</f>
        <v>20110</v>
      </c>
    </row>
    <row r="192" spans="5:15" x14ac:dyDescent="0.25">
      <c r="E192">
        <v>1549</v>
      </c>
      <c r="F192">
        <f t="shared" si="2"/>
        <v>259</v>
      </c>
      <c r="G192">
        <f>IFERROR(VLOOKUP(Table_socioeca8.sandag.org_ws_abm2_f4[[#This Row],[hwycov_id]],[2]flow_freeway!$A$2:$E$1643,3,FALSE),0)</f>
        <v>11354</v>
      </c>
      <c r="H192">
        <f>IFERROR(VLOOKUP(Table_socioeca8.sandag.org_ws_abm2_f4[[#This Row],[hwycov_id]],[2]flow_freeway!$A$2:$E$1643,4,FALSE),0)</f>
        <v>2013</v>
      </c>
      <c r="I192">
        <f>IFERROR(VLOOKUP(Table_socioeca8.sandag.org_ws_abm2_f4[[#This Row],[hwycov_id]],[2]flow_freeway!$A$2:$E$1643,5,FALSE),0)</f>
        <v>4799</v>
      </c>
      <c r="K192">
        <f>Table_socioeca8.sandag.org_ws_abm2_f4[[#This Row],[hwycov_id]]</f>
        <v>1549</v>
      </c>
      <c r="L192">
        <f>Table_socioeca8.sandag.org_ws_abm2_f4[[#This Row],[scenario_id]]</f>
        <v>259</v>
      </c>
      <c r="M192">
        <f>Table_socioeca8.sandag.org_ws_abm2_f4[[#This Row],[flow_day]]</f>
        <v>11354</v>
      </c>
      <c r="N192">
        <f>Table_socioeca8.sandag.org_ws_abm2_f4[[#This Row],[flow_am]]</f>
        <v>2013</v>
      </c>
      <c r="O192">
        <f>Table_socioeca8.sandag.org_ws_abm2_f4[[#This Row],[flow_pm]]</f>
        <v>4799</v>
      </c>
    </row>
    <row r="193" spans="5:15" x14ac:dyDescent="0.25">
      <c r="E193">
        <v>1580</v>
      </c>
      <c r="F193">
        <f t="shared" si="2"/>
        <v>259</v>
      </c>
      <c r="G193">
        <f>IFERROR(VLOOKUP(Table_socioeca8.sandag.org_ws_abm2_f4[[#This Row],[hwycov_id]],[2]flow_freeway!$A$2:$E$1643,3,FALSE),0)</f>
        <v>13609</v>
      </c>
      <c r="H193">
        <f>IFERROR(VLOOKUP(Table_socioeca8.sandag.org_ws_abm2_f4[[#This Row],[hwycov_id]],[2]flow_freeway!$A$2:$E$1643,4,FALSE),0)</f>
        <v>3980</v>
      </c>
      <c r="I193">
        <f>IFERROR(VLOOKUP(Table_socioeca8.sandag.org_ws_abm2_f4[[#This Row],[hwycov_id]],[2]flow_freeway!$A$2:$E$1643,5,FALSE),0)</f>
        <v>3061</v>
      </c>
      <c r="K193">
        <f>Table_socioeca8.sandag.org_ws_abm2_f4[[#This Row],[hwycov_id]]</f>
        <v>1580</v>
      </c>
      <c r="L193">
        <f>Table_socioeca8.sandag.org_ws_abm2_f4[[#This Row],[scenario_id]]</f>
        <v>259</v>
      </c>
      <c r="M193">
        <f>Table_socioeca8.sandag.org_ws_abm2_f4[[#This Row],[flow_day]]</f>
        <v>13609</v>
      </c>
      <c r="N193">
        <f>Table_socioeca8.sandag.org_ws_abm2_f4[[#This Row],[flow_am]]</f>
        <v>3980</v>
      </c>
      <c r="O193">
        <f>Table_socioeca8.sandag.org_ws_abm2_f4[[#This Row],[flow_pm]]</f>
        <v>3061</v>
      </c>
    </row>
    <row r="194" spans="5:15" x14ac:dyDescent="0.25">
      <c r="E194">
        <v>1768</v>
      </c>
      <c r="F194">
        <f t="shared" si="2"/>
        <v>259</v>
      </c>
      <c r="G194">
        <f>IFERROR(VLOOKUP(Table_socioeca8.sandag.org_ws_abm2_f4[[#This Row],[hwycov_id]],[2]flow_freeway!$A$2:$E$1643,3,FALSE),0)</f>
        <v>7563</v>
      </c>
      <c r="H194">
        <f>IFERROR(VLOOKUP(Table_socioeca8.sandag.org_ws_abm2_f4[[#This Row],[hwycov_id]],[2]flow_freeway!$A$2:$E$1643,4,FALSE),0)</f>
        <v>1308</v>
      </c>
      <c r="I194">
        <f>IFERROR(VLOOKUP(Table_socioeca8.sandag.org_ws_abm2_f4[[#This Row],[hwycov_id]],[2]flow_freeway!$A$2:$E$1643,5,FALSE),0)</f>
        <v>2385</v>
      </c>
      <c r="K194">
        <f>Table_socioeca8.sandag.org_ws_abm2_f4[[#This Row],[hwycov_id]]</f>
        <v>1768</v>
      </c>
      <c r="L194">
        <f>Table_socioeca8.sandag.org_ws_abm2_f4[[#This Row],[scenario_id]]</f>
        <v>259</v>
      </c>
      <c r="M194">
        <f>Table_socioeca8.sandag.org_ws_abm2_f4[[#This Row],[flow_day]]</f>
        <v>7563</v>
      </c>
      <c r="N194">
        <f>Table_socioeca8.sandag.org_ws_abm2_f4[[#This Row],[flow_am]]</f>
        <v>1308</v>
      </c>
      <c r="O194">
        <f>Table_socioeca8.sandag.org_ws_abm2_f4[[#This Row],[flow_pm]]</f>
        <v>2385</v>
      </c>
    </row>
    <row r="195" spans="5:15" x14ac:dyDescent="0.25">
      <c r="E195">
        <v>3010</v>
      </c>
      <c r="F195">
        <f t="shared" si="2"/>
        <v>259</v>
      </c>
      <c r="G195">
        <f>IFERROR(VLOOKUP(Table_socioeca8.sandag.org_ws_abm2_f4[[#This Row],[hwycov_id]],[2]flow_freeway!$A$2:$E$1643,3,FALSE),0)</f>
        <v>1523</v>
      </c>
      <c r="H195">
        <f>IFERROR(VLOOKUP(Table_socioeca8.sandag.org_ws_abm2_f4[[#This Row],[hwycov_id]],[2]flow_freeway!$A$2:$E$1643,4,FALSE),0)</f>
        <v>1523</v>
      </c>
      <c r="I195">
        <f>IFERROR(VLOOKUP(Table_socioeca8.sandag.org_ws_abm2_f4[[#This Row],[hwycov_id]],[2]flow_freeway!$A$2:$E$1643,5,FALSE),0)</f>
        <v>0</v>
      </c>
      <c r="K195">
        <f>Table_socioeca8.sandag.org_ws_abm2_f4[[#This Row],[hwycov_id]]</f>
        <v>3010</v>
      </c>
      <c r="L195">
        <f>Table_socioeca8.sandag.org_ws_abm2_f4[[#This Row],[scenario_id]]</f>
        <v>259</v>
      </c>
      <c r="M195">
        <f>Table_socioeca8.sandag.org_ws_abm2_f4[[#This Row],[flow_day]]</f>
        <v>1523</v>
      </c>
      <c r="N195">
        <f>Table_socioeca8.sandag.org_ws_abm2_f4[[#This Row],[flow_am]]</f>
        <v>1523</v>
      </c>
      <c r="O195">
        <f>Table_socioeca8.sandag.org_ws_abm2_f4[[#This Row],[flow_pm]]</f>
        <v>0</v>
      </c>
    </row>
    <row r="196" spans="5:15" x14ac:dyDescent="0.25">
      <c r="E196">
        <v>3012</v>
      </c>
      <c r="F196">
        <f t="shared" ref="F196:F259" si="3">F195</f>
        <v>259</v>
      </c>
      <c r="G196">
        <f>IFERROR(VLOOKUP(Table_socioeca8.sandag.org_ws_abm2_f4[[#This Row],[hwycov_id]],[2]flow_freeway!$A$2:$E$1643,3,FALSE),0)</f>
        <v>1833</v>
      </c>
      <c r="H196">
        <f>IFERROR(VLOOKUP(Table_socioeca8.sandag.org_ws_abm2_f4[[#This Row],[hwycov_id]],[2]flow_freeway!$A$2:$E$1643,4,FALSE),0)</f>
        <v>1833</v>
      </c>
      <c r="I196">
        <f>IFERROR(VLOOKUP(Table_socioeca8.sandag.org_ws_abm2_f4[[#This Row],[hwycov_id]],[2]flow_freeway!$A$2:$E$1643,5,FALSE),0)</f>
        <v>0</v>
      </c>
      <c r="K196">
        <f>Table_socioeca8.sandag.org_ws_abm2_f4[[#This Row],[hwycov_id]]</f>
        <v>3012</v>
      </c>
      <c r="L196">
        <f>Table_socioeca8.sandag.org_ws_abm2_f4[[#This Row],[scenario_id]]</f>
        <v>259</v>
      </c>
      <c r="M196">
        <f>Table_socioeca8.sandag.org_ws_abm2_f4[[#This Row],[flow_day]]</f>
        <v>1833</v>
      </c>
      <c r="N196">
        <f>Table_socioeca8.sandag.org_ws_abm2_f4[[#This Row],[flow_am]]</f>
        <v>1833</v>
      </c>
      <c r="O196">
        <f>Table_socioeca8.sandag.org_ws_abm2_f4[[#This Row],[flow_pm]]</f>
        <v>0</v>
      </c>
    </row>
    <row r="197" spans="5:15" x14ac:dyDescent="0.25">
      <c r="E197">
        <v>3098</v>
      </c>
      <c r="F197">
        <f t="shared" si="3"/>
        <v>259</v>
      </c>
      <c r="G197">
        <f>IFERROR(VLOOKUP(Table_socioeca8.sandag.org_ws_abm2_f4[[#This Row],[hwycov_id]],[2]flow_freeway!$A$2:$E$1643,3,FALSE),0)</f>
        <v>2386</v>
      </c>
      <c r="H197">
        <f>IFERROR(VLOOKUP(Table_socioeca8.sandag.org_ws_abm2_f4[[#This Row],[hwycov_id]],[2]flow_freeway!$A$2:$E$1643,4,FALSE),0)</f>
        <v>2386</v>
      </c>
      <c r="I197">
        <f>IFERROR(VLOOKUP(Table_socioeca8.sandag.org_ws_abm2_f4[[#This Row],[hwycov_id]],[2]flow_freeway!$A$2:$E$1643,5,FALSE),0)</f>
        <v>0</v>
      </c>
      <c r="K197">
        <f>Table_socioeca8.sandag.org_ws_abm2_f4[[#This Row],[hwycov_id]]</f>
        <v>3098</v>
      </c>
      <c r="L197">
        <f>Table_socioeca8.sandag.org_ws_abm2_f4[[#This Row],[scenario_id]]</f>
        <v>259</v>
      </c>
      <c r="M197">
        <f>Table_socioeca8.sandag.org_ws_abm2_f4[[#This Row],[flow_day]]</f>
        <v>2386</v>
      </c>
      <c r="N197">
        <f>Table_socioeca8.sandag.org_ws_abm2_f4[[#This Row],[flow_am]]</f>
        <v>2386</v>
      </c>
      <c r="O197">
        <f>Table_socioeca8.sandag.org_ws_abm2_f4[[#This Row],[flow_pm]]</f>
        <v>0</v>
      </c>
    </row>
    <row r="198" spans="5:15" x14ac:dyDescent="0.25">
      <c r="E198">
        <v>3115</v>
      </c>
      <c r="F198">
        <f t="shared" si="3"/>
        <v>259</v>
      </c>
      <c r="G198">
        <f>IFERROR(VLOOKUP(Table_socioeca8.sandag.org_ws_abm2_f4[[#This Row],[hwycov_id]],[2]flow_freeway!$A$2:$E$1643,3,FALSE),0)</f>
        <v>2348</v>
      </c>
      <c r="H198">
        <f>IFERROR(VLOOKUP(Table_socioeca8.sandag.org_ws_abm2_f4[[#This Row],[hwycov_id]],[2]flow_freeway!$A$2:$E$1643,4,FALSE),0)</f>
        <v>2348</v>
      </c>
      <c r="I198">
        <f>IFERROR(VLOOKUP(Table_socioeca8.sandag.org_ws_abm2_f4[[#This Row],[hwycov_id]],[2]flow_freeway!$A$2:$E$1643,5,FALSE),0)</f>
        <v>0</v>
      </c>
      <c r="K198">
        <f>Table_socioeca8.sandag.org_ws_abm2_f4[[#This Row],[hwycov_id]]</f>
        <v>3115</v>
      </c>
      <c r="L198">
        <f>Table_socioeca8.sandag.org_ws_abm2_f4[[#This Row],[scenario_id]]</f>
        <v>259</v>
      </c>
      <c r="M198">
        <f>Table_socioeca8.sandag.org_ws_abm2_f4[[#This Row],[flow_day]]</f>
        <v>2348</v>
      </c>
      <c r="N198">
        <f>Table_socioeca8.sandag.org_ws_abm2_f4[[#This Row],[flow_am]]</f>
        <v>2348</v>
      </c>
      <c r="O198">
        <f>Table_socioeca8.sandag.org_ws_abm2_f4[[#This Row],[flow_pm]]</f>
        <v>0</v>
      </c>
    </row>
    <row r="199" spans="5:15" x14ac:dyDescent="0.25">
      <c r="E199">
        <v>3122</v>
      </c>
      <c r="F199">
        <f t="shared" si="3"/>
        <v>259</v>
      </c>
      <c r="G199">
        <f>IFERROR(VLOOKUP(Table_socioeca8.sandag.org_ws_abm2_f4[[#This Row],[hwycov_id]],[2]flow_freeway!$A$2:$E$1643,3,FALSE),0)</f>
        <v>2132</v>
      </c>
      <c r="H199">
        <f>IFERROR(VLOOKUP(Table_socioeca8.sandag.org_ws_abm2_f4[[#This Row],[hwycov_id]],[2]flow_freeway!$A$2:$E$1643,4,FALSE),0)</f>
        <v>0</v>
      </c>
      <c r="I199">
        <f>IFERROR(VLOOKUP(Table_socioeca8.sandag.org_ws_abm2_f4[[#This Row],[hwycov_id]],[2]flow_freeway!$A$2:$E$1643,5,FALSE),0)</f>
        <v>2132</v>
      </c>
      <c r="K199">
        <f>Table_socioeca8.sandag.org_ws_abm2_f4[[#This Row],[hwycov_id]]</f>
        <v>3122</v>
      </c>
      <c r="L199">
        <f>Table_socioeca8.sandag.org_ws_abm2_f4[[#This Row],[scenario_id]]</f>
        <v>259</v>
      </c>
      <c r="M199">
        <f>Table_socioeca8.sandag.org_ws_abm2_f4[[#This Row],[flow_day]]</f>
        <v>2132</v>
      </c>
      <c r="N199">
        <f>Table_socioeca8.sandag.org_ws_abm2_f4[[#This Row],[flow_am]]</f>
        <v>0</v>
      </c>
      <c r="O199">
        <f>Table_socioeca8.sandag.org_ws_abm2_f4[[#This Row],[flow_pm]]</f>
        <v>2132</v>
      </c>
    </row>
    <row r="200" spans="5:15" x14ac:dyDescent="0.25">
      <c r="E200">
        <v>3125</v>
      </c>
      <c r="F200">
        <f t="shared" si="3"/>
        <v>259</v>
      </c>
      <c r="G200">
        <f>IFERROR(VLOOKUP(Table_socioeca8.sandag.org_ws_abm2_f4[[#This Row],[hwycov_id]],[2]flow_freeway!$A$2:$E$1643,3,FALSE),0)</f>
        <v>96218</v>
      </c>
      <c r="H200">
        <f>IFERROR(VLOOKUP(Table_socioeca8.sandag.org_ws_abm2_f4[[#This Row],[hwycov_id]],[2]flow_freeway!$A$2:$E$1643,4,FALSE),0)</f>
        <v>18942</v>
      </c>
      <c r="I200">
        <f>IFERROR(VLOOKUP(Table_socioeca8.sandag.org_ws_abm2_f4[[#This Row],[hwycov_id]],[2]flow_freeway!$A$2:$E$1643,5,FALSE),0)</f>
        <v>19842</v>
      </c>
      <c r="K200">
        <f>Table_socioeca8.sandag.org_ws_abm2_f4[[#This Row],[hwycov_id]]</f>
        <v>3125</v>
      </c>
      <c r="L200">
        <f>Table_socioeca8.sandag.org_ws_abm2_f4[[#This Row],[scenario_id]]</f>
        <v>259</v>
      </c>
      <c r="M200">
        <f>Table_socioeca8.sandag.org_ws_abm2_f4[[#This Row],[flow_day]]</f>
        <v>96218</v>
      </c>
      <c r="N200">
        <f>Table_socioeca8.sandag.org_ws_abm2_f4[[#This Row],[flow_am]]</f>
        <v>18942</v>
      </c>
      <c r="O200">
        <f>Table_socioeca8.sandag.org_ws_abm2_f4[[#This Row],[flow_pm]]</f>
        <v>19842</v>
      </c>
    </row>
    <row r="201" spans="5:15" x14ac:dyDescent="0.25">
      <c r="E201">
        <v>3145</v>
      </c>
      <c r="F201">
        <f t="shared" si="3"/>
        <v>259</v>
      </c>
      <c r="G201">
        <f>IFERROR(VLOOKUP(Table_socioeca8.sandag.org_ws_abm2_f4[[#This Row],[hwycov_id]],[2]flow_freeway!$A$2:$E$1643,3,FALSE),0)</f>
        <v>76697</v>
      </c>
      <c r="H201">
        <f>IFERROR(VLOOKUP(Table_socioeca8.sandag.org_ws_abm2_f4[[#This Row],[hwycov_id]],[2]flow_freeway!$A$2:$E$1643,4,FALSE),0)</f>
        <v>16482</v>
      </c>
      <c r="I201">
        <f>IFERROR(VLOOKUP(Table_socioeca8.sandag.org_ws_abm2_f4[[#This Row],[hwycov_id]],[2]flow_freeway!$A$2:$E$1643,5,FALSE),0)</f>
        <v>16720</v>
      </c>
      <c r="K201">
        <f>Table_socioeca8.sandag.org_ws_abm2_f4[[#This Row],[hwycov_id]]</f>
        <v>3145</v>
      </c>
      <c r="L201">
        <f>Table_socioeca8.sandag.org_ws_abm2_f4[[#This Row],[scenario_id]]</f>
        <v>259</v>
      </c>
      <c r="M201">
        <f>Table_socioeca8.sandag.org_ws_abm2_f4[[#This Row],[flow_day]]</f>
        <v>76697</v>
      </c>
      <c r="N201">
        <f>Table_socioeca8.sandag.org_ws_abm2_f4[[#This Row],[flow_am]]</f>
        <v>16482</v>
      </c>
      <c r="O201">
        <f>Table_socioeca8.sandag.org_ws_abm2_f4[[#This Row],[flow_pm]]</f>
        <v>16720</v>
      </c>
    </row>
    <row r="202" spans="5:15" x14ac:dyDescent="0.25">
      <c r="E202">
        <v>3192</v>
      </c>
      <c r="F202">
        <f t="shared" si="3"/>
        <v>259</v>
      </c>
      <c r="G202">
        <f>IFERROR(VLOOKUP(Table_socioeca8.sandag.org_ws_abm2_f4[[#This Row],[hwycov_id]],[2]flow_freeway!$A$2:$E$1643,3,FALSE),0)</f>
        <v>76697</v>
      </c>
      <c r="H202">
        <f>IFERROR(VLOOKUP(Table_socioeca8.sandag.org_ws_abm2_f4[[#This Row],[hwycov_id]],[2]flow_freeway!$A$2:$E$1643,4,FALSE),0)</f>
        <v>16482</v>
      </c>
      <c r="I202">
        <f>IFERROR(VLOOKUP(Table_socioeca8.sandag.org_ws_abm2_f4[[#This Row],[hwycov_id]],[2]flow_freeway!$A$2:$E$1643,5,FALSE),0)</f>
        <v>16720</v>
      </c>
      <c r="K202">
        <f>Table_socioeca8.sandag.org_ws_abm2_f4[[#This Row],[hwycov_id]]</f>
        <v>3192</v>
      </c>
      <c r="L202">
        <f>Table_socioeca8.sandag.org_ws_abm2_f4[[#This Row],[scenario_id]]</f>
        <v>259</v>
      </c>
      <c r="M202">
        <f>Table_socioeca8.sandag.org_ws_abm2_f4[[#This Row],[flow_day]]</f>
        <v>76697</v>
      </c>
      <c r="N202">
        <f>Table_socioeca8.sandag.org_ws_abm2_f4[[#This Row],[flow_am]]</f>
        <v>16482</v>
      </c>
      <c r="O202">
        <f>Table_socioeca8.sandag.org_ws_abm2_f4[[#This Row],[flow_pm]]</f>
        <v>16720</v>
      </c>
    </row>
    <row r="203" spans="5:15" x14ac:dyDescent="0.25">
      <c r="E203">
        <v>3197</v>
      </c>
      <c r="F203">
        <f t="shared" si="3"/>
        <v>259</v>
      </c>
      <c r="G203">
        <f>IFERROR(VLOOKUP(Table_socioeca8.sandag.org_ws_abm2_f4[[#This Row],[hwycov_id]],[2]flow_freeway!$A$2:$E$1643,3,FALSE),0)</f>
        <v>82248</v>
      </c>
      <c r="H203">
        <f>IFERROR(VLOOKUP(Table_socioeca8.sandag.org_ws_abm2_f4[[#This Row],[hwycov_id]],[2]flow_freeway!$A$2:$E$1643,4,FALSE),0)</f>
        <v>16214</v>
      </c>
      <c r="I203">
        <f>IFERROR(VLOOKUP(Table_socioeca8.sandag.org_ws_abm2_f4[[#This Row],[hwycov_id]],[2]flow_freeway!$A$2:$E$1643,5,FALSE),0)</f>
        <v>17032</v>
      </c>
      <c r="K203">
        <f>Table_socioeca8.sandag.org_ws_abm2_f4[[#This Row],[hwycov_id]]</f>
        <v>3197</v>
      </c>
      <c r="L203">
        <f>Table_socioeca8.sandag.org_ws_abm2_f4[[#This Row],[scenario_id]]</f>
        <v>259</v>
      </c>
      <c r="M203">
        <f>Table_socioeca8.sandag.org_ws_abm2_f4[[#This Row],[flow_day]]</f>
        <v>82248</v>
      </c>
      <c r="N203">
        <f>Table_socioeca8.sandag.org_ws_abm2_f4[[#This Row],[flow_am]]</f>
        <v>16214</v>
      </c>
      <c r="O203">
        <f>Table_socioeca8.sandag.org_ws_abm2_f4[[#This Row],[flow_pm]]</f>
        <v>17032</v>
      </c>
    </row>
    <row r="204" spans="5:15" x14ac:dyDescent="0.25">
      <c r="E204">
        <v>3204</v>
      </c>
      <c r="F204">
        <f t="shared" si="3"/>
        <v>259</v>
      </c>
      <c r="G204">
        <f>IFERROR(VLOOKUP(Table_socioeca8.sandag.org_ws_abm2_f4[[#This Row],[hwycov_id]],[2]flow_freeway!$A$2:$E$1643,3,FALSE),0)</f>
        <v>78561</v>
      </c>
      <c r="H204">
        <f>IFERROR(VLOOKUP(Table_socioeca8.sandag.org_ws_abm2_f4[[#This Row],[hwycov_id]],[2]flow_freeway!$A$2:$E$1643,4,FALSE),0)</f>
        <v>17445</v>
      </c>
      <c r="I204">
        <f>IFERROR(VLOOKUP(Table_socioeca8.sandag.org_ws_abm2_f4[[#This Row],[hwycov_id]],[2]flow_freeway!$A$2:$E$1643,5,FALSE),0)</f>
        <v>14847</v>
      </c>
      <c r="K204">
        <f>Table_socioeca8.sandag.org_ws_abm2_f4[[#This Row],[hwycov_id]]</f>
        <v>3204</v>
      </c>
      <c r="L204">
        <f>Table_socioeca8.sandag.org_ws_abm2_f4[[#This Row],[scenario_id]]</f>
        <v>259</v>
      </c>
      <c r="M204">
        <f>Table_socioeca8.sandag.org_ws_abm2_f4[[#This Row],[flow_day]]</f>
        <v>78561</v>
      </c>
      <c r="N204">
        <f>Table_socioeca8.sandag.org_ws_abm2_f4[[#This Row],[flow_am]]</f>
        <v>17445</v>
      </c>
      <c r="O204">
        <f>Table_socioeca8.sandag.org_ws_abm2_f4[[#This Row],[flow_pm]]</f>
        <v>14847</v>
      </c>
    </row>
    <row r="205" spans="5:15" x14ac:dyDescent="0.25">
      <c r="E205">
        <v>3205</v>
      </c>
      <c r="F205">
        <f t="shared" si="3"/>
        <v>259</v>
      </c>
      <c r="G205">
        <f>IFERROR(VLOOKUP(Table_socioeca8.sandag.org_ws_abm2_f4[[#This Row],[hwycov_id]],[2]flow_freeway!$A$2:$E$1643,3,FALSE),0)</f>
        <v>107935</v>
      </c>
      <c r="H205">
        <f>IFERROR(VLOOKUP(Table_socioeca8.sandag.org_ws_abm2_f4[[#This Row],[hwycov_id]],[2]flow_freeway!$A$2:$E$1643,4,FALSE),0)</f>
        <v>25754</v>
      </c>
      <c r="I205">
        <f>IFERROR(VLOOKUP(Table_socioeca8.sandag.org_ws_abm2_f4[[#This Row],[hwycov_id]],[2]flow_freeway!$A$2:$E$1643,5,FALSE),0)</f>
        <v>20783</v>
      </c>
      <c r="K205">
        <f>Table_socioeca8.sandag.org_ws_abm2_f4[[#This Row],[hwycov_id]]</f>
        <v>3205</v>
      </c>
      <c r="L205">
        <f>Table_socioeca8.sandag.org_ws_abm2_f4[[#This Row],[scenario_id]]</f>
        <v>259</v>
      </c>
      <c r="M205">
        <f>Table_socioeca8.sandag.org_ws_abm2_f4[[#This Row],[flow_day]]</f>
        <v>107935</v>
      </c>
      <c r="N205">
        <f>Table_socioeca8.sandag.org_ws_abm2_f4[[#This Row],[flow_am]]</f>
        <v>25754</v>
      </c>
      <c r="O205">
        <f>Table_socioeca8.sandag.org_ws_abm2_f4[[#This Row],[flow_pm]]</f>
        <v>20783</v>
      </c>
    </row>
    <row r="206" spans="5:15" x14ac:dyDescent="0.25">
      <c r="E206">
        <v>3206</v>
      </c>
      <c r="F206">
        <f t="shared" si="3"/>
        <v>259</v>
      </c>
      <c r="G206">
        <f>IFERROR(VLOOKUP(Table_socioeca8.sandag.org_ws_abm2_f4[[#This Row],[hwycov_id]],[2]flow_freeway!$A$2:$E$1643,3,FALSE),0)</f>
        <v>93719</v>
      </c>
      <c r="H206">
        <f>IFERROR(VLOOKUP(Table_socioeca8.sandag.org_ws_abm2_f4[[#This Row],[hwycov_id]],[2]flow_freeway!$A$2:$E$1643,4,FALSE),0)</f>
        <v>24063</v>
      </c>
      <c r="I206">
        <f>IFERROR(VLOOKUP(Table_socioeca8.sandag.org_ws_abm2_f4[[#This Row],[hwycov_id]],[2]flow_freeway!$A$2:$E$1643,5,FALSE),0)</f>
        <v>18735</v>
      </c>
      <c r="K206">
        <f>Table_socioeca8.sandag.org_ws_abm2_f4[[#This Row],[hwycov_id]]</f>
        <v>3206</v>
      </c>
      <c r="L206">
        <f>Table_socioeca8.sandag.org_ws_abm2_f4[[#This Row],[scenario_id]]</f>
        <v>259</v>
      </c>
      <c r="M206">
        <f>Table_socioeca8.sandag.org_ws_abm2_f4[[#This Row],[flow_day]]</f>
        <v>93719</v>
      </c>
      <c r="N206">
        <f>Table_socioeca8.sandag.org_ws_abm2_f4[[#This Row],[flow_am]]</f>
        <v>24063</v>
      </c>
      <c r="O206">
        <f>Table_socioeca8.sandag.org_ws_abm2_f4[[#This Row],[flow_pm]]</f>
        <v>18735</v>
      </c>
    </row>
    <row r="207" spans="5:15" x14ac:dyDescent="0.25">
      <c r="E207">
        <v>3207</v>
      </c>
      <c r="F207">
        <f t="shared" si="3"/>
        <v>259</v>
      </c>
      <c r="G207">
        <f>IFERROR(VLOOKUP(Table_socioeca8.sandag.org_ws_abm2_f4[[#This Row],[hwycov_id]],[2]flow_freeway!$A$2:$E$1643,3,FALSE),0)</f>
        <v>76446</v>
      </c>
      <c r="H207">
        <f>IFERROR(VLOOKUP(Table_socioeca8.sandag.org_ws_abm2_f4[[#This Row],[hwycov_id]],[2]flow_freeway!$A$2:$E$1643,4,FALSE),0)</f>
        <v>13957</v>
      </c>
      <c r="I207">
        <f>IFERROR(VLOOKUP(Table_socioeca8.sandag.org_ws_abm2_f4[[#This Row],[hwycov_id]],[2]flow_freeway!$A$2:$E$1643,5,FALSE),0)</f>
        <v>20291</v>
      </c>
      <c r="K207">
        <f>Table_socioeca8.sandag.org_ws_abm2_f4[[#This Row],[hwycov_id]]</f>
        <v>3207</v>
      </c>
      <c r="L207">
        <f>Table_socioeca8.sandag.org_ws_abm2_f4[[#This Row],[scenario_id]]</f>
        <v>259</v>
      </c>
      <c r="M207">
        <f>Table_socioeca8.sandag.org_ws_abm2_f4[[#This Row],[flow_day]]</f>
        <v>76446</v>
      </c>
      <c r="N207">
        <f>Table_socioeca8.sandag.org_ws_abm2_f4[[#This Row],[flow_am]]</f>
        <v>13957</v>
      </c>
      <c r="O207">
        <f>Table_socioeca8.sandag.org_ws_abm2_f4[[#This Row],[flow_pm]]</f>
        <v>20291</v>
      </c>
    </row>
    <row r="208" spans="5:15" x14ac:dyDescent="0.25">
      <c r="E208">
        <v>3212</v>
      </c>
      <c r="F208">
        <f t="shared" si="3"/>
        <v>259</v>
      </c>
      <c r="G208">
        <f>IFERROR(VLOOKUP(Table_socioeca8.sandag.org_ws_abm2_f4[[#This Row],[hwycov_id]],[2]flow_freeway!$A$2:$E$1643,3,FALSE),0)</f>
        <v>76446</v>
      </c>
      <c r="H208">
        <f>IFERROR(VLOOKUP(Table_socioeca8.sandag.org_ws_abm2_f4[[#This Row],[hwycov_id]],[2]flow_freeway!$A$2:$E$1643,4,FALSE),0)</f>
        <v>13957</v>
      </c>
      <c r="I208">
        <f>IFERROR(VLOOKUP(Table_socioeca8.sandag.org_ws_abm2_f4[[#This Row],[hwycov_id]],[2]flow_freeway!$A$2:$E$1643,5,FALSE),0)</f>
        <v>20291</v>
      </c>
      <c r="K208">
        <f>Table_socioeca8.sandag.org_ws_abm2_f4[[#This Row],[hwycov_id]]</f>
        <v>3212</v>
      </c>
      <c r="L208">
        <f>Table_socioeca8.sandag.org_ws_abm2_f4[[#This Row],[scenario_id]]</f>
        <v>259</v>
      </c>
      <c r="M208">
        <f>Table_socioeca8.sandag.org_ws_abm2_f4[[#This Row],[flow_day]]</f>
        <v>76446</v>
      </c>
      <c r="N208">
        <f>Table_socioeca8.sandag.org_ws_abm2_f4[[#This Row],[flow_am]]</f>
        <v>13957</v>
      </c>
      <c r="O208">
        <f>Table_socioeca8.sandag.org_ws_abm2_f4[[#This Row],[flow_pm]]</f>
        <v>20291</v>
      </c>
    </row>
    <row r="209" spans="5:15" x14ac:dyDescent="0.25">
      <c r="E209">
        <v>3221</v>
      </c>
      <c r="F209">
        <f t="shared" si="3"/>
        <v>259</v>
      </c>
      <c r="G209">
        <f>IFERROR(VLOOKUP(Table_socioeca8.sandag.org_ws_abm2_f4[[#This Row],[hwycov_id]],[2]flow_freeway!$A$2:$E$1643,3,FALSE),0)</f>
        <v>100494</v>
      </c>
      <c r="H209">
        <f>IFERROR(VLOOKUP(Table_socioeca8.sandag.org_ws_abm2_f4[[#This Row],[hwycov_id]],[2]flow_freeway!$A$2:$E$1643,4,FALSE),0)</f>
        <v>16425</v>
      </c>
      <c r="I209">
        <f>IFERROR(VLOOKUP(Table_socioeca8.sandag.org_ws_abm2_f4[[#This Row],[hwycov_id]],[2]flow_freeway!$A$2:$E$1643,5,FALSE),0)</f>
        <v>29853</v>
      </c>
      <c r="K209">
        <f>Table_socioeca8.sandag.org_ws_abm2_f4[[#This Row],[hwycov_id]]</f>
        <v>3221</v>
      </c>
      <c r="L209">
        <f>Table_socioeca8.sandag.org_ws_abm2_f4[[#This Row],[scenario_id]]</f>
        <v>259</v>
      </c>
      <c r="M209">
        <f>Table_socioeca8.sandag.org_ws_abm2_f4[[#This Row],[flow_day]]</f>
        <v>100494</v>
      </c>
      <c r="N209">
        <f>Table_socioeca8.sandag.org_ws_abm2_f4[[#This Row],[flow_am]]</f>
        <v>16425</v>
      </c>
      <c r="O209">
        <f>Table_socioeca8.sandag.org_ws_abm2_f4[[#This Row],[flow_pm]]</f>
        <v>29853</v>
      </c>
    </row>
    <row r="210" spans="5:15" x14ac:dyDescent="0.25">
      <c r="E210">
        <v>3222</v>
      </c>
      <c r="F210">
        <f t="shared" si="3"/>
        <v>259</v>
      </c>
      <c r="G210">
        <f>IFERROR(VLOOKUP(Table_socioeca8.sandag.org_ws_abm2_f4[[#This Row],[hwycov_id]],[2]flow_freeway!$A$2:$E$1643,3,FALSE),0)</f>
        <v>112033</v>
      </c>
      <c r="H210">
        <f>IFERROR(VLOOKUP(Table_socioeca8.sandag.org_ws_abm2_f4[[#This Row],[hwycov_id]],[2]flow_freeway!$A$2:$E$1643,4,FALSE),0)</f>
        <v>17848</v>
      </c>
      <c r="I210">
        <f>IFERROR(VLOOKUP(Table_socioeca8.sandag.org_ws_abm2_f4[[#This Row],[hwycov_id]],[2]flow_freeway!$A$2:$E$1643,5,FALSE),0)</f>
        <v>30105</v>
      </c>
      <c r="K210">
        <f>Table_socioeca8.sandag.org_ws_abm2_f4[[#This Row],[hwycov_id]]</f>
        <v>3222</v>
      </c>
      <c r="L210">
        <f>Table_socioeca8.sandag.org_ws_abm2_f4[[#This Row],[scenario_id]]</f>
        <v>259</v>
      </c>
      <c r="M210">
        <f>Table_socioeca8.sandag.org_ws_abm2_f4[[#This Row],[flow_day]]</f>
        <v>112033</v>
      </c>
      <c r="N210">
        <f>Table_socioeca8.sandag.org_ws_abm2_f4[[#This Row],[flow_am]]</f>
        <v>17848</v>
      </c>
      <c r="O210">
        <f>Table_socioeca8.sandag.org_ws_abm2_f4[[#This Row],[flow_pm]]</f>
        <v>30105</v>
      </c>
    </row>
    <row r="211" spans="5:15" x14ac:dyDescent="0.25">
      <c r="E211">
        <v>3223</v>
      </c>
      <c r="F211">
        <f t="shared" si="3"/>
        <v>259</v>
      </c>
      <c r="G211">
        <f>IFERROR(VLOOKUP(Table_socioeca8.sandag.org_ws_abm2_f4[[#This Row],[hwycov_id]],[2]flow_freeway!$A$2:$E$1643,3,FALSE),0)</f>
        <v>85189</v>
      </c>
      <c r="H211">
        <f>IFERROR(VLOOKUP(Table_socioeca8.sandag.org_ws_abm2_f4[[#This Row],[hwycov_id]],[2]flow_freeway!$A$2:$E$1643,4,FALSE),0)</f>
        <v>14022</v>
      </c>
      <c r="I211">
        <f>IFERROR(VLOOKUP(Table_socioeca8.sandag.org_ws_abm2_f4[[#This Row],[hwycov_id]],[2]flow_freeway!$A$2:$E$1643,5,FALSE),0)</f>
        <v>21918</v>
      </c>
      <c r="K211">
        <f>Table_socioeca8.sandag.org_ws_abm2_f4[[#This Row],[hwycov_id]]</f>
        <v>3223</v>
      </c>
      <c r="L211">
        <f>Table_socioeca8.sandag.org_ws_abm2_f4[[#This Row],[scenario_id]]</f>
        <v>259</v>
      </c>
      <c r="M211">
        <f>Table_socioeca8.sandag.org_ws_abm2_f4[[#This Row],[flow_day]]</f>
        <v>85189</v>
      </c>
      <c r="N211">
        <f>Table_socioeca8.sandag.org_ws_abm2_f4[[#This Row],[flow_am]]</f>
        <v>14022</v>
      </c>
      <c r="O211">
        <f>Table_socioeca8.sandag.org_ws_abm2_f4[[#This Row],[flow_pm]]</f>
        <v>21918</v>
      </c>
    </row>
    <row r="212" spans="5:15" x14ac:dyDescent="0.25">
      <c r="E212">
        <v>3419</v>
      </c>
      <c r="F212">
        <f t="shared" si="3"/>
        <v>259</v>
      </c>
      <c r="G212">
        <f>IFERROR(VLOOKUP(Table_socioeca8.sandag.org_ws_abm2_f4[[#This Row],[hwycov_id]],[2]flow_freeway!$A$2:$E$1643,3,FALSE),0)</f>
        <v>25225</v>
      </c>
      <c r="H212">
        <f>IFERROR(VLOOKUP(Table_socioeca8.sandag.org_ws_abm2_f4[[#This Row],[hwycov_id]],[2]flow_freeway!$A$2:$E$1643,4,FALSE),0)</f>
        <v>8716</v>
      </c>
      <c r="I212">
        <f>IFERROR(VLOOKUP(Table_socioeca8.sandag.org_ws_abm2_f4[[#This Row],[hwycov_id]],[2]flow_freeway!$A$2:$E$1643,5,FALSE),0)</f>
        <v>4338</v>
      </c>
      <c r="K212">
        <f>Table_socioeca8.sandag.org_ws_abm2_f4[[#This Row],[hwycov_id]]</f>
        <v>3419</v>
      </c>
      <c r="L212">
        <f>Table_socioeca8.sandag.org_ws_abm2_f4[[#This Row],[scenario_id]]</f>
        <v>259</v>
      </c>
      <c r="M212">
        <f>Table_socioeca8.sandag.org_ws_abm2_f4[[#This Row],[flow_day]]</f>
        <v>25225</v>
      </c>
      <c r="N212">
        <f>Table_socioeca8.sandag.org_ws_abm2_f4[[#This Row],[flow_am]]</f>
        <v>8716</v>
      </c>
      <c r="O212">
        <f>Table_socioeca8.sandag.org_ws_abm2_f4[[#This Row],[flow_pm]]</f>
        <v>4338</v>
      </c>
    </row>
    <row r="213" spans="5:15" x14ac:dyDescent="0.25">
      <c r="E213">
        <v>3968</v>
      </c>
      <c r="F213">
        <f t="shared" si="3"/>
        <v>259</v>
      </c>
      <c r="G213">
        <f>IFERROR(VLOOKUP(Table_socioeca8.sandag.org_ws_abm2_f4[[#This Row],[hwycov_id]],[2]flow_freeway!$A$2:$E$1643,3,FALSE),0)</f>
        <v>105962</v>
      </c>
      <c r="H213">
        <f>IFERROR(VLOOKUP(Table_socioeca8.sandag.org_ws_abm2_f4[[#This Row],[hwycov_id]],[2]flow_freeway!$A$2:$E$1643,4,FALSE),0)</f>
        <v>16203</v>
      </c>
      <c r="I213">
        <f>IFERROR(VLOOKUP(Table_socioeca8.sandag.org_ws_abm2_f4[[#This Row],[hwycov_id]],[2]flow_freeway!$A$2:$E$1643,5,FALSE),0)</f>
        <v>30445</v>
      </c>
      <c r="K213">
        <f>Table_socioeca8.sandag.org_ws_abm2_f4[[#This Row],[hwycov_id]]</f>
        <v>3968</v>
      </c>
      <c r="L213">
        <f>Table_socioeca8.sandag.org_ws_abm2_f4[[#This Row],[scenario_id]]</f>
        <v>259</v>
      </c>
      <c r="M213">
        <f>Table_socioeca8.sandag.org_ws_abm2_f4[[#This Row],[flow_day]]</f>
        <v>105962</v>
      </c>
      <c r="N213">
        <f>Table_socioeca8.sandag.org_ws_abm2_f4[[#This Row],[flow_am]]</f>
        <v>16203</v>
      </c>
      <c r="O213">
        <f>Table_socioeca8.sandag.org_ws_abm2_f4[[#This Row],[flow_pm]]</f>
        <v>30445</v>
      </c>
    </row>
    <row r="214" spans="5:15" x14ac:dyDescent="0.25">
      <c r="E214">
        <v>4887</v>
      </c>
      <c r="F214">
        <f t="shared" si="3"/>
        <v>259</v>
      </c>
      <c r="G214">
        <f>IFERROR(VLOOKUP(Table_socioeca8.sandag.org_ws_abm2_f4[[#This Row],[hwycov_id]],[2]flow_freeway!$A$2:$E$1643,3,FALSE),0)</f>
        <v>117232</v>
      </c>
      <c r="H214">
        <f>IFERROR(VLOOKUP(Table_socioeca8.sandag.org_ws_abm2_f4[[#This Row],[hwycov_id]],[2]flow_freeway!$A$2:$E$1643,4,FALSE),0)</f>
        <v>18208</v>
      </c>
      <c r="I214">
        <f>IFERROR(VLOOKUP(Table_socioeca8.sandag.org_ws_abm2_f4[[#This Row],[hwycov_id]],[2]flow_freeway!$A$2:$E$1643,5,FALSE),0)</f>
        <v>33670</v>
      </c>
      <c r="K214">
        <f>Table_socioeca8.sandag.org_ws_abm2_f4[[#This Row],[hwycov_id]]</f>
        <v>4887</v>
      </c>
      <c r="L214">
        <f>Table_socioeca8.sandag.org_ws_abm2_f4[[#This Row],[scenario_id]]</f>
        <v>259</v>
      </c>
      <c r="M214">
        <f>Table_socioeca8.sandag.org_ws_abm2_f4[[#This Row],[flow_day]]</f>
        <v>117232</v>
      </c>
      <c r="N214">
        <f>Table_socioeca8.sandag.org_ws_abm2_f4[[#This Row],[flow_am]]</f>
        <v>18208</v>
      </c>
      <c r="O214">
        <f>Table_socioeca8.sandag.org_ws_abm2_f4[[#This Row],[flow_pm]]</f>
        <v>33670</v>
      </c>
    </row>
    <row r="215" spans="5:15" x14ac:dyDescent="0.25">
      <c r="E215">
        <v>5127</v>
      </c>
      <c r="F215">
        <f t="shared" si="3"/>
        <v>259</v>
      </c>
      <c r="G215">
        <f>IFERROR(VLOOKUP(Table_socioeca8.sandag.org_ws_abm2_f4[[#This Row],[hwycov_id]],[2]flow_freeway!$A$2:$E$1643,3,FALSE),0)</f>
        <v>64302</v>
      </c>
      <c r="H215">
        <f>IFERROR(VLOOKUP(Table_socioeca8.sandag.org_ws_abm2_f4[[#This Row],[hwycov_id]],[2]flow_freeway!$A$2:$E$1643,4,FALSE),0)</f>
        <v>9732</v>
      </c>
      <c r="I215">
        <f>IFERROR(VLOOKUP(Table_socioeca8.sandag.org_ws_abm2_f4[[#This Row],[hwycov_id]],[2]flow_freeway!$A$2:$E$1643,5,FALSE),0)</f>
        <v>18563</v>
      </c>
      <c r="K215">
        <f>Table_socioeca8.sandag.org_ws_abm2_f4[[#This Row],[hwycov_id]]</f>
        <v>5127</v>
      </c>
      <c r="L215">
        <f>Table_socioeca8.sandag.org_ws_abm2_f4[[#This Row],[scenario_id]]</f>
        <v>259</v>
      </c>
      <c r="M215">
        <f>Table_socioeca8.sandag.org_ws_abm2_f4[[#This Row],[flow_day]]</f>
        <v>64302</v>
      </c>
      <c r="N215">
        <f>Table_socioeca8.sandag.org_ws_abm2_f4[[#This Row],[flow_am]]</f>
        <v>9732</v>
      </c>
      <c r="O215">
        <f>Table_socioeca8.sandag.org_ws_abm2_f4[[#This Row],[flow_pm]]</f>
        <v>18563</v>
      </c>
    </row>
    <row r="216" spans="5:15" x14ac:dyDescent="0.25">
      <c r="E216">
        <v>6664</v>
      </c>
      <c r="F216">
        <f t="shared" si="3"/>
        <v>259</v>
      </c>
      <c r="G216">
        <f>IFERROR(VLOOKUP(Table_socioeca8.sandag.org_ws_abm2_f4[[#This Row],[hwycov_id]],[2]flow_freeway!$A$2:$E$1643,3,FALSE),0)</f>
        <v>1833</v>
      </c>
      <c r="H216">
        <f>IFERROR(VLOOKUP(Table_socioeca8.sandag.org_ws_abm2_f4[[#This Row],[hwycov_id]],[2]flow_freeway!$A$2:$E$1643,4,FALSE),0)</f>
        <v>1833</v>
      </c>
      <c r="I216">
        <f>IFERROR(VLOOKUP(Table_socioeca8.sandag.org_ws_abm2_f4[[#This Row],[hwycov_id]],[2]flow_freeway!$A$2:$E$1643,5,FALSE),0)</f>
        <v>0</v>
      </c>
      <c r="K216">
        <f>Table_socioeca8.sandag.org_ws_abm2_f4[[#This Row],[hwycov_id]]</f>
        <v>6664</v>
      </c>
      <c r="L216">
        <f>Table_socioeca8.sandag.org_ws_abm2_f4[[#This Row],[scenario_id]]</f>
        <v>259</v>
      </c>
      <c r="M216">
        <f>Table_socioeca8.sandag.org_ws_abm2_f4[[#This Row],[flow_day]]</f>
        <v>1833</v>
      </c>
      <c r="N216">
        <f>Table_socioeca8.sandag.org_ws_abm2_f4[[#This Row],[flow_am]]</f>
        <v>1833</v>
      </c>
      <c r="O216">
        <f>Table_socioeca8.sandag.org_ws_abm2_f4[[#This Row],[flow_pm]]</f>
        <v>0</v>
      </c>
    </row>
    <row r="217" spans="5:15" x14ac:dyDescent="0.25">
      <c r="E217">
        <v>6666</v>
      </c>
      <c r="F217">
        <f t="shared" si="3"/>
        <v>259</v>
      </c>
      <c r="G217">
        <f>IFERROR(VLOOKUP(Table_socioeca8.sandag.org_ws_abm2_f4[[#This Row],[hwycov_id]],[2]flow_freeway!$A$2:$E$1643,3,FALSE),0)</f>
        <v>2386</v>
      </c>
      <c r="H217">
        <f>IFERROR(VLOOKUP(Table_socioeca8.sandag.org_ws_abm2_f4[[#This Row],[hwycov_id]],[2]flow_freeway!$A$2:$E$1643,4,FALSE),0)</f>
        <v>2386</v>
      </c>
      <c r="I217">
        <f>IFERROR(VLOOKUP(Table_socioeca8.sandag.org_ws_abm2_f4[[#This Row],[hwycov_id]],[2]flow_freeway!$A$2:$E$1643,5,FALSE),0)</f>
        <v>0</v>
      </c>
      <c r="K217">
        <f>Table_socioeca8.sandag.org_ws_abm2_f4[[#This Row],[hwycov_id]]</f>
        <v>6666</v>
      </c>
      <c r="L217">
        <f>Table_socioeca8.sandag.org_ws_abm2_f4[[#This Row],[scenario_id]]</f>
        <v>259</v>
      </c>
      <c r="M217">
        <f>Table_socioeca8.sandag.org_ws_abm2_f4[[#This Row],[flow_day]]</f>
        <v>2386</v>
      </c>
      <c r="N217">
        <f>Table_socioeca8.sandag.org_ws_abm2_f4[[#This Row],[flow_am]]</f>
        <v>2386</v>
      </c>
      <c r="O217">
        <f>Table_socioeca8.sandag.org_ws_abm2_f4[[#This Row],[flow_pm]]</f>
        <v>0</v>
      </c>
    </row>
    <row r="218" spans="5:15" x14ac:dyDescent="0.25">
      <c r="E218">
        <v>6852</v>
      </c>
      <c r="F218">
        <f t="shared" si="3"/>
        <v>259</v>
      </c>
      <c r="G218">
        <f>IFERROR(VLOOKUP(Table_socioeca8.sandag.org_ws_abm2_f4[[#This Row],[hwycov_id]],[2]flow_freeway!$A$2:$E$1643,3,FALSE),0)</f>
        <v>73757</v>
      </c>
      <c r="H218">
        <f>IFERROR(VLOOKUP(Table_socioeca8.sandag.org_ws_abm2_f4[[#This Row],[hwycov_id]],[2]flow_freeway!$A$2:$E$1643,4,FALSE),0)</f>
        <v>18744</v>
      </c>
      <c r="I218">
        <f>IFERROR(VLOOKUP(Table_socioeca8.sandag.org_ws_abm2_f4[[#This Row],[hwycov_id]],[2]flow_freeway!$A$2:$E$1643,5,FALSE),0)</f>
        <v>16280</v>
      </c>
      <c r="K218">
        <f>Table_socioeca8.sandag.org_ws_abm2_f4[[#This Row],[hwycov_id]]</f>
        <v>6852</v>
      </c>
      <c r="L218">
        <f>Table_socioeca8.sandag.org_ws_abm2_f4[[#This Row],[scenario_id]]</f>
        <v>259</v>
      </c>
      <c r="M218">
        <f>Table_socioeca8.sandag.org_ws_abm2_f4[[#This Row],[flow_day]]</f>
        <v>73757</v>
      </c>
      <c r="N218">
        <f>Table_socioeca8.sandag.org_ws_abm2_f4[[#This Row],[flow_am]]</f>
        <v>18744</v>
      </c>
      <c r="O218">
        <f>Table_socioeca8.sandag.org_ws_abm2_f4[[#This Row],[flow_pm]]</f>
        <v>16280</v>
      </c>
    </row>
    <row r="219" spans="5:15" x14ac:dyDescent="0.25">
      <c r="E219">
        <v>7073</v>
      </c>
      <c r="F219">
        <f t="shared" si="3"/>
        <v>259</v>
      </c>
      <c r="G219">
        <f>IFERROR(VLOOKUP(Table_socioeca8.sandag.org_ws_abm2_f4[[#This Row],[hwycov_id]],[2]flow_freeway!$A$2:$E$1643,3,FALSE),0)</f>
        <v>3872</v>
      </c>
      <c r="H219">
        <f>IFERROR(VLOOKUP(Table_socioeca8.sandag.org_ws_abm2_f4[[#This Row],[hwycov_id]],[2]flow_freeway!$A$2:$E$1643,4,FALSE),0)</f>
        <v>1760</v>
      </c>
      <c r="I219">
        <f>IFERROR(VLOOKUP(Table_socioeca8.sandag.org_ws_abm2_f4[[#This Row],[hwycov_id]],[2]flow_freeway!$A$2:$E$1643,5,FALSE),0)</f>
        <v>809</v>
      </c>
      <c r="K219">
        <f>Table_socioeca8.sandag.org_ws_abm2_f4[[#This Row],[hwycov_id]]</f>
        <v>7073</v>
      </c>
      <c r="L219">
        <f>Table_socioeca8.sandag.org_ws_abm2_f4[[#This Row],[scenario_id]]</f>
        <v>259</v>
      </c>
      <c r="M219">
        <f>Table_socioeca8.sandag.org_ws_abm2_f4[[#This Row],[flow_day]]</f>
        <v>3872</v>
      </c>
      <c r="N219">
        <f>Table_socioeca8.sandag.org_ws_abm2_f4[[#This Row],[flow_am]]</f>
        <v>1760</v>
      </c>
      <c r="O219">
        <f>Table_socioeca8.sandag.org_ws_abm2_f4[[#This Row],[flow_pm]]</f>
        <v>809</v>
      </c>
    </row>
    <row r="220" spans="5:15" x14ac:dyDescent="0.25">
      <c r="E220">
        <v>7074</v>
      </c>
      <c r="F220">
        <f t="shared" si="3"/>
        <v>259</v>
      </c>
      <c r="G220">
        <f>IFERROR(VLOOKUP(Table_socioeca8.sandag.org_ws_abm2_f4[[#This Row],[hwycov_id]],[2]flow_freeway!$A$2:$E$1643,3,FALSE),0)</f>
        <v>3872</v>
      </c>
      <c r="H220">
        <f>IFERROR(VLOOKUP(Table_socioeca8.sandag.org_ws_abm2_f4[[#This Row],[hwycov_id]],[2]flow_freeway!$A$2:$E$1643,4,FALSE),0)</f>
        <v>1760</v>
      </c>
      <c r="I220">
        <f>IFERROR(VLOOKUP(Table_socioeca8.sandag.org_ws_abm2_f4[[#This Row],[hwycov_id]],[2]flow_freeway!$A$2:$E$1643,5,FALSE),0)</f>
        <v>809</v>
      </c>
      <c r="K220">
        <f>Table_socioeca8.sandag.org_ws_abm2_f4[[#This Row],[hwycov_id]]</f>
        <v>7074</v>
      </c>
      <c r="L220">
        <f>Table_socioeca8.sandag.org_ws_abm2_f4[[#This Row],[scenario_id]]</f>
        <v>259</v>
      </c>
      <c r="M220">
        <f>Table_socioeca8.sandag.org_ws_abm2_f4[[#This Row],[flow_day]]</f>
        <v>3872</v>
      </c>
      <c r="N220">
        <f>Table_socioeca8.sandag.org_ws_abm2_f4[[#This Row],[flow_am]]</f>
        <v>1760</v>
      </c>
      <c r="O220">
        <f>Table_socioeca8.sandag.org_ws_abm2_f4[[#This Row],[flow_pm]]</f>
        <v>809</v>
      </c>
    </row>
    <row r="221" spans="5:15" x14ac:dyDescent="0.25">
      <c r="E221">
        <v>7132</v>
      </c>
      <c r="F221">
        <f t="shared" si="3"/>
        <v>259</v>
      </c>
      <c r="G221">
        <f>IFERROR(VLOOKUP(Table_socioeca8.sandag.org_ws_abm2_f4[[#This Row],[hwycov_id]],[2]flow_freeway!$A$2:$E$1643,3,FALSE),0)</f>
        <v>8798</v>
      </c>
      <c r="H221">
        <f>IFERROR(VLOOKUP(Table_socioeca8.sandag.org_ws_abm2_f4[[#This Row],[hwycov_id]],[2]flow_freeway!$A$2:$E$1643,4,FALSE),0)</f>
        <v>4229</v>
      </c>
      <c r="I221">
        <f>IFERROR(VLOOKUP(Table_socioeca8.sandag.org_ws_abm2_f4[[#This Row],[hwycov_id]],[2]flow_freeway!$A$2:$E$1643,5,FALSE),0)</f>
        <v>1672</v>
      </c>
      <c r="K221">
        <f>Table_socioeca8.sandag.org_ws_abm2_f4[[#This Row],[hwycov_id]]</f>
        <v>7132</v>
      </c>
      <c r="L221">
        <f>Table_socioeca8.sandag.org_ws_abm2_f4[[#This Row],[scenario_id]]</f>
        <v>259</v>
      </c>
      <c r="M221">
        <f>Table_socioeca8.sandag.org_ws_abm2_f4[[#This Row],[flow_day]]</f>
        <v>8798</v>
      </c>
      <c r="N221">
        <f>Table_socioeca8.sandag.org_ws_abm2_f4[[#This Row],[flow_am]]</f>
        <v>4229</v>
      </c>
      <c r="O221">
        <f>Table_socioeca8.sandag.org_ws_abm2_f4[[#This Row],[flow_pm]]</f>
        <v>1672</v>
      </c>
    </row>
    <row r="222" spans="5:15" x14ac:dyDescent="0.25">
      <c r="E222">
        <v>7190</v>
      </c>
      <c r="F222">
        <f t="shared" si="3"/>
        <v>259</v>
      </c>
      <c r="G222">
        <f>IFERROR(VLOOKUP(Table_socioeca8.sandag.org_ws_abm2_f4[[#This Row],[hwycov_id]],[2]flow_freeway!$A$2:$E$1643,3,FALSE),0)</f>
        <v>53826</v>
      </c>
      <c r="H222">
        <f>IFERROR(VLOOKUP(Table_socioeca8.sandag.org_ws_abm2_f4[[#This Row],[hwycov_id]],[2]flow_freeway!$A$2:$E$1643,4,FALSE),0)</f>
        <v>11473</v>
      </c>
      <c r="I222">
        <f>IFERROR(VLOOKUP(Table_socioeca8.sandag.org_ws_abm2_f4[[#This Row],[hwycov_id]],[2]flow_freeway!$A$2:$E$1643,5,FALSE),0)</f>
        <v>13512</v>
      </c>
      <c r="K222">
        <f>Table_socioeca8.sandag.org_ws_abm2_f4[[#This Row],[hwycov_id]]</f>
        <v>7190</v>
      </c>
      <c r="L222">
        <f>Table_socioeca8.sandag.org_ws_abm2_f4[[#This Row],[scenario_id]]</f>
        <v>259</v>
      </c>
      <c r="M222">
        <f>Table_socioeca8.sandag.org_ws_abm2_f4[[#This Row],[flow_day]]</f>
        <v>53826</v>
      </c>
      <c r="N222">
        <f>Table_socioeca8.sandag.org_ws_abm2_f4[[#This Row],[flow_am]]</f>
        <v>11473</v>
      </c>
      <c r="O222">
        <f>Table_socioeca8.sandag.org_ws_abm2_f4[[#This Row],[flow_pm]]</f>
        <v>13512</v>
      </c>
    </row>
    <row r="223" spans="5:15" x14ac:dyDescent="0.25">
      <c r="E223">
        <v>7215</v>
      </c>
      <c r="F223">
        <f t="shared" si="3"/>
        <v>259</v>
      </c>
      <c r="G223">
        <f>IFERROR(VLOOKUP(Table_socioeca8.sandag.org_ws_abm2_f4[[#This Row],[hwycov_id]],[2]flow_freeway!$A$2:$E$1643,3,FALSE),0)</f>
        <v>46174</v>
      </c>
      <c r="H223">
        <f>IFERROR(VLOOKUP(Table_socioeca8.sandag.org_ws_abm2_f4[[#This Row],[hwycov_id]],[2]flow_freeway!$A$2:$E$1643,4,FALSE),0)</f>
        <v>10308</v>
      </c>
      <c r="I223">
        <f>IFERROR(VLOOKUP(Table_socioeca8.sandag.org_ws_abm2_f4[[#This Row],[hwycov_id]],[2]flow_freeway!$A$2:$E$1643,5,FALSE),0)</f>
        <v>11412</v>
      </c>
      <c r="K223">
        <f>Table_socioeca8.sandag.org_ws_abm2_f4[[#This Row],[hwycov_id]]</f>
        <v>7215</v>
      </c>
      <c r="L223">
        <f>Table_socioeca8.sandag.org_ws_abm2_f4[[#This Row],[scenario_id]]</f>
        <v>259</v>
      </c>
      <c r="M223">
        <f>Table_socioeca8.sandag.org_ws_abm2_f4[[#This Row],[flow_day]]</f>
        <v>46174</v>
      </c>
      <c r="N223">
        <f>Table_socioeca8.sandag.org_ws_abm2_f4[[#This Row],[flow_am]]</f>
        <v>10308</v>
      </c>
      <c r="O223">
        <f>Table_socioeca8.sandag.org_ws_abm2_f4[[#This Row],[flow_pm]]</f>
        <v>11412</v>
      </c>
    </row>
    <row r="224" spans="5:15" x14ac:dyDescent="0.25">
      <c r="E224">
        <v>7216</v>
      </c>
      <c r="F224">
        <f t="shared" si="3"/>
        <v>259</v>
      </c>
      <c r="G224">
        <f>IFERROR(VLOOKUP(Table_socioeca8.sandag.org_ws_abm2_f4[[#This Row],[hwycov_id]],[2]flow_freeway!$A$2:$E$1643,3,FALSE),0)</f>
        <v>51791</v>
      </c>
      <c r="H224">
        <f>IFERROR(VLOOKUP(Table_socioeca8.sandag.org_ws_abm2_f4[[#This Row],[hwycov_id]],[2]flow_freeway!$A$2:$E$1643,4,FALSE),0)</f>
        <v>11998</v>
      </c>
      <c r="I224">
        <f>IFERROR(VLOOKUP(Table_socioeca8.sandag.org_ws_abm2_f4[[#This Row],[hwycov_id]],[2]flow_freeway!$A$2:$E$1643,5,FALSE),0)</f>
        <v>12439</v>
      </c>
      <c r="K224">
        <f>Table_socioeca8.sandag.org_ws_abm2_f4[[#This Row],[hwycov_id]]</f>
        <v>7216</v>
      </c>
      <c r="L224">
        <f>Table_socioeca8.sandag.org_ws_abm2_f4[[#This Row],[scenario_id]]</f>
        <v>259</v>
      </c>
      <c r="M224">
        <f>Table_socioeca8.sandag.org_ws_abm2_f4[[#This Row],[flow_day]]</f>
        <v>51791</v>
      </c>
      <c r="N224">
        <f>Table_socioeca8.sandag.org_ws_abm2_f4[[#This Row],[flow_am]]</f>
        <v>11998</v>
      </c>
      <c r="O224">
        <f>Table_socioeca8.sandag.org_ws_abm2_f4[[#This Row],[flow_pm]]</f>
        <v>12439</v>
      </c>
    </row>
    <row r="225" spans="5:15" x14ac:dyDescent="0.25">
      <c r="E225">
        <v>7222</v>
      </c>
      <c r="F225">
        <f t="shared" si="3"/>
        <v>259</v>
      </c>
      <c r="G225">
        <f>IFERROR(VLOOKUP(Table_socioeca8.sandag.org_ws_abm2_f4[[#This Row],[hwycov_id]],[2]flow_freeway!$A$2:$E$1643,3,FALSE),0)</f>
        <v>45061</v>
      </c>
      <c r="H225">
        <f>IFERROR(VLOOKUP(Table_socioeca8.sandag.org_ws_abm2_f4[[#This Row],[hwycov_id]],[2]flow_freeway!$A$2:$E$1643,4,FALSE),0)</f>
        <v>10927</v>
      </c>
      <c r="I225">
        <f>IFERROR(VLOOKUP(Table_socioeca8.sandag.org_ws_abm2_f4[[#This Row],[hwycov_id]],[2]flow_freeway!$A$2:$E$1643,5,FALSE),0)</f>
        <v>10485</v>
      </c>
      <c r="K225">
        <f>Table_socioeca8.sandag.org_ws_abm2_f4[[#This Row],[hwycov_id]]</f>
        <v>7222</v>
      </c>
      <c r="L225">
        <f>Table_socioeca8.sandag.org_ws_abm2_f4[[#This Row],[scenario_id]]</f>
        <v>259</v>
      </c>
      <c r="M225">
        <f>Table_socioeca8.sandag.org_ws_abm2_f4[[#This Row],[flow_day]]</f>
        <v>45061</v>
      </c>
      <c r="N225">
        <f>Table_socioeca8.sandag.org_ws_abm2_f4[[#This Row],[flow_am]]</f>
        <v>10927</v>
      </c>
      <c r="O225">
        <f>Table_socioeca8.sandag.org_ws_abm2_f4[[#This Row],[flow_pm]]</f>
        <v>10485</v>
      </c>
    </row>
    <row r="226" spans="5:15" x14ac:dyDescent="0.25">
      <c r="E226">
        <v>7223</v>
      </c>
      <c r="F226">
        <f t="shared" si="3"/>
        <v>259</v>
      </c>
      <c r="G226">
        <f>IFERROR(VLOOKUP(Table_socioeca8.sandag.org_ws_abm2_f4[[#This Row],[hwycov_id]],[2]flow_freeway!$A$2:$E$1643,3,FALSE),0)</f>
        <v>46860</v>
      </c>
      <c r="H226">
        <f>IFERROR(VLOOKUP(Table_socioeca8.sandag.org_ws_abm2_f4[[#This Row],[hwycov_id]],[2]flow_freeway!$A$2:$E$1643,4,FALSE),0)</f>
        <v>8901</v>
      </c>
      <c r="I226">
        <f>IFERROR(VLOOKUP(Table_socioeca8.sandag.org_ws_abm2_f4[[#This Row],[hwycov_id]],[2]flow_freeway!$A$2:$E$1643,5,FALSE),0)</f>
        <v>13402</v>
      </c>
      <c r="K226">
        <f>Table_socioeca8.sandag.org_ws_abm2_f4[[#This Row],[hwycov_id]]</f>
        <v>7223</v>
      </c>
      <c r="L226">
        <f>Table_socioeca8.sandag.org_ws_abm2_f4[[#This Row],[scenario_id]]</f>
        <v>259</v>
      </c>
      <c r="M226">
        <f>Table_socioeca8.sandag.org_ws_abm2_f4[[#This Row],[flow_day]]</f>
        <v>46860</v>
      </c>
      <c r="N226">
        <f>Table_socioeca8.sandag.org_ws_abm2_f4[[#This Row],[flow_am]]</f>
        <v>8901</v>
      </c>
      <c r="O226">
        <f>Table_socioeca8.sandag.org_ws_abm2_f4[[#This Row],[flow_pm]]</f>
        <v>13402</v>
      </c>
    </row>
    <row r="227" spans="5:15" x14ac:dyDescent="0.25">
      <c r="E227">
        <v>7258</v>
      </c>
      <c r="F227">
        <f t="shared" si="3"/>
        <v>259</v>
      </c>
      <c r="G227">
        <f>IFERROR(VLOOKUP(Table_socioeca8.sandag.org_ws_abm2_f4[[#This Row],[hwycov_id]],[2]flow_freeway!$A$2:$E$1643,3,FALSE),0)</f>
        <v>53237</v>
      </c>
      <c r="H227">
        <f>IFERROR(VLOOKUP(Table_socioeca8.sandag.org_ws_abm2_f4[[#This Row],[hwycov_id]],[2]flow_freeway!$A$2:$E$1643,4,FALSE),0)</f>
        <v>10537</v>
      </c>
      <c r="I227">
        <f>IFERROR(VLOOKUP(Table_socioeca8.sandag.org_ws_abm2_f4[[#This Row],[hwycov_id]],[2]flow_freeway!$A$2:$E$1643,5,FALSE),0)</f>
        <v>14728</v>
      </c>
      <c r="K227">
        <f>Table_socioeca8.sandag.org_ws_abm2_f4[[#This Row],[hwycov_id]]</f>
        <v>7258</v>
      </c>
      <c r="L227">
        <f>Table_socioeca8.sandag.org_ws_abm2_f4[[#This Row],[scenario_id]]</f>
        <v>259</v>
      </c>
      <c r="M227">
        <f>Table_socioeca8.sandag.org_ws_abm2_f4[[#This Row],[flow_day]]</f>
        <v>53237</v>
      </c>
      <c r="N227">
        <f>Table_socioeca8.sandag.org_ws_abm2_f4[[#This Row],[flow_am]]</f>
        <v>10537</v>
      </c>
      <c r="O227">
        <f>Table_socioeca8.sandag.org_ws_abm2_f4[[#This Row],[flow_pm]]</f>
        <v>14728</v>
      </c>
    </row>
    <row r="228" spans="5:15" x14ac:dyDescent="0.25">
      <c r="E228">
        <v>7259</v>
      </c>
      <c r="F228">
        <f t="shared" si="3"/>
        <v>259</v>
      </c>
      <c r="G228">
        <f>IFERROR(VLOOKUP(Table_socioeca8.sandag.org_ws_abm2_f4[[#This Row],[hwycov_id]],[2]flow_freeway!$A$2:$E$1643,3,FALSE),0)</f>
        <v>45560</v>
      </c>
      <c r="H228">
        <f>IFERROR(VLOOKUP(Table_socioeca8.sandag.org_ws_abm2_f4[[#This Row],[hwycov_id]],[2]flow_freeway!$A$2:$E$1643,4,FALSE),0)</f>
        <v>9588</v>
      </c>
      <c r="I228">
        <f>IFERROR(VLOOKUP(Table_socioeca8.sandag.org_ws_abm2_f4[[#This Row],[hwycov_id]],[2]flow_freeway!$A$2:$E$1643,5,FALSE),0)</f>
        <v>12444</v>
      </c>
      <c r="K228">
        <f>Table_socioeca8.sandag.org_ws_abm2_f4[[#This Row],[hwycov_id]]</f>
        <v>7259</v>
      </c>
      <c r="L228">
        <f>Table_socioeca8.sandag.org_ws_abm2_f4[[#This Row],[scenario_id]]</f>
        <v>259</v>
      </c>
      <c r="M228">
        <f>Table_socioeca8.sandag.org_ws_abm2_f4[[#This Row],[flow_day]]</f>
        <v>45560</v>
      </c>
      <c r="N228">
        <f>Table_socioeca8.sandag.org_ws_abm2_f4[[#This Row],[flow_am]]</f>
        <v>9588</v>
      </c>
      <c r="O228">
        <f>Table_socioeca8.sandag.org_ws_abm2_f4[[#This Row],[flow_pm]]</f>
        <v>12444</v>
      </c>
    </row>
    <row r="229" spans="5:15" x14ac:dyDescent="0.25">
      <c r="E229">
        <v>7260</v>
      </c>
      <c r="F229">
        <f t="shared" si="3"/>
        <v>259</v>
      </c>
      <c r="G229">
        <f>IFERROR(VLOOKUP(Table_socioeca8.sandag.org_ws_abm2_f4[[#This Row],[hwycov_id]],[2]flow_freeway!$A$2:$E$1643,3,FALSE),0)</f>
        <v>54221</v>
      </c>
      <c r="H229">
        <f>IFERROR(VLOOKUP(Table_socioeca8.sandag.org_ws_abm2_f4[[#This Row],[hwycov_id]],[2]flow_freeway!$A$2:$E$1643,4,FALSE),0)</f>
        <v>11504</v>
      </c>
      <c r="I229">
        <f>IFERROR(VLOOKUP(Table_socioeca8.sandag.org_ws_abm2_f4[[#This Row],[hwycov_id]],[2]flow_freeway!$A$2:$E$1643,5,FALSE),0)</f>
        <v>14219</v>
      </c>
      <c r="K229">
        <f>Table_socioeca8.sandag.org_ws_abm2_f4[[#This Row],[hwycov_id]]</f>
        <v>7260</v>
      </c>
      <c r="L229">
        <f>Table_socioeca8.sandag.org_ws_abm2_f4[[#This Row],[scenario_id]]</f>
        <v>259</v>
      </c>
      <c r="M229">
        <f>Table_socioeca8.sandag.org_ws_abm2_f4[[#This Row],[flow_day]]</f>
        <v>54221</v>
      </c>
      <c r="N229">
        <f>Table_socioeca8.sandag.org_ws_abm2_f4[[#This Row],[flow_am]]</f>
        <v>11504</v>
      </c>
      <c r="O229">
        <f>Table_socioeca8.sandag.org_ws_abm2_f4[[#This Row],[flow_pm]]</f>
        <v>14219</v>
      </c>
    </row>
    <row r="230" spans="5:15" x14ac:dyDescent="0.25">
      <c r="E230">
        <v>7303</v>
      </c>
      <c r="F230">
        <f t="shared" si="3"/>
        <v>259</v>
      </c>
      <c r="G230">
        <f>IFERROR(VLOOKUP(Table_socioeca8.sandag.org_ws_abm2_f4[[#This Row],[hwycov_id]],[2]flow_freeway!$A$2:$E$1643,3,FALSE),0)</f>
        <v>9845</v>
      </c>
      <c r="H230">
        <f>IFERROR(VLOOKUP(Table_socioeca8.sandag.org_ws_abm2_f4[[#This Row],[hwycov_id]],[2]flow_freeway!$A$2:$E$1643,4,FALSE),0)</f>
        <v>1614</v>
      </c>
      <c r="I230">
        <f>IFERROR(VLOOKUP(Table_socioeca8.sandag.org_ws_abm2_f4[[#This Row],[hwycov_id]],[2]flow_freeway!$A$2:$E$1643,5,FALSE),0)</f>
        <v>4391</v>
      </c>
      <c r="K230">
        <f>Table_socioeca8.sandag.org_ws_abm2_f4[[#This Row],[hwycov_id]]</f>
        <v>7303</v>
      </c>
      <c r="L230">
        <f>Table_socioeca8.sandag.org_ws_abm2_f4[[#This Row],[scenario_id]]</f>
        <v>259</v>
      </c>
      <c r="M230">
        <f>Table_socioeca8.sandag.org_ws_abm2_f4[[#This Row],[flow_day]]</f>
        <v>9845</v>
      </c>
      <c r="N230">
        <f>Table_socioeca8.sandag.org_ws_abm2_f4[[#This Row],[flow_am]]</f>
        <v>1614</v>
      </c>
      <c r="O230">
        <f>Table_socioeca8.sandag.org_ws_abm2_f4[[#This Row],[flow_pm]]</f>
        <v>4391</v>
      </c>
    </row>
    <row r="231" spans="5:15" x14ac:dyDescent="0.25">
      <c r="E231">
        <v>7310</v>
      </c>
      <c r="F231">
        <f t="shared" si="3"/>
        <v>259</v>
      </c>
      <c r="G231">
        <f>IFERROR(VLOOKUP(Table_socioeca8.sandag.org_ws_abm2_f4[[#This Row],[hwycov_id]],[2]flow_freeway!$A$2:$E$1643,3,FALSE),0)</f>
        <v>4273</v>
      </c>
      <c r="H231">
        <f>IFERROR(VLOOKUP(Table_socioeca8.sandag.org_ws_abm2_f4[[#This Row],[hwycov_id]],[2]flow_freeway!$A$2:$E$1643,4,FALSE),0)</f>
        <v>862</v>
      </c>
      <c r="I231">
        <f>IFERROR(VLOOKUP(Table_socioeca8.sandag.org_ws_abm2_f4[[#This Row],[hwycov_id]],[2]flow_freeway!$A$2:$E$1643,5,FALSE),0)</f>
        <v>1753</v>
      </c>
      <c r="K231">
        <f>Table_socioeca8.sandag.org_ws_abm2_f4[[#This Row],[hwycov_id]]</f>
        <v>7310</v>
      </c>
      <c r="L231">
        <f>Table_socioeca8.sandag.org_ws_abm2_f4[[#This Row],[scenario_id]]</f>
        <v>259</v>
      </c>
      <c r="M231">
        <f>Table_socioeca8.sandag.org_ws_abm2_f4[[#This Row],[flow_day]]</f>
        <v>4273</v>
      </c>
      <c r="N231">
        <f>Table_socioeca8.sandag.org_ws_abm2_f4[[#This Row],[flow_am]]</f>
        <v>862</v>
      </c>
      <c r="O231">
        <f>Table_socioeca8.sandag.org_ws_abm2_f4[[#This Row],[flow_pm]]</f>
        <v>1753</v>
      </c>
    </row>
    <row r="232" spans="5:15" x14ac:dyDescent="0.25">
      <c r="E232">
        <v>7373</v>
      </c>
      <c r="F232">
        <f t="shared" si="3"/>
        <v>259</v>
      </c>
      <c r="G232">
        <f>IFERROR(VLOOKUP(Table_socioeca8.sandag.org_ws_abm2_f4[[#This Row],[hwycov_id]],[2]flow_freeway!$A$2:$E$1643,3,FALSE),0)</f>
        <v>91385</v>
      </c>
      <c r="H232">
        <f>IFERROR(VLOOKUP(Table_socioeca8.sandag.org_ws_abm2_f4[[#This Row],[hwycov_id]],[2]flow_freeway!$A$2:$E$1643,4,FALSE),0)</f>
        <v>18235</v>
      </c>
      <c r="I232">
        <f>IFERROR(VLOOKUP(Table_socioeca8.sandag.org_ws_abm2_f4[[#This Row],[hwycov_id]],[2]flow_freeway!$A$2:$E$1643,5,FALSE),0)</f>
        <v>23611</v>
      </c>
      <c r="K232">
        <f>Table_socioeca8.sandag.org_ws_abm2_f4[[#This Row],[hwycov_id]]</f>
        <v>7373</v>
      </c>
      <c r="L232">
        <f>Table_socioeca8.sandag.org_ws_abm2_f4[[#This Row],[scenario_id]]</f>
        <v>259</v>
      </c>
      <c r="M232">
        <f>Table_socioeca8.sandag.org_ws_abm2_f4[[#This Row],[flow_day]]</f>
        <v>91385</v>
      </c>
      <c r="N232">
        <f>Table_socioeca8.sandag.org_ws_abm2_f4[[#This Row],[flow_am]]</f>
        <v>18235</v>
      </c>
      <c r="O232">
        <f>Table_socioeca8.sandag.org_ws_abm2_f4[[#This Row],[flow_pm]]</f>
        <v>23611</v>
      </c>
    </row>
    <row r="233" spans="5:15" x14ac:dyDescent="0.25">
      <c r="E233">
        <v>7374</v>
      </c>
      <c r="F233">
        <f t="shared" si="3"/>
        <v>259</v>
      </c>
      <c r="G233">
        <f>IFERROR(VLOOKUP(Table_socioeca8.sandag.org_ws_abm2_f4[[#This Row],[hwycov_id]],[2]flow_freeway!$A$2:$E$1643,3,FALSE),0)</f>
        <v>73638</v>
      </c>
      <c r="H233">
        <f>IFERROR(VLOOKUP(Table_socioeca8.sandag.org_ws_abm2_f4[[#This Row],[hwycov_id]],[2]flow_freeway!$A$2:$E$1643,4,FALSE),0)</f>
        <v>17471</v>
      </c>
      <c r="I233">
        <f>IFERROR(VLOOKUP(Table_socioeca8.sandag.org_ws_abm2_f4[[#This Row],[hwycov_id]],[2]flow_freeway!$A$2:$E$1643,5,FALSE),0)</f>
        <v>13123</v>
      </c>
      <c r="K233">
        <f>Table_socioeca8.sandag.org_ws_abm2_f4[[#This Row],[hwycov_id]]</f>
        <v>7374</v>
      </c>
      <c r="L233">
        <f>Table_socioeca8.sandag.org_ws_abm2_f4[[#This Row],[scenario_id]]</f>
        <v>259</v>
      </c>
      <c r="M233">
        <f>Table_socioeca8.sandag.org_ws_abm2_f4[[#This Row],[flow_day]]</f>
        <v>73638</v>
      </c>
      <c r="N233">
        <f>Table_socioeca8.sandag.org_ws_abm2_f4[[#This Row],[flow_am]]</f>
        <v>17471</v>
      </c>
      <c r="O233">
        <f>Table_socioeca8.sandag.org_ws_abm2_f4[[#This Row],[flow_pm]]</f>
        <v>13123</v>
      </c>
    </row>
    <row r="234" spans="5:15" x14ac:dyDescent="0.25">
      <c r="E234">
        <v>7375</v>
      </c>
      <c r="F234">
        <f t="shared" si="3"/>
        <v>259</v>
      </c>
      <c r="G234">
        <f>IFERROR(VLOOKUP(Table_socioeca8.sandag.org_ws_abm2_f4[[#This Row],[hwycov_id]],[2]flow_freeway!$A$2:$E$1643,3,FALSE),0)</f>
        <v>61862</v>
      </c>
      <c r="H234">
        <f>IFERROR(VLOOKUP(Table_socioeca8.sandag.org_ws_abm2_f4[[#This Row],[hwycov_id]],[2]flow_freeway!$A$2:$E$1643,4,FALSE),0)</f>
        <v>9302</v>
      </c>
      <c r="I234">
        <f>IFERROR(VLOOKUP(Table_socioeca8.sandag.org_ws_abm2_f4[[#This Row],[hwycov_id]],[2]flow_freeway!$A$2:$E$1643,5,FALSE),0)</f>
        <v>20362</v>
      </c>
      <c r="K234">
        <f>Table_socioeca8.sandag.org_ws_abm2_f4[[#This Row],[hwycov_id]]</f>
        <v>7375</v>
      </c>
      <c r="L234">
        <f>Table_socioeca8.sandag.org_ws_abm2_f4[[#This Row],[scenario_id]]</f>
        <v>259</v>
      </c>
      <c r="M234">
        <f>Table_socioeca8.sandag.org_ws_abm2_f4[[#This Row],[flow_day]]</f>
        <v>61862</v>
      </c>
      <c r="N234">
        <f>Table_socioeca8.sandag.org_ws_abm2_f4[[#This Row],[flow_am]]</f>
        <v>9302</v>
      </c>
      <c r="O234">
        <f>Table_socioeca8.sandag.org_ws_abm2_f4[[#This Row],[flow_pm]]</f>
        <v>20362</v>
      </c>
    </row>
    <row r="235" spans="5:15" x14ac:dyDescent="0.25">
      <c r="E235">
        <v>7376</v>
      </c>
      <c r="F235">
        <f t="shared" si="3"/>
        <v>259</v>
      </c>
      <c r="G235">
        <f>IFERROR(VLOOKUP(Table_socioeca8.sandag.org_ws_abm2_f4[[#This Row],[hwycov_id]],[2]flow_freeway!$A$2:$E$1643,3,FALSE),0)</f>
        <v>46983</v>
      </c>
      <c r="H235">
        <f>IFERROR(VLOOKUP(Table_socioeca8.sandag.org_ws_abm2_f4[[#This Row],[hwycov_id]],[2]flow_freeway!$A$2:$E$1643,4,FALSE),0)</f>
        <v>7806</v>
      </c>
      <c r="I235">
        <f>IFERROR(VLOOKUP(Table_socioeca8.sandag.org_ws_abm2_f4[[#This Row],[hwycov_id]],[2]flow_freeway!$A$2:$E$1643,5,FALSE),0)</f>
        <v>14127</v>
      </c>
      <c r="K235">
        <f>Table_socioeca8.sandag.org_ws_abm2_f4[[#This Row],[hwycov_id]]</f>
        <v>7376</v>
      </c>
      <c r="L235">
        <f>Table_socioeca8.sandag.org_ws_abm2_f4[[#This Row],[scenario_id]]</f>
        <v>259</v>
      </c>
      <c r="M235">
        <f>Table_socioeca8.sandag.org_ws_abm2_f4[[#This Row],[flow_day]]</f>
        <v>46983</v>
      </c>
      <c r="N235">
        <f>Table_socioeca8.sandag.org_ws_abm2_f4[[#This Row],[flow_am]]</f>
        <v>7806</v>
      </c>
      <c r="O235">
        <f>Table_socioeca8.sandag.org_ws_abm2_f4[[#This Row],[flow_pm]]</f>
        <v>14127</v>
      </c>
    </row>
    <row r="236" spans="5:15" x14ac:dyDescent="0.25">
      <c r="E236">
        <v>7377</v>
      </c>
      <c r="F236">
        <f t="shared" si="3"/>
        <v>259</v>
      </c>
      <c r="G236">
        <f>IFERROR(VLOOKUP(Table_socioeca8.sandag.org_ws_abm2_f4[[#This Row],[hwycov_id]],[2]flow_freeway!$A$2:$E$1643,3,FALSE),0)</f>
        <v>51045</v>
      </c>
      <c r="H236">
        <f>IFERROR(VLOOKUP(Table_socioeca8.sandag.org_ws_abm2_f4[[#This Row],[hwycov_id]],[2]flow_freeway!$A$2:$E$1643,4,FALSE),0)</f>
        <v>8649</v>
      </c>
      <c r="I236">
        <f>IFERROR(VLOOKUP(Table_socioeca8.sandag.org_ws_abm2_f4[[#This Row],[hwycov_id]],[2]flow_freeway!$A$2:$E$1643,5,FALSE),0)</f>
        <v>15001</v>
      </c>
      <c r="K236">
        <f>Table_socioeca8.sandag.org_ws_abm2_f4[[#This Row],[hwycov_id]]</f>
        <v>7377</v>
      </c>
      <c r="L236">
        <f>Table_socioeca8.sandag.org_ws_abm2_f4[[#This Row],[scenario_id]]</f>
        <v>259</v>
      </c>
      <c r="M236">
        <f>Table_socioeca8.sandag.org_ws_abm2_f4[[#This Row],[flow_day]]</f>
        <v>51045</v>
      </c>
      <c r="N236">
        <f>Table_socioeca8.sandag.org_ws_abm2_f4[[#This Row],[flow_am]]</f>
        <v>8649</v>
      </c>
      <c r="O236">
        <f>Table_socioeca8.sandag.org_ws_abm2_f4[[#This Row],[flow_pm]]</f>
        <v>15001</v>
      </c>
    </row>
    <row r="237" spans="5:15" x14ac:dyDescent="0.25">
      <c r="E237">
        <v>7380</v>
      </c>
      <c r="F237">
        <f t="shared" si="3"/>
        <v>259</v>
      </c>
      <c r="G237">
        <f>IFERROR(VLOOKUP(Table_socioeca8.sandag.org_ws_abm2_f4[[#This Row],[hwycov_id]],[2]flow_freeway!$A$2:$E$1643,3,FALSE),0)</f>
        <v>58406</v>
      </c>
      <c r="H237">
        <f>IFERROR(VLOOKUP(Table_socioeca8.sandag.org_ws_abm2_f4[[#This Row],[hwycov_id]],[2]flow_freeway!$A$2:$E$1643,4,FALSE),0)</f>
        <v>8530</v>
      </c>
      <c r="I237">
        <f>IFERROR(VLOOKUP(Table_socioeca8.sandag.org_ws_abm2_f4[[#This Row],[hwycov_id]],[2]flow_freeway!$A$2:$E$1643,5,FALSE),0)</f>
        <v>19293</v>
      </c>
      <c r="K237">
        <f>Table_socioeca8.sandag.org_ws_abm2_f4[[#This Row],[hwycov_id]]</f>
        <v>7380</v>
      </c>
      <c r="L237">
        <f>Table_socioeca8.sandag.org_ws_abm2_f4[[#This Row],[scenario_id]]</f>
        <v>259</v>
      </c>
      <c r="M237">
        <f>Table_socioeca8.sandag.org_ws_abm2_f4[[#This Row],[flow_day]]</f>
        <v>58406</v>
      </c>
      <c r="N237">
        <f>Table_socioeca8.sandag.org_ws_abm2_f4[[#This Row],[flow_am]]</f>
        <v>8530</v>
      </c>
      <c r="O237">
        <f>Table_socioeca8.sandag.org_ws_abm2_f4[[#This Row],[flow_pm]]</f>
        <v>19293</v>
      </c>
    </row>
    <row r="238" spans="5:15" x14ac:dyDescent="0.25">
      <c r="E238">
        <v>7430</v>
      </c>
      <c r="F238">
        <f t="shared" si="3"/>
        <v>259</v>
      </c>
      <c r="G238">
        <f>IFERROR(VLOOKUP(Table_socioeca8.sandag.org_ws_abm2_f4[[#This Row],[hwycov_id]],[2]flow_freeway!$A$2:$E$1643,3,FALSE),0)</f>
        <v>63531</v>
      </c>
      <c r="H238">
        <f>IFERROR(VLOOKUP(Table_socioeca8.sandag.org_ws_abm2_f4[[#This Row],[hwycov_id]],[2]flow_freeway!$A$2:$E$1643,4,FALSE),0)</f>
        <v>12344</v>
      </c>
      <c r="I238">
        <f>IFERROR(VLOOKUP(Table_socioeca8.sandag.org_ws_abm2_f4[[#This Row],[hwycov_id]],[2]flow_freeway!$A$2:$E$1643,5,FALSE),0)</f>
        <v>18189</v>
      </c>
      <c r="K238">
        <f>Table_socioeca8.sandag.org_ws_abm2_f4[[#This Row],[hwycov_id]]</f>
        <v>7430</v>
      </c>
      <c r="L238">
        <f>Table_socioeca8.sandag.org_ws_abm2_f4[[#This Row],[scenario_id]]</f>
        <v>259</v>
      </c>
      <c r="M238">
        <f>Table_socioeca8.sandag.org_ws_abm2_f4[[#This Row],[flow_day]]</f>
        <v>63531</v>
      </c>
      <c r="N238">
        <f>Table_socioeca8.sandag.org_ws_abm2_f4[[#This Row],[flow_am]]</f>
        <v>12344</v>
      </c>
      <c r="O238">
        <f>Table_socioeca8.sandag.org_ws_abm2_f4[[#This Row],[flow_pm]]</f>
        <v>18189</v>
      </c>
    </row>
    <row r="239" spans="5:15" x14ac:dyDescent="0.25">
      <c r="E239">
        <v>7442</v>
      </c>
      <c r="F239">
        <f t="shared" si="3"/>
        <v>259</v>
      </c>
      <c r="G239">
        <f>IFERROR(VLOOKUP(Table_socioeca8.sandag.org_ws_abm2_f4[[#This Row],[hwycov_id]],[2]flow_freeway!$A$2:$E$1643,3,FALSE),0)</f>
        <v>64264</v>
      </c>
      <c r="H239">
        <f>IFERROR(VLOOKUP(Table_socioeca8.sandag.org_ws_abm2_f4[[#This Row],[hwycov_id]],[2]flow_freeway!$A$2:$E$1643,4,FALSE),0)</f>
        <v>17767</v>
      </c>
      <c r="I239">
        <f>IFERROR(VLOOKUP(Table_socioeca8.sandag.org_ws_abm2_f4[[#This Row],[hwycov_id]],[2]flow_freeway!$A$2:$E$1643,5,FALSE),0)</f>
        <v>12635</v>
      </c>
      <c r="K239">
        <f>Table_socioeca8.sandag.org_ws_abm2_f4[[#This Row],[hwycov_id]]</f>
        <v>7442</v>
      </c>
      <c r="L239">
        <f>Table_socioeca8.sandag.org_ws_abm2_f4[[#This Row],[scenario_id]]</f>
        <v>259</v>
      </c>
      <c r="M239">
        <f>Table_socioeca8.sandag.org_ws_abm2_f4[[#This Row],[flow_day]]</f>
        <v>64264</v>
      </c>
      <c r="N239">
        <f>Table_socioeca8.sandag.org_ws_abm2_f4[[#This Row],[flow_am]]</f>
        <v>17767</v>
      </c>
      <c r="O239">
        <f>Table_socioeca8.sandag.org_ws_abm2_f4[[#This Row],[flow_pm]]</f>
        <v>12635</v>
      </c>
    </row>
    <row r="240" spans="5:15" x14ac:dyDescent="0.25">
      <c r="E240">
        <v>7470</v>
      </c>
      <c r="F240">
        <f t="shared" si="3"/>
        <v>259</v>
      </c>
      <c r="G240">
        <f>IFERROR(VLOOKUP(Table_socioeca8.sandag.org_ws_abm2_f4[[#This Row],[hwycov_id]],[2]flow_freeway!$A$2:$E$1643,3,FALSE),0)</f>
        <v>58406</v>
      </c>
      <c r="H240">
        <f>IFERROR(VLOOKUP(Table_socioeca8.sandag.org_ws_abm2_f4[[#This Row],[hwycov_id]],[2]flow_freeway!$A$2:$E$1643,4,FALSE),0)</f>
        <v>8530</v>
      </c>
      <c r="I240">
        <f>IFERROR(VLOOKUP(Table_socioeca8.sandag.org_ws_abm2_f4[[#This Row],[hwycov_id]],[2]flow_freeway!$A$2:$E$1643,5,FALSE),0)</f>
        <v>19293</v>
      </c>
      <c r="K240">
        <f>Table_socioeca8.sandag.org_ws_abm2_f4[[#This Row],[hwycov_id]]</f>
        <v>7470</v>
      </c>
      <c r="L240">
        <f>Table_socioeca8.sandag.org_ws_abm2_f4[[#This Row],[scenario_id]]</f>
        <v>259</v>
      </c>
      <c r="M240">
        <f>Table_socioeca8.sandag.org_ws_abm2_f4[[#This Row],[flow_day]]</f>
        <v>58406</v>
      </c>
      <c r="N240">
        <f>Table_socioeca8.sandag.org_ws_abm2_f4[[#This Row],[flow_am]]</f>
        <v>8530</v>
      </c>
      <c r="O240">
        <f>Table_socioeca8.sandag.org_ws_abm2_f4[[#This Row],[flow_pm]]</f>
        <v>19293</v>
      </c>
    </row>
    <row r="241" spans="5:15" x14ac:dyDescent="0.25">
      <c r="E241">
        <v>7492</v>
      </c>
      <c r="F241">
        <f t="shared" si="3"/>
        <v>259</v>
      </c>
      <c r="G241">
        <f>IFERROR(VLOOKUP(Table_socioeca8.sandag.org_ws_abm2_f4[[#This Row],[hwycov_id]],[2]flow_freeway!$A$2:$E$1643,3,FALSE),0)</f>
        <v>44637</v>
      </c>
      <c r="H241">
        <f>IFERROR(VLOOKUP(Table_socioeca8.sandag.org_ws_abm2_f4[[#This Row],[hwycov_id]],[2]flow_freeway!$A$2:$E$1643,4,FALSE),0)</f>
        <v>10001</v>
      </c>
      <c r="I241">
        <f>IFERROR(VLOOKUP(Table_socioeca8.sandag.org_ws_abm2_f4[[#This Row],[hwycov_id]],[2]flow_freeway!$A$2:$E$1643,5,FALSE),0)</f>
        <v>10676</v>
      </c>
      <c r="K241">
        <f>Table_socioeca8.sandag.org_ws_abm2_f4[[#This Row],[hwycov_id]]</f>
        <v>7492</v>
      </c>
      <c r="L241">
        <f>Table_socioeca8.sandag.org_ws_abm2_f4[[#This Row],[scenario_id]]</f>
        <v>259</v>
      </c>
      <c r="M241">
        <f>Table_socioeca8.sandag.org_ws_abm2_f4[[#This Row],[flow_day]]</f>
        <v>44637</v>
      </c>
      <c r="N241">
        <f>Table_socioeca8.sandag.org_ws_abm2_f4[[#This Row],[flow_am]]</f>
        <v>10001</v>
      </c>
      <c r="O241">
        <f>Table_socioeca8.sandag.org_ws_abm2_f4[[#This Row],[flow_pm]]</f>
        <v>10676</v>
      </c>
    </row>
    <row r="242" spans="5:15" x14ac:dyDescent="0.25">
      <c r="E242">
        <v>7497</v>
      </c>
      <c r="F242">
        <f t="shared" si="3"/>
        <v>259</v>
      </c>
      <c r="G242">
        <f>IFERROR(VLOOKUP(Table_socioeca8.sandag.org_ws_abm2_f4[[#This Row],[hwycov_id]],[2]flow_freeway!$A$2:$E$1643,3,FALSE),0)</f>
        <v>63531</v>
      </c>
      <c r="H242">
        <f>IFERROR(VLOOKUP(Table_socioeca8.sandag.org_ws_abm2_f4[[#This Row],[hwycov_id]],[2]flow_freeway!$A$2:$E$1643,4,FALSE),0)</f>
        <v>12344</v>
      </c>
      <c r="I242">
        <f>IFERROR(VLOOKUP(Table_socioeca8.sandag.org_ws_abm2_f4[[#This Row],[hwycov_id]],[2]flow_freeway!$A$2:$E$1643,5,FALSE),0)</f>
        <v>18189</v>
      </c>
      <c r="K242">
        <f>Table_socioeca8.sandag.org_ws_abm2_f4[[#This Row],[hwycov_id]]</f>
        <v>7497</v>
      </c>
      <c r="L242">
        <f>Table_socioeca8.sandag.org_ws_abm2_f4[[#This Row],[scenario_id]]</f>
        <v>259</v>
      </c>
      <c r="M242">
        <f>Table_socioeca8.sandag.org_ws_abm2_f4[[#This Row],[flow_day]]</f>
        <v>63531</v>
      </c>
      <c r="N242">
        <f>Table_socioeca8.sandag.org_ws_abm2_f4[[#This Row],[flow_am]]</f>
        <v>12344</v>
      </c>
      <c r="O242">
        <f>Table_socioeca8.sandag.org_ws_abm2_f4[[#This Row],[flow_pm]]</f>
        <v>18189</v>
      </c>
    </row>
    <row r="243" spans="5:15" x14ac:dyDescent="0.25">
      <c r="E243">
        <v>7499</v>
      </c>
      <c r="F243">
        <f t="shared" si="3"/>
        <v>259</v>
      </c>
      <c r="G243">
        <f>IFERROR(VLOOKUP(Table_socioeca8.sandag.org_ws_abm2_f4[[#This Row],[hwycov_id]],[2]flow_freeway!$A$2:$E$1643,3,FALSE),0)</f>
        <v>43025</v>
      </c>
      <c r="H243">
        <f>IFERROR(VLOOKUP(Table_socioeca8.sandag.org_ws_abm2_f4[[#This Row],[hwycov_id]],[2]flow_freeway!$A$2:$E$1643,4,FALSE),0)</f>
        <v>10629</v>
      </c>
      <c r="I243">
        <f>IFERROR(VLOOKUP(Table_socioeca8.sandag.org_ws_abm2_f4[[#This Row],[hwycov_id]],[2]flow_freeway!$A$2:$E$1643,5,FALSE),0)</f>
        <v>8507</v>
      </c>
      <c r="K243">
        <f>Table_socioeca8.sandag.org_ws_abm2_f4[[#This Row],[hwycov_id]]</f>
        <v>7499</v>
      </c>
      <c r="L243">
        <f>Table_socioeca8.sandag.org_ws_abm2_f4[[#This Row],[scenario_id]]</f>
        <v>259</v>
      </c>
      <c r="M243">
        <f>Table_socioeca8.sandag.org_ws_abm2_f4[[#This Row],[flow_day]]</f>
        <v>43025</v>
      </c>
      <c r="N243">
        <f>Table_socioeca8.sandag.org_ws_abm2_f4[[#This Row],[flow_am]]</f>
        <v>10629</v>
      </c>
      <c r="O243">
        <f>Table_socioeca8.sandag.org_ws_abm2_f4[[#This Row],[flow_pm]]</f>
        <v>8507</v>
      </c>
    </row>
    <row r="244" spans="5:15" x14ac:dyDescent="0.25">
      <c r="E244">
        <v>7501</v>
      </c>
      <c r="F244">
        <f t="shared" si="3"/>
        <v>259</v>
      </c>
      <c r="G244">
        <f>IFERROR(VLOOKUP(Table_socioeca8.sandag.org_ws_abm2_f4[[#This Row],[hwycov_id]],[2]flow_freeway!$A$2:$E$1643,3,FALSE),0)</f>
        <v>53729</v>
      </c>
      <c r="H244">
        <f>IFERROR(VLOOKUP(Table_socioeca8.sandag.org_ws_abm2_f4[[#This Row],[hwycov_id]],[2]flow_freeway!$A$2:$E$1643,4,FALSE),0)</f>
        <v>14202</v>
      </c>
      <c r="I244">
        <f>IFERROR(VLOOKUP(Table_socioeca8.sandag.org_ws_abm2_f4[[#This Row],[hwycov_id]],[2]flow_freeway!$A$2:$E$1643,5,FALSE),0)</f>
        <v>10821</v>
      </c>
      <c r="K244">
        <f>Table_socioeca8.sandag.org_ws_abm2_f4[[#This Row],[hwycov_id]]</f>
        <v>7501</v>
      </c>
      <c r="L244">
        <f>Table_socioeca8.sandag.org_ws_abm2_f4[[#This Row],[scenario_id]]</f>
        <v>259</v>
      </c>
      <c r="M244">
        <f>Table_socioeca8.sandag.org_ws_abm2_f4[[#This Row],[flow_day]]</f>
        <v>53729</v>
      </c>
      <c r="N244">
        <f>Table_socioeca8.sandag.org_ws_abm2_f4[[#This Row],[flow_am]]</f>
        <v>14202</v>
      </c>
      <c r="O244">
        <f>Table_socioeca8.sandag.org_ws_abm2_f4[[#This Row],[flow_pm]]</f>
        <v>10821</v>
      </c>
    </row>
    <row r="245" spans="5:15" x14ac:dyDescent="0.25">
      <c r="E245">
        <v>7505</v>
      </c>
      <c r="F245">
        <f t="shared" si="3"/>
        <v>259</v>
      </c>
      <c r="G245">
        <f>IFERROR(VLOOKUP(Table_socioeca8.sandag.org_ws_abm2_f4[[#This Row],[hwycov_id]],[2]flow_freeway!$A$2:$E$1643,3,FALSE),0)</f>
        <v>28970</v>
      </c>
      <c r="H245">
        <f>IFERROR(VLOOKUP(Table_socioeca8.sandag.org_ws_abm2_f4[[#This Row],[hwycov_id]],[2]flow_freeway!$A$2:$E$1643,4,FALSE),0)</f>
        <v>4307</v>
      </c>
      <c r="I245">
        <f>IFERROR(VLOOKUP(Table_socioeca8.sandag.org_ws_abm2_f4[[#This Row],[hwycov_id]],[2]flow_freeway!$A$2:$E$1643,5,FALSE),0)</f>
        <v>9798</v>
      </c>
      <c r="K245">
        <f>Table_socioeca8.sandag.org_ws_abm2_f4[[#This Row],[hwycov_id]]</f>
        <v>7505</v>
      </c>
      <c r="L245">
        <f>Table_socioeca8.sandag.org_ws_abm2_f4[[#This Row],[scenario_id]]</f>
        <v>259</v>
      </c>
      <c r="M245">
        <f>Table_socioeca8.sandag.org_ws_abm2_f4[[#This Row],[flow_day]]</f>
        <v>28970</v>
      </c>
      <c r="N245">
        <f>Table_socioeca8.sandag.org_ws_abm2_f4[[#This Row],[flow_am]]</f>
        <v>4307</v>
      </c>
      <c r="O245">
        <f>Table_socioeca8.sandag.org_ws_abm2_f4[[#This Row],[flow_pm]]</f>
        <v>9798</v>
      </c>
    </row>
    <row r="246" spans="5:15" x14ac:dyDescent="0.25">
      <c r="E246">
        <v>7506</v>
      </c>
      <c r="F246">
        <f t="shared" si="3"/>
        <v>259</v>
      </c>
      <c r="G246">
        <f>IFERROR(VLOOKUP(Table_socioeca8.sandag.org_ws_abm2_f4[[#This Row],[hwycov_id]],[2]flow_freeway!$A$2:$E$1643,3,FALSE),0)</f>
        <v>45121</v>
      </c>
      <c r="H246">
        <f>IFERROR(VLOOKUP(Table_socioeca8.sandag.org_ws_abm2_f4[[#This Row],[hwycov_id]],[2]flow_freeway!$A$2:$E$1643,4,FALSE),0)</f>
        <v>11051</v>
      </c>
      <c r="I246">
        <f>IFERROR(VLOOKUP(Table_socioeca8.sandag.org_ws_abm2_f4[[#This Row],[hwycov_id]],[2]flow_freeway!$A$2:$E$1643,5,FALSE),0)</f>
        <v>10985</v>
      </c>
      <c r="K246">
        <f>Table_socioeca8.sandag.org_ws_abm2_f4[[#This Row],[hwycov_id]]</f>
        <v>7506</v>
      </c>
      <c r="L246">
        <f>Table_socioeca8.sandag.org_ws_abm2_f4[[#This Row],[scenario_id]]</f>
        <v>259</v>
      </c>
      <c r="M246">
        <f>Table_socioeca8.sandag.org_ws_abm2_f4[[#This Row],[flow_day]]</f>
        <v>45121</v>
      </c>
      <c r="N246">
        <f>Table_socioeca8.sandag.org_ws_abm2_f4[[#This Row],[flow_am]]</f>
        <v>11051</v>
      </c>
      <c r="O246">
        <f>Table_socioeca8.sandag.org_ws_abm2_f4[[#This Row],[flow_pm]]</f>
        <v>10985</v>
      </c>
    </row>
    <row r="247" spans="5:15" x14ac:dyDescent="0.25">
      <c r="E247">
        <v>7514</v>
      </c>
      <c r="F247">
        <f t="shared" si="3"/>
        <v>259</v>
      </c>
      <c r="G247">
        <f>IFERROR(VLOOKUP(Table_socioeca8.sandag.org_ws_abm2_f4[[#This Row],[hwycov_id]],[2]flow_freeway!$A$2:$E$1643,3,FALSE),0)</f>
        <v>42014</v>
      </c>
      <c r="H247">
        <f>IFERROR(VLOOKUP(Table_socioeca8.sandag.org_ws_abm2_f4[[#This Row],[hwycov_id]],[2]flow_freeway!$A$2:$E$1643,4,FALSE),0)</f>
        <v>7752</v>
      </c>
      <c r="I247">
        <f>IFERROR(VLOOKUP(Table_socioeca8.sandag.org_ws_abm2_f4[[#This Row],[hwycov_id]],[2]flow_freeway!$A$2:$E$1643,5,FALSE),0)</f>
        <v>12587</v>
      </c>
      <c r="K247">
        <f>Table_socioeca8.sandag.org_ws_abm2_f4[[#This Row],[hwycov_id]]</f>
        <v>7514</v>
      </c>
      <c r="L247">
        <f>Table_socioeca8.sandag.org_ws_abm2_f4[[#This Row],[scenario_id]]</f>
        <v>259</v>
      </c>
      <c r="M247">
        <f>Table_socioeca8.sandag.org_ws_abm2_f4[[#This Row],[flow_day]]</f>
        <v>42014</v>
      </c>
      <c r="N247">
        <f>Table_socioeca8.sandag.org_ws_abm2_f4[[#This Row],[flow_am]]</f>
        <v>7752</v>
      </c>
      <c r="O247">
        <f>Table_socioeca8.sandag.org_ws_abm2_f4[[#This Row],[flow_pm]]</f>
        <v>12587</v>
      </c>
    </row>
    <row r="248" spans="5:15" x14ac:dyDescent="0.25">
      <c r="E248">
        <v>7525</v>
      </c>
      <c r="F248">
        <f t="shared" si="3"/>
        <v>259</v>
      </c>
      <c r="G248">
        <f>IFERROR(VLOOKUP(Table_socioeca8.sandag.org_ws_abm2_f4[[#This Row],[hwycov_id]],[2]flow_freeway!$A$2:$E$1643,3,FALSE),0)</f>
        <v>52660</v>
      </c>
      <c r="H248">
        <f>IFERROR(VLOOKUP(Table_socioeca8.sandag.org_ws_abm2_f4[[#This Row],[hwycov_id]],[2]flow_freeway!$A$2:$E$1643,4,FALSE),0)</f>
        <v>9868</v>
      </c>
      <c r="I248">
        <f>IFERROR(VLOOKUP(Table_socioeca8.sandag.org_ws_abm2_f4[[#This Row],[hwycov_id]],[2]flow_freeway!$A$2:$E$1643,5,FALSE),0)</f>
        <v>14543</v>
      </c>
      <c r="K248">
        <f>Table_socioeca8.sandag.org_ws_abm2_f4[[#This Row],[hwycov_id]]</f>
        <v>7525</v>
      </c>
      <c r="L248">
        <f>Table_socioeca8.sandag.org_ws_abm2_f4[[#This Row],[scenario_id]]</f>
        <v>259</v>
      </c>
      <c r="M248">
        <f>Table_socioeca8.sandag.org_ws_abm2_f4[[#This Row],[flow_day]]</f>
        <v>52660</v>
      </c>
      <c r="N248">
        <f>Table_socioeca8.sandag.org_ws_abm2_f4[[#This Row],[flow_am]]</f>
        <v>9868</v>
      </c>
      <c r="O248">
        <f>Table_socioeca8.sandag.org_ws_abm2_f4[[#This Row],[flow_pm]]</f>
        <v>14543</v>
      </c>
    </row>
    <row r="249" spans="5:15" x14ac:dyDescent="0.25">
      <c r="E249">
        <v>7526</v>
      </c>
      <c r="F249">
        <f t="shared" si="3"/>
        <v>259</v>
      </c>
      <c r="G249">
        <f>IFERROR(VLOOKUP(Table_socioeca8.sandag.org_ws_abm2_f4[[#This Row],[hwycov_id]],[2]flow_freeway!$A$2:$E$1643,3,FALSE),0)</f>
        <v>48550</v>
      </c>
      <c r="H249">
        <f>IFERROR(VLOOKUP(Table_socioeca8.sandag.org_ws_abm2_f4[[#This Row],[hwycov_id]],[2]flow_freeway!$A$2:$E$1643,4,FALSE),0)</f>
        <v>9428</v>
      </c>
      <c r="I249">
        <f>IFERROR(VLOOKUP(Table_socioeca8.sandag.org_ws_abm2_f4[[#This Row],[hwycov_id]],[2]flow_freeway!$A$2:$E$1643,5,FALSE),0)</f>
        <v>12329</v>
      </c>
      <c r="K249">
        <f>Table_socioeca8.sandag.org_ws_abm2_f4[[#This Row],[hwycov_id]]</f>
        <v>7526</v>
      </c>
      <c r="L249">
        <f>Table_socioeca8.sandag.org_ws_abm2_f4[[#This Row],[scenario_id]]</f>
        <v>259</v>
      </c>
      <c r="M249">
        <f>Table_socioeca8.sandag.org_ws_abm2_f4[[#This Row],[flow_day]]</f>
        <v>48550</v>
      </c>
      <c r="N249">
        <f>Table_socioeca8.sandag.org_ws_abm2_f4[[#This Row],[flow_am]]</f>
        <v>9428</v>
      </c>
      <c r="O249">
        <f>Table_socioeca8.sandag.org_ws_abm2_f4[[#This Row],[flow_pm]]</f>
        <v>12329</v>
      </c>
    </row>
    <row r="250" spans="5:15" x14ac:dyDescent="0.25">
      <c r="E250">
        <v>7545</v>
      </c>
      <c r="F250">
        <f t="shared" si="3"/>
        <v>259</v>
      </c>
      <c r="G250">
        <f>IFERROR(VLOOKUP(Table_socioeca8.sandag.org_ws_abm2_f4[[#This Row],[hwycov_id]],[2]flow_freeway!$A$2:$E$1643,3,FALSE),0)</f>
        <v>41430</v>
      </c>
      <c r="H250">
        <f>IFERROR(VLOOKUP(Table_socioeca8.sandag.org_ws_abm2_f4[[#This Row],[hwycov_id]],[2]flow_freeway!$A$2:$E$1643,4,FALSE),0)</f>
        <v>8494</v>
      </c>
      <c r="I250">
        <f>IFERROR(VLOOKUP(Table_socioeca8.sandag.org_ws_abm2_f4[[#This Row],[hwycov_id]],[2]flow_freeway!$A$2:$E$1643,5,FALSE),0)</f>
        <v>11018</v>
      </c>
      <c r="K250">
        <f>Table_socioeca8.sandag.org_ws_abm2_f4[[#This Row],[hwycov_id]]</f>
        <v>7545</v>
      </c>
      <c r="L250">
        <f>Table_socioeca8.sandag.org_ws_abm2_f4[[#This Row],[scenario_id]]</f>
        <v>259</v>
      </c>
      <c r="M250">
        <f>Table_socioeca8.sandag.org_ws_abm2_f4[[#This Row],[flow_day]]</f>
        <v>41430</v>
      </c>
      <c r="N250">
        <f>Table_socioeca8.sandag.org_ws_abm2_f4[[#This Row],[flow_am]]</f>
        <v>8494</v>
      </c>
      <c r="O250">
        <f>Table_socioeca8.sandag.org_ws_abm2_f4[[#This Row],[flow_pm]]</f>
        <v>11018</v>
      </c>
    </row>
    <row r="251" spans="5:15" x14ac:dyDescent="0.25">
      <c r="E251">
        <v>7630</v>
      </c>
      <c r="F251">
        <f t="shared" si="3"/>
        <v>259</v>
      </c>
      <c r="G251">
        <f>IFERROR(VLOOKUP(Table_socioeca8.sandag.org_ws_abm2_f4[[#This Row],[hwycov_id]],[2]flow_freeway!$A$2:$E$1643,3,FALSE),0)</f>
        <v>47817</v>
      </c>
      <c r="H251">
        <f>IFERROR(VLOOKUP(Table_socioeca8.sandag.org_ws_abm2_f4[[#This Row],[hwycov_id]],[2]flow_freeway!$A$2:$E$1643,4,FALSE),0)</f>
        <v>10287</v>
      </c>
      <c r="I251">
        <f>IFERROR(VLOOKUP(Table_socioeca8.sandag.org_ws_abm2_f4[[#This Row],[hwycov_id]],[2]flow_freeway!$A$2:$E$1643,5,FALSE),0)</f>
        <v>11672</v>
      </c>
      <c r="K251">
        <f>Table_socioeca8.sandag.org_ws_abm2_f4[[#This Row],[hwycov_id]]</f>
        <v>7630</v>
      </c>
      <c r="L251">
        <f>Table_socioeca8.sandag.org_ws_abm2_f4[[#This Row],[scenario_id]]</f>
        <v>259</v>
      </c>
      <c r="M251">
        <f>Table_socioeca8.sandag.org_ws_abm2_f4[[#This Row],[flow_day]]</f>
        <v>47817</v>
      </c>
      <c r="N251">
        <f>Table_socioeca8.sandag.org_ws_abm2_f4[[#This Row],[flow_am]]</f>
        <v>10287</v>
      </c>
      <c r="O251">
        <f>Table_socioeca8.sandag.org_ws_abm2_f4[[#This Row],[flow_pm]]</f>
        <v>11672</v>
      </c>
    </row>
    <row r="252" spans="5:15" x14ac:dyDescent="0.25">
      <c r="E252">
        <v>7636</v>
      </c>
      <c r="F252">
        <f t="shared" si="3"/>
        <v>259</v>
      </c>
      <c r="G252">
        <f>IFERROR(VLOOKUP(Table_socioeca8.sandag.org_ws_abm2_f4[[#This Row],[hwycov_id]],[2]flow_freeway!$A$2:$E$1643,3,FALSE),0)</f>
        <v>27052</v>
      </c>
      <c r="H252">
        <f>IFERROR(VLOOKUP(Table_socioeca8.sandag.org_ws_abm2_f4[[#This Row],[hwycov_id]],[2]flow_freeway!$A$2:$E$1643,4,FALSE),0)</f>
        <v>3110</v>
      </c>
      <c r="I252">
        <f>IFERROR(VLOOKUP(Table_socioeca8.sandag.org_ws_abm2_f4[[#This Row],[hwycov_id]],[2]flow_freeway!$A$2:$E$1643,5,FALSE),0)</f>
        <v>9624</v>
      </c>
      <c r="K252">
        <f>Table_socioeca8.sandag.org_ws_abm2_f4[[#This Row],[hwycov_id]]</f>
        <v>7636</v>
      </c>
      <c r="L252">
        <f>Table_socioeca8.sandag.org_ws_abm2_f4[[#This Row],[scenario_id]]</f>
        <v>259</v>
      </c>
      <c r="M252">
        <f>Table_socioeca8.sandag.org_ws_abm2_f4[[#This Row],[flow_day]]</f>
        <v>27052</v>
      </c>
      <c r="N252">
        <f>Table_socioeca8.sandag.org_ws_abm2_f4[[#This Row],[flow_am]]</f>
        <v>3110</v>
      </c>
      <c r="O252">
        <f>Table_socioeca8.sandag.org_ws_abm2_f4[[#This Row],[flow_pm]]</f>
        <v>9624</v>
      </c>
    </row>
    <row r="253" spans="5:15" x14ac:dyDescent="0.25">
      <c r="E253">
        <v>7664</v>
      </c>
      <c r="F253">
        <f t="shared" si="3"/>
        <v>259</v>
      </c>
      <c r="G253">
        <f>IFERROR(VLOOKUP(Table_socioeca8.sandag.org_ws_abm2_f4[[#This Row],[hwycov_id]],[2]flow_freeway!$A$2:$E$1643,3,FALSE),0)</f>
        <v>38429</v>
      </c>
      <c r="H253">
        <f>IFERROR(VLOOKUP(Table_socioeca8.sandag.org_ws_abm2_f4[[#This Row],[hwycov_id]],[2]flow_freeway!$A$2:$E$1643,4,FALSE),0)</f>
        <v>9752</v>
      </c>
      <c r="I253">
        <f>IFERROR(VLOOKUP(Table_socioeca8.sandag.org_ws_abm2_f4[[#This Row],[hwycov_id]],[2]flow_freeway!$A$2:$E$1643,5,FALSE),0)</f>
        <v>9220</v>
      </c>
      <c r="K253">
        <f>Table_socioeca8.sandag.org_ws_abm2_f4[[#This Row],[hwycov_id]]</f>
        <v>7664</v>
      </c>
      <c r="L253">
        <f>Table_socioeca8.sandag.org_ws_abm2_f4[[#This Row],[scenario_id]]</f>
        <v>259</v>
      </c>
      <c r="M253">
        <f>Table_socioeca8.sandag.org_ws_abm2_f4[[#This Row],[flow_day]]</f>
        <v>38429</v>
      </c>
      <c r="N253">
        <f>Table_socioeca8.sandag.org_ws_abm2_f4[[#This Row],[flow_am]]</f>
        <v>9752</v>
      </c>
      <c r="O253">
        <f>Table_socioeca8.sandag.org_ws_abm2_f4[[#This Row],[flow_pm]]</f>
        <v>9220</v>
      </c>
    </row>
    <row r="254" spans="5:15" x14ac:dyDescent="0.25">
      <c r="E254">
        <v>7665</v>
      </c>
      <c r="F254">
        <f t="shared" si="3"/>
        <v>259</v>
      </c>
      <c r="G254">
        <f>IFERROR(VLOOKUP(Table_socioeca8.sandag.org_ws_abm2_f4[[#This Row],[hwycov_id]],[2]flow_freeway!$A$2:$E$1643,3,FALSE),0)</f>
        <v>32675</v>
      </c>
      <c r="H254">
        <f>IFERROR(VLOOKUP(Table_socioeca8.sandag.org_ws_abm2_f4[[#This Row],[hwycov_id]],[2]flow_freeway!$A$2:$E$1643,4,FALSE),0)</f>
        <v>8783</v>
      </c>
      <c r="I254">
        <f>IFERROR(VLOOKUP(Table_socioeca8.sandag.org_ws_abm2_f4[[#This Row],[hwycov_id]],[2]flow_freeway!$A$2:$E$1643,5,FALSE),0)</f>
        <v>7479</v>
      </c>
      <c r="K254">
        <f>Table_socioeca8.sandag.org_ws_abm2_f4[[#This Row],[hwycov_id]]</f>
        <v>7665</v>
      </c>
      <c r="L254">
        <f>Table_socioeca8.sandag.org_ws_abm2_f4[[#This Row],[scenario_id]]</f>
        <v>259</v>
      </c>
      <c r="M254">
        <f>Table_socioeca8.sandag.org_ws_abm2_f4[[#This Row],[flow_day]]</f>
        <v>32675</v>
      </c>
      <c r="N254">
        <f>Table_socioeca8.sandag.org_ws_abm2_f4[[#This Row],[flow_am]]</f>
        <v>8783</v>
      </c>
      <c r="O254">
        <f>Table_socioeca8.sandag.org_ws_abm2_f4[[#This Row],[flow_pm]]</f>
        <v>7479</v>
      </c>
    </row>
    <row r="255" spans="5:15" x14ac:dyDescent="0.25">
      <c r="E255">
        <v>7666</v>
      </c>
      <c r="F255">
        <f t="shared" si="3"/>
        <v>259</v>
      </c>
      <c r="G255">
        <f>IFERROR(VLOOKUP(Table_socioeca8.sandag.org_ws_abm2_f4[[#This Row],[hwycov_id]],[2]flow_freeway!$A$2:$E$1643,3,FALSE),0)</f>
        <v>46927</v>
      </c>
      <c r="H255">
        <f>IFERROR(VLOOKUP(Table_socioeca8.sandag.org_ws_abm2_f4[[#This Row],[hwycov_id]],[2]flow_freeway!$A$2:$E$1643,4,FALSE),0)</f>
        <v>14073</v>
      </c>
      <c r="I255">
        <f>IFERROR(VLOOKUP(Table_socioeca8.sandag.org_ws_abm2_f4[[#This Row],[hwycov_id]],[2]flow_freeway!$A$2:$E$1643,5,FALSE),0)</f>
        <v>8665</v>
      </c>
      <c r="K255">
        <f>Table_socioeca8.sandag.org_ws_abm2_f4[[#This Row],[hwycov_id]]</f>
        <v>7666</v>
      </c>
      <c r="L255">
        <f>Table_socioeca8.sandag.org_ws_abm2_f4[[#This Row],[scenario_id]]</f>
        <v>259</v>
      </c>
      <c r="M255">
        <f>Table_socioeca8.sandag.org_ws_abm2_f4[[#This Row],[flow_day]]</f>
        <v>46927</v>
      </c>
      <c r="N255">
        <f>Table_socioeca8.sandag.org_ws_abm2_f4[[#This Row],[flow_am]]</f>
        <v>14073</v>
      </c>
      <c r="O255">
        <f>Table_socioeca8.sandag.org_ws_abm2_f4[[#This Row],[flow_pm]]</f>
        <v>8665</v>
      </c>
    </row>
    <row r="256" spans="5:15" x14ac:dyDescent="0.25">
      <c r="E256">
        <v>7699</v>
      </c>
      <c r="F256">
        <f t="shared" si="3"/>
        <v>259</v>
      </c>
      <c r="G256">
        <f>IFERROR(VLOOKUP(Table_socioeca8.sandag.org_ws_abm2_f4[[#This Row],[hwycov_id]],[2]flow_freeway!$A$2:$E$1643,3,FALSE),0)</f>
        <v>22562</v>
      </c>
      <c r="H256">
        <f>IFERROR(VLOOKUP(Table_socioeca8.sandag.org_ws_abm2_f4[[#This Row],[hwycov_id]],[2]flow_freeway!$A$2:$E$1643,4,FALSE),0)</f>
        <v>6440</v>
      </c>
      <c r="I256">
        <f>IFERROR(VLOOKUP(Table_socioeca8.sandag.org_ws_abm2_f4[[#This Row],[hwycov_id]],[2]flow_freeway!$A$2:$E$1643,5,FALSE),0)</f>
        <v>6531</v>
      </c>
      <c r="K256">
        <f>Table_socioeca8.sandag.org_ws_abm2_f4[[#This Row],[hwycov_id]]</f>
        <v>7699</v>
      </c>
      <c r="L256">
        <f>Table_socioeca8.sandag.org_ws_abm2_f4[[#This Row],[scenario_id]]</f>
        <v>259</v>
      </c>
      <c r="M256">
        <f>Table_socioeca8.sandag.org_ws_abm2_f4[[#This Row],[flow_day]]</f>
        <v>22562</v>
      </c>
      <c r="N256">
        <f>Table_socioeca8.sandag.org_ws_abm2_f4[[#This Row],[flow_am]]</f>
        <v>6440</v>
      </c>
      <c r="O256">
        <f>Table_socioeca8.sandag.org_ws_abm2_f4[[#This Row],[flow_pm]]</f>
        <v>6531</v>
      </c>
    </row>
    <row r="257" spans="5:15" x14ac:dyDescent="0.25">
      <c r="E257">
        <v>7716</v>
      </c>
      <c r="F257">
        <f t="shared" si="3"/>
        <v>259</v>
      </c>
      <c r="G257">
        <f>IFERROR(VLOOKUP(Table_socioeca8.sandag.org_ws_abm2_f4[[#This Row],[hwycov_id]],[2]flow_freeway!$A$2:$E$1643,3,FALSE),0)</f>
        <v>27140</v>
      </c>
      <c r="H257">
        <f>IFERROR(VLOOKUP(Table_socioeca8.sandag.org_ws_abm2_f4[[#This Row],[hwycov_id]],[2]flow_freeway!$A$2:$E$1643,4,FALSE),0)</f>
        <v>6330</v>
      </c>
      <c r="I257">
        <f>IFERROR(VLOOKUP(Table_socioeca8.sandag.org_ws_abm2_f4[[#This Row],[hwycov_id]],[2]flow_freeway!$A$2:$E$1643,5,FALSE),0)</f>
        <v>6292</v>
      </c>
      <c r="K257">
        <f>Table_socioeca8.sandag.org_ws_abm2_f4[[#This Row],[hwycov_id]]</f>
        <v>7716</v>
      </c>
      <c r="L257">
        <f>Table_socioeca8.sandag.org_ws_abm2_f4[[#This Row],[scenario_id]]</f>
        <v>259</v>
      </c>
      <c r="M257">
        <f>Table_socioeca8.sandag.org_ws_abm2_f4[[#This Row],[flow_day]]</f>
        <v>27140</v>
      </c>
      <c r="N257">
        <f>Table_socioeca8.sandag.org_ws_abm2_f4[[#This Row],[flow_am]]</f>
        <v>6330</v>
      </c>
      <c r="O257">
        <f>Table_socioeca8.sandag.org_ws_abm2_f4[[#This Row],[flow_pm]]</f>
        <v>6292</v>
      </c>
    </row>
    <row r="258" spans="5:15" x14ac:dyDescent="0.25">
      <c r="E258">
        <v>7723</v>
      </c>
      <c r="F258">
        <f t="shared" si="3"/>
        <v>259</v>
      </c>
      <c r="G258">
        <f>IFERROR(VLOOKUP(Table_socioeca8.sandag.org_ws_abm2_f4[[#This Row],[hwycov_id]],[2]flow_freeway!$A$2:$E$1643,3,FALSE),0)</f>
        <v>41651</v>
      </c>
      <c r="H258">
        <f>IFERROR(VLOOKUP(Table_socioeca8.sandag.org_ws_abm2_f4[[#This Row],[hwycov_id]],[2]flow_freeway!$A$2:$E$1643,4,FALSE),0)</f>
        <v>10201</v>
      </c>
      <c r="I258">
        <f>IFERROR(VLOOKUP(Table_socioeca8.sandag.org_ws_abm2_f4[[#This Row],[hwycov_id]],[2]flow_freeway!$A$2:$E$1643,5,FALSE),0)</f>
        <v>9224</v>
      </c>
      <c r="K258">
        <f>Table_socioeca8.sandag.org_ws_abm2_f4[[#This Row],[hwycov_id]]</f>
        <v>7723</v>
      </c>
      <c r="L258">
        <f>Table_socioeca8.sandag.org_ws_abm2_f4[[#This Row],[scenario_id]]</f>
        <v>259</v>
      </c>
      <c r="M258">
        <f>Table_socioeca8.sandag.org_ws_abm2_f4[[#This Row],[flow_day]]</f>
        <v>41651</v>
      </c>
      <c r="N258">
        <f>Table_socioeca8.sandag.org_ws_abm2_f4[[#This Row],[flow_am]]</f>
        <v>10201</v>
      </c>
      <c r="O258">
        <f>Table_socioeca8.sandag.org_ws_abm2_f4[[#This Row],[flow_pm]]</f>
        <v>9224</v>
      </c>
    </row>
    <row r="259" spans="5:15" x14ac:dyDescent="0.25">
      <c r="E259">
        <v>7724</v>
      </c>
      <c r="F259">
        <f t="shared" si="3"/>
        <v>259</v>
      </c>
      <c r="G259">
        <f>IFERROR(VLOOKUP(Table_socioeca8.sandag.org_ws_abm2_f4[[#This Row],[hwycov_id]],[2]flow_freeway!$A$2:$E$1643,3,FALSE),0)</f>
        <v>43160</v>
      </c>
      <c r="H259">
        <f>IFERROR(VLOOKUP(Table_socioeca8.sandag.org_ws_abm2_f4[[#This Row],[hwycov_id]],[2]flow_freeway!$A$2:$E$1643,4,FALSE),0)</f>
        <v>9029</v>
      </c>
      <c r="I259">
        <f>IFERROR(VLOOKUP(Table_socioeca8.sandag.org_ws_abm2_f4[[#This Row],[hwycov_id]],[2]flow_freeway!$A$2:$E$1643,5,FALSE),0)</f>
        <v>10598</v>
      </c>
      <c r="K259">
        <f>Table_socioeca8.sandag.org_ws_abm2_f4[[#This Row],[hwycov_id]]</f>
        <v>7724</v>
      </c>
      <c r="L259">
        <f>Table_socioeca8.sandag.org_ws_abm2_f4[[#This Row],[scenario_id]]</f>
        <v>259</v>
      </c>
      <c r="M259">
        <f>Table_socioeca8.sandag.org_ws_abm2_f4[[#This Row],[flow_day]]</f>
        <v>43160</v>
      </c>
      <c r="N259">
        <f>Table_socioeca8.sandag.org_ws_abm2_f4[[#This Row],[flow_am]]</f>
        <v>9029</v>
      </c>
      <c r="O259">
        <f>Table_socioeca8.sandag.org_ws_abm2_f4[[#This Row],[flow_pm]]</f>
        <v>10598</v>
      </c>
    </row>
    <row r="260" spans="5:15" x14ac:dyDescent="0.25">
      <c r="E260">
        <v>7725</v>
      </c>
      <c r="F260">
        <f t="shared" ref="F260:F323" si="4">F259</f>
        <v>259</v>
      </c>
      <c r="G260">
        <f>IFERROR(VLOOKUP(Table_socioeca8.sandag.org_ws_abm2_f4[[#This Row],[hwycov_id]],[2]flow_freeway!$A$2:$E$1643,3,FALSE),0)</f>
        <v>43160</v>
      </c>
      <c r="H260">
        <f>IFERROR(VLOOKUP(Table_socioeca8.sandag.org_ws_abm2_f4[[#This Row],[hwycov_id]],[2]flow_freeway!$A$2:$E$1643,4,FALSE),0)</f>
        <v>9029</v>
      </c>
      <c r="I260">
        <f>IFERROR(VLOOKUP(Table_socioeca8.sandag.org_ws_abm2_f4[[#This Row],[hwycov_id]],[2]flow_freeway!$A$2:$E$1643,5,FALSE),0)</f>
        <v>10598</v>
      </c>
      <c r="K260">
        <f>Table_socioeca8.sandag.org_ws_abm2_f4[[#This Row],[hwycov_id]]</f>
        <v>7725</v>
      </c>
      <c r="L260">
        <f>Table_socioeca8.sandag.org_ws_abm2_f4[[#This Row],[scenario_id]]</f>
        <v>259</v>
      </c>
      <c r="M260">
        <f>Table_socioeca8.sandag.org_ws_abm2_f4[[#This Row],[flow_day]]</f>
        <v>43160</v>
      </c>
      <c r="N260">
        <f>Table_socioeca8.sandag.org_ws_abm2_f4[[#This Row],[flow_am]]</f>
        <v>9029</v>
      </c>
      <c r="O260">
        <f>Table_socioeca8.sandag.org_ws_abm2_f4[[#This Row],[flow_pm]]</f>
        <v>10598</v>
      </c>
    </row>
    <row r="261" spans="5:15" x14ac:dyDescent="0.25">
      <c r="E261">
        <v>7772</v>
      </c>
      <c r="F261">
        <f t="shared" si="4"/>
        <v>259</v>
      </c>
      <c r="G261">
        <f>IFERROR(VLOOKUP(Table_socioeca8.sandag.org_ws_abm2_f4[[#This Row],[hwycov_id]],[2]flow_freeway!$A$2:$E$1643,3,FALSE),0)</f>
        <v>61862</v>
      </c>
      <c r="H261">
        <f>IFERROR(VLOOKUP(Table_socioeca8.sandag.org_ws_abm2_f4[[#This Row],[hwycov_id]],[2]flow_freeway!$A$2:$E$1643,4,FALSE),0)</f>
        <v>9302</v>
      </c>
      <c r="I261">
        <f>IFERROR(VLOOKUP(Table_socioeca8.sandag.org_ws_abm2_f4[[#This Row],[hwycov_id]],[2]flow_freeway!$A$2:$E$1643,5,FALSE),0)</f>
        <v>20362</v>
      </c>
      <c r="K261">
        <f>Table_socioeca8.sandag.org_ws_abm2_f4[[#This Row],[hwycov_id]]</f>
        <v>7772</v>
      </c>
      <c r="L261">
        <f>Table_socioeca8.sandag.org_ws_abm2_f4[[#This Row],[scenario_id]]</f>
        <v>259</v>
      </c>
      <c r="M261">
        <f>Table_socioeca8.sandag.org_ws_abm2_f4[[#This Row],[flow_day]]</f>
        <v>61862</v>
      </c>
      <c r="N261">
        <f>Table_socioeca8.sandag.org_ws_abm2_f4[[#This Row],[flow_am]]</f>
        <v>9302</v>
      </c>
      <c r="O261">
        <f>Table_socioeca8.sandag.org_ws_abm2_f4[[#This Row],[flow_pm]]</f>
        <v>20362</v>
      </c>
    </row>
    <row r="262" spans="5:15" x14ac:dyDescent="0.25">
      <c r="E262">
        <v>7872</v>
      </c>
      <c r="F262">
        <f t="shared" si="4"/>
        <v>259</v>
      </c>
      <c r="G262">
        <f>IFERROR(VLOOKUP(Table_socioeca8.sandag.org_ws_abm2_f4[[#This Row],[hwycov_id]],[2]flow_freeway!$A$2:$E$1643,3,FALSE),0)</f>
        <v>51919</v>
      </c>
      <c r="H262">
        <f>IFERROR(VLOOKUP(Table_socioeca8.sandag.org_ws_abm2_f4[[#This Row],[hwycov_id]],[2]flow_freeway!$A$2:$E$1643,4,FALSE),0)</f>
        <v>10833</v>
      </c>
      <c r="I262">
        <f>IFERROR(VLOOKUP(Table_socioeca8.sandag.org_ws_abm2_f4[[#This Row],[hwycov_id]],[2]flow_freeway!$A$2:$E$1643,5,FALSE),0)</f>
        <v>12291</v>
      </c>
      <c r="K262">
        <f>Table_socioeca8.sandag.org_ws_abm2_f4[[#This Row],[hwycov_id]]</f>
        <v>7872</v>
      </c>
      <c r="L262">
        <f>Table_socioeca8.sandag.org_ws_abm2_f4[[#This Row],[scenario_id]]</f>
        <v>259</v>
      </c>
      <c r="M262">
        <f>Table_socioeca8.sandag.org_ws_abm2_f4[[#This Row],[flow_day]]</f>
        <v>51919</v>
      </c>
      <c r="N262">
        <f>Table_socioeca8.sandag.org_ws_abm2_f4[[#This Row],[flow_am]]</f>
        <v>10833</v>
      </c>
      <c r="O262">
        <f>Table_socioeca8.sandag.org_ws_abm2_f4[[#This Row],[flow_pm]]</f>
        <v>12291</v>
      </c>
    </row>
    <row r="263" spans="5:15" x14ac:dyDescent="0.25">
      <c r="E263">
        <v>7873</v>
      </c>
      <c r="F263">
        <f t="shared" si="4"/>
        <v>259</v>
      </c>
      <c r="G263">
        <f>IFERROR(VLOOKUP(Table_socioeca8.sandag.org_ws_abm2_f4[[#This Row],[hwycov_id]],[2]flow_freeway!$A$2:$E$1643,3,FALSE),0)</f>
        <v>63157</v>
      </c>
      <c r="H263">
        <f>IFERROR(VLOOKUP(Table_socioeca8.sandag.org_ws_abm2_f4[[#This Row],[hwycov_id]],[2]flow_freeway!$A$2:$E$1643,4,FALSE),0)</f>
        <v>13985</v>
      </c>
      <c r="I263">
        <f>IFERROR(VLOOKUP(Table_socioeca8.sandag.org_ws_abm2_f4[[#This Row],[hwycov_id]],[2]flow_freeway!$A$2:$E$1643,5,FALSE),0)</f>
        <v>13694</v>
      </c>
      <c r="K263">
        <f>Table_socioeca8.sandag.org_ws_abm2_f4[[#This Row],[hwycov_id]]</f>
        <v>7873</v>
      </c>
      <c r="L263">
        <f>Table_socioeca8.sandag.org_ws_abm2_f4[[#This Row],[scenario_id]]</f>
        <v>259</v>
      </c>
      <c r="M263">
        <f>Table_socioeca8.sandag.org_ws_abm2_f4[[#This Row],[flow_day]]</f>
        <v>63157</v>
      </c>
      <c r="N263">
        <f>Table_socioeca8.sandag.org_ws_abm2_f4[[#This Row],[flow_am]]</f>
        <v>13985</v>
      </c>
      <c r="O263">
        <f>Table_socioeca8.sandag.org_ws_abm2_f4[[#This Row],[flow_pm]]</f>
        <v>13694</v>
      </c>
    </row>
    <row r="264" spans="5:15" x14ac:dyDescent="0.25">
      <c r="E264">
        <v>7874</v>
      </c>
      <c r="F264">
        <f t="shared" si="4"/>
        <v>259</v>
      </c>
      <c r="G264">
        <f>IFERROR(VLOOKUP(Table_socioeca8.sandag.org_ws_abm2_f4[[#This Row],[hwycov_id]],[2]flow_freeway!$A$2:$E$1643,3,FALSE),0)</f>
        <v>72268</v>
      </c>
      <c r="H264">
        <f>IFERROR(VLOOKUP(Table_socioeca8.sandag.org_ws_abm2_f4[[#This Row],[hwycov_id]],[2]flow_freeway!$A$2:$E$1643,4,FALSE),0)</f>
        <v>12831</v>
      </c>
      <c r="I264">
        <f>IFERROR(VLOOKUP(Table_socioeca8.sandag.org_ws_abm2_f4[[#This Row],[hwycov_id]],[2]flow_freeway!$A$2:$E$1643,5,FALSE),0)</f>
        <v>19535</v>
      </c>
      <c r="K264">
        <f>Table_socioeca8.sandag.org_ws_abm2_f4[[#This Row],[hwycov_id]]</f>
        <v>7874</v>
      </c>
      <c r="L264">
        <f>Table_socioeca8.sandag.org_ws_abm2_f4[[#This Row],[scenario_id]]</f>
        <v>259</v>
      </c>
      <c r="M264">
        <f>Table_socioeca8.sandag.org_ws_abm2_f4[[#This Row],[flow_day]]</f>
        <v>72268</v>
      </c>
      <c r="N264">
        <f>Table_socioeca8.sandag.org_ws_abm2_f4[[#This Row],[flow_am]]</f>
        <v>12831</v>
      </c>
      <c r="O264">
        <f>Table_socioeca8.sandag.org_ws_abm2_f4[[#This Row],[flow_pm]]</f>
        <v>19535</v>
      </c>
    </row>
    <row r="265" spans="5:15" x14ac:dyDescent="0.25">
      <c r="E265">
        <v>7963</v>
      </c>
      <c r="F265">
        <f t="shared" si="4"/>
        <v>259</v>
      </c>
      <c r="G265">
        <f>IFERROR(VLOOKUP(Table_socioeca8.sandag.org_ws_abm2_f4[[#This Row],[hwycov_id]],[2]flow_freeway!$A$2:$E$1643,3,FALSE),0)</f>
        <v>86287</v>
      </c>
      <c r="H265">
        <f>IFERROR(VLOOKUP(Table_socioeca8.sandag.org_ws_abm2_f4[[#This Row],[hwycov_id]],[2]flow_freeway!$A$2:$E$1643,4,FALSE),0)</f>
        <v>17110</v>
      </c>
      <c r="I265">
        <f>IFERROR(VLOOKUP(Table_socioeca8.sandag.org_ws_abm2_f4[[#This Row],[hwycov_id]],[2]flow_freeway!$A$2:$E$1643,5,FALSE),0)</f>
        <v>20067</v>
      </c>
      <c r="K265">
        <f>Table_socioeca8.sandag.org_ws_abm2_f4[[#This Row],[hwycov_id]]</f>
        <v>7963</v>
      </c>
      <c r="L265">
        <f>Table_socioeca8.sandag.org_ws_abm2_f4[[#This Row],[scenario_id]]</f>
        <v>259</v>
      </c>
      <c r="M265">
        <f>Table_socioeca8.sandag.org_ws_abm2_f4[[#This Row],[flow_day]]</f>
        <v>86287</v>
      </c>
      <c r="N265">
        <f>Table_socioeca8.sandag.org_ws_abm2_f4[[#This Row],[flow_am]]</f>
        <v>17110</v>
      </c>
      <c r="O265">
        <f>Table_socioeca8.sandag.org_ws_abm2_f4[[#This Row],[flow_pm]]</f>
        <v>20067</v>
      </c>
    </row>
    <row r="266" spans="5:15" x14ac:dyDescent="0.25">
      <c r="E266">
        <v>8022</v>
      </c>
      <c r="F266">
        <f t="shared" si="4"/>
        <v>259</v>
      </c>
      <c r="G266">
        <f>IFERROR(VLOOKUP(Table_socioeca8.sandag.org_ws_abm2_f4[[#This Row],[hwycov_id]],[2]flow_freeway!$A$2:$E$1643,3,FALSE),0)</f>
        <v>94738</v>
      </c>
      <c r="H266">
        <f>IFERROR(VLOOKUP(Table_socioeca8.sandag.org_ws_abm2_f4[[#This Row],[hwycov_id]],[2]flow_freeway!$A$2:$E$1643,4,FALSE),0)</f>
        <v>18419</v>
      </c>
      <c r="I266">
        <f>IFERROR(VLOOKUP(Table_socioeca8.sandag.org_ws_abm2_f4[[#This Row],[hwycov_id]],[2]flow_freeway!$A$2:$E$1643,5,FALSE),0)</f>
        <v>22096</v>
      </c>
      <c r="K266">
        <f>Table_socioeca8.sandag.org_ws_abm2_f4[[#This Row],[hwycov_id]]</f>
        <v>8022</v>
      </c>
      <c r="L266">
        <f>Table_socioeca8.sandag.org_ws_abm2_f4[[#This Row],[scenario_id]]</f>
        <v>259</v>
      </c>
      <c r="M266">
        <f>Table_socioeca8.sandag.org_ws_abm2_f4[[#This Row],[flow_day]]</f>
        <v>94738</v>
      </c>
      <c r="N266">
        <f>Table_socioeca8.sandag.org_ws_abm2_f4[[#This Row],[flow_am]]</f>
        <v>18419</v>
      </c>
      <c r="O266">
        <f>Table_socioeca8.sandag.org_ws_abm2_f4[[#This Row],[flow_pm]]</f>
        <v>22096</v>
      </c>
    </row>
    <row r="267" spans="5:15" x14ac:dyDescent="0.25">
      <c r="E267">
        <v>8042</v>
      </c>
      <c r="F267">
        <f t="shared" si="4"/>
        <v>259</v>
      </c>
      <c r="G267">
        <f>IFERROR(VLOOKUP(Table_socioeca8.sandag.org_ws_abm2_f4[[#This Row],[hwycov_id]],[2]flow_freeway!$A$2:$E$1643,3,FALSE),0)</f>
        <v>82655</v>
      </c>
      <c r="H267">
        <f>IFERROR(VLOOKUP(Table_socioeca8.sandag.org_ws_abm2_f4[[#This Row],[hwycov_id]],[2]flow_freeway!$A$2:$E$1643,4,FALSE),0)</f>
        <v>15966</v>
      </c>
      <c r="I267">
        <f>IFERROR(VLOOKUP(Table_socioeca8.sandag.org_ws_abm2_f4[[#This Row],[hwycov_id]],[2]flow_freeway!$A$2:$E$1643,5,FALSE),0)</f>
        <v>19834</v>
      </c>
      <c r="K267">
        <f>Table_socioeca8.sandag.org_ws_abm2_f4[[#This Row],[hwycov_id]]</f>
        <v>8042</v>
      </c>
      <c r="L267">
        <f>Table_socioeca8.sandag.org_ws_abm2_f4[[#This Row],[scenario_id]]</f>
        <v>259</v>
      </c>
      <c r="M267">
        <f>Table_socioeca8.sandag.org_ws_abm2_f4[[#This Row],[flow_day]]</f>
        <v>82655</v>
      </c>
      <c r="N267">
        <f>Table_socioeca8.sandag.org_ws_abm2_f4[[#This Row],[flow_am]]</f>
        <v>15966</v>
      </c>
      <c r="O267">
        <f>Table_socioeca8.sandag.org_ws_abm2_f4[[#This Row],[flow_pm]]</f>
        <v>19834</v>
      </c>
    </row>
    <row r="268" spans="5:15" x14ac:dyDescent="0.25">
      <c r="E268">
        <v>8054</v>
      </c>
      <c r="F268">
        <f t="shared" si="4"/>
        <v>259</v>
      </c>
      <c r="G268">
        <f>IFERROR(VLOOKUP(Table_socioeca8.sandag.org_ws_abm2_f4[[#This Row],[hwycov_id]],[2]flow_freeway!$A$2:$E$1643,3,FALSE),0)</f>
        <v>80586</v>
      </c>
      <c r="H268">
        <f>IFERROR(VLOOKUP(Table_socioeca8.sandag.org_ws_abm2_f4[[#This Row],[hwycov_id]],[2]flow_freeway!$A$2:$E$1643,4,FALSE),0)</f>
        <v>16822</v>
      </c>
      <c r="I268">
        <f>IFERROR(VLOOKUP(Table_socioeca8.sandag.org_ws_abm2_f4[[#This Row],[hwycov_id]],[2]flow_freeway!$A$2:$E$1643,5,FALSE),0)</f>
        <v>19582</v>
      </c>
      <c r="K268">
        <f>Table_socioeca8.sandag.org_ws_abm2_f4[[#This Row],[hwycov_id]]</f>
        <v>8054</v>
      </c>
      <c r="L268">
        <f>Table_socioeca8.sandag.org_ws_abm2_f4[[#This Row],[scenario_id]]</f>
        <v>259</v>
      </c>
      <c r="M268">
        <f>Table_socioeca8.sandag.org_ws_abm2_f4[[#This Row],[flow_day]]</f>
        <v>80586</v>
      </c>
      <c r="N268">
        <f>Table_socioeca8.sandag.org_ws_abm2_f4[[#This Row],[flow_am]]</f>
        <v>16822</v>
      </c>
      <c r="O268">
        <f>Table_socioeca8.sandag.org_ws_abm2_f4[[#This Row],[flow_pm]]</f>
        <v>19582</v>
      </c>
    </row>
    <row r="269" spans="5:15" x14ac:dyDescent="0.25">
      <c r="E269">
        <v>8056</v>
      </c>
      <c r="F269">
        <f t="shared" si="4"/>
        <v>259</v>
      </c>
      <c r="G269">
        <f>IFERROR(VLOOKUP(Table_socioeca8.sandag.org_ws_abm2_f4[[#This Row],[hwycov_id]],[2]flow_freeway!$A$2:$E$1643,3,FALSE),0)</f>
        <v>84952</v>
      </c>
      <c r="H269">
        <f>IFERROR(VLOOKUP(Table_socioeca8.sandag.org_ws_abm2_f4[[#This Row],[hwycov_id]],[2]flow_freeway!$A$2:$E$1643,4,FALSE),0)</f>
        <v>16481</v>
      </c>
      <c r="I269">
        <f>IFERROR(VLOOKUP(Table_socioeca8.sandag.org_ws_abm2_f4[[#This Row],[hwycov_id]],[2]flow_freeway!$A$2:$E$1643,5,FALSE),0)</f>
        <v>20987</v>
      </c>
      <c r="K269">
        <f>Table_socioeca8.sandag.org_ws_abm2_f4[[#This Row],[hwycov_id]]</f>
        <v>8056</v>
      </c>
      <c r="L269">
        <f>Table_socioeca8.sandag.org_ws_abm2_f4[[#This Row],[scenario_id]]</f>
        <v>259</v>
      </c>
      <c r="M269">
        <f>Table_socioeca8.sandag.org_ws_abm2_f4[[#This Row],[flow_day]]</f>
        <v>84952</v>
      </c>
      <c r="N269">
        <f>Table_socioeca8.sandag.org_ws_abm2_f4[[#This Row],[flow_am]]</f>
        <v>16481</v>
      </c>
      <c r="O269">
        <f>Table_socioeca8.sandag.org_ws_abm2_f4[[#This Row],[flow_pm]]</f>
        <v>20987</v>
      </c>
    </row>
    <row r="270" spans="5:15" x14ac:dyDescent="0.25">
      <c r="E270">
        <v>8057</v>
      </c>
      <c r="F270">
        <f t="shared" si="4"/>
        <v>259</v>
      </c>
      <c r="G270">
        <f>IFERROR(VLOOKUP(Table_socioeca8.sandag.org_ws_abm2_f4[[#This Row],[hwycov_id]],[2]flow_freeway!$A$2:$E$1643,3,FALSE),0)</f>
        <v>76833</v>
      </c>
      <c r="H270">
        <f>IFERROR(VLOOKUP(Table_socioeca8.sandag.org_ws_abm2_f4[[#This Row],[hwycov_id]],[2]flow_freeway!$A$2:$E$1643,4,FALSE),0)</f>
        <v>15187</v>
      </c>
      <c r="I270">
        <f>IFERROR(VLOOKUP(Table_socioeca8.sandag.org_ws_abm2_f4[[#This Row],[hwycov_id]],[2]flow_freeway!$A$2:$E$1643,5,FALSE),0)</f>
        <v>20114</v>
      </c>
      <c r="K270">
        <f>Table_socioeca8.sandag.org_ws_abm2_f4[[#This Row],[hwycov_id]]</f>
        <v>8057</v>
      </c>
      <c r="L270">
        <f>Table_socioeca8.sandag.org_ws_abm2_f4[[#This Row],[scenario_id]]</f>
        <v>259</v>
      </c>
      <c r="M270">
        <f>Table_socioeca8.sandag.org_ws_abm2_f4[[#This Row],[flow_day]]</f>
        <v>76833</v>
      </c>
      <c r="N270">
        <f>Table_socioeca8.sandag.org_ws_abm2_f4[[#This Row],[flow_am]]</f>
        <v>15187</v>
      </c>
      <c r="O270">
        <f>Table_socioeca8.sandag.org_ws_abm2_f4[[#This Row],[flow_pm]]</f>
        <v>20114</v>
      </c>
    </row>
    <row r="271" spans="5:15" x14ac:dyDescent="0.25">
      <c r="E271">
        <v>8058</v>
      </c>
      <c r="F271">
        <f t="shared" si="4"/>
        <v>259</v>
      </c>
      <c r="G271">
        <f>IFERROR(VLOOKUP(Table_socioeca8.sandag.org_ws_abm2_f4[[#This Row],[hwycov_id]],[2]flow_freeway!$A$2:$E$1643,3,FALSE),0)</f>
        <v>64667</v>
      </c>
      <c r="H271">
        <f>IFERROR(VLOOKUP(Table_socioeca8.sandag.org_ws_abm2_f4[[#This Row],[hwycov_id]],[2]flow_freeway!$A$2:$E$1643,4,FALSE),0)</f>
        <v>11767</v>
      </c>
      <c r="I271">
        <f>IFERROR(VLOOKUP(Table_socioeca8.sandag.org_ws_abm2_f4[[#This Row],[hwycov_id]],[2]flow_freeway!$A$2:$E$1643,5,FALSE),0)</f>
        <v>17439</v>
      </c>
      <c r="K271">
        <f>Table_socioeca8.sandag.org_ws_abm2_f4[[#This Row],[hwycov_id]]</f>
        <v>8058</v>
      </c>
      <c r="L271">
        <f>Table_socioeca8.sandag.org_ws_abm2_f4[[#This Row],[scenario_id]]</f>
        <v>259</v>
      </c>
      <c r="M271">
        <f>Table_socioeca8.sandag.org_ws_abm2_f4[[#This Row],[flow_day]]</f>
        <v>64667</v>
      </c>
      <c r="N271">
        <f>Table_socioeca8.sandag.org_ws_abm2_f4[[#This Row],[flow_am]]</f>
        <v>11767</v>
      </c>
      <c r="O271">
        <f>Table_socioeca8.sandag.org_ws_abm2_f4[[#This Row],[flow_pm]]</f>
        <v>17439</v>
      </c>
    </row>
    <row r="272" spans="5:15" x14ac:dyDescent="0.25">
      <c r="E272">
        <v>8059</v>
      </c>
      <c r="F272">
        <f t="shared" si="4"/>
        <v>259</v>
      </c>
      <c r="G272">
        <f>IFERROR(VLOOKUP(Table_socioeca8.sandag.org_ws_abm2_f4[[#This Row],[hwycov_id]],[2]flow_freeway!$A$2:$E$1643,3,FALSE),0)</f>
        <v>56727</v>
      </c>
      <c r="H272">
        <f>IFERROR(VLOOKUP(Table_socioeca8.sandag.org_ws_abm2_f4[[#This Row],[hwycov_id]],[2]flow_freeway!$A$2:$E$1643,4,FALSE),0)</f>
        <v>11079</v>
      </c>
      <c r="I272">
        <f>IFERROR(VLOOKUP(Table_socioeca8.sandag.org_ws_abm2_f4[[#This Row],[hwycov_id]],[2]flow_freeway!$A$2:$E$1643,5,FALSE),0)</f>
        <v>15109</v>
      </c>
      <c r="K272">
        <f>Table_socioeca8.sandag.org_ws_abm2_f4[[#This Row],[hwycov_id]]</f>
        <v>8059</v>
      </c>
      <c r="L272">
        <f>Table_socioeca8.sandag.org_ws_abm2_f4[[#This Row],[scenario_id]]</f>
        <v>259</v>
      </c>
      <c r="M272">
        <f>Table_socioeca8.sandag.org_ws_abm2_f4[[#This Row],[flow_day]]</f>
        <v>56727</v>
      </c>
      <c r="N272">
        <f>Table_socioeca8.sandag.org_ws_abm2_f4[[#This Row],[flow_am]]</f>
        <v>11079</v>
      </c>
      <c r="O272">
        <f>Table_socioeca8.sandag.org_ws_abm2_f4[[#This Row],[flow_pm]]</f>
        <v>15109</v>
      </c>
    </row>
    <row r="273" spans="5:15" x14ac:dyDescent="0.25">
      <c r="E273">
        <v>8060</v>
      </c>
      <c r="F273">
        <f t="shared" si="4"/>
        <v>259</v>
      </c>
      <c r="G273">
        <f>IFERROR(VLOOKUP(Table_socioeca8.sandag.org_ws_abm2_f4[[#This Row],[hwycov_id]],[2]flow_freeway!$A$2:$E$1643,3,FALSE),0)</f>
        <v>63541</v>
      </c>
      <c r="H273">
        <f>IFERROR(VLOOKUP(Table_socioeca8.sandag.org_ws_abm2_f4[[#This Row],[hwycov_id]],[2]flow_freeway!$A$2:$E$1643,4,FALSE),0)</f>
        <v>13799</v>
      </c>
      <c r="I273">
        <f>IFERROR(VLOOKUP(Table_socioeca8.sandag.org_ws_abm2_f4[[#This Row],[hwycov_id]],[2]flow_freeway!$A$2:$E$1643,5,FALSE),0)</f>
        <v>14175</v>
      </c>
      <c r="K273">
        <f>Table_socioeca8.sandag.org_ws_abm2_f4[[#This Row],[hwycov_id]]</f>
        <v>8060</v>
      </c>
      <c r="L273">
        <f>Table_socioeca8.sandag.org_ws_abm2_f4[[#This Row],[scenario_id]]</f>
        <v>259</v>
      </c>
      <c r="M273">
        <f>Table_socioeca8.sandag.org_ws_abm2_f4[[#This Row],[flow_day]]</f>
        <v>63541</v>
      </c>
      <c r="N273">
        <f>Table_socioeca8.sandag.org_ws_abm2_f4[[#This Row],[flow_am]]</f>
        <v>13799</v>
      </c>
      <c r="O273">
        <f>Table_socioeca8.sandag.org_ws_abm2_f4[[#This Row],[flow_pm]]</f>
        <v>14175</v>
      </c>
    </row>
    <row r="274" spans="5:15" x14ac:dyDescent="0.25">
      <c r="E274">
        <v>8102</v>
      </c>
      <c r="F274">
        <f t="shared" si="4"/>
        <v>259</v>
      </c>
      <c r="G274">
        <f>IFERROR(VLOOKUP(Table_socioeca8.sandag.org_ws_abm2_f4[[#This Row],[hwycov_id]],[2]flow_freeway!$A$2:$E$1643,3,FALSE),0)</f>
        <v>17137</v>
      </c>
      <c r="H274">
        <f>IFERROR(VLOOKUP(Table_socioeca8.sandag.org_ws_abm2_f4[[#This Row],[hwycov_id]],[2]flow_freeway!$A$2:$E$1643,4,FALSE),0)</f>
        <v>579</v>
      </c>
      <c r="I274">
        <f>IFERROR(VLOOKUP(Table_socioeca8.sandag.org_ws_abm2_f4[[#This Row],[hwycov_id]],[2]flow_freeway!$A$2:$E$1643,5,FALSE),0)</f>
        <v>5809</v>
      </c>
      <c r="K274">
        <f>Table_socioeca8.sandag.org_ws_abm2_f4[[#This Row],[hwycov_id]]</f>
        <v>8102</v>
      </c>
      <c r="L274">
        <f>Table_socioeca8.sandag.org_ws_abm2_f4[[#This Row],[scenario_id]]</f>
        <v>259</v>
      </c>
      <c r="M274">
        <f>Table_socioeca8.sandag.org_ws_abm2_f4[[#This Row],[flow_day]]</f>
        <v>17137</v>
      </c>
      <c r="N274">
        <f>Table_socioeca8.sandag.org_ws_abm2_f4[[#This Row],[flow_am]]</f>
        <v>579</v>
      </c>
      <c r="O274">
        <f>Table_socioeca8.sandag.org_ws_abm2_f4[[#This Row],[flow_pm]]</f>
        <v>5809</v>
      </c>
    </row>
    <row r="275" spans="5:15" x14ac:dyDescent="0.25">
      <c r="E275">
        <v>8103</v>
      </c>
      <c r="F275">
        <f t="shared" si="4"/>
        <v>259</v>
      </c>
      <c r="G275">
        <f>IFERROR(VLOOKUP(Table_socioeca8.sandag.org_ws_abm2_f4[[#This Row],[hwycov_id]],[2]flow_freeway!$A$2:$E$1643,3,FALSE),0)</f>
        <v>67709</v>
      </c>
      <c r="H275">
        <f>IFERROR(VLOOKUP(Table_socioeca8.sandag.org_ws_abm2_f4[[#This Row],[hwycov_id]],[2]flow_freeway!$A$2:$E$1643,4,FALSE),0)</f>
        <v>18931</v>
      </c>
      <c r="I275">
        <f>IFERROR(VLOOKUP(Table_socioeca8.sandag.org_ws_abm2_f4[[#This Row],[hwycov_id]],[2]flow_freeway!$A$2:$E$1643,5,FALSE),0)</f>
        <v>13450</v>
      </c>
      <c r="K275">
        <f>Table_socioeca8.sandag.org_ws_abm2_f4[[#This Row],[hwycov_id]]</f>
        <v>8103</v>
      </c>
      <c r="L275">
        <f>Table_socioeca8.sandag.org_ws_abm2_f4[[#This Row],[scenario_id]]</f>
        <v>259</v>
      </c>
      <c r="M275">
        <f>Table_socioeca8.sandag.org_ws_abm2_f4[[#This Row],[flow_day]]</f>
        <v>67709</v>
      </c>
      <c r="N275">
        <f>Table_socioeca8.sandag.org_ws_abm2_f4[[#This Row],[flow_am]]</f>
        <v>18931</v>
      </c>
      <c r="O275">
        <f>Table_socioeca8.sandag.org_ws_abm2_f4[[#This Row],[flow_pm]]</f>
        <v>13450</v>
      </c>
    </row>
    <row r="276" spans="5:15" x14ac:dyDescent="0.25">
      <c r="E276">
        <v>8185</v>
      </c>
      <c r="F276">
        <f t="shared" si="4"/>
        <v>259</v>
      </c>
      <c r="G276">
        <f>IFERROR(VLOOKUP(Table_socioeca8.sandag.org_ws_abm2_f4[[#This Row],[hwycov_id]],[2]flow_freeway!$A$2:$E$1643,3,FALSE),0)</f>
        <v>17811</v>
      </c>
      <c r="H276">
        <f>IFERROR(VLOOKUP(Table_socioeca8.sandag.org_ws_abm2_f4[[#This Row],[hwycov_id]],[2]flow_freeway!$A$2:$E$1643,4,FALSE),0)</f>
        <v>4685</v>
      </c>
      <c r="I276">
        <f>IFERROR(VLOOKUP(Table_socioeca8.sandag.org_ws_abm2_f4[[#This Row],[hwycov_id]],[2]flow_freeway!$A$2:$E$1643,5,FALSE),0)</f>
        <v>1920</v>
      </c>
      <c r="K276">
        <f>Table_socioeca8.sandag.org_ws_abm2_f4[[#This Row],[hwycov_id]]</f>
        <v>8185</v>
      </c>
      <c r="L276">
        <f>Table_socioeca8.sandag.org_ws_abm2_f4[[#This Row],[scenario_id]]</f>
        <v>259</v>
      </c>
      <c r="M276">
        <f>Table_socioeca8.sandag.org_ws_abm2_f4[[#This Row],[flow_day]]</f>
        <v>17811</v>
      </c>
      <c r="N276">
        <f>Table_socioeca8.sandag.org_ws_abm2_f4[[#This Row],[flow_am]]</f>
        <v>4685</v>
      </c>
      <c r="O276">
        <f>Table_socioeca8.sandag.org_ws_abm2_f4[[#This Row],[flow_pm]]</f>
        <v>1920</v>
      </c>
    </row>
    <row r="277" spans="5:15" x14ac:dyDescent="0.25">
      <c r="E277">
        <v>8218</v>
      </c>
      <c r="F277">
        <f t="shared" si="4"/>
        <v>259</v>
      </c>
      <c r="G277">
        <f>IFERROR(VLOOKUP(Table_socioeca8.sandag.org_ws_abm2_f4[[#This Row],[hwycov_id]],[2]flow_freeway!$A$2:$E$1643,3,FALSE),0)</f>
        <v>31443</v>
      </c>
      <c r="H277">
        <f>IFERROR(VLOOKUP(Table_socioeca8.sandag.org_ws_abm2_f4[[#This Row],[hwycov_id]],[2]flow_freeway!$A$2:$E$1643,4,FALSE),0)</f>
        <v>6047</v>
      </c>
      <c r="I277">
        <f>IFERROR(VLOOKUP(Table_socioeca8.sandag.org_ws_abm2_f4[[#This Row],[hwycov_id]],[2]flow_freeway!$A$2:$E$1643,5,FALSE),0)</f>
        <v>6228</v>
      </c>
      <c r="K277">
        <f>Table_socioeca8.sandag.org_ws_abm2_f4[[#This Row],[hwycov_id]]</f>
        <v>8218</v>
      </c>
      <c r="L277">
        <f>Table_socioeca8.sandag.org_ws_abm2_f4[[#This Row],[scenario_id]]</f>
        <v>259</v>
      </c>
      <c r="M277">
        <f>Table_socioeca8.sandag.org_ws_abm2_f4[[#This Row],[flow_day]]</f>
        <v>31443</v>
      </c>
      <c r="N277">
        <f>Table_socioeca8.sandag.org_ws_abm2_f4[[#This Row],[flow_am]]</f>
        <v>6047</v>
      </c>
      <c r="O277">
        <f>Table_socioeca8.sandag.org_ws_abm2_f4[[#This Row],[flow_pm]]</f>
        <v>6228</v>
      </c>
    </row>
    <row r="278" spans="5:15" x14ac:dyDescent="0.25">
      <c r="E278">
        <v>8353</v>
      </c>
      <c r="F278">
        <f t="shared" si="4"/>
        <v>259</v>
      </c>
      <c r="G278">
        <f>IFERROR(VLOOKUP(Table_socioeca8.sandag.org_ws_abm2_f4[[#This Row],[hwycov_id]],[2]flow_freeway!$A$2:$E$1643,3,FALSE),0)</f>
        <v>8242</v>
      </c>
      <c r="H278">
        <f>IFERROR(VLOOKUP(Table_socioeca8.sandag.org_ws_abm2_f4[[#This Row],[hwycov_id]],[2]flow_freeway!$A$2:$E$1643,4,FALSE),0)</f>
        <v>1634</v>
      </c>
      <c r="I278">
        <f>IFERROR(VLOOKUP(Table_socioeca8.sandag.org_ws_abm2_f4[[#This Row],[hwycov_id]],[2]flow_freeway!$A$2:$E$1643,5,FALSE),0)</f>
        <v>2005</v>
      </c>
      <c r="K278">
        <f>Table_socioeca8.sandag.org_ws_abm2_f4[[#This Row],[hwycov_id]]</f>
        <v>8353</v>
      </c>
      <c r="L278">
        <f>Table_socioeca8.sandag.org_ws_abm2_f4[[#This Row],[scenario_id]]</f>
        <v>259</v>
      </c>
      <c r="M278">
        <f>Table_socioeca8.sandag.org_ws_abm2_f4[[#This Row],[flow_day]]</f>
        <v>8242</v>
      </c>
      <c r="N278">
        <f>Table_socioeca8.sandag.org_ws_abm2_f4[[#This Row],[flow_am]]</f>
        <v>1634</v>
      </c>
      <c r="O278">
        <f>Table_socioeca8.sandag.org_ws_abm2_f4[[#This Row],[flow_pm]]</f>
        <v>2005</v>
      </c>
    </row>
    <row r="279" spans="5:15" x14ac:dyDescent="0.25">
      <c r="E279">
        <v>8647</v>
      </c>
      <c r="F279">
        <f t="shared" si="4"/>
        <v>259</v>
      </c>
      <c r="G279">
        <f>IFERROR(VLOOKUP(Table_socioeca8.sandag.org_ws_abm2_f4[[#This Row],[hwycov_id]],[2]flow_freeway!$A$2:$E$1643,3,FALSE),0)</f>
        <v>42782</v>
      </c>
      <c r="H279">
        <f>IFERROR(VLOOKUP(Table_socioeca8.sandag.org_ws_abm2_f4[[#This Row],[hwycov_id]],[2]flow_freeway!$A$2:$E$1643,4,FALSE),0)</f>
        <v>13163</v>
      </c>
      <c r="I279">
        <f>IFERROR(VLOOKUP(Table_socioeca8.sandag.org_ws_abm2_f4[[#This Row],[hwycov_id]],[2]flow_freeway!$A$2:$E$1643,5,FALSE),0)</f>
        <v>7831</v>
      </c>
      <c r="K279">
        <f>Table_socioeca8.sandag.org_ws_abm2_f4[[#This Row],[hwycov_id]]</f>
        <v>8647</v>
      </c>
      <c r="L279">
        <f>Table_socioeca8.sandag.org_ws_abm2_f4[[#This Row],[scenario_id]]</f>
        <v>259</v>
      </c>
      <c r="M279">
        <f>Table_socioeca8.sandag.org_ws_abm2_f4[[#This Row],[flow_day]]</f>
        <v>42782</v>
      </c>
      <c r="N279">
        <f>Table_socioeca8.sandag.org_ws_abm2_f4[[#This Row],[flow_am]]</f>
        <v>13163</v>
      </c>
      <c r="O279">
        <f>Table_socioeca8.sandag.org_ws_abm2_f4[[#This Row],[flow_pm]]</f>
        <v>7831</v>
      </c>
    </row>
    <row r="280" spans="5:15" x14ac:dyDescent="0.25">
      <c r="E280">
        <v>8720</v>
      </c>
      <c r="F280">
        <f t="shared" si="4"/>
        <v>259</v>
      </c>
      <c r="G280">
        <f>IFERROR(VLOOKUP(Table_socioeca8.sandag.org_ws_abm2_f4[[#This Row],[hwycov_id]],[2]flow_freeway!$A$2:$E$1643,3,FALSE),0)</f>
        <v>13429</v>
      </c>
      <c r="H280">
        <f>IFERROR(VLOOKUP(Table_socioeca8.sandag.org_ws_abm2_f4[[#This Row],[hwycov_id]],[2]flow_freeway!$A$2:$E$1643,4,FALSE),0)</f>
        <v>1803</v>
      </c>
      <c r="I280">
        <f>IFERROR(VLOOKUP(Table_socioeca8.sandag.org_ws_abm2_f4[[#This Row],[hwycov_id]],[2]flow_freeway!$A$2:$E$1643,5,FALSE),0)</f>
        <v>5461</v>
      </c>
      <c r="K280">
        <f>Table_socioeca8.sandag.org_ws_abm2_f4[[#This Row],[hwycov_id]]</f>
        <v>8720</v>
      </c>
      <c r="L280">
        <f>Table_socioeca8.sandag.org_ws_abm2_f4[[#This Row],[scenario_id]]</f>
        <v>259</v>
      </c>
      <c r="M280">
        <f>Table_socioeca8.sandag.org_ws_abm2_f4[[#This Row],[flow_day]]</f>
        <v>13429</v>
      </c>
      <c r="N280">
        <f>Table_socioeca8.sandag.org_ws_abm2_f4[[#This Row],[flow_am]]</f>
        <v>1803</v>
      </c>
      <c r="O280">
        <f>Table_socioeca8.sandag.org_ws_abm2_f4[[#This Row],[flow_pm]]</f>
        <v>5461</v>
      </c>
    </row>
    <row r="281" spans="5:15" x14ac:dyDescent="0.25">
      <c r="E281">
        <v>8768</v>
      </c>
      <c r="F281">
        <f t="shared" si="4"/>
        <v>259</v>
      </c>
      <c r="G281">
        <f>IFERROR(VLOOKUP(Table_socioeca8.sandag.org_ws_abm2_f4[[#This Row],[hwycov_id]],[2]flow_freeway!$A$2:$E$1643,3,FALSE),0)</f>
        <v>104204</v>
      </c>
      <c r="H281">
        <f>IFERROR(VLOOKUP(Table_socioeca8.sandag.org_ws_abm2_f4[[#This Row],[hwycov_id]],[2]flow_freeway!$A$2:$E$1643,4,FALSE),0)</f>
        <v>15543</v>
      </c>
      <c r="I281">
        <f>IFERROR(VLOOKUP(Table_socioeca8.sandag.org_ws_abm2_f4[[#This Row],[hwycov_id]],[2]flow_freeway!$A$2:$E$1643,5,FALSE),0)</f>
        <v>29858</v>
      </c>
      <c r="K281">
        <f>Table_socioeca8.sandag.org_ws_abm2_f4[[#This Row],[hwycov_id]]</f>
        <v>8768</v>
      </c>
      <c r="L281">
        <f>Table_socioeca8.sandag.org_ws_abm2_f4[[#This Row],[scenario_id]]</f>
        <v>259</v>
      </c>
      <c r="M281">
        <f>Table_socioeca8.sandag.org_ws_abm2_f4[[#This Row],[flow_day]]</f>
        <v>104204</v>
      </c>
      <c r="N281">
        <f>Table_socioeca8.sandag.org_ws_abm2_f4[[#This Row],[flow_am]]</f>
        <v>15543</v>
      </c>
      <c r="O281">
        <f>Table_socioeca8.sandag.org_ws_abm2_f4[[#This Row],[flow_pm]]</f>
        <v>29858</v>
      </c>
    </row>
    <row r="282" spans="5:15" x14ac:dyDescent="0.25">
      <c r="E282">
        <v>8769</v>
      </c>
      <c r="F282">
        <f t="shared" si="4"/>
        <v>259</v>
      </c>
      <c r="G282">
        <f>IFERROR(VLOOKUP(Table_socioeca8.sandag.org_ws_abm2_f4[[#This Row],[hwycov_id]],[2]flow_freeway!$A$2:$E$1643,3,FALSE),0)</f>
        <v>101847</v>
      </c>
      <c r="H282">
        <f>IFERROR(VLOOKUP(Table_socioeca8.sandag.org_ws_abm2_f4[[#This Row],[hwycov_id]],[2]flow_freeway!$A$2:$E$1643,4,FALSE),0)</f>
        <v>24002</v>
      </c>
      <c r="I282">
        <f>IFERROR(VLOOKUP(Table_socioeca8.sandag.org_ws_abm2_f4[[#This Row],[hwycov_id]],[2]flow_freeway!$A$2:$E$1643,5,FALSE),0)</f>
        <v>18292</v>
      </c>
      <c r="K282">
        <f>Table_socioeca8.sandag.org_ws_abm2_f4[[#This Row],[hwycov_id]]</f>
        <v>8769</v>
      </c>
      <c r="L282">
        <f>Table_socioeca8.sandag.org_ws_abm2_f4[[#This Row],[scenario_id]]</f>
        <v>259</v>
      </c>
      <c r="M282">
        <f>Table_socioeca8.sandag.org_ws_abm2_f4[[#This Row],[flow_day]]</f>
        <v>101847</v>
      </c>
      <c r="N282">
        <f>Table_socioeca8.sandag.org_ws_abm2_f4[[#This Row],[flow_am]]</f>
        <v>24002</v>
      </c>
      <c r="O282">
        <f>Table_socioeca8.sandag.org_ws_abm2_f4[[#This Row],[flow_pm]]</f>
        <v>18292</v>
      </c>
    </row>
    <row r="283" spans="5:15" x14ac:dyDescent="0.25">
      <c r="E283">
        <v>8770</v>
      </c>
      <c r="F283">
        <f t="shared" si="4"/>
        <v>259</v>
      </c>
      <c r="G283">
        <f>IFERROR(VLOOKUP(Table_socioeca8.sandag.org_ws_abm2_f4[[#This Row],[hwycov_id]],[2]flow_freeway!$A$2:$E$1643,3,FALSE),0)</f>
        <v>104549</v>
      </c>
      <c r="H283">
        <f>IFERROR(VLOOKUP(Table_socioeca8.sandag.org_ws_abm2_f4[[#This Row],[hwycov_id]],[2]flow_freeway!$A$2:$E$1643,4,FALSE),0)</f>
        <v>17110</v>
      </c>
      <c r="I283">
        <f>IFERROR(VLOOKUP(Table_socioeca8.sandag.org_ws_abm2_f4[[#This Row],[hwycov_id]],[2]flow_freeway!$A$2:$E$1643,5,FALSE),0)</f>
        <v>29487</v>
      </c>
      <c r="K283">
        <f>Table_socioeca8.sandag.org_ws_abm2_f4[[#This Row],[hwycov_id]]</f>
        <v>8770</v>
      </c>
      <c r="L283">
        <f>Table_socioeca8.sandag.org_ws_abm2_f4[[#This Row],[scenario_id]]</f>
        <v>259</v>
      </c>
      <c r="M283">
        <f>Table_socioeca8.sandag.org_ws_abm2_f4[[#This Row],[flow_day]]</f>
        <v>104549</v>
      </c>
      <c r="N283">
        <f>Table_socioeca8.sandag.org_ws_abm2_f4[[#This Row],[flow_am]]</f>
        <v>17110</v>
      </c>
      <c r="O283">
        <f>Table_socioeca8.sandag.org_ws_abm2_f4[[#This Row],[flow_pm]]</f>
        <v>29487</v>
      </c>
    </row>
    <row r="284" spans="5:15" x14ac:dyDescent="0.25">
      <c r="E284">
        <v>8771</v>
      </c>
      <c r="F284">
        <f t="shared" si="4"/>
        <v>259</v>
      </c>
      <c r="G284">
        <f>IFERROR(VLOOKUP(Table_socioeca8.sandag.org_ws_abm2_f4[[#This Row],[hwycov_id]],[2]flow_freeway!$A$2:$E$1643,3,FALSE),0)</f>
        <v>105238</v>
      </c>
      <c r="H284">
        <f>IFERROR(VLOOKUP(Table_socioeca8.sandag.org_ws_abm2_f4[[#This Row],[hwycov_id]],[2]flow_freeway!$A$2:$E$1643,4,FALSE),0)</f>
        <v>23524</v>
      </c>
      <c r="I284">
        <f>IFERROR(VLOOKUP(Table_socioeca8.sandag.org_ws_abm2_f4[[#This Row],[hwycov_id]],[2]flow_freeway!$A$2:$E$1643,5,FALSE),0)</f>
        <v>20305</v>
      </c>
      <c r="K284">
        <f>Table_socioeca8.sandag.org_ws_abm2_f4[[#This Row],[hwycov_id]]</f>
        <v>8771</v>
      </c>
      <c r="L284">
        <f>Table_socioeca8.sandag.org_ws_abm2_f4[[#This Row],[scenario_id]]</f>
        <v>259</v>
      </c>
      <c r="M284">
        <f>Table_socioeca8.sandag.org_ws_abm2_f4[[#This Row],[flow_day]]</f>
        <v>105238</v>
      </c>
      <c r="N284">
        <f>Table_socioeca8.sandag.org_ws_abm2_f4[[#This Row],[flow_am]]</f>
        <v>23524</v>
      </c>
      <c r="O284">
        <f>Table_socioeca8.sandag.org_ws_abm2_f4[[#This Row],[flow_pm]]</f>
        <v>20305</v>
      </c>
    </row>
    <row r="285" spans="5:15" x14ac:dyDescent="0.25">
      <c r="E285">
        <v>8772</v>
      </c>
      <c r="F285">
        <f t="shared" si="4"/>
        <v>259</v>
      </c>
      <c r="G285">
        <f>IFERROR(VLOOKUP(Table_socioeca8.sandag.org_ws_abm2_f4[[#This Row],[hwycov_id]],[2]flow_freeway!$A$2:$E$1643,3,FALSE),0)</f>
        <v>105919</v>
      </c>
      <c r="H285">
        <f>IFERROR(VLOOKUP(Table_socioeca8.sandag.org_ws_abm2_f4[[#This Row],[hwycov_id]],[2]flow_freeway!$A$2:$E$1643,4,FALSE),0)</f>
        <v>24299</v>
      </c>
      <c r="I285">
        <f>IFERROR(VLOOKUP(Table_socioeca8.sandag.org_ws_abm2_f4[[#This Row],[hwycov_id]],[2]flow_freeway!$A$2:$E$1643,5,FALSE),0)</f>
        <v>20110</v>
      </c>
      <c r="K285">
        <f>Table_socioeca8.sandag.org_ws_abm2_f4[[#This Row],[hwycov_id]]</f>
        <v>8772</v>
      </c>
      <c r="L285">
        <f>Table_socioeca8.sandag.org_ws_abm2_f4[[#This Row],[scenario_id]]</f>
        <v>259</v>
      </c>
      <c r="M285">
        <f>Table_socioeca8.sandag.org_ws_abm2_f4[[#This Row],[flow_day]]</f>
        <v>105919</v>
      </c>
      <c r="N285">
        <f>Table_socioeca8.sandag.org_ws_abm2_f4[[#This Row],[flow_am]]</f>
        <v>24299</v>
      </c>
      <c r="O285">
        <f>Table_socioeca8.sandag.org_ws_abm2_f4[[#This Row],[flow_pm]]</f>
        <v>20110</v>
      </c>
    </row>
    <row r="286" spans="5:15" x14ac:dyDescent="0.25">
      <c r="E286">
        <v>8773</v>
      </c>
      <c r="F286">
        <f t="shared" si="4"/>
        <v>259</v>
      </c>
      <c r="G286">
        <f>IFERROR(VLOOKUP(Table_socioeca8.sandag.org_ws_abm2_f4[[#This Row],[hwycov_id]],[2]flow_freeway!$A$2:$E$1643,3,FALSE),0)</f>
        <v>101871</v>
      </c>
      <c r="H286">
        <f>IFERROR(VLOOKUP(Table_socioeca8.sandag.org_ws_abm2_f4[[#This Row],[hwycov_id]],[2]flow_freeway!$A$2:$E$1643,4,FALSE),0)</f>
        <v>23531</v>
      </c>
      <c r="I286">
        <f>IFERROR(VLOOKUP(Table_socioeca8.sandag.org_ws_abm2_f4[[#This Row],[hwycov_id]],[2]flow_freeway!$A$2:$E$1643,5,FALSE),0)</f>
        <v>19112</v>
      </c>
      <c r="K286">
        <f>Table_socioeca8.sandag.org_ws_abm2_f4[[#This Row],[hwycov_id]]</f>
        <v>8773</v>
      </c>
      <c r="L286">
        <f>Table_socioeca8.sandag.org_ws_abm2_f4[[#This Row],[scenario_id]]</f>
        <v>259</v>
      </c>
      <c r="M286">
        <f>Table_socioeca8.sandag.org_ws_abm2_f4[[#This Row],[flow_day]]</f>
        <v>101871</v>
      </c>
      <c r="N286">
        <f>Table_socioeca8.sandag.org_ws_abm2_f4[[#This Row],[flow_am]]</f>
        <v>23531</v>
      </c>
      <c r="O286">
        <f>Table_socioeca8.sandag.org_ws_abm2_f4[[#This Row],[flow_pm]]</f>
        <v>19112</v>
      </c>
    </row>
    <row r="287" spans="5:15" x14ac:dyDescent="0.25">
      <c r="E287">
        <v>8774</v>
      </c>
      <c r="F287">
        <f t="shared" si="4"/>
        <v>259</v>
      </c>
      <c r="G287">
        <f>IFERROR(VLOOKUP(Table_socioeca8.sandag.org_ws_abm2_f4[[#This Row],[hwycov_id]],[2]flow_freeway!$A$2:$E$1643,3,FALSE),0)</f>
        <v>108601</v>
      </c>
      <c r="H287">
        <f>IFERROR(VLOOKUP(Table_socioeca8.sandag.org_ws_abm2_f4[[#This Row],[hwycov_id]],[2]flow_freeway!$A$2:$E$1643,4,FALSE),0)</f>
        <v>26321</v>
      </c>
      <c r="I287">
        <f>IFERROR(VLOOKUP(Table_socioeca8.sandag.org_ws_abm2_f4[[#This Row],[hwycov_id]],[2]flow_freeway!$A$2:$E$1643,5,FALSE),0)</f>
        <v>20306</v>
      </c>
      <c r="K287">
        <f>Table_socioeca8.sandag.org_ws_abm2_f4[[#This Row],[hwycov_id]]</f>
        <v>8774</v>
      </c>
      <c r="L287">
        <f>Table_socioeca8.sandag.org_ws_abm2_f4[[#This Row],[scenario_id]]</f>
        <v>259</v>
      </c>
      <c r="M287">
        <f>Table_socioeca8.sandag.org_ws_abm2_f4[[#This Row],[flow_day]]</f>
        <v>108601</v>
      </c>
      <c r="N287">
        <f>Table_socioeca8.sandag.org_ws_abm2_f4[[#This Row],[flow_am]]</f>
        <v>26321</v>
      </c>
      <c r="O287">
        <f>Table_socioeca8.sandag.org_ws_abm2_f4[[#This Row],[flow_pm]]</f>
        <v>20306</v>
      </c>
    </row>
    <row r="288" spans="5:15" x14ac:dyDescent="0.25">
      <c r="E288">
        <v>8775</v>
      </c>
      <c r="F288">
        <f t="shared" si="4"/>
        <v>259</v>
      </c>
      <c r="G288">
        <f>IFERROR(VLOOKUP(Table_socioeca8.sandag.org_ws_abm2_f4[[#This Row],[hwycov_id]],[2]flow_freeway!$A$2:$E$1643,3,FALSE),0)</f>
        <v>113471</v>
      </c>
      <c r="H288">
        <f>IFERROR(VLOOKUP(Table_socioeca8.sandag.org_ws_abm2_f4[[#This Row],[hwycov_id]],[2]flow_freeway!$A$2:$E$1643,4,FALSE),0)</f>
        <v>27762</v>
      </c>
      <c r="I288">
        <f>IFERROR(VLOOKUP(Table_socioeca8.sandag.org_ws_abm2_f4[[#This Row],[hwycov_id]],[2]flow_freeway!$A$2:$E$1643,5,FALSE),0)</f>
        <v>21931</v>
      </c>
      <c r="K288">
        <f>Table_socioeca8.sandag.org_ws_abm2_f4[[#This Row],[hwycov_id]]</f>
        <v>8775</v>
      </c>
      <c r="L288">
        <f>Table_socioeca8.sandag.org_ws_abm2_f4[[#This Row],[scenario_id]]</f>
        <v>259</v>
      </c>
      <c r="M288">
        <f>Table_socioeca8.sandag.org_ws_abm2_f4[[#This Row],[flow_day]]</f>
        <v>113471</v>
      </c>
      <c r="N288">
        <f>Table_socioeca8.sandag.org_ws_abm2_f4[[#This Row],[flow_am]]</f>
        <v>27762</v>
      </c>
      <c r="O288">
        <f>Table_socioeca8.sandag.org_ws_abm2_f4[[#This Row],[flow_pm]]</f>
        <v>21931</v>
      </c>
    </row>
    <row r="289" spans="5:15" x14ac:dyDescent="0.25">
      <c r="E289">
        <v>8776</v>
      </c>
      <c r="F289">
        <f t="shared" si="4"/>
        <v>259</v>
      </c>
      <c r="G289">
        <f>IFERROR(VLOOKUP(Table_socioeca8.sandag.org_ws_abm2_f4[[#This Row],[hwycov_id]],[2]flow_freeway!$A$2:$E$1643,3,FALSE),0)</f>
        <v>122610</v>
      </c>
      <c r="H289">
        <f>IFERROR(VLOOKUP(Table_socioeca8.sandag.org_ws_abm2_f4[[#This Row],[hwycov_id]],[2]flow_freeway!$A$2:$E$1643,4,FALSE),0)</f>
        <v>18928</v>
      </c>
      <c r="I289">
        <f>IFERROR(VLOOKUP(Table_socioeca8.sandag.org_ws_abm2_f4[[#This Row],[hwycov_id]],[2]flow_freeway!$A$2:$E$1643,5,FALSE),0)</f>
        <v>34197</v>
      </c>
      <c r="K289">
        <f>Table_socioeca8.sandag.org_ws_abm2_f4[[#This Row],[hwycov_id]]</f>
        <v>8776</v>
      </c>
      <c r="L289">
        <f>Table_socioeca8.sandag.org_ws_abm2_f4[[#This Row],[scenario_id]]</f>
        <v>259</v>
      </c>
      <c r="M289">
        <f>Table_socioeca8.sandag.org_ws_abm2_f4[[#This Row],[flow_day]]</f>
        <v>122610</v>
      </c>
      <c r="N289">
        <f>Table_socioeca8.sandag.org_ws_abm2_f4[[#This Row],[flow_am]]</f>
        <v>18928</v>
      </c>
      <c r="O289">
        <f>Table_socioeca8.sandag.org_ws_abm2_f4[[#This Row],[flow_pm]]</f>
        <v>34197</v>
      </c>
    </row>
    <row r="290" spans="5:15" x14ac:dyDescent="0.25">
      <c r="E290">
        <v>8777</v>
      </c>
      <c r="F290">
        <f t="shared" si="4"/>
        <v>259</v>
      </c>
      <c r="G290">
        <f>IFERROR(VLOOKUP(Table_socioeca8.sandag.org_ws_abm2_f4[[#This Row],[hwycov_id]],[2]flow_freeway!$A$2:$E$1643,3,FALSE),0)</f>
        <v>83100</v>
      </c>
      <c r="H290">
        <f>IFERROR(VLOOKUP(Table_socioeca8.sandag.org_ws_abm2_f4[[#This Row],[hwycov_id]],[2]flow_freeway!$A$2:$E$1643,4,FALSE),0)</f>
        <v>16880</v>
      </c>
      <c r="I290">
        <f>IFERROR(VLOOKUP(Table_socioeca8.sandag.org_ws_abm2_f4[[#This Row],[hwycov_id]],[2]flow_freeway!$A$2:$E$1643,5,FALSE),0)</f>
        <v>24986</v>
      </c>
      <c r="K290">
        <f>Table_socioeca8.sandag.org_ws_abm2_f4[[#This Row],[hwycov_id]]</f>
        <v>8777</v>
      </c>
      <c r="L290">
        <f>Table_socioeca8.sandag.org_ws_abm2_f4[[#This Row],[scenario_id]]</f>
        <v>259</v>
      </c>
      <c r="M290">
        <f>Table_socioeca8.sandag.org_ws_abm2_f4[[#This Row],[flow_day]]</f>
        <v>83100</v>
      </c>
      <c r="N290">
        <f>Table_socioeca8.sandag.org_ws_abm2_f4[[#This Row],[flow_am]]</f>
        <v>16880</v>
      </c>
      <c r="O290">
        <f>Table_socioeca8.sandag.org_ws_abm2_f4[[#This Row],[flow_pm]]</f>
        <v>24986</v>
      </c>
    </row>
    <row r="291" spans="5:15" x14ac:dyDescent="0.25">
      <c r="E291">
        <v>8778</v>
      </c>
      <c r="F291">
        <f t="shared" si="4"/>
        <v>259</v>
      </c>
      <c r="G291">
        <f>IFERROR(VLOOKUP(Table_socioeca8.sandag.org_ws_abm2_f4[[#This Row],[hwycov_id]],[2]flow_freeway!$A$2:$E$1643,3,FALSE),0)</f>
        <v>94559</v>
      </c>
      <c r="H291">
        <f>IFERROR(VLOOKUP(Table_socioeca8.sandag.org_ws_abm2_f4[[#This Row],[hwycov_id]],[2]flow_freeway!$A$2:$E$1643,4,FALSE),0)</f>
        <v>18859</v>
      </c>
      <c r="I291">
        <f>IFERROR(VLOOKUP(Table_socioeca8.sandag.org_ws_abm2_f4[[#This Row],[hwycov_id]],[2]flow_freeway!$A$2:$E$1643,5,FALSE),0)</f>
        <v>27807</v>
      </c>
      <c r="K291">
        <f>Table_socioeca8.sandag.org_ws_abm2_f4[[#This Row],[hwycov_id]]</f>
        <v>8778</v>
      </c>
      <c r="L291">
        <f>Table_socioeca8.sandag.org_ws_abm2_f4[[#This Row],[scenario_id]]</f>
        <v>259</v>
      </c>
      <c r="M291">
        <f>Table_socioeca8.sandag.org_ws_abm2_f4[[#This Row],[flow_day]]</f>
        <v>94559</v>
      </c>
      <c r="N291">
        <f>Table_socioeca8.sandag.org_ws_abm2_f4[[#This Row],[flow_am]]</f>
        <v>18859</v>
      </c>
      <c r="O291">
        <f>Table_socioeca8.sandag.org_ws_abm2_f4[[#This Row],[flow_pm]]</f>
        <v>27807</v>
      </c>
    </row>
    <row r="292" spans="5:15" x14ac:dyDescent="0.25">
      <c r="E292">
        <v>8780</v>
      </c>
      <c r="F292">
        <f t="shared" si="4"/>
        <v>259</v>
      </c>
      <c r="G292">
        <f>IFERROR(VLOOKUP(Table_socioeca8.sandag.org_ws_abm2_f4[[#This Row],[hwycov_id]],[2]flow_freeway!$A$2:$E$1643,3,FALSE),0)</f>
        <v>76340</v>
      </c>
      <c r="H292">
        <f>IFERROR(VLOOKUP(Table_socioeca8.sandag.org_ws_abm2_f4[[#This Row],[hwycov_id]],[2]flow_freeway!$A$2:$E$1643,4,FALSE),0)</f>
        <v>16202</v>
      </c>
      <c r="I292">
        <f>IFERROR(VLOOKUP(Table_socioeca8.sandag.org_ws_abm2_f4[[#This Row],[hwycov_id]],[2]flow_freeway!$A$2:$E$1643,5,FALSE),0)</f>
        <v>21651</v>
      </c>
      <c r="K292">
        <f>Table_socioeca8.sandag.org_ws_abm2_f4[[#This Row],[hwycov_id]]</f>
        <v>8780</v>
      </c>
      <c r="L292">
        <f>Table_socioeca8.sandag.org_ws_abm2_f4[[#This Row],[scenario_id]]</f>
        <v>259</v>
      </c>
      <c r="M292">
        <f>Table_socioeca8.sandag.org_ws_abm2_f4[[#This Row],[flow_day]]</f>
        <v>76340</v>
      </c>
      <c r="N292">
        <f>Table_socioeca8.sandag.org_ws_abm2_f4[[#This Row],[flow_am]]</f>
        <v>16202</v>
      </c>
      <c r="O292">
        <f>Table_socioeca8.sandag.org_ws_abm2_f4[[#This Row],[flow_pm]]</f>
        <v>21651</v>
      </c>
    </row>
    <row r="293" spans="5:15" x14ac:dyDescent="0.25">
      <c r="E293">
        <v>8781</v>
      </c>
      <c r="F293">
        <f t="shared" si="4"/>
        <v>259</v>
      </c>
      <c r="G293">
        <f>IFERROR(VLOOKUP(Table_socioeca8.sandag.org_ws_abm2_f4[[#This Row],[hwycov_id]],[2]flow_freeway!$A$2:$E$1643,3,FALSE),0)</f>
        <v>75703</v>
      </c>
      <c r="H293">
        <f>IFERROR(VLOOKUP(Table_socioeca8.sandag.org_ws_abm2_f4[[#This Row],[hwycov_id]],[2]flow_freeway!$A$2:$E$1643,4,FALSE),0)</f>
        <v>17887</v>
      </c>
      <c r="I293">
        <f>IFERROR(VLOOKUP(Table_socioeca8.sandag.org_ws_abm2_f4[[#This Row],[hwycov_id]],[2]flow_freeway!$A$2:$E$1643,5,FALSE),0)</f>
        <v>18190</v>
      </c>
      <c r="K293">
        <f>Table_socioeca8.sandag.org_ws_abm2_f4[[#This Row],[hwycov_id]]</f>
        <v>8781</v>
      </c>
      <c r="L293">
        <f>Table_socioeca8.sandag.org_ws_abm2_f4[[#This Row],[scenario_id]]</f>
        <v>259</v>
      </c>
      <c r="M293">
        <f>Table_socioeca8.sandag.org_ws_abm2_f4[[#This Row],[flow_day]]</f>
        <v>75703</v>
      </c>
      <c r="N293">
        <f>Table_socioeca8.sandag.org_ws_abm2_f4[[#This Row],[flow_am]]</f>
        <v>17887</v>
      </c>
      <c r="O293">
        <f>Table_socioeca8.sandag.org_ws_abm2_f4[[#This Row],[flow_pm]]</f>
        <v>18190</v>
      </c>
    </row>
    <row r="294" spans="5:15" x14ac:dyDescent="0.25">
      <c r="E294">
        <v>8784</v>
      </c>
      <c r="F294">
        <f t="shared" si="4"/>
        <v>259</v>
      </c>
      <c r="G294">
        <f>IFERROR(VLOOKUP(Table_socioeca8.sandag.org_ws_abm2_f4[[#This Row],[hwycov_id]],[2]flow_freeway!$A$2:$E$1643,3,FALSE),0)</f>
        <v>106271</v>
      </c>
      <c r="H294">
        <f>IFERROR(VLOOKUP(Table_socioeca8.sandag.org_ws_abm2_f4[[#This Row],[hwycov_id]],[2]flow_freeway!$A$2:$E$1643,4,FALSE),0)</f>
        <v>22867</v>
      </c>
      <c r="I294">
        <f>IFERROR(VLOOKUP(Table_socioeca8.sandag.org_ws_abm2_f4[[#This Row],[hwycov_id]],[2]flow_freeway!$A$2:$E$1643,5,FALSE),0)</f>
        <v>25920</v>
      </c>
      <c r="K294">
        <f>Table_socioeca8.sandag.org_ws_abm2_f4[[#This Row],[hwycov_id]]</f>
        <v>8784</v>
      </c>
      <c r="L294">
        <f>Table_socioeca8.sandag.org_ws_abm2_f4[[#This Row],[scenario_id]]</f>
        <v>259</v>
      </c>
      <c r="M294">
        <f>Table_socioeca8.sandag.org_ws_abm2_f4[[#This Row],[flow_day]]</f>
        <v>106271</v>
      </c>
      <c r="N294">
        <f>Table_socioeca8.sandag.org_ws_abm2_f4[[#This Row],[flow_am]]</f>
        <v>22867</v>
      </c>
      <c r="O294">
        <f>Table_socioeca8.sandag.org_ws_abm2_f4[[#This Row],[flow_pm]]</f>
        <v>25920</v>
      </c>
    </row>
    <row r="295" spans="5:15" x14ac:dyDescent="0.25">
      <c r="E295">
        <v>8785</v>
      </c>
      <c r="F295">
        <f t="shared" si="4"/>
        <v>259</v>
      </c>
      <c r="G295">
        <f>IFERROR(VLOOKUP(Table_socioeca8.sandag.org_ws_abm2_f4[[#This Row],[hwycov_id]],[2]flow_freeway!$A$2:$E$1643,3,FALSE),0)</f>
        <v>111386</v>
      </c>
      <c r="H295">
        <f>IFERROR(VLOOKUP(Table_socioeca8.sandag.org_ws_abm2_f4[[#This Row],[hwycov_id]],[2]flow_freeway!$A$2:$E$1643,4,FALSE),0)</f>
        <v>24233</v>
      </c>
      <c r="I295">
        <f>IFERROR(VLOOKUP(Table_socioeca8.sandag.org_ws_abm2_f4[[#This Row],[hwycov_id]],[2]flow_freeway!$A$2:$E$1643,5,FALSE),0)</f>
        <v>27154</v>
      </c>
      <c r="K295">
        <f>Table_socioeca8.sandag.org_ws_abm2_f4[[#This Row],[hwycov_id]]</f>
        <v>8785</v>
      </c>
      <c r="L295">
        <f>Table_socioeca8.sandag.org_ws_abm2_f4[[#This Row],[scenario_id]]</f>
        <v>259</v>
      </c>
      <c r="M295">
        <f>Table_socioeca8.sandag.org_ws_abm2_f4[[#This Row],[flow_day]]</f>
        <v>111386</v>
      </c>
      <c r="N295">
        <f>Table_socioeca8.sandag.org_ws_abm2_f4[[#This Row],[flow_am]]</f>
        <v>24233</v>
      </c>
      <c r="O295">
        <f>Table_socioeca8.sandag.org_ws_abm2_f4[[#This Row],[flow_pm]]</f>
        <v>27154</v>
      </c>
    </row>
    <row r="296" spans="5:15" x14ac:dyDescent="0.25">
      <c r="E296">
        <v>8786</v>
      </c>
      <c r="F296">
        <f t="shared" si="4"/>
        <v>259</v>
      </c>
      <c r="G296">
        <f>IFERROR(VLOOKUP(Table_socioeca8.sandag.org_ws_abm2_f4[[#This Row],[hwycov_id]],[2]flow_freeway!$A$2:$E$1643,3,FALSE),0)</f>
        <v>103717</v>
      </c>
      <c r="H296">
        <f>IFERROR(VLOOKUP(Table_socioeca8.sandag.org_ws_abm2_f4[[#This Row],[hwycov_id]],[2]flow_freeway!$A$2:$E$1643,4,FALSE),0)</f>
        <v>21525</v>
      </c>
      <c r="I296">
        <f>IFERROR(VLOOKUP(Table_socioeca8.sandag.org_ws_abm2_f4[[#This Row],[hwycov_id]],[2]flow_freeway!$A$2:$E$1643,5,FALSE),0)</f>
        <v>26792</v>
      </c>
      <c r="K296">
        <f>Table_socioeca8.sandag.org_ws_abm2_f4[[#This Row],[hwycov_id]]</f>
        <v>8786</v>
      </c>
      <c r="L296">
        <f>Table_socioeca8.sandag.org_ws_abm2_f4[[#This Row],[scenario_id]]</f>
        <v>259</v>
      </c>
      <c r="M296">
        <f>Table_socioeca8.sandag.org_ws_abm2_f4[[#This Row],[flow_day]]</f>
        <v>103717</v>
      </c>
      <c r="N296">
        <f>Table_socioeca8.sandag.org_ws_abm2_f4[[#This Row],[flow_am]]</f>
        <v>21525</v>
      </c>
      <c r="O296">
        <f>Table_socioeca8.sandag.org_ws_abm2_f4[[#This Row],[flow_pm]]</f>
        <v>26792</v>
      </c>
    </row>
    <row r="297" spans="5:15" x14ac:dyDescent="0.25">
      <c r="E297">
        <v>8787</v>
      </c>
      <c r="F297">
        <f t="shared" si="4"/>
        <v>259</v>
      </c>
      <c r="G297">
        <f>IFERROR(VLOOKUP(Table_socioeca8.sandag.org_ws_abm2_f4[[#This Row],[hwycov_id]],[2]flow_freeway!$A$2:$E$1643,3,FALSE),0)</f>
        <v>96875</v>
      </c>
      <c r="H297">
        <f>IFERROR(VLOOKUP(Table_socioeca8.sandag.org_ws_abm2_f4[[#This Row],[hwycov_id]],[2]flow_freeway!$A$2:$E$1643,4,FALSE),0)</f>
        <v>19895</v>
      </c>
      <c r="I297">
        <f>IFERROR(VLOOKUP(Table_socioeca8.sandag.org_ws_abm2_f4[[#This Row],[hwycov_id]],[2]flow_freeway!$A$2:$E$1643,5,FALSE),0)</f>
        <v>25193</v>
      </c>
      <c r="K297">
        <f>Table_socioeca8.sandag.org_ws_abm2_f4[[#This Row],[hwycov_id]]</f>
        <v>8787</v>
      </c>
      <c r="L297">
        <f>Table_socioeca8.sandag.org_ws_abm2_f4[[#This Row],[scenario_id]]</f>
        <v>259</v>
      </c>
      <c r="M297">
        <f>Table_socioeca8.sandag.org_ws_abm2_f4[[#This Row],[flow_day]]</f>
        <v>96875</v>
      </c>
      <c r="N297">
        <f>Table_socioeca8.sandag.org_ws_abm2_f4[[#This Row],[flow_am]]</f>
        <v>19895</v>
      </c>
      <c r="O297">
        <f>Table_socioeca8.sandag.org_ws_abm2_f4[[#This Row],[flow_pm]]</f>
        <v>25193</v>
      </c>
    </row>
    <row r="298" spans="5:15" x14ac:dyDescent="0.25">
      <c r="E298">
        <v>8788</v>
      </c>
      <c r="F298">
        <f t="shared" si="4"/>
        <v>259</v>
      </c>
      <c r="G298">
        <f>IFERROR(VLOOKUP(Table_socioeca8.sandag.org_ws_abm2_f4[[#This Row],[hwycov_id]],[2]flow_freeway!$A$2:$E$1643,3,FALSE),0)</f>
        <v>101674</v>
      </c>
      <c r="H298">
        <f>IFERROR(VLOOKUP(Table_socioeca8.sandag.org_ws_abm2_f4[[#This Row],[hwycov_id]],[2]flow_freeway!$A$2:$E$1643,4,FALSE),0)</f>
        <v>20809</v>
      </c>
      <c r="I298">
        <f>IFERROR(VLOOKUP(Table_socioeca8.sandag.org_ws_abm2_f4[[#This Row],[hwycov_id]],[2]flow_freeway!$A$2:$E$1643,5,FALSE),0)</f>
        <v>26879</v>
      </c>
      <c r="K298">
        <f>Table_socioeca8.sandag.org_ws_abm2_f4[[#This Row],[hwycov_id]]</f>
        <v>8788</v>
      </c>
      <c r="L298">
        <f>Table_socioeca8.sandag.org_ws_abm2_f4[[#This Row],[scenario_id]]</f>
        <v>259</v>
      </c>
      <c r="M298">
        <f>Table_socioeca8.sandag.org_ws_abm2_f4[[#This Row],[flow_day]]</f>
        <v>101674</v>
      </c>
      <c r="N298">
        <f>Table_socioeca8.sandag.org_ws_abm2_f4[[#This Row],[flow_am]]</f>
        <v>20809</v>
      </c>
      <c r="O298">
        <f>Table_socioeca8.sandag.org_ws_abm2_f4[[#This Row],[flow_pm]]</f>
        <v>26879</v>
      </c>
    </row>
    <row r="299" spans="5:15" x14ac:dyDescent="0.25">
      <c r="E299">
        <v>8789</v>
      </c>
      <c r="F299">
        <f t="shared" si="4"/>
        <v>259</v>
      </c>
      <c r="G299">
        <f>IFERROR(VLOOKUP(Table_socioeca8.sandag.org_ws_abm2_f4[[#This Row],[hwycov_id]],[2]flow_freeway!$A$2:$E$1643,3,FALSE),0)</f>
        <v>105554</v>
      </c>
      <c r="H299">
        <f>IFERROR(VLOOKUP(Table_socioeca8.sandag.org_ws_abm2_f4[[#This Row],[hwycov_id]],[2]flow_freeway!$A$2:$E$1643,4,FALSE),0)</f>
        <v>22329</v>
      </c>
      <c r="I299">
        <f>IFERROR(VLOOKUP(Table_socioeca8.sandag.org_ws_abm2_f4[[#This Row],[hwycov_id]],[2]flow_freeway!$A$2:$E$1643,5,FALSE),0)</f>
        <v>27562</v>
      </c>
      <c r="K299">
        <f>Table_socioeca8.sandag.org_ws_abm2_f4[[#This Row],[hwycov_id]]</f>
        <v>8789</v>
      </c>
      <c r="L299">
        <f>Table_socioeca8.sandag.org_ws_abm2_f4[[#This Row],[scenario_id]]</f>
        <v>259</v>
      </c>
      <c r="M299">
        <f>Table_socioeca8.sandag.org_ws_abm2_f4[[#This Row],[flow_day]]</f>
        <v>105554</v>
      </c>
      <c r="N299">
        <f>Table_socioeca8.sandag.org_ws_abm2_f4[[#This Row],[flow_am]]</f>
        <v>22329</v>
      </c>
      <c r="O299">
        <f>Table_socioeca8.sandag.org_ws_abm2_f4[[#This Row],[flow_pm]]</f>
        <v>27562</v>
      </c>
    </row>
    <row r="300" spans="5:15" x14ac:dyDescent="0.25">
      <c r="E300">
        <v>8790</v>
      </c>
      <c r="F300">
        <f t="shared" si="4"/>
        <v>259</v>
      </c>
      <c r="G300">
        <f>IFERROR(VLOOKUP(Table_socioeca8.sandag.org_ws_abm2_f4[[#This Row],[hwycov_id]],[2]flow_freeway!$A$2:$E$1643,3,FALSE),0)</f>
        <v>114334</v>
      </c>
      <c r="H300">
        <f>IFERROR(VLOOKUP(Table_socioeca8.sandag.org_ws_abm2_f4[[#This Row],[hwycov_id]],[2]flow_freeway!$A$2:$E$1643,4,FALSE),0)</f>
        <v>24225</v>
      </c>
      <c r="I300">
        <f>IFERROR(VLOOKUP(Table_socioeca8.sandag.org_ws_abm2_f4[[#This Row],[hwycov_id]],[2]flow_freeway!$A$2:$E$1643,5,FALSE),0)</f>
        <v>28193</v>
      </c>
      <c r="K300">
        <f>Table_socioeca8.sandag.org_ws_abm2_f4[[#This Row],[hwycov_id]]</f>
        <v>8790</v>
      </c>
      <c r="L300">
        <f>Table_socioeca8.sandag.org_ws_abm2_f4[[#This Row],[scenario_id]]</f>
        <v>259</v>
      </c>
      <c r="M300">
        <f>Table_socioeca8.sandag.org_ws_abm2_f4[[#This Row],[flow_day]]</f>
        <v>114334</v>
      </c>
      <c r="N300">
        <f>Table_socioeca8.sandag.org_ws_abm2_f4[[#This Row],[flow_am]]</f>
        <v>24225</v>
      </c>
      <c r="O300">
        <f>Table_socioeca8.sandag.org_ws_abm2_f4[[#This Row],[flow_pm]]</f>
        <v>28193</v>
      </c>
    </row>
    <row r="301" spans="5:15" x14ac:dyDescent="0.25">
      <c r="E301">
        <v>8791</v>
      </c>
      <c r="F301">
        <f t="shared" si="4"/>
        <v>259</v>
      </c>
      <c r="G301">
        <f>IFERROR(VLOOKUP(Table_socioeca8.sandag.org_ws_abm2_f4[[#This Row],[hwycov_id]],[2]flow_freeway!$A$2:$E$1643,3,FALSE),0)</f>
        <v>94609</v>
      </c>
      <c r="H301">
        <f>IFERROR(VLOOKUP(Table_socioeca8.sandag.org_ws_abm2_f4[[#This Row],[hwycov_id]],[2]flow_freeway!$A$2:$E$1643,4,FALSE),0)</f>
        <v>20179</v>
      </c>
      <c r="I301">
        <f>IFERROR(VLOOKUP(Table_socioeca8.sandag.org_ws_abm2_f4[[#This Row],[hwycov_id]],[2]flow_freeway!$A$2:$E$1643,5,FALSE),0)</f>
        <v>25120</v>
      </c>
      <c r="K301">
        <f>Table_socioeca8.sandag.org_ws_abm2_f4[[#This Row],[hwycov_id]]</f>
        <v>8791</v>
      </c>
      <c r="L301">
        <f>Table_socioeca8.sandag.org_ws_abm2_f4[[#This Row],[scenario_id]]</f>
        <v>259</v>
      </c>
      <c r="M301">
        <f>Table_socioeca8.sandag.org_ws_abm2_f4[[#This Row],[flow_day]]</f>
        <v>94609</v>
      </c>
      <c r="N301">
        <f>Table_socioeca8.sandag.org_ws_abm2_f4[[#This Row],[flow_am]]</f>
        <v>20179</v>
      </c>
      <c r="O301">
        <f>Table_socioeca8.sandag.org_ws_abm2_f4[[#This Row],[flow_pm]]</f>
        <v>25120</v>
      </c>
    </row>
    <row r="302" spans="5:15" x14ac:dyDescent="0.25">
      <c r="E302">
        <v>8792</v>
      </c>
      <c r="F302">
        <f t="shared" si="4"/>
        <v>259</v>
      </c>
      <c r="G302">
        <f>IFERROR(VLOOKUP(Table_socioeca8.sandag.org_ws_abm2_f4[[#This Row],[hwycov_id]],[2]flow_freeway!$A$2:$E$1643,3,FALSE),0)</f>
        <v>100921</v>
      </c>
      <c r="H302">
        <f>IFERROR(VLOOKUP(Table_socioeca8.sandag.org_ws_abm2_f4[[#This Row],[hwycov_id]],[2]flow_freeway!$A$2:$E$1643,4,FALSE),0)</f>
        <v>22106</v>
      </c>
      <c r="I302">
        <f>IFERROR(VLOOKUP(Table_socioeca8.sandag.org_ws_abm2_f4[[#This Row],[hwycov_id]],[2]flow_freeway!$A$2:$E$1643,5,FALSE),0)</f>
        <v>25625</v>
      </c>
      <c r="K302">
        <f>Table_socioeca8.sandag.org_ws_abm2_f4[[#This Row],[hwycov_id]]</f>
        <v>8792</v>
      </c>
      <c r="L302">
        <f>Table_socioeca8.sandag.org_ws_abm2_f4[[#This Row],[scenario_id]]</f>
        <v>259</v>
      </c>
      <c r="M302">
        <f>Table_socioeca8.sandag.org_ws_abm2_f4[[#This Row],[flow_day]]</f>
        <v>100921</v>
      </c>
      <c r="N302">
        <f>Table_socioeca8.sandag.org_ws_abm2_f4[[#This Row],[flow_am]]</f>
        <v>22106</v>
      </c>
      <c r="O302">
        <f>Table_socioeca8.sandag.org_ws_abm2_f4[[#This Row],[flow_pm]]</f>
        <v>25625</v>
      </c>
    </row>
    <row r="303" spans="5:15" x14ac:dyDescent="0.25">
      <c r="E303">
        <v>8793</v>
      </c>
      <c r="F303">
        <f t="shared" si="4"/>
        <v>259</v>
      </c>
      <c r="G303">
        <f>IFERROR(VLOOKUP(Table_socioeca8.sandag.org_ws_abm2_f4[[#This Row],[hwycov_id]],[2]flow_freeway!$A$2:$E$1643,3,FALSE),0)</f>
        <v>106854</v>
      </c>
      <c r="H303">
        <f>IFERROR(VLOOKUP(Table_socioeca8.sandag.org_ws_abm2_f4[[#This Row],[hwycov_id]],[2]flow_freeway!$A$2:$E$1643,4,FALSE),0)</f>
        <v>21728</v>
      </c>
      <c r="I303">
        <f>IFERROR(VLOOKUP(Table_socioeca8.sandag.org_ws_abm2_f4[[#This Row],[hwycov_id]],[2]flow_freeway!$A$2:$E$1643,5,FALSE),0)</f>
        <v>27795</v>
      </c>
      <c r="K303">
        <f>Table_socioeca8.sandag.org_ws_abm2_f4[[#This Row],[hwycov_id]]</f>
        <v>8793</v>
      </c>
      <c r="L303">
        <f>Table_socioeca8.sandag.org_ws_abm2_f4[[#This Row],[scenario_id]]</f>
        <v>259</v>
      </c>
      <c r="M303">
        <f>Table_socioeca8.sandag.org_ws_abm2_f4[[#This Row],[flow_day]]</f>
        <v>106854</v>
      </c>
      <c r="N303">
        <f>Table_socioeca8.sandag.org_ws_abm2_f4[[#This Row],[flow_am]]</f>
        <v>21728</v>
      </c>
      <c r="O303">
        <f>Table_socioeca8.sandag.org_ws_abm2_f4[[#This Row],[flow_pm]]</f>
        <v>27795</v>
      </c>
    </row>
    <row r="304" spans="5:15" x14ac:dyDescent="0.25">
      <c r="E304">
        <v>8794</v>
      </c>
      <c r="F304">
        <f t="shared" si="4"/>
        <v>259</v>
      </c>
      <c r="G304">
        <f>IFERROR(VLOOKUP(Table_socioeca8.sandag.org_ws_abm2_f4[[#This Row],[hwycov_id]],[2]flow_freeway!$A$2:$E$1643,3,FALSE),0)</f>
        <v>111304</v>
      </c>
      <c r="H304">
        <f>IFERROR(VLOOKUP(Table_socioeca8.sandag.org_ws_abm2_f4[[#This Row],[hwycov_id]],[2]flow_freeway!$A$2:$E$1643,4,FALSE),0)</f>
        <v>24145</v>
      </c>
      <c r="I304">
        <f>IFERROR(VLOOKUP(Table_socioeca8.sandag.org_ws_abm2_f4[[#This Row],[hwycov_id]],[2]flow_freeway!$A$2:$E$1643,5,FALSE),0)</f>
        <v>27945</v>
      </c>
      <c r="K304">
        <f>Table_socioeca8.sandag.org_ws_abm2_f4[[#This Row],[hwycov_id]]</f>
        <v>8794</v>
      </c>
      <c r="L304">
        <f>Table_socioeca8.sandag.org_ws_abm2_f4[[#This Row],[scenario_id]]</f>
        <v>259</v>
      </c>
      <c r="M304">
        <f>Table_socioeca8.sandag.org_ws_abm2_f4[[#This Row],[flow_day]]</f>
        <v>111304</v>
      </c>
      <c r="N304">
        <f>Table_socioeca8.sandag.org_ws_abm2_f4[[#This Row],[flow_am]]</f>
        <v>24145</v>
      </c>
      <c r="O304">
        <f>Table_socioeca8.sandag.org_ws_abm2_f4[[#This Row],[flow_pm]]</f>
        <v>27945</v>
      </c>
    </row>
    <row r="305" spans="5:15" x14ac:dyDescent="0.25">
      <c r="E305">
        <v>8797</v>
      </c>
      <c r="F305">
        <f t="shared" si="4"/>
        <v>259</v>
      </c>
      <c r="G305">
        <f>IFERROR(VLOOKUP(Table_socioeca8.sandag.org_ws_abm2_f4[[#This Row],[hwycov_id]],[2]flow_freeway!$A$2:$E$1643,3,FALSE),0)</f>
        <v>98619</v>
      </c>
      <c r="H305">
        <f>IFERROR(VLOOKUP(Table_socioeca8.sandag.org_ws_abm2_f4[[#This Row],[hwycov_id]],[2]flow_freeway!$A$2:$E$1643,4,FALSE),0)</f>
        <v>19857</v>
      </c>
      <c r="I305">
        <f>IFERROR(VLOOKUP(Table_socioeca8.sandag.org_ws_abm2_f4[[#This Row],[hwycov_id]],[2]flow_freeway!$A$2:$E$1643,5,FALSE),0)</f>
        <v>23518</v>
      </c>
      <c r="K305">
        <f>Table_socioeca8.sandag.org_ws_abm2_f4[[#This Row],[hwycov_id]]</f>
        <v>8797</v>
      </c>
      <c r="L305">
        <f>Table_socioeca8.sandag.org_ws_abm2_f4[[#This Row],[scenario_id]]</f>
        <v>259</v>
      </c>
      <c r="M305">
        <f>Table_socioeca8.sandag.org_ws_abm2_f4[[#This Row],[flow_day]]</f>
        <v>98619</v>
      </c>
      <c r="N305">
        <f>Table_socioeca8.sandag.org_ws_abm2_f4[[#This Row],[flow_am]]</f>
        <v>19857</v>
      </c>
      <c r="O305">
        <f>Table_socioeca8.sandag.org_ws_abm2_f4[[#This Row],[flow_pm]]</f>
        <v>23518</v>
      </c>
    </row>
    <row r="306" spans="5:15" x14ac:dyDescent="0.25">
      <c r="E306">
        <v>8802</v>
      </c>
      <c r="F306">
        <f t="shared" si="4"/>
        <v>259</v>
      </c>
      <c r="G306">
        <f>IFERROR(VLOOKUP(Table_socioeca8.sandag.org_ws_abm2_f4[[#This Row],[hwycov_id]],[2]flow_freeway!$A$2:$E$1643,3,FALSE),0)</f>
        <v>79706</v>
      </c>
      <c r="H306">
        <f>IFERROR(VLOOKUP(Table_socioeca8.sandag.org_ws_abm2_f4[[#This Row],[hwycov_id]],[2]flow_freeway!$A$2:$E$1643,4,FALSE),0)</f>
        <v>18356</v>
      </c>
      <c r="I306">
        <f>IFERROR(VLOOKUP(Table_socioeca8.sandag.org_ws_abm2_f4[[#This Row],[hwycov_id]],[2]flow_freeway!$A$2:$E$1643,5,FALSE),0)</f>
        <v>18903</v>
      </c>
      <c r="K306">
        <f>Table_socioeca8.sandag.org_ws_abm2_f4[[#This Row],[hwycov_id]]</f>
        <v>8802</v>
      </c>
      <c r="L306">
        <f>Table_socioeca8.sandag.org_ws_abm2_f4[[#This Row],[scenario_id]]</f>
        <v>259</v>
      </c>
      <c r="M306">
        <f>Table_socioeca8.sandag.org_ws_abm2_f4[[#This Row],[flow_day]]</f>
        <v>79706</v>
      </c>
      <c r="N306">
        <f>Table_socioeca8.sandag.org_ws_abm2_f4[[#This Row],[flow_am]]</f>
        <v>18356</v>
      </c>
      <c r="O306">
        <f>Table_socioeca8.sandag.org_ws_abm2_f4[[#This Row],[flow_pm]]</f>
        <v>18903</v>
      </c>
    </row>
    <row r="307" spans="5:15" x14ac:dyDescent="0.25">
      <c r="E307">
        <v>8803</v>
      </c>
      <c r="F307">
        <f t="shared" si="4"/>
        <v>259</v>
      </c>
      <c r="G307">
        <f>IFERROR(VLOOKUP(Table_socioeca8.sandag.org_ws_abm2_f4[[#This Row],[hwycov_id]],[2]flow_freeway!$A$2:$E$1643,3,FALSE),0)</f>
        <v>88378</v>
      </c>
      <c r="H307">
        <f>IFERROR(VLOOKUP(Table_socioeca8.sandag.org_ws_abm2_f4[[#This Row],[hwycov_id]],[2]flow_freeway!$A$2:$E$1643,4,FALSE),0)</f>
        <v>19189</v>
      </c>
      <c r="I307">
        <f>IFERROR(VLOOKUP(Table_socioeca8.sandag.org_ws_abm2_f4[[#This Row],[hwycov_id]],[2]flow_freeway!$A$2:$E$1643,5,FALSE),0)</f>
        <v>20071</v>
      </c>
      <c r="K307">
        <f>Table_socioeca8.sandag.org_ws_abm2_f4[[#This Row],[hwycov_id]]</f>
        <v>8803</v>
      </c>
      <c r="L307">
        <f>Table_socioeca8.sandag.org_ws_abm2_f4[[#This Row],[scenario_id]]</f>
        <v>259</v>
      </c>
      <c r="M307">
        <f>Table_socioeca8.sandag.org_ws_abm2_f4[[#This Row],[flow_day]]</f>
        <v>88378</v>
      </c>
      <c r="N307">
        <f>Table_socioeca8.sandag.org_ws_abm2_f4[[#This Row],[flow_am]]</f>
        <v>19189</v>
      </c>
      <c r="O307">
        <f>Table_socioeca8.sandag.org_ws_abm2_f4[[#This Row],[flow_pm]]</f>
        <v>20071</v>
      </c>
    </row>
    <row r="308" spans="5:15" x14ac:dyDescent="0.25">
      <c r="E308">
        <v>8804</v>
      </c>
      <c r="F308">
        <f t="shared" si="4"/>
        <v>259</v>
      </c>
      <c r="G308">
        <f>IFERROR(VLOOKUP(Table_socioeca8.sandag.org_ws_abm2_f4[[#This Row],[hwycov_id]],[2]flow_freeway!$A$2:$E$1643,3,FALSE),0)</f>
        <v>124257</v>
      </c>
      <c r="H308">
        <f>IFERROR(VLOOKUP(Table_socioeca8.sandag.org_ws_abm2_f4[[#This Row],[hwycov_id]],[2]flow_freeway!$A$2:$E$1643,4,FALSE),0)</f>
        <v>21423</v>
      </c>
      <c r="I308">
        <f>IFERROR(VLOOKUP(Table_socioeca8.sandag.org_ws_abm2_f4[[#This Row],[hwycov_id]],[2]flow_freeway!$A$2:$E$1643,5,FALSE),0)</f>
        <v>32158</v>
      </c>
      <c r="K308">
        <f>Table_socioeca8.sandag.org_ws_abm2_f4[[#This Row],[hwycov_id]]</f>
        <v>8804</v>
      </c>
      <c r="L308">
        <f>Table_socioeca8.sandag.org_ws_abm2_f4[[#This Row],[scenario_id]]</f>
        <v>259</v>
      </c>
      <c r="M308">
        <f>Table_socioeca8.sandag.org_ws_abm2_f4[[#This Row],[flow_day]]</f>
        <v>124257</v>
      </c>
      <c r="N308">
        <f>Table_socioeca8.sandag.org_ws_abm2_f4[[#This Row],[flow_am]]</f>
        <v>21423</v>
      </c>
      <c r="O308">
        <f>Table_socioeca8.sandag.org_ws_abm2_f4[[#This Row],[flow_pm]]</f>
        <v>32158</v>
      </c>
    </row>
    <row r="309" spans="5:15" x14ac:dyDescent="0.25">
      <c r="E309">
        <v>8807</v>
      </c>
      <c r="F309">
        <f t="shared" si="4"/>
        <v>259</v>
      </c>
      <c r="G309">
        <f>IFERROR(VLOOKUP(Table_socioeca8.sandag.org_ws_abm2_f4[[#This Row],[hwycov_id]],[2]flow_freeway!$A$2:$E$1643,3,FALSE),0)</f>
        <v>129404</v>
      </c>
      <c r="H309">
        <f>IFERROR(VLOOKUP(Table_socioeca8.sandag.org_ws_abm2_f4[[#This Row],[hwycov_id]],[2]flow_freeway!$A$2:$E$1643,4,FALSE),0)</f>
        <v>20723</v>
      </c>
      <c r="I309">
        <f>IFERROR(VLOOKUP(Table_socioeca8.sandag.org_ws_abm2_f4[[#This Row],[hwycov_id]],[2]flow_freeway!$A$2:$E$1643,5,FALSE),0)</f>
        <v>36424</v>
      </c>
      <c r="K309">
        <f>Table_socioeca8.sandag.org_ws_abm2_f4[[#This Row],[hwycov_id]]</f>
        <v>8807</v>
      </c>
      <c r="L309">
        <f>Table_socioeca8.sandag.org_ws_abm2_f4[[#This Row],[scenario_id]]</f>
        <v>259</v>
      </c>
      <c r="M309">
        <f>Table_socioeca8.sandag.org_ws_abm2_f4[[#This Row],[flow_day]]</f>
        <v>129404</v>
      </c>
      <c r="N309">
        <f>Table_socioeca8.sandag.org_ws_abm2_f4[[#This Row],[flow_am]]</f>
        <v>20723</v>
      </c>
      <c r="O309">
        <f>Table_socioeca8.sandag.org_ws_abm2_f4[[#This Row],[flow_pm]]</f>
        <v>36424</v>
      </c>
    </row>
    <row r="310" spans="5:15" x14ac:dyDescent="0.25">
      <c r="E310">
        <v>8808</v>
      </c>
      <c r="F310">
        <f t="shared" si="4"/>
        <v>259</v>
      </c>
      <c r="G310">
        <f>IFERROR(VLOOKUP(Table_socioeca8.sandag.org_ws_abm2_f4[[#This Row],[hwycov_id]],[2]flow_freeway!$A$2:$E$1643,3,FALSE),0)</f>
        <v>136902</v>
      </c>
      <c r="H310">
        <f>IFERROR(VLOOKUP(Table_socioeca8.sandag.org_ws_abm2_f4[[#This Row],[hwycov_id]],[2]flow_freeway!$A$2:$E$1643,4,FALSE),0)</f>
        <v>30480</v>
      </c>
      <c r="I310">
        <f>IFERROR(VLOOKUP(Table_socioeca8.sandag.org_ws_abm2_f4[[#This Row],[hwycov_id]],[2]flow_freeway!$A$2:$E$1643,5,FALSE),0)</f>
        <v>26100</v>
      </c>
      <c r="K310">
        <f>Table_socioeca8.sandag.org_ws_abm2_f4[[#This Row],[hwycov_id]]</f>
        <v>8808</v>
      </c>
      <c r="L310">
        <f>Table_socioeca8.sandag.org_ws_abm2_f4[[#This Row],[scenario_id]]</f>
        <v>259</v>
      </c>
      <c r="M310">
        <f>Table_socioeca8.sandag.org_ws_abm2_f4[[#This Row],[flow_day]]</f>
        <v>136902</v>
      </c>
      <c r="N310">
        <f>Table_socioeca8.sandag.org_ws_abm2_f4[[#This Row],[flow_am]]</f>
        <v>30480</v>
      </c>
      <c r="O310">
        <f>Table_socioeca8.sandag.org_ws_abm2_f4[[#This Row],[flow_pm]]</f>
        <v>26100</v>
      </c>
    </row>
    <row r="311" spans="5:15" x14ac:dyDescent="0.25">
      <c r="E311">
        <v>8809</v>
      </c>
      <c r="F311">
        <f t="shared" si="4"/>
        <v>259</v>
      </c>
      <c r="G311">
        <f>IFERROR(VLOOKUP(Table_socioeca8.sandag.org_ws_abm2_f4[[#This Row],[hwycov_id]],[2]flow_freeway!$A$2:$E$1643,3,FALSE),0)</f>
        <v>117318</v>
      </c>
      <c r="H311">
        <f>IFERROR(VLOOKUP(Table_socioeca8.sandag.org_ws_abm2_f4[[#This Row],[hwycov_id]],[2]flow_freeway!$A$2:$E$1643,4,FALSE),0)</f>
        <v>18775</v>
      </c>
      <c r="I311">
        <f>IFERROR(VLOOKUP(Table_socioeca8.sandag.org_ws_abm2_f4[[#This Row],[hwycov_id]],[2]flow_freeway!$A$2:$E$1643,5,FALSE),0)</f>
        <v>33814</v>
      </c>
      <c r="K311">
        <f>Table_socioeca8.sandag.org_ws_abm2_f4[[#This Row],[hwycov_id]]</f>
        <v>8809</v>
      </c>
      <c r="L311">
        <f>Table_socioeca8.sandag.org_ws_abm2_f4[[#This Row],[scenario_id]]</f>
        <v>259</v>
      </c>
      <c r="M311">
        <f>Table_socioeca8.sandag.org_ws_abm2_f4[[#This Row],[flow_day]]</f>
        <v>117318</v>
      </c>
      <c r="N311">
        <f>Table_socioeca8.sandag.org_ws_abm2_f4[[#This Row],[flow_am]]</f>
        <v>18775</v>
      </c>
      <c r="O311">
        <f>Table_socioeca8.sandag.org_ws_abm2_f4[[#This Row],[flow_pm]]</f>
        <v>33814</v>
      </c>
    </row>
    <row r="312" spans="5:15" x14ac:dyDescent="0.25">
      <c r="E312">
        <v>8810</v>
      </c>
      <c r="F312">
        <f t="shared" si="4"/>
        <v>259</v>
      </c>
      <c r="G312">
        <f>IFERROR(VLOOKUP(Table_socioeca8.sandag.org_ws_abm2_f4[[#This Row],[hwycov_id]],[2]flow_freeway!$A$2:$E$1643,3,FALSE),0)</f>
        <v>118235</v>
      </c>
      <c r="H312">
        <f>IFERROR(VLOOKUP(Table_socioeca8.sandag.org_ws_abm2_f4[[#This Row],[hwycov_id]],[2]flow_freeway!$A$2:$E$1643,4,FALSE),0)</f>
        <v>27071</v>
      </c>
      <c r="I312">
        <f>IFERROR(VLOOKUP(Table_socioeca8.sandag.org_ws_abm2_f4[[#This Row],[hwycov_id]],[2]flow_freeway!$A$2:$E$1643,5,FALSE),0)</f>
        <v>21348</v>
      </c>
      <c r="K312">
        <f>Table_socioeca8.sandag.org_ws_abm2_f4[[#This Row],[hwycov_id]]</f>
        <v>8810</v>
      </c>
      <c r="L312">
        <f>Table_socioeca8.sandag.org_ws_abm2_f4[[#This Row],[scenario_id]]</f>
        <v>259</v>
      </c>
      <c r="M312">
        <f>Table_socioeca8.sandag.org_ws_abm2_f4[[#This Row],[flow_day]]</f>
        <v>118235</v>
      </c>
      <c r="N312">
        <f>Table_socioeca8.sandag.org_ws_abm2_f4[[#This Row],[flow_am]]</f>
        <v>27071</v>
      </c>
      <c r="O312">
        <f>Table_socioeca8.sandag.org_ws_abm2_f4[[#This Row],[flow_pm]]</f>
        <v>21348</v>
      </c>
    </row>
    <row r="313" spans="5:15" x14ac:dyDescent="0.25">
      <c r="E313">
        <v>8811</v>
      </c>
      <c r="F313">
        <f t="shared" si="4"/>
        <v>259</v>
      </c>
      <c r="G313">
        <f>IFERROR(VLOOKUP(Table_socioeca8.sandag.org_ws_abm2_f4[[#This Row],[hwycov_id]],[2]flow_freeway!$A$2:$E$1643,3,FALSE),0)</f>
        <v>122129</v>
      </c>
      <c r="H313">
        <f>IFERROR(VLOOKUP(Table_socioeca8.sandag.org_ws_abm2_f4[[#This Row],[hwycov_id]],[2]flow_freeway!$A$2:$E$1643,4,FALSE),0)</f>
        <v>28596</v>
      </c>
      <c r="I313">
        <f>IFERROR(VLOOKUP(Table_socioeca8.sandag.org_ws_abm2_f4[[#This Row],[hwycov_id]],[2]flow_freeway!$A$2:$E$1643,5,FALSE),0)</f>
        <v>22400</v>
      </c>
      <c r="K313">
        <f>Table_socioeca8.sandag.org_ws_abm2_f4[[#This Row],[hwycov_id]]</f>
        <v>8811</v>
      </c>
      <c r="L313">
        <f>Table_socioeca8.sandag.org_ws_abm2_f4[[#This Row],[scenario_id]]</f>
        <v>259</v>
      </c>
      <c r="M313">
        <f>Table_socioeca8.sandag.org_ws_abm2_f4[[#This Row],[flow_day]]</f>
        <v>122129</v>
      </c>
      <c r="N313">
        <f>Table_socioeca8.sandag.org_ws_abm2_f4[[#This Row],[flow_am]]</f>
        <v>28596</v>
      </c>
      <c r="O313">
        <f>Table_socioeca8.sandag.org_ws_abm2_f4[[#This Row],[flow_pm]]</f>
        <v>22400</v>
      </c>
    </row>
    <row r="314" spans="5:15" x14ac:dyDescent="0.25">
      <c r="E314">
        <v>8812</v>
      </c>
      <c r="F314">
        <f t="shared" si="4"/>
        <v>259</v>
      </c>
      <c r="G314">
        <f>IFERROR(VLOOKUP(Table_socioeca8.sandag.org_ws_abm2_f4[[#This Row],[hwycov_id]],[2]flow_freeway!$A$2:$E$1643,3,FALSE),0)</f>
        <v>113565</v>
      </c>
      <c r="H314">
        <f>IFERROR(VLOOKUP(Table_socioeca8.sandag.org_ws_abm2_f4[[#This Row],[hwycov_id]],[2]flow_freeway!$A$2:$E$1643,4,FALSE),0)</f>
        <v>17290</v>
      </c>
      <c r="I314">
        <f>IFERROR(VLOOKUP(Table_socioeca8.sandag.org_ws_abm2_f4[[#This Row],[hwycov_id]],[2]flow_freeway!$A$2:$E$1643,5,FALSE),0)</f>
        <v>32610</v>
      </c>
      <c r="K314">
        <f>Table_socioeca8.sandag.org_ws_abm2_f4[[#This Row],[hwycov_id]]</f>
        <v>8812</v>
      </c>
      <c r="L314">
        <f>Table_socioeca8.sandag.org_ws_abm2_f4[[#This Row],[scenario_id]]</f>
        <v>259</v>
      </c>
      <c r="M314">
        <f>Table_socioeca8.sandag.org_ws_abm2_f4[[#This Row],[flow_day]]</f>
        <v>113565</v>
      </c>
      <c r="N314">
        <f>Table_socioeca8.sandag.org_ws_abm2_f4[[#This Row],[flow_am]]</f>
        <v>17290</v>
      </c>
      <c r="O314">
        <f>Table_socioeca8.sandag.org_ws_abm2_f4[[#This Row],[flow_pm]]</f>
        <v>32610</v>
      </c>
    </row>
    <row r="315" spans="5:15" x14ac:dyDescent="0.25">
      <c r="E315">
        <v>8813</v>
      </c>
      <c r="F315">
        <f t="shared" si="4"/>
        <v>259</v>
      </c>
      <c r="G315">
        <f>IFERROR(VLOOKUP(Table_socioeca8.sandag.org_ws_abm2_f4[[#This Row],[hwycov_id]],[2]flow_freeway!$A$2:$E$1643,3,FALSE),0)</f>
        <v>139612</v>
      </c>
      <c r="H315">
        <f>IFERROR(VLOOKUP(Table_socioeca8.sandag.org_ws_abm2_f4[[#This Row],[hwycov_id]],[2]flow_freeway!$A$2:$E$1643,4,FALSE),0)</f>
        <v>21009</v>
      </c>
      <c r="I315">
        <f>IFERROR(VLOOKUP(Table_socioeca8.sandag.org_ws_abm2_f4[[#This Row],[hwycov_id]],[2]flow_freeway!$A$2:$E$1643,5,FALSE),0)</f>
        <v>39676</v>
      </c>
      <c r="K315">
        <f>Table_socioeca8.sandag.org_ws_abm2_f4[[#This Row],[hwycov_id]]</f>
        <v>8813</v>
      </c>
      <c r="L315">
        <f>Table_socioeca8.sandag.org_ws_abm2_f4[[#This Row],[scenario_id]]</f>
        <v>259</v>
      </c>
      <c r="M315">
        <f>Table_socioeca8.sandag.org_ws_abm2_f4[[#This Row],[flow_day]]</f>
        <v>139612</v>
      </c>
      <c r="N315">
        <f>Table_socioeca8.sandag.org_ws_abm2_f4[[#This Row],[flow_am]]</f>
        <v>21009</v>
      </c>
      <c r="O315">
        <f>Table_socioeca8.sandag.org_ws_abm2_f4[[#This Row],[flow_pm]]</f>
        <v>39676</v>
      </c>
    </row>
    <row r="316" spans="5:15" x14ac:dyDescent="0.25">
      <c r="E316">
        <v>8814</v>
      </c>
      <c r="F316">
        <f t="shared" si="4"/>
        <v>259</v>
      </c>
      <c r="G316">
        <f>IFERROR(VLOOKUP(Table_socioeca8.sandag.org_ws_abm2_f4[[#This Row],[hwycov_id]],[2]flow_freeway!$A$2:$E$1643,3,FALSE),0)</f>
        <v>151930</v>
      </c>
      <c r="H316">
        <f>IFERROR(VLOOKUP(Table_socioeca8.sandag.org_ws_abm2_f4[[#This Row],[hwycov_id]],[2]flow_freeway!$A$2:$E$1643,4,FALSE),0)</f>
        <v>36277</v>
      </c>
      <c r="I316">
        <f>IFERROR(VLOOKUP(Table_socioeca8.sandag.org_ws_abm2_f4[[#This Row],[hwycov_id]],[2]flow_freeway!$A$2:$E$1643,5,FALSE),0)</f>
        <v>29575</v>
      </c>
      <c r="K316">
        <f>Table_socioeca8.sandag.org_ws_abm2_f4[[#This Row],[hwycov_id]]</f>
        <v>8814</v>
      </c>
      <c r="L316">
        <f>Table_socioeca8.sandag.org_ws_abm2_f4[[#This Row],[scenario_id]]</f>
        <v>259</v>
      </c>
      <c r="M316">
        <f>Table_socioeca8.sandag.org_ws_abm2_f4[[#This Row],[flow_day]]</f>
        <v>151930</v>
      </c>
      <c r="N316">
        <f>Table_socioeca8.sandag.org_ws_abm2_f4[[#This Row],[flow_am]]</f>
        <v>36277</v>
      </c>
      <c r="O316">
        <f>Table_socioeca8.sandag.org_ws_abm2_f4[[#This Row],[flow_pm]]</f>
        <v>29575</v>
      </c>
    </row>
    <row r="317" spans="5:15" x14ac:dyDescent="0.25">
      <c r="E317">
        <v>8815</v>
      </c>
      <c r="F317">
        <f t="shared" si="4"/>
        <v>259</v>
      </c>
      <c r="G317">
        <f>IFERROR(VLOOKUP(Table_socioeca8.sandag.org_ws_abm2_f4[[#This Row],[hwycov_id]],[2]flow_freeway!$A$2:$E$1643,3,FALSE),0)</f>
        <v>91944</v>
      </c>
      <c r="H317">
        <f>IFERROR(VLOOKUP(Table_socioeca8.sandag.org_ws_abm2_f4[[#This Row],[hwycov_id]],[2]flow_freeway!$A$2:$E$1643,4,FALSE),0)</f>
        <v>18145</v>
      </c>
      <c r="I317">
        <f>IFERROR(VLOOKUP(Table_socioeca8.sandag.org_ws_abm2_f4[[#This Row],[hwycov_id]],[2]flow_freeway!$A$2:$E$1643,5,FALSE),0)</f>
        <v>20818</v>
      </c>
      <c r="K317">
        <f>Table_socioeca8.sandag.org_ws_abm2_f4[[#This Row],[hwycov_id]]</f>
        <v>8815</v>
      </c>
      <c r="L317">
        <f>Table_socioeca8.sandag.org_ws_abm2_f4[[#This Row],[scenario_id]]</f>
        <v>259</v>
      </c>
      <c r="M317">
        <f>Table_socioeca8.sandag.org_ws_abm2_f4[[#This Row],[flow_day]]</f>
        <v>91944</v>
      </c>
      <c r="N317">
        <f>Table_socioeca8.sandag.org_ws_abm2_f4[[#This Row],[flow_am]]</f>
        <v>18145</v>
      </c>
      <c r="O317">
        <f>Table_socioeca8.sandag.org_ws_abm2_f4[[#This Row],[flow_pm]]</f>
        <v>20818</v>
      </c>
    </row>
    <row r="318" spans="5:15" x14ac:dyDescent="0.25">
      <c r="E318">
        <v>8816</v>
      </c>
      <c r="F318">
        <f t="shared" si="4"/>
        <v>259</v>
      </c>
      <c r="G318">
        <f>IFERROR(VLOOKUP(Table_socioeca8.sandag.org_ws_abm2_f4[[#This Row],[hwycov_id]],[2]flow_freeway!$A$2:$E$1643,3,FALSE),0)</f>
        <v>105869</v>
      </c>
      <c r="H318">
        <f>IFERROR(VLOOKUP(Table_socioeca8.sandag.org_ws_abm2_f4[[#This Row],[hwycov_id]],[2]flow_freeway!$A$2:$E$1643,4,FALSE),0)</f>
        <v>23486</v>
      </c>
      <c r="I318">
        <f>IFERROR(VLOOKUP(Table_socioeca8.sandag.org_ws_abm2_f4[[#This Row],[hwycov_id]],[2]flow_freeway!$A$2:$E$1643,5,FALSE),0)</f>
        <v>24382</v>
      </c>
      <c r="K318">
        <f>Table_socioeca8.sandag.org_ws_abm2_f4[[#This Row],[hwycov_id]]</f>
        <v>8816</v>
      </c>
      <c r="L318">
        <f>Table_socioeca8.sandag.org_ws_abm2_f4[[#This Row],[scenario_id]]</f>
        <v>259</v>
      </c>
      <c r="M318">
        <f>Table_socioeca8.sandag.org_ws_abm2_f4[[#This Row],[flow_day]]</f>
        <v>105869</v>
      </c>
      <c r="N318">
        <f>Table_socioeca8.sandag.org_ws_abm2_f4[[#This Row],[flow_am]]</f>
        <v>23486</v>
      </c>
      <c r="O318">
        <f>Table_socioeca8.sandag.org_ws_abm2_f4[[#This Row],[flow_pm]]</f>
        <v>24382</v>
      </c>
    </row>
    <row r="319" spans="5:15" x14ac:dyDescent="0.25">
      <c r="E319">
        <v>8817</v>
      </c>
      <c r="F319">
        <f t="shared" si="4"/>
        <v>259</v>
      </c>
      <c r="G319">
        <f>IFERROR(VLOOKUP(Table_socioeca8.sandag.org_ws_abm2_f4[[#This Row],[hwycov_id]],[2]flow_freeway!$A$2:$E$1643,3,FALSE),0)</f>
        <v>92163</v>
      </c>
      <c r="H319">
        <f>IFERROR(VLOOKUP(Table_socioeca8.sandag.org_ws_abm2_f4[[#This Row],[hwycov_id]],[2]flow_freeway!$A$2:$E$1643,4,FALSE),0)</f>
        <v>20387</v>
      </c>
      <c r="I319">
        <f>IFERROR(VLOOKUP(Table_socioeca8.sandag.org_ws_abm2_f4[[#This Row],[hwycov_id]],[2]flow_freeway!$A$2:$E$1643,5,FALSE),0)</f>
        <v>22278</v>
      </c>
      <c r="K319">
        <f>Table_socioeca8.sandag.org_ws_abm2_f4[[#This Row],[hwycov_id]]</f>
        <v>8817</v>
      </c>
      <c r="L319">
        <f>Table_socioeca8.sandag.org_ws_abm2_f4[[#This Row],[scenario_id]]</f>
        <v>259</v>
      </c>
      <c r="M319">
        <f>Table_socioeca8.sandag.org_ws_abm2_f4[[#This Row],[flow_day]]</f>
        <v>92163</v>
      </c>
      <c r="N319">
        <f>Table_socioeca8.sandag.org_ws_abm2_f4[[#This Row],[flow_am]]</f>
        <v>20387</v>
      </c>
      <c r="O319">
        <f>Table_socioeca8.sandag.org_ws_abm2_f4[[#This Row],[flow_pm]]</f>
        <v>22278</v>
      </c>
    </row>
    <row r="320" spans="5:15" x14ac:dyDescent="0.25">
      <c r="E320">
        <v>8820</v>
      </c>
      <c r="F320">
        <f t="shared" si="4"/>
        <v>259</v>
      </c>
      <c r="G320">
        <f>IFERROR(VLOOKUP(Table_socioeca8.sandag.org_ws_abm2_f4[[#This Row],[hwycov_id]],[2]flow_freeway!$A$2:$E$1643,3,FALSE),0)</f>
        <v>85260</v>
      </c>
      <c r="H320">
        <f>IFERROR(VLOOKUP(Table_socioeca8.sandag.org_ws_abm2_f4[[#This Row],[hwycov_id]],[2]flow_freeway!$A$2:$E$1643,4,FALSE),0)</f>
        <v>20800</v>
      </c>
      <c r="I320">
        <f>IFERROR(VLOOKUP(Table_socioeca8.sandag.org_ws_abm2_f4[[#This Row],[hwycov_id]],[2]flow_freeway!$A$2:$E$1643,5,FALSE),0)</f>
        <v>19254</v>
      </c>
      <c r="K320">
        <f>Table_socioeca8.sandag.org_ws_abm2_f4[[#This Row],[hwycov_id]]</f>
        <v>8820</v>
      </c>
      <c r="L320">
        <f>Table_socioeca8.sandag.org_ws_abm2_f4[[#This Row],[scenario_id]]</f>
        <v>259</v>
      </c>
      <c r="M320">
        <f>Table_socioeca8.sandag.org_ws_abm2_f4[[#This Row],[flow_day]]</f>
        <v>85260</v>
      </c>
      <c r="N320">
        <f>Table_socioeca8.sandag.org_ws_abm2_f4[[#This Row],[flow_am]]</f>
        <v>20800</v>
      </c>
      <c r="O320">
        <f>Table_socioeca8.sandag.org_ws_abm2_f4[[#This Row],[flow_pm]]</f>
        <v>19254</v>
      </c>
    </row>
    <row r="321" spans="5:15" x14ac:dyDescent="0.25">
      <c r="E321">
        <v>8821</v>
      </c>
      <c r="F321">
        <f t="shared" si="4"/>
        <v>259</v>
      </c>
      <c r="G321">
        <f>IFERROR(VLOOKUP(Table_socioeca8.sandag.org_ws_abm2_f4[[#This Row],[hwycov_id]],[2]flow_freeway!$A$2:$E$1643,3,FALSE),0)</f>
        <v>90622</v>
      </c>
      <c r="H321">
        <f>IFERROR(VLOOKUP(Table_socioeca8.sandag.org_ws_abm2_f4[[#This Row],[hwycov_id]],[2]flow_freeway!$A$2:$E$1643,4,FALSE),0)</f>
        <v>17077</v>
      </c>
      <c r="I321">
        <f>IFERROR(VLOOKUP(Table_socioeca8.sandag.org_ws_abm2_f4[[#This Row],[hwycov_id]],[2]flow_freeway!$A$2:$E$1643,5,FALSE),0)</f>
        <v>25469</v>
      </c>
      <c r="K321">
        <f>Table_socioeca8.sandag.org_ws_abm2_f4[[#This Row],[hwycov_id]]</f>
        <v>8821</v>
      </c>
      <c r="L321">
        <f>Table_socioeca8.sandag.org_ws_abm2_f4[[#This Row],[scenario_id]]</f>
        <v>259</v>
      </c>
      <c r="M321">
        <f>Table_socioeca8.sandag.org_ws_abm2_f4[[#This Row],[flow_day]]</f>
        <v>90622</v>
      </c>
      <c r="N321">
        <f>Table_socioeca8.sandag.org_ws_abm2_f4[[#This Row],[flow_am]]</f>
        <v>17077</v>
      </c>
      <c r="O321">
        <f>Table_socioeca8.sandag.org_ws_abm2_f4[[#This Row],[flow_pm]]</f>
        <v>25469</v>
      </c>
    </row>
    <row r="322" spans="5:15" x14ac:dyDescent="0.25">
      <c r="E322">
        <v>8822</v>
      </c>
      <c r="F322">
        <f t="shared" si="4"/>
        <v>259</v>
      </c>
      <c r="G322">
        <f>IFERROR(VLOOKUP(Table_socioeca8.sandag.org_ws_abm2_f4[[#This Row],[hwycov_id]],[2]flow_freeway!$A$2:$E$1643,3,FALSE),0)</f>
        <v>68277</v>
      </c>
      <c r="H322">
        <f>IFERROR(VLOOKUP(Table_socioeca8.sandag.org_ws_abm2_f4[[#This Row],[hwycov_id]],[2]flow_freeway!$A$2:$E$1643,4,FALSE),0)</f>
        <v>13992</v>
      </c>
      <c r="I322">
        <f>IFERROR(VLOOKUP(Table_socioeca8.sandag.org_ws_abm2_f4[[#This Row],[hwycov_id]],[2]flow_freeway!$A$2:$E$1643,5,FALSE),0)</f>
        <v>19238</v>
      </c>
      <c r="K322">
        <f>Table_socioeca8.sandag.org_ws_abm2_f4[[#This Row],[hwycov_id]]</f>
        <v>8822</v>
      </c>
      <c r="L322">
        <f>Table_socioeca8.sandag.org_ws_abm2_f4[[#This Row],[scenario_id]]</f>
        <v>259</v>
      </c>
      <c r="M322">
        <f>Table_socioeca8.sandag.org_ws_abm2_f4[[#This Row],[flow_day]]</f>
        <v>68277</v>
      </c>
      <c r="N322">
        <f>Table_socioeca8.sandag.org_ws_abm2_f4[[#This Row],[flow_am]]</f>
        <v>13992</v>
      </c>
      <c r="O322">
        <f>Table_socioeca8.sandag.org_ws_abm2_f4[[#This Row],[flow_pm]]</f>
        <v>19238</v>
      </c>
    </row>
    <row r="323" spans="5:15" x14ac:dyDescent="0.25">
      <c r="E323">
        <v>8823</v>
      </c>
      <c r="F323">
        <f t="shared" si="4"/>
        <v>259</v>
      </c>
      <c r="G323">
        <f>IFERROR(VLOOKUP(Table_socioeca8.sandag.org_ws_abm2_f4[[#This Row],[hwycov_id]],[2]flow_freeway!$A$2:$E$1643,3,FALSE),0)</f>
        <v>64701</v>
      </c>
      <c r="H323">
        <f>IFERROR(VLOOKUP(Table_socioeca8.sandag.org_ws_abm2_f4[[#This Row],[hwycov_id]],[2]flow_freeway!$A$2:$E$1643,4,FALSE),0)</f>
        <v>15781</v>
      </c>
      <c r="I323">
        <f>IFERROR(VLOOKUP(Table_socioeca8.sandag.org_ws_abm2_f4[[#This Row],[hwycov_id]],[2]flow_freeway!$A$2:$E$1643,5,FALSE),0)</f>
        <v>15228</v>
      </c>
      <c r="K323">
        <f>Table_socioeca8.sandag.org_ws_abm2_f4[[#This Row],[hwycov_id]]</f>
        <v>8823</v>
      </c>
      <c r="L323">
        <f>Table_socioeca8.sandag.org_ws_abm2_f4[[#This Row],[scenario_id]]</f>
        <v>259</v>
      </c>
      <c r="M323">
        <f>Table_socioeca8.sandag.org_ws_abm2_f4[[#This Row],[flow_day]]</f>
        <v>64701</v>
      </c>
      <c r="N323">
        <f>Table_socioeca8.sandag.org_ws_abm2_f4[[#This Row],[flow_am]]</f>
        <v>15781</v>
      </c>
      <c r="O323">
        <f>Table_socioeca8.sandag.org_ws_abm2_f4[[#This Row],[flow_pm]]</f>
        <v>15228</v>
      </c>
    </row>
    <row r="324" spans="5:15" x14ac:dyDescent="0.25">
      <c r="E324">
        <v>8824</v>
      </c>
      <c r="F324">
        <f t="shared" ref="F324:F387" si="5">F323</f>
        <v>259</v>
      </c>
      <c r="G324">
        <f>IFERROR(VLOOKUP(Table_socioeca8.sandag.org_ws_abm2_f4[[#This Row],[hwycov_id]],[2]flow_freeway!$A$2:$E$1643,3,FALSE),0)</f>
        <v>71501</v>
      </c>
      <c r="H324">
        <f>IFERROR(VLOOKUP(Table_socioeca8.sandag.org_ws_abm2_f4[[#This Row],[hwycov_id]],[2]flow_freeway!$A$2:$E$1643,4,FALSE),0)</f>
        <v>19130</v>
      </c>
      <c r="I324">
        <f>IFERROR(VLOOKUP(Table_socioeca8.sandag.org_ws_abm2_f4[[#This Row],[hwycov_id]],[2]flow_freeway!$A$2:$E$1643,5,FALSE),0)</f>
        <v>14020</v>
      </c>
      <c r="K324">
        <f>Table_socioeca8.sandag.org_ws_abm2_f4[[#This Row],[hwycov_id]]</f>
        <v>8824</v>
      </c>
      <c r="L324">
        <f>Table_socioeca8.sandag.org_ws_abm2_f4[[#This Row],[scenario_id]]</f>
        <v>259</v>
      </c>
      <c r="M324">
        <f>Table_socioeca8.sandag.org_ws_abm2_f4[[#This Row],[flow_day]]</f>
        <v>71501</v>
      </c>
      <c r="N324">
        <f>Table_socioeca8.sandag.org_ws_abm2_f4[[#This Row],[flow_am]]</f>
        <v>19130</v>
      </c>
      <c r="O324">
        <f>Table_socioeca8.sandag.org_ws_abm2_f4[[#This Row],[flow_pm]]</f>
        <v>14020</v>
      </c>
    </row>
    <row r="325" spans="5:15" x14ac:dyDescent="0.25">
      <c r="E325">
        <v>8825</v>
      </c>
      <c r="F325">
        <f t="shared" si="5"/>
        <v>259</v>
      </c>
      <c r="G325">
        <f>IFERROR(VLOOKUP(Table_socioeca8.sandag.org_ws_abm2_f4[[#This Row],[hwycov_id]],[2]flow_freeway!$A$2:$E$1643,3,FALSE),0)</f>
        <v>74997</v>
      </c>
      <c r="H325">
        <f>IFERROR(VLOOKUP(Table_socioeca8.sandag.org_ws_abm2_f4[[#This Row],[hwycov_id]],[2]flow_freeway!$A$2:$E$1643,4,FALSE),0)</f>
        <v>11842</v>
      </c>
      <c r="I325">
        <f>IFERROR(VLOOKUP(Table_socioeca8.sandag.org_ws_abm2_f4[[#This Row],[hwycov_id]],[2]flow_freeway!$A$2:$E$1643,5,FALSE),0)</f>
        <v>23357</v>
      </c>
      <c r="K325">
        <f>Table_socioeca8.sandag.org_ws_abm2_f4[[#This Row],[hwycov_id]]</f>
        <v>8825</v>
      </c>
      <c r="L325">
        <f>Table_socioeca8.sandag.org_ws_abm2_f4[[#This Row],[scenario_id]]</f>
        <v>259</v>
      </c>
      <c r="M325">
        <f>Table_socioeca8.sandag.org_ws_abm2_f4[[#This Row],[flow_day]]</f>
        <v>74997</v>
      </c>
      <c r="N325">
        <f>Table_socioeca8.sandag.org_ws_abm2_f4[[#This Row],[flow_am]]</f>
        <v>11842</v>
      </c>
      <c r="O325">
        <f>Table_socioeca8.sandag.org_ws_abm2_f4[[#This Row],[flow_pm]]</f>
        <v>23357</v>
      </c>
    </row>
    <row r="326" spans="5:15" x14ac:dyDescent="0.25">
      <c r="E326">
        <v>8826</v>
      </c>
      <c r="F326">
        <f t="shared" si="5"/>
        <v>259</v>
      </c>
      <c r="G326">
        <f>IFERROR(VLOOKUP(Table_socioeca8.sandag.org_ws_abm2_f4[[#This Row],[hwycov_id]],[2]flow_freeway!$A$2:$E$1643,3,FALSE),0)</f>
        <v>85106</v>
      </c>
      <c r="H326">
        <f>IFERROR(VLOOKUP(Table_socioeca8.sandag.org_ws_abm2_f4[[#This Row],[hwycov_id]],[2]flow_freeway!$A$2:$E$1643,4,FALSE),0)</f>
        <v>18758</v>
      </c>
      <c r="I326">
        <f>IFERROR(VLOOKUP(Table_socioeca8.sandag.org_ws_abm2_f4[[#This Row],[hwycov_id]],[2]flow_freeway!$A$2:$E$1643,5,FALSE),0)</f>
        <v>22238</v>
      </c>
      <c r="K326">
        <f>Table_socioeca8.sandag.org_ws_abm2_f4[[#This Row],[hwycov_id]]</f>
        <v>8826</v>
      </c>
      <c r="L326">
        <f>Table_socioeca8.sandag.org_ws_abm2_f4[[#This Row],[scenario_id]]</f>
        <v>259</v>
      </c>
      <c r="M326">
        <f>Table_socioeca8.sandag.org_ws_abm2_f4[[#This Row],[flow_day]]</f>
        <v>85106</v>
      </c>
      <c r="N326">
        <f>Table_socioeca8.sandag.org_ws_abm2_f4[[#This Row],[flow_am]]</f>
        <v>18758</v>
      </c>
      <c r="O326">
        <f>Table_socioeca8.sandag.org_ws_abm2_f4[[#This Row],[flow_pm]]</f>
        <v>22238</v>
      </c>
    </row>
    <row r="327" spans="5:15" x14ac:dyDescent="0.25">
      <c r="E327">
        <v>8827</v>
      </c>
      <c r="F327">
        <f t="shared" si="5"/>
        <v>259</v>
      </c>
      <c r="G327">
        <f>IFERROR(VLOOKUP(Table_socioeca8.sandag.org_ws_abm2_f4[[#This Row],[hwycov_id]],[2]flow_freeway!$A$2:$E$1643,3,FALSE),0)</f>
        <v>114194</v>
      </c>
      <c r="H327">
        <f>IFERROR(VLOOKUP(Table_socioeca8.sandag.org_ws_abm2_f4[[#This Row],[hwycov_id]],[2]flow_freeway!$A$2:$E$1643,4,FALSE),0)</f>
        <v>23672</v>
      </c>
      <c r="I327">
        <f>IFERROR(VLOOKUP(Table_socioeca8.sandag.org_ws_abm2_f4[[#This Row],[hwycov_id]],[2]flow_freeway!$A$2:$E$1643,5,FALSE),0)</f>
        <v>30840</v>
      </c>
      <c r="K327">
        <f>Table_socioeca8.sandag.org_ws_abm2_f4[[#This Row],[hwycov_id]]</f>
        <v>8827</v>
      </c>
      <c r="L327">
        <f>Table_socioeca8.sandag.org_ws_abm2_f4[[#This Row],[scenario_id]]</f>
        <v>259</v>
      </c>
      <c r="M327">
        <f>Table_socioeca8.sandag.org_ws_abm2_f4[[#This Row],[flow_day]]</f>
        <v>114194</v>
      </c>
      <c r="N327">
        <f>Table_socioeca8.sandag.org_ws_abm2_f4[[#This Row],[flow_am]]</f>
        <v>23672</v>
      </c>
      <c r="O327">
        <f>Table_socioeca8.sandag.org_ws_abm2_f4[[#This Row],[flow_pm]]</f>
        <v>30840</v>
      </c>
    </row>
    <row r="328" spans="5:15" x14ac:dyDescent="0.25">
      <c r="E328">
        <v>8828</v>
      </c>
      <c r="F328">
        <f t="shared" si="5"/>
        <v>259</v>
      </c>
      <c r="G328">
        <f>IFERROR(VLOOKUP(Table_socioeca8.sandag.org_ws_abm2_f4[[#This Row],[hwycov_id]],[2]flow_freeway!$A$2:$E$1643,3,FALSE),0)</f>
        <v>77894</v>
      </c>
      <c r="H328">
        <f>IFERROR(VLOOKUP(Table_socioeca8.sandag.org_ws_abm2_f4[[#This Row],[hwycov_id]],[2]flow_freeway!$A$2:$E$1643,4,FALSE),0)</f>
        <v>15890</v>
      </c>
      <c r="I328">
        <f>IFERROR(VLOOKUP(Table_socioeca8.sandag.org_ws_abm2_f4[[#This Row],[hwycov_id]],[2]flow_freeway!$A$2:$E$1643,5,FALSE),0)</f>
        <v>21126</v>
      </c>
      <c r="K328">
        <f>Table_socioeca8.sandag.org_ws_abm2_f4[[#This Row],[hwycov_id]]</f>
        <v>8828</v>
      </c>
      <c r="L328">
        <f>Table_socioeca8.sandag.org_ws_abm2_f4[[#This Row],[scenario_id]]</f>
        <v>259</v>
      </c>
      <c r="M328">
        <f>Table_socioeca8.sandag.org_ws_abm2_f4[[#This Row],[flow_day]]</f>
        <v>77894</v>
      </c>
      <c r="N328">
        <f>Table_socioeca8.sandag.org_ws_abm2_f4[[#This Row],[flow_am]]</f>
        <v>15890</v>
      </c>
      <c r="O328">
        <f>Table_socioeca8.sandag.org_ws_abm2_f4[[#This Row],[flow_pm]]</f>
        <v>21126</v>
      </c>
    </row>
    <row r="329" spans="5:15" x14ac:dyDescent="0.25">
      <c r="E329">
        <v>8829</v>
      </c>
      <c r="F329">
        <f t="shared" si="5"/>
        <v>259</v>
      </c>
      <c r="G329">
        <f>IFERROR(VLOOKUP(Table_socioeca8.sandag.org_ws_abm2_f4[[#This Row],[hwycov_id]],[2]flow_freeway!$A$2:$E$1643,3,FALSE),0)</f>
        <v>63328</v>
      </c>
      <c r="H329">
        <f>IFERROR(VLOOKUP(Table_socioeca8.sandag.org_ws_abm2_f4[[#This Row],[hwycov_id]],[2]flow_freeway!$A$2:$E$1643,4,FALSE),0)</f>
        <v>10874</v>
      </c>
      <c r="I329">
        <f>IFERROR(VLOOKUP(Table_socioeca8.sandag.org_ws_abm2_f4[[#This Row],[hwycov_id]],[2]flow_freeway!$A$2:$E$1643,5,FALSE),0)</f>
        <v>16516</v>
      </c>
      <c r="K329">
        <f>Table_socioeca8.sandag.org_ws_abm2_f4[[#This Row],[hwycov_id]]</f>
        <v>8829</v>
      </c>
      <c r="L329">
        <f>Table_socioeca8.sandag.org_ws_abm2_f4[[#This Row],[scenario_id]]</f>
        <v>259</v>
      </c>
      <c r="M329">
        <f>Table_socioeca8.sandag.org_ws_abm2_f4[[#This Row],[flow_day]]</f>
        <v>63328</v>
      </c>
      <c r="N329">
        <f>Table_socioeca8.sandag.org_ws_abm2_f4[[#This Row],[flow_am]]</f>
        <v>10874</v>
      </c>
      <c r="O329">
        <f>Table_socioeca8.sandag.org_ws_abm2_f4[[#This Row],[flow_pm]]</f>
        <v>16516</v>
      </c>
    </row>
    <row r="330" spans="5:15" x14ac:dyDescent="0.25">
      <c r="E330">
        <v>8830</v>
      </c>
      <c r="F330">
        <f t="shared" si="5"/>
        <v>259</v>
      </c>
      <c r="G330">
        <f>IFERROR(VLOOKUP(Table_socioeca8.sandag.org_ws_abm2_f4[[#This Row],[hwycov_id]],[2]flow_freeway!$A$2:$E$1643,3,FALSE),0)</f>
        <v>49665</v>
      </c>
      <c r="H330">
        <f>IFERROR(VLOOKUP(Table_socioeca8.sandag.org_ws_abm2_f4[[#This Row],[hwycov_id]],[2]flow_freeway!$A$2:$E$1643,4,FALSE),0)</f>
        <v>8806</v>
      </c>
      <c r="I330">
        <f>IFERROR(VLOOKUP(Table_socioeca8.sandag.org_ws_abm2_f4[[#This Row],[hwycov_id]],[2]flow_freeway!$A$2:$E$1643,5,FALSE),0)</f>
        <v>13137</v>
      </c>
      <c r="K330">
        <f>Table_socioeca8.sandag.org_ws_abm2_f4[[#This Row],[hwycov_id]]</f>
        <v>8830</v>
      </c>
      <c r="L330">
        <f>Table_socioeca8.sandag.org_ws_abm2_f4[[#This Row],[scenario_id]]</f>
        <v>259</v>
      </c>
      <c r="M330">
        <f>Table_socioeca8.sandag.org_ws_abm2_f4[[#This Row],[flow_day]]</f>
        <v>49665</v>
      </c>
      <c r="N330">
        <f>Table_socioeca8.sandag.org_ws_abm2_f4[[#This Row],[flow_am]]</f>
        <v>8806</v>
      </c>
      <c r="O330">
        <f>Table_socioeca8.sandag.org_ws_abm2_f4[[#This Row],[flow_pm]]</f>
        <v>13137</v>
      </c>
    </row>
    <row r="331" spans="5:15" x14ac:dyDescent="0.25">
      <c r="E331">
        <v>8831</v>
      </c>
      <c r="F331">
        <f t="shared" si="5"/>
        <v>259</v>
      </c>
      <c r="G331">
        <f>IFERROR(VLOOKUP(Table_socioeca8.sandag.org_ws_abm2_f4[[#This Row],[hwycov_id]],[2]flow_freeway!$A$2:$E$1643,3,FALSE),0)</f>
        <v>55335</v>
      </c>
      <c r="H331">
        <f>IFERROR(VLOOKUP(Table_socioeca8.sandag.org_ws_abm2_f4[[#This Row],[hwycov_id]],[2]flow_freeway!$A$2:$E$1643,4,FALSE),0)</f>
        <v>9725</v>
      </c>
      <c r="I331">
        <f>IFERROR(VLOOKUP(Table_socioeca8.sandag.org_ws_abm2_f4[[#This Row],[hwycov_id]],[2]flow_freeway!$A$2:$E$1643,5,FALSE),0)</f>
        <v>14692</v>
      </c>
      <c r="K331">
        <f>Table_socioeca8.sandag.org_ws_abm2_f4[[#This Row],[hwycov_id]]</f>
        <v>8831</v>
      </c>
      <c r="L331">
        <f>Table_socioeca8.sandag.org_ws_abm2_f4[[#This Row],[scenario_id]]</f>
        <v>259</v>
      </c>
      <c r="M331">
        <f>Table_socioeca8.sandag.org_ws_abm2_f4[[#This Row],[flow_day]]</f>
        <v>55335</v>
      </c>
      <c r="N331">
        <f>Table_socioeca8.sandag.org_ws_abm2_f4[[#This Row],[flow_am]]</f>
        <v>9725</v>
      </c>
      <c r="O331">
        <f>Table_socioeca8.sandag.org_ws_abm2_f4[[#This Row],[flow_pm]]</f>
        <v>14692</v>
      </c>
    </row>
    <row r="332" spans="5:15" x14ac:dyDescent="0.25">
      <c r="E332">
        <v>8832</v>
      </c>
      <c r="F332">
        <f t="shared" si="5"/>
        <v>259</v>
      </c>
      <c r="G332">
        <f>IFERROR(VLOOKUP(Table_socioeca8.sandag.org_ws_abm2_f4[[#This Row],[hwycov_id]],[2]flow_freeway!$A$2:$E$1643,3,FALSE),0)</f>
        <v>57753</v>
      </c>
      <c r="H332">
        <f>IFERROR(VLOOKUP(Table_socioeca8.sandag.org_ws_abm2_f4[[#This Row],[hwycov_id]],[2]flow_freeway!$A$2:$E$1643,4,FALSE),0)</f>
        <v>10538</v>
      </c>
      <c r="I332">
        <f>IFERROR(VLOOKUP(Table_socioeca8.sandag.org_ws_abm2_f4[[#This Row],[hwycov_id]],[2]flow_freeway!$A$2:$E$1643,5,FALSE),0)</f>
        <v>15058</v>
      </c>
      <c r="K332">
        <f>Table_socioeca8.sandag.org_ws_abm2_f4[[#This Row],[hwycov_id]]</f>
        <v>8832</v>
      </c>
      <c r="L332">
        <f>Table_socioeca8.sandag.org_ws_abm2_f4[[#This Row],[scenario_id]]</f>
        <v>259</v>
      </c>
      <c r="M332">
        <f>Table_socioeca8.sandag.org_ws_abm2_f4[[#This Row],[flow_day]]</f>
        <v>57753</v>
      </c>
      <c r="N332">
        <f>Table_socioeca8.sandag.org_ws_abm2_f4[[#This Row],[flow_am]]</f>
        <v>10538</v>
      </c>
      <c r="O332">
        <f>Table_socioeca8.sandag.org_ws_abm2_f4[[#This Row],[flow_pm]]</f>
        <v>15058</v>
      </c>
    </row>
    <row r="333" spans="5:15" x14ac:dyDescent="0.25">
      <c r="E333">
        <v>8833</v>
      </c>
      <c r="F333">
        <f t="shared" si="5"/>
        <v>259</v>
      </c>
      <c r="G333">
        <f>IFERROR(VLOOKUP(Table_socioeca8.sandag.org_ws_abm2_f4[[#This Row],[hwycov_id]],[2]flow_freeway!$A$2:$E$1643,3,FALSE),0)</f>
        <v>60035</v>
      </c>
      <c r="H333">
        <f>IFERROR(VLOOKUP(Table_socioeca8.sandag.org_ws_abm2_f4[[#This Row],[hwycov_id]],[2]flow_freeway!$A$2:$E$1643,4,FALSE),0)</f>
        <v>13250</v>
      </c>
      <c r="I333">
        <f>IFERROR(VLOOKUP(Table_socioeca8.sandag.org_ws_abm2_f4[[#This Row],[hwycov_id]],[2]flow_freeway!$A$2:$E$1643,5,FALSE),0)</f>
        <v>14070</v>
      </c>
      <c r="K333">
        <f>Table_socioeca8.sandag.org_ws_abm2_f4[[#This Row],[hwycov_id]]</f>
        <v>8833</v>
      </c>
      <c r="L333">
        <f>Table_socioeca8.sandag.org_ws_abm2_f4[[#This Row],[scenario_id]]</f>
        <v>259</v>
      </c>
      <c r="M333">
        <f>Table_socioeca8.sandag.org_ws_abm2_f4[[#This Row],[flow_day]]</f>
        <v>60035</v>
      </c>
      <c r="N333">
        <f>Table_socioeca8.sandag.org_ws_abm2_f4[[#This Row],[flow_am]]</f>
        <v>13250</v>
      </c>
      <c r="O333">
        <f>Table_socioeca8.sandag.org_ws_abm2_f4[[#This Row],[flow_pm]]</f>
        <v>14070</v>
      </c>
    </row>
    <row r="334" spans="5:15" x14ac:dyDescent="0.25">
      <c r="E334">
        <v>8834</v>
      </c>
      <c r="F334">
        <f t="shared" si="5"/>
        <v>259</v>
      </c>
      <c r="G334">
        <f>IFERROR(VLOOKUP(Table_socioeca8.sandag.org_ws_abm2_f4[[#This Row],[hwycov_id]],[2]flow_freeway!$A$2:$E$1643,3,FALSE),0)</f>
        <v>52739</v>
      </c>
      <c r="H334">
        <f>IFERROR(VLOOKUP(Table_socioeca8.sandag.org_ws_abm2_f4[[#This Row],[hwycov_id]],[2]flow_freeway!$A$2:$E$1643,4,FALSE),0)</f>
        <v>10826</v>
      </c>
      <c r="I334">
        <f>IFERROR(VLOOKUP(Table_socioeca8.sandag.org_ws_abm2_f4[[#This Row],[hwycov_id]],[2]flow_freeway!$A$2:$E$1643,5,FALSE),0)</f>
        <v>13370</v>
      </c>
      <c r="K334">
        <f>Table_socioeca8.sandag.org_ws_abm2_f4[[#This Row],[hwycov_id]]</f>
        <v>8834</v>
      </c>
      <c r="L334">
        <f>Table_socioeca8.sandag.org_ws_abm2_f4[[#This Row],[scenario_id]]</f>
        <v>259</v>
      </c>
      <c r="M334">
        <f>Table_socioeca8.sandag.org_ws_abm2_f4[[#This Row],[flow_day]]</f>
        <v>52739</v>
      </c>
      <c r="N334">
        <f>Table_socioeca8.sandag.org_ws_abm2_f4[[#This Row],[flow_am]]</f>
        <v>10826</v>
      </c>
      <c r="O334">
        <f>Table_socioeca8.sandag.org_ws_abm2_f4[[#This Row],[flow_pm]]</f>
        <v>13370</v>
      </c>
    </row>
    <row r="335" spans="5:15" x14ac:dyDescent="0.25">
      <c r="E335">
        <v>8835</v>
      </c>
      <c r="F335">
        <f t="shared" si="5"/>
        <v>259</v>
      </c>
      <c r="G335">
        <f>IFERROR(VLOOKUP(Table_socioeca8.sandag.org_ws_abm2_f4[[#This Row],[hwycov_id]],[2]flow_freeway!$A$2:$E$1643,3,FALSE),0)</f>
        <v>68995</v>
      </c>
      <c r="H335">
        <f>IFERROR(VLOOKUP(Table_socioeca8.sandag.org_ws_abm2_f4[[#This Row],[hwycov_id]],[2]flow_freeway!$A$2:$E$1643,4,FALSE),0)</f>
        <v>12719</v>
      </c>
      <c r="I335">
        <f>IFERROR(VLOOKUP(Table_socioeca8.sandag.org_ws_abm2_f4[[#This Row],[hwycov_id]],[2]flow_freeway!$A$2:$E$1643,5,FALSE),0)</f>
        <v>18293</v>
      </c>
      <c r="K335">
        <f>Table_socioeca8.sandag.org_ws_abm2_f4[[#This Row],[hwycov_id]]</f>
        <v>8835</v>
      </c>
      <c r="L335">
        <f>Table_socioeca8.sandag.org_ws_abm2_f4[[#This Row],[scenario_id]]</f>
        <v>259</v>
      </c>
      <c r="M335">
        <f>Table_socioeca8.sandag.org_ws_abm2_f4[[#This Row],[flow_day]]</f>
        <v>68995</v>
      </c>
      <c r="N335">
        <f>Table_socioeca8.sandag.org_ws_abm2_f4[[#This Row],[flow_am]]</f>
        <v>12719</v>
      </c>
      <c r="O335">
        <f>Table_socioeca8.sandag.org_ws_abm2_f4[[#This Row],[flow_pm]]</f>
        <v>18293</v>
      </c>
    </row>
    <row r="336" spans="5:15" x14ac:dyDescent="0.25">
      <c r="E336">
        <v>8836</v>
      </c>
      <c r="F336">
        <f t="shared" si="5"/>
        <v>259</v>
      </c>
      <c r="G336">
        <f>IFERROR(VLOOKUP(Table_socioeca8.sandag.org_ws_abm2_f4[[#This Row],[hwycov_id]],[2]flow_freeway!$A$2:$E$1643,3,FALSE),0)</f>
        <v>67601</v>
      </c>
      <c r="H336">
        <f>IFERROR(VLOOKUP(Table_socioeca8.sandag.org_ws_abm2_f4[[#This Row],[hwycov_id]],[2]flow_freeway!$A$2:$E$1643,4,FALSE),0)</f>
        <v>14507</v>
      </c>
      <c r="I336">
        <f>IFERROR(VLOOKUP(Table_socioeca8.sandag.org_ws_abm2_f4[[#This Row],[hwycov_id]],[2]flow_freeway!$A$2:$E$1643,5,FALSE),0)</f>
        <v>14752</v>
      </c>
      <c r="K336">
        <f>Table_socioeca8.sandag.org_ws_abm2_f4[[#This Row],[hwycov_id]]</f>
        <v>8836</v>
      </c>
      <c r="L336">
        <f>Table_socioeca8.sandag.org_ws_abm2_f4[[#This Row],[scenario_id]]</f>
        <v>259</v>
      </c>
      <c r="M336">
        <f>Table_socioeca8.sandag.org_ws_abm2_f4[[#This Row],[flow_day]]</f>
        <v>67601</v>
      </c>
      <c r="N336">
        <f>Table_socioeca8.sandag.org_ws_abm2_f4[[#This Row],[flow_am]]</f>
        <v>14507</v>
      </c>
      <c r="O336">
        <f>Table_socioeca8.sandag.org_ws_abm2_f4[[#This Row],[flow_pm]]</f>
        <v>14752</v>
      </c>
    </row>
    <row r="337" spans="5:15" x14ac:dyDescent="0.25">
      <c r="E337">
        <v>8837</v>
      </c>
      <c r="F337">
        <f t="shared" si="5"/>
        <v>259</v>
      </c>
      <c r="G337">
        <f>IFERROR(VLOOKUP(Table_socioeca8.sandag.org_ws_abm2_f4[[#This Row],[hwycov_id]],[2]flow_freeway!$A$2:$E$1643,3,FALSE),0)</f>
        <v>69632</v>
      </c>
      <c r="H337">
        <f>IFERROR(VLOOKUP(Table_socioeca8.sandag.org_ws_abm2_f4[[#This Row],[hwycov_id]],[2]flow_freeway!$A$2:$E$1643,4,FALSE),0)</f>
        <v>12472</v>
      </c>
      <c r="I337">
        <f>IFERROR(VLOOKUP(Table_socioeca8.sandag.org_ws_abm2_f4[[#This Row],[hwycov_id]],[2]flow_freeway!$A$2:$E$1643,5,FALSE),0)</f>
        <v>18972</v>
      </c>
      <c r="K337">
        <f>Table_socioeca8.sandag.org_ws_abm2_f4[[#This Row],[hwycov_id]]</f>
        <v>8837</v>
      </c>
      <c r="L337">
        <f>Table_socioeca8.sandag.org_ws_abm2_f4[[#This Row],[scenario_id]]</f>
        <v>259</v>
      </c>
      <c r="M337">
        <f>Table_socioeca8.sandag.org_ws_abm2_f4[[#This Row],[flow_day]]</f>
        <v>69632</v>
      </c>
      <c r="N337">
        <f>Table_socioeca8.sandag.org_ws_abm2_f4[[#This Row],[flow_am]]</f>
        <v>12472</v>
      </c>
      <c r="O337">
        <f>Table_socioeca8.sandag.org_ws_abm2_f4[[#This Row],[flow_pm]]</f>
        <v>18972</v>
      </c>
    </row>
    <row r="338" spans="5:15" x14ac:dyDescent="0.25">
      <c r="E338">
        <v>8838</v>
      </c>
      <c r="F338">
        <f t="shared" si="5"/>
        <v>259</v>
      </c>
      <c r="G338">
        <f>IFERROR(VLOOKUP(Table_socioeca8.sandag.org_ws_abm2_f4[[#This Row],[hwycov_id]],[2]flow_freeway!$A$2:$E$1643,3,FALSE),0)</f>
        <v>67902</v>
      </c>
      <c r="H338">
        <f>IFERROR(VLOOKUP(Table_socioeca8.sandag.org_ws_abm2_f4[[#This Row],[hwycov_id]],[2]flow_freeway!$A$2:$E$1643,4,FALSE),0)</f>
        <v>15506</v>
      </c>
      <c r="I338">
        <f>IFERROR(VLOOKUP(Table_socioeca8.sandag.org_ws_abm2_f4[[#This Row],[hwycov_id]],[2]flow_freeway!$A$2:$E$1643,5,FALSE),0)</f>
        <v>14861</v>
      </c>
      <c r="K338">
        <f>Table_socioeca8.sandag.org_ws_abm2_f4[[#This Row],[hwycov_id]]</f>
        <v>8838</v>
      </c>
      <c r="L338">
        <f>Table_socioeca8.sandag.org_ws_abm2_f4[[#This Row],[scenario_id]]</f>
        <v>259</v>
      </c>
      <c r="M338">
        <f>Table_socioeca8.sandag.org_ws_abm2_f4[[#This Row],[flow_day]]</f>
        <v>67902</v>
      </c>
      <c r="N338">
        <f>Table_socioeca8.sandag.org_ws_abm2_f4[[#This Row],[flow_am]]</f>
        <v>15506</v>
      </c>
      <c r="O338">
        <f>Table_socioeca8.sandag.org_ws_abm2_f4[[#This Row],[flow_pm]]</f>
        <v>14861</v>
      </c>
    </row>
    <row r="339" spans="5:15" x14ac:dyDescent="0.25">
      <c r="E339">
        <v>8839</v>
      </c>
      <c r="F339">
        <f t="shared" si="5"/>
        <v>259</v>
      </c>
      <c r="G339">
        <f>IFERROR(VLOOKUP(Table_socioeca8.sandag.org_ws_abm2_f4[[#This Row],[hwycov_id]],[2]flow_freeway!$A$2:$E$1643,3,FALSE),0)</f>
        <v>61864</v>
      </c>
      <c r="H339">
        <f>IFERROR(VLOOKUP(Table_socioeca8.sandag.org_ws_abm2_f4[[#This Row],[hwycov_id]],[2]flow_freeway!$A$2:$E$1643,4,FALSE),0)</f>
        <v>11349</v>
      </c>
      <c r="I339">
        <f>IFERROR(VLOOKUP(Table_socioeca8.sandag.org_ws_abm2_f4[[#This Row],[hwycov_id]],[2]flow_freeway!$A$2:$E$1643,5,FALSE),0)</f>
        <v>17239</v>
      </c>
      <c r="K339">
        <f>Table_socioeca8.sandag.org_ws_abm2_f4[[#This Row],[hwycov_id]]</f>
        <v>8839</v>
      </c>
      <c r="L339">
        <f>Table_socioeca8.sandag.org_ws_abm2_f4[[#This Row],[scenario_id]]</f>
        <v>259</v>
      </c>
      <c r="M339">
        <f>Table_socioeca8.sandag.org_ws_abm2_f4[[#This Row],[flow_day]]</f>
        <v>61864</v>
      </c>
      <c r="N339">
        <f>Table_socioeca8.sandag.org_ws_abm2_f4[[#This Row],[flow_am]]</f>
        <v>11349</v>
      </c>
      <c r="O339">
        <f>Table_socioeca8.sandag.org_ws_abm2_f4[[#This Row],[flow_pm]]</f>
        <v>17239</v>
      </c>
    </row>
    <row r="340" spans="5:15" x14ac:dyDescent="0.25">
      <c r="E340">
        <v>8840</v>
      </c>
      <c r="F340">
        <f t="shared" si="5"/>
        <v>259</v>
      </c>
      <c r="G340">
        <f>IFERROR(VLOOKUP(Table_socioeca8.sandag.org_ws_abm2_f4[[#This Row],[hwycov_id]],[2]flow_freeway!$A$2:$E$1643,3,FALSE),0)</f>
        <v>60569</v>
      </c>
      <c r="H340">
        <f>IFERROR(VLOOKUP(Table_socioeca8.sandag.org_ws_abm2_f4[[#This Row],[hwycov_id]],[2]flow_freeway!$A$2:$E$1643,4,FALSE),0)</f>
        <v>14154</v>
      </c>
      <c r="I340">
        <f>IFERROR(VLOOKUP(Table_socioeca8.sandag.org_ws_abm2_f4[[#This Row],[hwycov_id]],[2]flow_freeway!$A$2:$E$1643,5,FALSE),0)</f>
        <v>13650</v>
      </c>
      <c r="K340">
        <f>Table_socioeca8.sandag.org_ws_abm2_f4[[#This Row],[hwycov_id]]</f>
        <v>8840</v>
      </c>
      <c r="L340">
        <f>Table_socioeca8.sandag.org_ws_abm2_f4[[#This Row],[scenario_id]]</f>
        <v>259</v>
      </c>
      <c r="M340">
        <f>Table_socioeca8.sandag.org_ws_abm2_f4[[#This Row],[flow_day]]</f>
        <v>60569</v>
      </c>
      <c r="N340">
        <f>Table_socioeca8.sandag.org_ws_abm2_f4[[#This Row],[flow_am]]</f>
        <v>14154</v>
      </c>
      <c r="O340">
        <f>Table_socioeca8.sandag.org_ws_abm2_f4[[#This Row],[flow_pm]]</f>
        <v>13650</v>
      </c>
    </row>
    <row r="341" spans="5:15" x14ac:dyDescent="0.25">
      <c r="E341">
        <v>8841</v>
      </c>
      <c r="F341">
        <f t="shared" si="5"/>
        <v>259</v>
      </c>
      <c r="G341">
        <f>IFERROR(VLOOKUP(Table_socioeca8.sandag.org_ws_abm2_f4[[#This Row],[hwycov_id]],[2]flow_freeway!$A$2:$E$1643,3,FALSE),0)</f>
        <v>76697</v>
      </c>
      <c r="H341">
        <f>IFERROR(VLOOKUP(Table_socioeca8.sandag.org_ws_abm2_f4[[#This Row],[hwycov_id]],[2]flow_freeway!$A$2:$E$1643,4,FALSE),0)</f>
        <v>16482</v>
      </c>
      <c r="I341">
        <f>IFERROR(VLOOKUP(Table_socioeca8.sandag.org_ws_abm2_f4[[#This Row],[hwycov_id]],[2]flow_freeway!$A$2:$E$1643,5,FALSE),0)</f>
        <v>16720</v>
      </c>
      <c r="K341">
        <f>Table_socioeca8.sandag.org_ws_abm2_f4[[#This Row],[hwycov_id]]</f>
        <v>8841</v>
      </c>
      <c r="L341">
        <f>Table_socioeca8.sandag.org_ws_abm2_f4[[#This Row],[scenario_id]]</f>
        <v>259</v>
      </c>
      <c r="M341">
        <f>Table_socioeca8.sandag.org_ws_abm2_f4[[#This Row],[flow_day]]</f>
        <v>76697</v>
      </c>
      <c r="N341">
        <f>Table_socioeca8.sandag.org_ws_abm2_f4[[#This Row],[flow_am]]</f>
        <v>16482</v>
      </c>
      <c r="O341">
        <f>Table_socioeca8.sandag.org_ws_abm2_f4[[#This Row],[flow_pm]]</f>
        <v>16720</v>
      </c>
    </row>
    <row r="342" spans="5:15" x14ac:dyDescent="0.25">
      <c r="E342">
        <v>8842</v>
      </c>
      <c r="F342">
        <f t="shared" si="5"/>
        <v>259</v>
      </c>
      <c r="G342">
        <f>IFERROR(VLOOKUP(Table_socioeca8.sandag.org_ws_abm2_f4[[#This Row],[hwycov_id]],[2]flow_freeway!$A$2:$E$1643,3,FALSE),0)</f>
        <v>78077</v>
      </c>
      <c r="H342">
        <f>IFERROR(VLOOKUP(Table_socioeca8.sandag.org_ws_abm2_f4[[#This Row],[hwycov_id]],[2]flow_freeway!$A$2:$E$1643,4,FALSE),0)</f>
        <v>16402</v>
      </c>
      <c r="I342">
        <f>IFERROR(VLOOKUP(Table_socioeca8.sandag.org_ws_abm2_f4[[#This Row],[hwycov_id]],[2]flow_freeway!$A$2:$E$1643,5,FALSE),0)</f>
        <v>18177</v>
      </c>
      <c r="K342">
        <f>Table_socioeca8.sandag.org_ws_abm2_f4[[#This Row],[hwycov_id]]</f>
        <v>8842</v>
      </c>
      <c r="L342">
        <f>Table_socioeca8.sandag.org_ws_abm2_f4[[#This Row],[scenario_id]]</f>
        <v>259</v>
      </c>
      <c r="M342">
        <f>Table_socioeca8.sandag.org_ws_abm2_f4[[#This Row],[flow_day]]</f>
        <v>78077</v>
      </c>
      <c r="N342">
        <f>Table_socioeca8.sandag.org_ws_abm2_f4[[#This Row],[flow_am]]</f>
        <v>16402</v>
      </c>
      <c r="O342">
        <f>Table_socioeca8.sandag.org_ws_abm2_f4[[#This Row],[flow_pm]]</f>
        <v>18177</v>
      </c>
    </row>
    <row r="343" spans="5:15" x14ac:dyDescent="0.25">
      <c r="E343">
        <v>8843</v>
      </c>
      <c r="F343">
        <f t="shared" si="5"/>
        <v>259</v>
      </c>
      <c r="G343">
        <f>IFERROR(VLOOKUP(Table_socioeca8.sandag.org_ws_abm2_f4[[#This Row],[hwycov_id]],[2]flow_freeway!$A$2:$E$1643,3,FALSE),0)</f>
        <v>88994</v>
      </c>
      <c r="H343">
        <f>IFERROR(VLOOKUP(Table_socioeca8.sandag.org_ws_abm2_f4[[#This Row],[hwycov_id]],[2]flow_freeway!$A$2:$E$1643,4,FALSE),0)</f>
        <v>17512</v>
      </c>
      <c r="I343">
        <f>IFERROR(VLOOKUP(Table_socioeca8.sandag.org_ws_abm2_f4[[#This Row],[hwycov_id]],[2]flow_freeway!$A$2:$E$1643,5,FALSE),0)</f>
        <v>22134</v>
      </c>
      <c r="K343">
        <f>Table_socioeca8.sandag.org_ws_abm2_f4[[#This Row],[hwycov_id]]</f>
        <v>8843</v>
      </c>
      <c r="L343">
        <f>Table_socioeca8.sandag.org_ws_abm2_f4[[#This Row],[scenario_id]]</f>
        <v>259</v>
      </c>
      <c r="M343">
        <f>Table_socioeca8.sandag.org_ws_abm2_f4[[#This Row],[flow_day]]</f>
        <v>88994</v>
      </c>
      <c r="N343">
        <f>Table_socioeca8.sandag.org_ws_abm2_f4[[#This Row],[flow_am]]</f>
        <v>17512</v>
      </c>
      <c r="O343">
        <f>Table_socioeca8.sandag.org_ws_abm2_f4[[#This Row],[flow_pm]]</f>
        <v>22134</v>
      </c>
    </row>
    <row r="344" spans="5:15" x14ac:dyDescent="0.25">
      <c r="E344">
        <v>8844</v>
      </c>
      <c r="F344">
        <f t="shared" si="5"/>
        <v>259</v>
      </c>
      <c r="G344">
        <f>IFERROR(VLOOKUP(Table_socioeca8.sandag.org_ws_abm2_f4[[#This Row],[hwycov_id]],[2]flow_freeway!$A$2:$E$1643,3,FALSE),0)</f>
        <v>85611</v>
      </c>
      <c r="H344">
        <f>IFERROR(VLOOKUP(Table_socioeca8.sandag.org_ws_abm2_f4[[#This Row],[hwycov_id]],[2]flow_freeway!$A$2:$E$1643,4,FALSE),0)</f>
        <v>17227</v>
      </c>
      <c r="I344">
        <f>IFERROR(VLOOKUP(Table_socioeca8.sandag.org_ws_abm2_f4[[#This Row],[hwycov_id]],[2]flow_freeway!$A$2:$E$1643,5,FALSE),0)</f>
        <v>20004</v>
      </c>
      <c r="K344">
        <f>Table_socioeca8.sandag.org_ws_abm2_f4[[#This Row],[hwycov_id]]</f>
        <v>8844</v>
      </c>
      <c r="L344">
        <f>Table_socioeca8.sandag.org_ws_abm2_f4[[#This Row],[scenario_id]]</f>
        <v>259</v>
      </c>
      <c r="M344">
        <f>Table_socioeca8.sandag.org_ws_abm2_f4[[#This Row],[flow_day]]</f>
        <v>85611</v>
      </c>
      <c r="N344">
        <f>Table_socioeca8.sandag.org_ws_abm2_f4[[#This Row],[flow_am]]</f>
        <v>17227</v>
      </c>
      <c r="O344">
        <f>Table_socioeca8.sandag.org_ws_abm2_f4[[#This Row],[flow_pm]]</f>
        <v>20004</v>
      </c>
    </row>
    <row r="345" spans="5:15" x14ac:dyDescent="0.25">
      <c r="E345">
        <v>8845</v>
      </c>
      <c r="F345">
        <f t="shared" si="5"/>
        <v>259</v>
      </c>
      <c r="G345">
        <f>IFERROR(VLOOKUP(Table_socioeca8.sandag.org_ws_abm2_f4[[#This Row],[hwycov_id]],[2]flow_freeway!$A$2:$E$1643,3,FALSE),0)</f>
        <v>92851</v>
      </c>
      <c r="H345">
        <f>IFERROR(VLOOKUP(Table_socioeca8.sandag.org_ws_abm2_f4[[#This Row],[hwycov_id]],[2]flow_freeway!$A$2:$E$1643,4,FALSE),0)</f>
        <v>18375</v>
      </c>
      <c r="I345">
        <f>IFERROR(VLOOKUP(Table_socioeca8.sandag.org_ws_abm2_f4[[#This Row],[hwycov_id]],[2]flow_freeway!$A$2:$E$1643,5,FALSE),0)</f>
        <v>22332</v>
      </c>
      <c r="K345">
        <f>Table_socioeca8.sandag.org_ws_abm2_f4[[#This Row],[hwycov_id]]</f>
        <v>8845</v>
      </c>
      <c r="L345">
        <f>Table_socioeca8.sandag.org_ws_abm2_f4[[#This Row],[scenario_id]]</f>
        <v>259</v>
      </c>
      <c r="M345">
        <f>Table_socioeca8.sandag.org_ws_abm2_f4[[#This Row],[flow_day]]</f>
        <v>92851</v>
      </c>
      <c r="N345">
        <f>Table_socioeca8.sandag.org_ws_abm2_f4[[#This Row],[flow_am]]</f>
        <v>18375</v>
      </c>
      <c r="O345">
        <f>Table_socioeca8.sandag.org_ws_abm2_f4[[#This Row],[flow_pm]]</f>
        <v>22332</v>
      </c>
    </row>
    <row r="346" spans="5:15" x14ac:dyDescent="0.25">
      <c r="E346">
        <v>8846</v>
      </c>
      <c r="F346">
        <f t="shared" si="5"/>
        <v>259</v>
      </c>
      <c r="G346">
        <f>IFERROR(VLOOKUP(Table_socioeca8.sandag.org_ws_abm2_f4[[#This Row],[hwycov_id]],[2]flow_freeway!$A$2:$E$1643,3,FALSE),0)</f>
        <v>86287</v>
      </c>
      <c r="H346">
        <f>IFERROR(VLOOKUP(Table_socioeca8.sandag.org_ws_abm2_f4[[#This Row],[hwycov_id]],[2]flow_freeway!$A$2:$E$1643,4,FALSE),0)</f>
        <v>17110</v>
      </c>
      <c r="I346">
        <f>IFERROR(VLOOKUP(Table_socioeca8.sandag.org_ws_abm2_f4[[#This Row],[hwycov_id]],[2]flow_freeway!$A$2:$E$1643,5,FALSE),0)</f>
        <v>20067</v>
      </c>
      <c r="K346">
        <f>Table_socioeca8.sandag.org_ws_abm2_f4[[#This Row],[hwycov_id]]</f>
        <v>8846</v>
      </c>
      <c r="L346">
        <f>Table_socioeca8.sandag.org_ws_abm2_f4[[#This Row],[scenario_id]]</f>
        <v>259</v>
      </c>
      <c r="M346">
        <f>Table_socioeca8.sandag.org_ws_abm2_f4[[#This Row],[flow_day]]</f>
        <v>86287</v>
      </c>
      <c r="N346">
        <f>Table_socioeca8.sandag.org_ws_abm2_f4[[#This Row],[flow_am]]</f>
        <v>17110</v>
      </c>
      <c r="O346">
        <f>Table_socioeca8.sandag.org_ws_abm2_f4[[#This Row],[flow_pm]]</f>
        <v>20067</v>
      </c>
    </row>
    <row r="347" spans="5:15" x14ac:dyDescent="0.25">
      <c r="E347">
        <v>8879</v>
      </c>
      <c r="F347">
        <f t="shared" si="5"/>
        <v>259</v>
      </c>
      <c r="G347">
        <f>IFERROR(VLOOKUP(Table_socioeca8.sandag.org_ws_abm2_f4[[#This Row],[hwycov_id]],[2]flow_freeway!$A$2:$E$1643,3,FALSE),0)</f>
        <v>76611</v>
      </c>
      <c r="H347">
        <f>IFERROR(VLOOKUP(Table_socioeca8.sandag.org_ws_abm2_f4[[#This Row],[hwycov_id]],[2]flow_freeway!$A$2:$E$1643,4,FALSE),0)</f>
        <v>16391</v>
      </c>
      <c r="I347">
        <f>IFERROR(VLOOKUP(Table_socioeca8.sandag.org_ws_abm2_f4[[#This Row],[hwycov_id]],[2]flow_freeway!$A$2:$E$1643,5,FALSE),0)</f>
        <v>18797</v>
      </c>
      <c r="K347">
        <f>Table_socioeca8.sandag.org_ws_abm2_f4[[#This Row],[hwycov_id]]</f>
        <v>8879</v>
      </c>
      <c r="L347">
        <f>Table_socioeca8.sandag.org_ws_abm2_f4[[#This Row],[scenario_id]]</f>
        <v>259</v>
      </c>
      <c r="M347">
        <f>Table_socioeca8.sandag.org_ws_abm2_f4[[#This Row],[flow_day]]</f>
        <v>76611</v>
      </c>
      <c r="N347">
        <f>Table_socioeca8.sandag.org_ws_abm2_f4[[#This Row],[flow_am]]</f>
        <v>16391</v>
      </c>
      <c r="O347">
        <f>Table_socioeca8.sandag.org_ws_abm2_f4[[#This Row],[flow_pm]]</f>
        <v>18797</v>
      </c>
    </row>
    <row r="348" spans="5:15" x14ac:dyDescent="0.25">
      <c r="E348">
        <v>8887</v>
      </c>
      <c r="F348">
        <f t="shared" si="5"/>
        <v>259</v>
      </c>
      <c r="G348">
        <f>IFERROR(VLOOKUP(Table_socioeca8.sandag.org_ws_abm2_f4[[#This Row],[hwycov_id]],[2]flow_freeway!$A$2:$E$1643,3,FALSE),0)</f>
        <v>93840</v>
      </c>
      <c r="H348">
        <f>IFERROR(VLOOKUP(Table_socioeca8.sandag.org_ws_abm2_f4[[#This Row],[hwycov_id]],[2]flow_freeway!$A$2:$E$1643,4,FALSE),0)</f>
        <v>19086</v>
      </c>
      <c r="I348">
        <f>IFERROR(VLOOKUP(Table_socioeca8.sandag.org_ws_abm2_f4[[#This Row],[hwycov_id]],[2]flow_freeway!$A$2:$E$1643,5,FALSE),0)</f>
        <v>22881</v>
      </c>
      <c r="K348">
        <f>Table_socioeca8.sandag.org_ws_abm2_f4[[#This Row],[hwycov_id]]</f>
        <v>8887</v>
      </c>
      <c r="L348">
        <f>Table_socioeca8.sandag.org_ws_abm2_f4[[#This Row],[scenario_id]]</f>
        <v>259</v>
      </c>
      <c r="M348">
        <f>Table_socioeca8.sandag.org_ws_abm2_f4[[#This Row],[flow_day]]</f>
        <v>93840</v>
      </c>
      <c r="N348">
        <f>Table_socioeca8.sandag.org_ws_abm2_f4[[#This Row],[flow_am]]</f>
        <v>19086</v>
      </c>
      <c r="O348">
        <f>Table_socioeca8.sandag.org_ws_abm2_f4[[#This Row],[flow_pm]]</f>
        <v>22881</v>
      </c>
    </row>
    <row r="349" spans="5:15" x14ac:dyDescent="0.25">
      <c r="E349">
        <v>8896</v>
      </c>
      <c r="F349">
        <f t="shared" si="5"/>
        <v>259</v>
      </c>
      <c r="G349">
        <f>IFERROR(VLOOKUP(Table_socioeca8.sandag.org_ws_abm2_f4[[#This Row],[hwycov_id]],[2]flow_freeway!$A$2:$E$1643,3,FALSE),0)</f>
        <v>77881</v>
      </c>
      <c r="H349">
        <f>IFERROR(VLOOKUP(Table_socioeca8.sandag.org_ws_abm2_f4[[#This Row],[hwycov_id]],[2]flow_freeway!$A$2:$E$1643,4,FALSE),0)</f>
        <v>11615</v>
      </c>
      <c r="I349">
        <f>IFERROR(VLOOKUP(Table_socioeca8.sandag.org_ws_abm2_f4[[#This Row],[hwycov_id]],[2]flow_freeway!$A$2:$E$1643,5,FALSE),0)</f>
        <v>24562</v>
      </c>
      <c r="K349">
        <f>Table_socioeca8.sandag.org_ws_abm2_f4[[#This Row],[hwycov_id]]</f>
        <v>8896</v>
      </c>
      <c r="L349">
        <f>Table_socioeca8.sandag.org_ws_abm2_f4[[#This Row],[scenario_id]]</f>
        <v>259</v>
      </c>
      <c r="M349">
        <f>Table_socioeca8.sandag.org_ws_abm2_f4[[#This Row],[flow_day]]</f>
        <v>77881</v>
      </c>
      <c r="N349">
        <f>Table_socioeca8.sandag.org_ws_abm2_f4[[#This Row],[flow_am]]</f>
        <v>11615</v>
      </c>
      <c r="O349">
        <f>Table_socioeca8.sandag.org_ws_abm2_f4[[#This Row],[flow_pm]]</f>
        <v>24562</v>
      </c>
    </row>
    <row r="350" spans="5:15" x14ac:dyDescent="0.25">
      <c r="E350">
        <v>8899</v>
      </c>
      <c r="F350">
        <f t="shared" si="5"/>
        <v>259</v>
      </c>
      <c r="G350">
        <f>IFERROR(VLOOKUP(Table_socioeca8.sandag.org_ws_abm2_f4[[#This Row],[hwycov_id]],[2]flow_freeway!$A$2:$E$1643,3,FALSE),0)</f>
        <v>122312</v>
      </c>
      <c r="H350">
        <f>IFERROR(VLOOKUP(Table_socioeca8.sandag.org_ws_abm2_f4[[#This Row],[hwycov_id]],[2]flow_freeway!$A$2:$E$1643,4,FALSE),0)</f>
        <v>29352</v>
      </c>
      <c r="I350">
        <f>IFERROR(VLOOKUP(Table_socioeca8.sandag.org_ws_abm2_f4[[#This Row],[hwycov_id]],[2]flow_freeway!$A$2:$E$1643,5,FALSE),0)</f>
        <v>23644</v>
      </c>
      <c r="K350">
        <f>Table_socioeca8.sandag.org_ws_abm2_f4[[#This Row],[hwycov_id]]</f>
        <v>8899</v>
      </c>
      <c r="L350">
        <f>Table_socioeca8.sandag.org_ws_abm2_f4[[#This Row],[scenario_id]]</f>
        <v>259</v>
      </c>
      <c r="M350">
        <f>Table_socioeca8.sandag.org_ws_abm2_f4[[#This Row],[flow_day]]</f>
        <v>122312</v>
      </c>
      <c r="N350">
        <f>Table_socioeca8.sandag.org_ws_abm2_f4[[#This Row],[flow_am]]</f>
        <v>29352</v>
      </c>
      <c r="O350">
        <f>Table_socioeca8.sandag.org_ws_abm2_f4[[#This Row],[flow_pm]]</f>
        <v>23644</v>
      </c>
    </row>
    <row r="351" spans="5:15" x14ac:dyDescent="0.25">
      <c r="E351">
        <v>8900</v>
      </c>
      <c r="F351">
        <f t="shared" si="5"/>
        <v>259</v>
      </c>
      <c r="G351">
        <f>IFERROR(VLOOKUP(Table_socioeca8.sandag.org_ws_abm2_f4[[#This Row],[hwycov_id]],[2]flow_freeway!$A$2:$E$1643,3,FALSE),0)</f>
        <v>113895</v>
      </c>
      <c r="H351">
        <f>IFERROR(VLOOKUP(Table_socioeca8.sandag.org_ws_abm2_f4[[#This Row],[hwycov_id]],[2]flow_freeway!$A$2:$E$1643,4,FALSE),0)</f>
        <v>27642</v>
      </c>
      <c r="I351">
        <f>IFERROR(VLOOKUP(Table_socioeca8.sandag.org_ws_abm2_f4[[#This Row],[hwycov_id]],[2]flow_freeway!$A$2:$E$1643,5,FALSE),0)</f>
        <v>21691</v>
      </c>
      <c r="K351">
        <f>Table_socioeca8.sandag.org_ws_abm2_f4[[#This Row],[hwycov_id]]</f>
        <v>8900</v>
      </c>
      <c r="L351">
        <f>Table_socioeca8.sandag.org_ws_abm2_f4[[#This Row],[scenario_id]]</f>
        <v>259</v>
      </c>
      <c r="M351">
        <f>Table_socioeca8.sandag.org_ws_abm2_f4[[#This Row],[flow_day]]</f>
        <v>113895</v>
      </c>
      <c r="N351">
        <f>Table_socioeca8.sandag.org_ws_abm2_f4[[#This Row],[flow_am]]</f>
        <v>27642</v>
      </c>
      <c r="O351">
        <f>Table_socioeca8.sandag.org_ws_abm2_f4[[#This Row],[flow_pm]]</f>
        <v>21691</v>
      </c>
    </row>
    <row r="352" spans="5:15" x14ac:dyDescent="0.25">
      <c r="E352">
        <v>8902</v>
      </c>
      <c r="F352">
        <f t="shared" si="5"/>
        <v>259</v>
      </c>
      <c r="G352">
        <f>IFERROR(VLOOKUP(Table_socioeca8.sandag.org_ws_abm2_f4[[#This Row],[hwycov_id]],[2]flow_freeway!$A$2:$E$1643,3,FALSE),0)</f>
        <v>54601</v>
      </c>
      <c r="H352">
        <f>IFERROR(VLOOKUP(Table_socioeca8.sandag.org_ws_abm2_f4[[#This Row],[hwycov_id]],[2]flow_freeway!$A$2:$E$1643,4,FALSE),0)</f>
        <v>13350</v>
      </c>
      <c r="I352">
        <f>IFERROR(VLOOKUP(Table_socioeca8.sandag.org_ws_abm2_f4[[#This Row],[hwycov_id]],[2]flow_freeway!$A$2:$E$1643,5,FALSE),0)</f>
        <v>13037</v>
      </c>
      <c r="K352">
        <f>Table_socioeca8.sandag.org_ws_abm2_f4[[#This Row],[hwycov_id]]</f>
        <v>8902</v>
      </c>
      <c r="L352">
        <f>Table_socioeca8.sandag.org_ws_abm2_f4[[#This Row],[scenario_id]]</f>
        <v>259</v>
      </c>
      <c r="M352">
        <f>Table_socioeca8.sandag.org_ws_abm2_f4[[#This Row],[flow_day]]</f>
        <v>54601</v>
      </c>
      <c r="N352">
        <f>Table_socioeca8.sandag.org_ws_abm2_f4[[#This Row],[flow_am]]</f>
        <v>13350</v>
      </c>
      <c r="O352">
        <f>Table_socioeca8.sandag.org_ws_abm2_f4[[#This Row],[flow_pm]]</f>
        <v>13037</v>
      </c>
    </row>
    <row r="353" spans="5:15" x14ac:dyDescent="0.25">
      <c r="E353">
        <v>8921</v>
      </c>
      <c r="F353">
        <f t="shared" si="5"/>
        <v>259</v>
      </c>
      <c r="G353">
        <f>IFERROR(VLOOKUP(Table_socioeca8.sandag.org_ws_abm2_f4[[#This Row],[hwycov_id]],[2]flow_freeway!$A$2:$E$1643,3,FALSE),0)</f>
        <v>74190</v>
      </c>
      <c r="H353">
        <f>IFERROR(VLOOKUP(Table_socioeca8.sandag.org_ws_abm2_f4[[#This Row],[hwycov_id]],[2]flow_freeway!$A$2:$E$1643,4,FALSE),0)</f>
        <v>16665</v>
      </c>
      <c r="I353">
        <f>IFERROR(VLOOKUP(Table_socioeca8.sandag.org_ws_abm2_f4[[#This Row],[hwycov_id]],[2]flow_freeway!$A$2:$E$1643,5,FALSE),0)</f>
        <v>18238</v>
      </c>
      <c r="K353">
        <f>Table_socioeca8.sandag.org_ws_abm2_f4[[#This Row],[hwycov_id]]</f>
        <v>8921</v>
      </c>
      <c r="L353">
        <f>Table_socioeca8.sandag.org_ws_abm2_f4[[#This Row],[scenario_id]]</f>
        <v>259</v>
      </c>
      <c r="M353">
        <f>Table_socioeca8.sandag.org_ws_abm2_f4[[#This Row],[flow_day]]</f>
        <v>74190</v>
      </c>
      <c r="N353">
        <f>Table_socioeca8.sandag.org_ws_abm2_f4[[#This Row],[flow_am]]</f>
        <v>16665</v>
      </c>
      <c r="O353">
        <f>Table_socioeca8.sandag.org_ws_abm2_f4[[#This Row],[flow_pm]]</f>
        <v>18238</v>
      </c>
    </row>
    <row r="354" spans="5:15" x14ac:dyDescent="0.25">
      <c r="E354">
        <v>8930</v>
      </c>
      <c r="F354">
        <f t="shared" si="5"/>
        <v>259</v>
      </c>
      <c r="G354">
        <f>IFERROR(VLOOKUP(Table_socioeca8.sandag.org_ws_abm2_f4[[#This Row],[hwycov_id]],[2]flow_freeway!$A$2:$E$1643,3,FALSE),0)</f>
        <v>49796</v>
      </c>
      <c r="H354">
        <f>IFERROR(VLOOKUP(Table_socioeca8.sandag.org_ws_abm2_f4[[#This Row],[hwycov_id]],[2]flow_freeway!$A$2:$E$1643,4,FALSE),0)</f>
        <v>10892</v>
      </c>
      <c r="I354">
        <f>IFERROR(VLOOKUP(Table_socioeca8.sandag.org_ws_abm2_f4[[#This Row],[hwycov_id]],[2]flow_freeway!$A$2:$E$1643,5,FALSE),0)</f>
        <v>13766</v>
      </c>
      <c r="K354">
        <f>Table_socioeca8.sandag.org_ws_abm2_f4[[#This Row],[hwycov_id]]</f>
        <v>8930</v>
      </c>
      <c r="L354">
        <f>Table_socioeca8.sandag.org_ws_abm2_f4[[#This Row],[scenario_id]]</f>
        <v>259</v>
      </c>
      <c r="M354">
        <f>Table_socioeca8.sandag.org_ws_abm2_f4[[#This Row],[flow_day]]</f>
        <v>49796</v>
      </c>
      <c r="N354">
        <f>Table_socioeca8.sandag.org_ws_abm2_f4[[#This Row],[flow_am]]</f>
        <v>10892</v>
      </c>
      <c r="O354">
        <f>Table_socioeca8.sandag.org_ws_abm2_f4[[#This Row],[flow_pm]]</f>
        <v>13766</v>
      </c>
    </row>
    <row r="355" spans="5:15" x14ac:dyDescent="0.25">
      <c r="E355">
        <v>8933</v>
      </c>
      <c r="F355">
        <f t="shared" si="5"/>
        <v>259</v>
      </c>
      <c r="G355">
        <f>IFERROR(VLOOKUP(Table_socioeca8.sandag.org_ws_abm2_f4[[#This Row],[hwycov_id]],[2]flow_freeway!$A$2:$E$1643,3,FALSE),0)</f>
        <v>104412</v>
      </c>
      <c r="H355">
        <f>IFERROR(VLOOKUP(Table_socioeca8.sandag.org_ws_abm2_f4[[#This Row],[hwycov_id]],[2]flow_freeway!$A$2:$E$1643,4,FALSE),0)</f>
        <v>17717</v>
      </c>
      <c r="I355">
        <f>IFERROR(VLOOKUP(Table_socioeca8.sandag.org_ws_abm2_f4[[#This Row],[hwycov_id]],[2]flow_freeway!$A$2:$E$1643,5,FALSE),0)</f>
        <v>30283</v>
      </c>
      <c r="K355">
        <f>Table_socioeca8.sandag.org_ws_abm2_f4[[#This Row],[hwycov_id]]</f>
        <v>8933</v>
      </c>
      <c r="L355">
        <f>Table_socioeca8.sandag.org_ws_abm2_f4[[#This Row],[scenario_id]]</f>
        <v>259</v>
      </c>
      <c r="M355">
        <f>Table_socioeca8.sandag.org_ws_abm2_f4[[#This Row],[flow_day]]</f>
        <v>104412</v>
      </c>
      <c r="N355">
        <f>Table_socioeca8.sandag.org_ws_abm2_f4[[#This Row],[flow_am]]</f>
        <v>17717</v>
      </c>
      <c r="O355">
        <f>Table_socioeca8.sandag.org_ws_abm2_f4[[#This Row],[flow_pm]]</f>
        <v>30283</v>
      </c>
    </row>
    <row r="356" spans="5:15" x14ac:dyDescent="0.25">
      <c r="E356">
        <v>8938</v>
      </c>
      <c r="F356">
        <f t="shared" si="5"/>
        <v>259</v>
      </c>
      <c r="G356">
        <f>IFERROR(VLOOKUP(Table_socioeca8.sandag.org_ws_abm2_f4[[#This Row],[hwycov_id]],[2]flow_freeway!$A$2:$E$1643,3,FALSE),0)</f>
        <v>92311</v>
      </c>
      <c r="H356">
        <f>IFERROR(VLOOKUP(Table_socioeca8.sandag.org_ws_abm2_f4[[#This Row],[hwycov_id]],[2]flow_freeway!$A$2:$E$1643,4,FALSE),0)</f>
        <v>17354</v>
      </c>
      <c r="I356">
        <f>IFERROR(VLOOKUP(Table_socioeca8.sandag.org_ws_abm2_f4[[#This Row],[hwycov_id]],[2]flow_freeway!$A$2:$E$1643,5,FALSE),0)</f>
        <v>23270</v>
      </c>
      <c r="K356">
        <f>Table_socioeca8.sandag.org_ws_abm2_f4[[#This Row],[hwycov_id]]</f>
        <v>8938</v>
      </c>
      <c r="L356">
        <f>Table_socioeca8.sandag.org_ws_abm2_f4[[#This Row],[scenario_id]]</f>
        <v>259</v>
      </c>
      <c r="M356">
        <f>Table_socioeca8.sandag.org_ws_abm2_f4[[#This Row],[flow_day]]</f>
        <v>92311</v>
      </c>
      <c r="N356">
        <f>Table_socioeca8.sandag.org_ws_abm2_f4[[#This Row],[flow_am]]</f>
        <v>17354</v>
      </c>
      <c r="O356">
        <f>Table_socioeca8.sandag.org_ws_abm2_f4[[#This Row],[flow_pm]]</f>
        <v>23270</v>
      </c>
    </row>
    <row r="357" spans="5:15" x14ac:dyDescent="0.25">
      <c r="E357">
        <v>8939</v>
      </c>
      <c r="F357">
        <f t="shared" si="5"/>
        <v>259</v>
      </c>
      <c r="G357">
        <f>IFERROR(VLOOKUP(Table_socioeca8.sandag.org_ws_abm2_f4[[#This Row],[hwycov_id]],[2]flow_freeway!$A$2:$E$1643,3,FALSE),0)</f>
        <v>102943</v>
      </c>
      <c r="H357">
        <f>IFERROR(VLOOKUP(Table_socioeca8.sandag.org_ws_abm2_f4[[#This Row],[hwycov_id]],[2]flow_freeway!$A$2:$E$1643,4,FALSE),0)</f>
        <v>23629</v>
      </c>
      <c r="I357">
        <f>IFERROR(VLOOKUP(Table_socioeca8.sandag.org_ws_abm2_f4[[#This Row],[hwycov_id]],[2]flow_freeway!$A$2:$E$1643,5,FALSE),0)</f>
        <v>23643</v>
      </c>
      <c r="K357">
        <f>Table_socioeca8.sandag.org_ws_abm2_f4[[#This Row],[hwycov_id]]</f>
        <v>8939</v>
      </c>
      <c r="L357">
        <f>Table_socioeca8.sandag.org_ws_abm2_f4[[#This Row],[scenario_id]]</f>
        <v>259</v>
      </c>
      <c r="M357">
        <f>Table_socioeca8.sandag.org_ws_abm2_f4[[#This Row],[flow_day]]</f>
        <v>102943</v>
      </c>
      <c r="N357">
        <f>Table_socioeca8.sandag.org_ws_abm2_f4[[#This Row],[flow_am]]</f>
        <v>23629</v>
      </c>
      <c r="O357">
        <f>Table_socioeca8.sandag.org_ws_abm2_f4[[#This Row],[flow_pm]]</f>
        <v>23643</v>
      </c>
    </row>
    <row r="358" spans="5:15" x14ac:dyDescent="0.25">
      <c r="E358">
        <v>8944</v>
      </c>
      <c r="F358">
        <f t="shared" si="5"/>
        <v>259</v>
      </c>
      <c r="G358">
        <f>IFERROR(VLOOKUP(Table_socioeca8.sandag.org_ws_abm2_f4[[#This Row],[hwycov_id]],[2]flow_freeway!$A$2:$E$1643,3,FALSE),0)</f>
        <v>92311</v>
      </c>
      <c r="H358">
        <f>IFERROR(VLOOKUP(Table_socioeca8.sandag.org_ws_abm2_f4[[#This Row],[hwycov_id]],[2]flow_freeway!$A$2:$E$1643,4,FALSE),0)</f>
        <v>17354</v>
      </c>
      <c r="I358">
        <f>IFERROR(VLOOKUP(Table_socioeca8.sandag.org_ws_abm2_f4[[#This Row],[hwycov_id]],[2]flow_freeway!$A$2:$E$1643,5,FALSE),0)</f>
        <v>23270</v>
      </c>
      <c r="K358">
        <f>Table_socioeca8.sandag.org_ws_abm2_f4[[#This Row],[hwycov_id]]</f>
        <v>8944</v>
      </c>
      <c r="L358">
        <f>Table_socioeca8.sandag.org_ws_abm2_f4[[#This Row],[scenario_id]]</f>
        <v>259</v>
      </c>
      <c r="M358">
        <f>Table_socioeca8.sandag.org_ws_abm2_f4[[#This Row],[flow_day]]</f>
        <v>92311</v>
      </c>
      <c r="N358">
        <f>Table_socioeca8.sandag.org_ws_abm2_f4[[#This Row],[flow_am]]</f>
        <v>17354</v>
      </c>
      <c r="O358">
        <f>Table_socioeca8.sandag.org_ws_abm2_f4[[#This Row],[flow_pm]]</f>
        <v>23270</v>
      </c>
    </row>
    <row r="359" spans="5:15" x14ac:dyDescent="0.25">
      <c r="E359">
        <v>8954</v>
      </c>
      <c r="F359">
        <f t="shared" si="5"/>
        <v>259</v>
      </c>
      <c r="G359">
        <f>IFERROR(VLOOKUP(Table_socioeca8.sandag.org_ws_abm2_f4[[#This Row],[hwycov_id]],[2]flow_freeway!$A$2:$E$1643,3,FALSE),0)</f>
        <v>93245</v>
      </c>
      <c r="H359">
        <f>IFERROR(VLOOKUP(Table_socioeca8.sandag.org_ws_abm2_f4[[#This Row],[hwycov_id]],[2]flow_freeway!$A$2:$E$1643,4,FALSE),0)</f>
        <v>21965</v>
      </c>
      <c r="I359">
        <f>IFERROR(VLOOKUP(Table_socioeca8.sandag.org_ws_abm2_f4[[#This Row],[hwycov_id]],[2]flow_freeway!$A$2:$E$1643,5,FALSE),0)</f>
        <v>21187</v>
      </c>
      <c r="K359">
        <f>Table_socioeca8.sandag.org_ws_abm2_f4[[#This Row],[hwycov_id]]</f>
        <v>8954</v>
      </c>
      <c r="L359">
        <f>Table_socioeca8.sandag.org_ws_abm2_f4[[#This Row],[scenario_id]]</f>
        <v>259</v>
      </c>
      <c r="M359">
        <f>Table_socioeca8.sandag.org_ws_abm2_f4[[#This Row],[flow_day]]</f>
        <v>93245</v>
      </c>
      <c r="N359">
        <f>Table_socioeca8.sandag.org_ws_abm2_f4[[#This Row],[flow_am]]</f>
        <v>21965</v>
      </c>
      <c r="O359">
        <f>Table_socioeca8.sandag.org_ws_abm2_f4[[#This Row],[flow_pm]]</f>
        <v>21187</v>
      </c>
    </row>
    <row r="360" spans="5:15" x14ac:dyDescent="0.25">
      <c r="E360">
        <v>8955</v>
      </c>
      <c r="F360">
        <f t="shared" si="5"/>
        <v>259</v>
      </c>
      <c r="G360">
        <f>IFERROR(VLOOKUP(Table_socioeca8.sandag.org_ws_abm2_f4[[#This Row],[hwycov_id]],[2]flow_freeway!$A$2:$E$1643,3,FALSE),0)</f>
        <v>84219</v>
      </c>
      <c r="H360">
        <f>IFERROR(VLOOKUP(Table_socioeca8.sandag.org_ws_abm2_f4[[#This Row],[hwycov_id]],[2]flow_freeway!$A$2:$E$1643,4,FALSE),0)</f>
        <v>15827</v>
      </c>
      <c r="I360">
        <f>IFERROR(VLOOKUP(Table_socioeca8.sandag.org_ws_abm2_f4[[#This Row],[hwycov_id]],[2]flow_freeway!$A$2:$E$1643,5,FALSE),0)</f>
        <v>22046</v>
      </c>
      <c r="K360">
        <f>Table_socioeca8.sandag.org_ws_abm2_f4[[#This Row],[hwycov_id]]</f>
        <v>8955</v>
      </c>
      <c r="L360">
        <f>Table_socioeca8.sandag.org_ws_abm2_f4[[#This Row],[scenario_id]]</f>
        <v>259</v>
      </c>
      <c r="M360">
        <f>Table_socioeca8.sandag.org_ws_abm2_f4[[#This Row],[flow_day]]</f>
        <v>84219</v>
      </c>
      <c r="N360">
        <f>Table_socioeca8.sandag.org_ws_abm2_f4[[#This Row],[flow_am]]</f>
        <v>15827</v>
      </c>
      <c r="O360">
        <f>Table_socioeca8.sandag.org_ws_abm2_f4[[#This Row],[flow_pm]]</f>
        <v>22046</v>
      </c>
    </row>
    <row r="361" spans="5:15" x14ac:dyDescent="0.25">
      <c r="E361">
        <v>8966</v>
      </c>
      <c r="F361">
        <f t="shared" si="5"/>
        <v>259</v>
      </c>
      <c r="G361">
        <f>IFERROR(VLOOKUP(Table_socioeca8.sandag.org_ws_abm2_f4[[#This Row],[hwycov_id]],[2]flow_freeway!$A$2:$E$1643,3,FALSE),0)</f>
        <v>102943</v>
      </c>
      <c r="H361">
        <f>IFERROR(VLOOKUP(Table_socioeca8.sandag.org_ws_abm2_f4[[#This Row],[hwycov_id]],[2]flow_freeway!$A$2:$E$1643,4,FALSE),0)</f>
        <v>23629</v>
      </c>
      <c r="I361">
        <f>IFERROR(VLOOKUP(Table_socioeca8.sandag.org_ws_abm2_f4[[#This Row],[hwycov_id]],[2]flow_freeway!$A$2:$E$1643,5,FALSE),0)</f>
        <v>23643</v>
      </c>
      <c r="K361">
        <f>Table_socioeca8.sandag.org_ws_abm2_f4[[#This Row],[hwycov_id]]</f>
        <v>8966</v>
      </c>
      <c r="L361">
        <f>Table_socioeca8.sandag.org_ws_abm2_f4[[#This Row],[scenario_id]]</f>
        <v>259</v>
      </c>
      <c r="M361">
        <f>Table_socioeca8.sandag.org_ws_abm2_f4[[#This Row],[flow_day]]</f>
        <v>102943</v>
      </c>
      <c r="N361">
        <f>Table_socioeca8.sandag.org_ws_abm2_f4[[#This Row],[flow_am]]</f>
        <v>23629</v>
      </c>
      <c r="O361">
        <f>Table_socioeca8.sandag.org_ws_abm2_f4[[#This Row],[flow_pm]]</f>
        <v>23643</v>
      </c>
    </row>
    <row r="362" spans="5:15" x14ac:dyDescent="0.25">
      <c r="E362">
        <v>8968</v>
      </c>
      <c r="F362">
        <f t="shared" si="5"/>
        <v>259</v>
      </c>
      <c r="G362">
        <f>IFERROR(VLOOKUP(Table_socioeca8.sandag.org_ws_abm2_f4[[#This Row],[hwycov_id]],[2]flow_freeway!$A$2:$E$1643,3,FALSE),0)</f>
        <v>91677</v>
      </c>
      <c r="H362">
        <f>IFERROR(VLOOKUP(Table_socioeca8.sandag.org_ws_abm2_f4[[#This Row],[hwycov_id]],[2]flow_freeway!$A$2:$E$1643,4,FALSE),0)</f>
        <v>16171</v>
      </c>
      <c r="I362">
        <f>IFERROR(VLOOKUP(Table_socioeca8.sandag.org_ws_abm2_f4[[#This Row],[hwycov_id]],[2]flow_freeway!$A$2:$E$1643,5,FALSE),0)</f>
        <v>25865</v>
      </c>
      <c r="K362">
        <f>Table_socioeca8.sandag.org_ws_abm2_f4[[#This Row],[hwycov_id]]</f>
        <v>8968</v>
      </c>
      <c r="L362">
        <f>Table_socioeca8.sandag.org_ws_abm2_f4[[#This Row],[scenario_id]]</f>
        <v>259</v>
      </c>
      <c r="M362">
        <f>Table_socioeca8.sandag.org_ws_abm2_f4[[#This Row],[flow_day]]</f>
        <v>91677</v>
      </c>
      <c r="N362">
        <f>Table_socioeca8.sandag.org_ws_abm2_f4[[#This Row],[flow_am]]</f>
        <v>16171</v>
      </c>
      <c r="O362">
        <f>Table_socioeca8.sandag.org_ws_abm2_f4[[#This Row],[flow_pm]]</f>
        <v>25865</v>
      </c>
    </row>
    <row r="363" spans="5:15" x14ac:dyDescent="0.25">
      <c r="E363">
        <v>8972</v>
      </c>
      <c r="F363">
        <f t="shared" si="5"/>
        <v>259</v>
      </c>
      <c r="G363">
        <f>IFERROR(VLOOKUP(Table_socioeca8.sandag.org_ws_abm2_f4[[#This Row],[hwycov_id]],[2]flow_freeway!$A$2:$E$1643,3,FALSE),0)</f>
        <v>102851</v>
      </c>
      <c r="H363">
        <f>IFERROR(VLOOKUP(Table_socioeca8.sandag.org_ws_abm2_f4[[#This Row],[hwycov_id]],[2]flow_freeway!$A$2:$E$1643,4,FALSE),0)</f>
        <v>25174</v>
      </c>
      <c r="I363">
        <f>IFERROR(VLOOKUP(Table_socioeca8.sandag.org_ws_abm2_f4[[#This Row],[hwycov_id]],[2]flow_freeway!$A$2:$E$1643,5,FALSE),0)</f>
        <v>22255</v>
      </c>
      <c r="K363">
        <f>Table_socioeca8.sandag.org_ws_abm2_f4[[#This Row],[hwycov_id]]</f>
        <v>8972</v>
      </c>
      <c r="L363">
        <f>Table_socioeca8.sandag.org_ws_abm2_f4[[#This Row],[scenario_id]]</f>
        <v>259</v>
      </c>
      <c r="M363">
        <f>Table_socioeca8.sandag.org_ws_abm2_f4[[#This Row],[flow_day]]</f>
        <v>102851</v>
      </c>
      <c r="N363">
        <f>Table_socioeca8.sandag.org_ws_abm2_f4[[#This Row],[flow_am]]</f>
        <v>25174</v>
      </c>
      <c r="O363">
        <f>Table_socioeca8.sandag.org_ws_abm2_f4[[#This Row],[flow_pm]]</f>
        <v>22255</v>
      </c>
    </row>
    <row r="364" spans="5:15" x14ac:dyDescent="0.25">
      <c r="E364">
        <v>8973</v>
      </c>
      <c r="F364">
        <f t="shared" si="5"/>
        <v>259</v>
      </c>
      <c r="G364">
        <f>IFERROR(VLOOKUP(Table_socioeca8.sandag.org_ws_abm2_f4[[#This Row],[hwycov_id]],[2]flow_freeway!$A$2:$E$1643,3,FALSE),0)</f>
        <v>96162</v>
      </c>
      <c r="H364">
        <f>IFERROR(VLOOKUP(Table_socioeca8.sandag.org_ws_abm2_f4[[#This Row],[hwycov_id]],[2]flow_freeway!$A$2:$E$1643,4,FALSE),0)</f>
        <v>17280</v>
      </c>
      <c r="I364">
        <f>IFERROR(VLOOKUP(Table_socioeca8.sandag.org_ws_abm2_f4[[#This Row],[hwycov_id]],[2]flow_freeway!$A$2:$E$1643,5,FALSE),0)</f>
        <v>26686</v>
      </c>
      <c r="K364">
        <f>Table_socioeca8.sandag.org_ws_abm2_f4[[#This Row],[hwycov_id]]</f>
        <v>8973</v>
      </c>
      <c r="L364">
        <f>Table_socioeca8.sandag.org_ws_abm2_f4[[#This Row],[scenario_id]]</f>
        <v>259</v>
      </c>
      <c r="M364">
        <f>Table_socioeca8.sandag.org_ws_abm2_f4[[#This Row],[flow_day]]</f>
        <v>96162</v>
      </c>
      <c r="N364">
        <f>Table_socioeca8.sandag.org_ws_abm2_f4[[#This Row],[flow_am]]</f>
        <v>17280</v>
      </c>
      <c r="O364">
        <f>Table_socioeca8.sandag.org_ws_abm2_f4[[#This Row],[flow_pm]]</f>
        <v>26686</v>
      </c>
    </row>
    <row r="365" spans="5:15" x14ac:dyDescent="0.25">
      <c r="E365">
        <v>8976</v>
      </c>
      <c r="F365">
        <f t="shared" si="5"/>
        <v>259</v>
      </c>
      <c r="G365">
        <f>IFERROR(VLOOKUP(Table_socioeca8.sandag.org_ws_abm2_f4[[#This Row],[hwycov_id]],[2]flow_freeway!$A$2:$E$1643,3,FALSE),0)</f>
        <v>105859</v>
      </c>
      <c r="H365">
        <f>IFERROR(VLOOKUP(Table_socioeca8.sandag.org_ws_abm2_f4[[#This Row],[hwycov_id]],[2]flow_freeway!$A$2:$E$1643,4,FALSE),0)</f>
        <v>26410</v>
      </c>
      <c r="I365">
        <f>IFERROR(VLOOKUP(Table_socioeca8.sandag.org_ws_abm2_f4[[#This Row],[hwycov_id]],[2]flow_freeway!$A$2:$E$1643,5,FALSE),0)</f>
        <v>22319</v>
      </c>
      <c r="K365">
        <f>Table_socioeca8.sandag.org_ws_abm2_f4[[#This Row],[hwycov_id]]</f>
        <v>8976</v>
      </c>
      <c r="L365">
        <f>Table_socioeca8.sandag.org_ws_abm2_f4[[#This Row],[scenario_id]]</f>
        <v>259</v>
      </c>
      <c r="M365">
        <f>Table_socioeca8.sandag.org_ws_abm2_f4[[#This Row],[flow_day]]</f>
        <v>105859</v>
      </c>
      <c r="N365">
        <f>Table_socioeca8.sandag.org_ws_abm2_f4[[#This Row],[flow_am]]</f>
        <v>26410</v>
      </c>
      <c r="O365">
        <f>Table_socioeca8.sandag.org_ws_abm2_f4[[#This Row],[flow_pm]]</f>
        <v>22319</v>
      </c>
    </row>
    <row r="366" spans="5:15" x14ac:dyDescent="0.25">
      <c r="E366">
        <v>8977</v>
      </c>
      <c r="F366">
        <f t="shared" si="5"/>
        <v>259</v>
      </c>
      <c r="G366">
        <f>IFERROR(VLOOKUP(Table_socioeca8.sandag.org_ws_abm2_f4[[#This Row],[hwycov_id]],[2]flow_freeway!$A$2:$E$1643,3,FALSE),0)</f>
        <v>97452</v>
      </c>
      <c r="H366">
        <f>IFERROR(VLOOKUP(Table_socioeca8.sandag.org_ws_abm2_f4[[#This Row],[hwycov_id]],[2]flow_freeway!$A$2:$E$1643,4,FALSE),0)</f>
        <v>24398</v>
      </c>
      <c r="I366">
        <f>IFERROR(VLOOKUP(Table_socioeca8.sandag.org_ws_abm2_f4[[#This Row],[hwycov_id]],[2]flow_freeway!$A$2:$E$1643,5,FALSE),0)</f>
        <v>20789</v>
      </c>
      <c r="K366">
        <f>Table_socioeca8.sandag.org_ws_abm2_f4[[#This Row],[hwycov_id]]</f>
        <v>8977</v>
      </c>
      <c r="L366">
        <f>Table_socioeca8.sandag.org_ws_abm2_f4[[#This Row],[scenario_id]]</f>
        <v>259</v>
      </c>
      <c r="M366">
        <f>Table_socioeca8.sandag.org_ws_abm2_f4[[#This Row],[flow_day]]</f>
        <v>97452</v>
      </c>
      <c r="N366">
        <f>Table_socioeca8.sandag.org_ws_abm2_f4[[#This Row],[flow_am]]</f>
        <v>24398</v>
      </c>
      <c r="O366">
        <f>Table_socioeca8.sandag.org_ws_abm2_f4[[#This Row],[flow_pm]]</f>
        <v>20789</v>
      </c>
    </row>
    <row r="367" spans="5:15" x14ac:dyDescent="0.25">
      <c r="E367">
        <v>8982</v>
      </c>
      <c r="F367">
        <f t="shared" si="5"/>
        <v>259</v>
      </c>
      <c r="G367">
        <f>IFERROR(VLOOKUP(Table_socioeca8.sandag.org_ws_abm2_f4[[#This Row],[hwycov_id]],[2]flow_freeway!$A$2:$E$1643,3,FALSE),0)</f>
        <v>99028</v>
      </c>
      <c r="H367">
        <f>IFERROR(VLOOKUP(Table_socioeca8.sandag.org_ws_abm2_f4[[#This Row],[hwycov_id]],[2]flow_freeway!$A$2:$E$1643,4,FALSE),0)</f>
        <v>20914</v>
      </c>
      <c r="I367">
        <f>IFERROR(VLOOKUP(Table_socioeca8.sandag.org_ws_abm2_f4[[#This Row],[hwycov_id]],[2]flow_freeway!$A$2:$E$1643,5,FALSE),0)</f>
        <v>23420</v>
      </c>
      <c r="K367">
        <f>Table_socioeca8.sandag.org_ws_abm2_f4[[#This Row],[hwycov_id]]</f>
        <v>8982</v>
      </c>
      <c r="L367">
        <f>Table_socioeca8.sandag.org_ws_abm2_f4[[#This Row],[scenario_id]]</f>
        <v>259</v>
      </c>
      <c r="M367">
        <f>Table_socioeca8.sandag.org_ws_abm2_f4[[#This Row],[flow_day]]</f>
        <v>99028</v>
      </c>
      <c r="N367">
        <f>Table_socioeca8.sandag.org_ws_abm2_f4[[#This Row],[flow_am]]</f>
        <v>20914</v>
      </c>
      <c r="O367">
        <f>Table_socioeca8.sandag.org_ws_abm2_f4[[#This Row],[flow_pm]]</f>
        <v>23420</v>
      </c>
    </row>
    <row r="368" spans="5:15" x14ac:dyDescent="0.25">
      <c r="E368">
        <v>9012</v>
      </c>
      <c r="F368">
        <f t="shared" si="5"/>
        <v>259</v>
      </c>
      <c r="G368">
        <f>IFERROR(VLOOKUP(Table_socioeca8.sandag.org_ws_abm2_f4[[#This Row],[hwycov_id]],[2]flow_freeway!$A$2:$E$1643,3,FALSE),0)</f>
        <v>10513</v>
      </c>
      <c r="H368">
        <f>IFERROR(VLOOKUP(Table_socioeca8.sandag.org_ws_abm2_f4[[#This Row],[hwycov_id]],[2]flow_freeway!$A$2:$E$1643,4,FALSE),0)</f>
        <v>1656</v>
      </c>
      <c r="I368">
        <f>IFERROR(VLOOKUP(Table_socioeca8.sandag.org_ws_abm2_f4[[#This Row],[hwycov_id]],[2]flow_freeway!$A$2:$E$1643,5,FALSE),0)</f>
        <v>4761</v>
      </c>
      <c r="K368">
        <f>Table_socioeca8.sandag.org_ws_abm2_f4[[#This Row],[hwycov_id]]</f>
        <v>9012</v>
      </c>
      <c r="L368">
        <f>Table_socioeca8.sandag.org_ws_abm2_f4[[#This Row],[scenario_id]]</f>
        <v>259</v>
      </c>
      <c r="M368">
        <f>Table_socioeca8.sandag.org_ws_abm2_f4[[#This Row],[flow_day]]</f>
        <v>10513</v>
      </c>
      <c r="N368">
        <f>Table_socioeca8.sandag.org_ws_abm2_f4[[#This Row],[flow_am]]</f>
        <v>1656</v>
      </c>
      <c r="O368">
        <f>Table_socioeca8.sandag.org_ws_abm2_f4[[#This Row],[flow_pm]]</f>
        <v>4761</v>
      </c>
    </row>
    <row r="369" spans="5:15" x14ac:dyDescent="0.25">
      <c r="E369">
        <v>9022</v>
      </c>
      <c r="F369">
        <f t="shared" si="5"/>
        <v>259</v>
      </c>
      <c r="G369">
        <f>IFERROR(VLOOKUP(Table_socioeca8.sandag.org_ws_abm2_f4[[#This Row],[hwycov_id]],[2]flow_freeway!$A$2:$E$1643,3,FALSE),0)</f>
        <v>108601</v>
      </c>
      <c r="H369">
        <f>IFERROR(VLOOKUP(Table_socioeca8.sandag.org_ws_abm2_f4[[#This Row],[hwycov_id]],[2]flow_freeway!$A$2:$E$1643,4,FALSE),0)</f>
        <v>26321</v>
      </c>
      <c r="I369">
        <f>IFERROR(VLOOKUP(Table_socioeca8.sandag.org_ws_abm2_f4[[#This Row],[hwycov_id]],[2]flow_freeway!$A$2:$E$1643,5,FALSE),0)</f>
        <v>20306</v>
      </c>
      <c r="K369">
        <f>Table_socioeca8.sandag.org_ws_abm2_f4[[#This Row],[hwycov_id]]</f>
        <v>9022</v>
      </c>
      <c r="L369">
        <f>Table_socioeca8.sandag.org_ws_abm2_f4[[#This Row],[scenario_id]]</f>
        <v>259</v>
      </c>
      <c r="M369">
        <f>Table_socioeca8.sandag.org_ws_abm2_f4[[#This Row],[flow_day]]</f>
        <v>108601</v>
      </c>
      <c r="N369">
        <f>Table_socioeca8.sandag.org_ws_abm2_f4[[#This Row],[flow_am]]</f>
        <v>26321</v>
      </c>
      <c r="O369">
        <f>Table_socioeca8.sandag.org_ws_abm2_f4[[#This Row],[flow_pm]]</f>
        <v>20306</v>
      </c>
    </row>
    <row r="370" spans="5:15" x14ac:dyDescent="0.25">
      <c r="E370">
        <v>9025</v>
      </c>
      <c r="F370">
        <f t="shared" si="5"/>
        <v>259</v>
      </c>
      <c r="G370">
        <f>IFERROR(VLOOKUP(Table_socioeca8.sandag.org_ws_abm2_f4[[#This Row],[hwycov_id]],[2]flow_freeway!$A$2:$E$1643,3,FALSE),0)</f>
        <v>101577</v>
      </c>
      <c r="H370">
        <f>IFERROR(VLOOKUP(Table_socioeca8.sandag.org_ws_abm2_f4[[#This Row],[hwycov_id]],[2]flow_freeway!$A$2:$E$1643,4,FALSE),0)</f>
        <v>21834</v>
      </c>
      <c r="I370">
        <f>IFERROR(VLOOKUP(Table_socioeca8.sandag.org_ws_abm2_f4[[#This Row],[hwycov_id]],[2]flow_freeway!$A$2:$E$1643,5,FALSE),0)</f>
        <v>19762</v>
      </c>
      <c r="K370">
        <f>Table_socioeca8.sandag.org_ws_abm2_f4[[#This Row],[hwycov_id]]</f>
        <v>9025</v>
      </c>
      <c r="L370">
        <f>Table_socioeca8.sandag.org_ws_abm2_f4[[#This Row],[scenario_id]]</f>
        <v>259</v>
      </c>
      <c r="M370">
        <f>Table_socioeca8.sandag.org_ws_abm2_f4[[#This Row],[flow_day]]</f>
        <v>101577</v>
      </c>
      <c r="N370">
        <f>Table_socioeca8.sandag.org_ws_abm2_f4[[#This Row],[flow_am]]</f>
        <v>21834</v>
      </c>
      <c r="O370">
        <f>Table_socioeca8.sandag.org_ws_abm2_f4[[#This Row],[flow_pm]]</f>
        <v>19762</v>
      </c>
    </row>
    <row r="371" spans="5:15" x14ac:dyDescent="0.25">
      <c r="E371">
        <v>9027</v>
      </c>
      <c r="F371">
        <f t="shared" si="5"/>
        <v>259</v>
      </c>
      <c r="G371">
        <f>IFERROR(VLOOKUP(Table_socioeca8.sandag.org_ws_abm2_f4[[#This Row],[hwycov_id]],[2]flow_freeway!$A$2:$E$1643,3,FALSE),0)</f>
        <v>54848</v>
      </c>
      <c r="H371">
        <f>IFERROR(VLOOKUP(Table_socioeca8.sandag.org_ws_abm2_f4[[#This Row],[hwycov_id]],[2]flow_freeway!$A$2:$E$1643,4,FALSE),0)</f>
        <v>13414</v>
      </c>
      <c r="I371">
        <f>IFERROR(VLOOKUP(Table_socioeca8.sandag.org_ws_abm2_f4[[#This Row],[hwycov_id]],[2]flow_freeway!$A$2:$E$1643,5,FALSE),0)</f>
        <v>13061</v>
      </c>
      <c r="K371">
        <f>Table_socioeca8.sandag.org_ws_abm2_f4[[#This Row],[hwycov_id]]</f>
        <v>9027</v>
      </c>
      <c r="L371">
        <f>Table_socioeca8.sandag.org_ws_abm2_f4[[#This Row],[scenario_id]]</f>
        <v>259</v>
      </c>
      <c r="M371">
        <f>Table_socioeca8.sandag.org_ws_abm2_f4[[#This Row],[flow_day]]</f>
        <v>54848</v>
      </c>
      <c r="N371">
        <f>Table_socioeca8.sandag.org_ws_abm2_f4[[#This Row],[flow_am]]</f>
        <v>13414</v>
      </c>
      <c r="O371">
        <f>Table_socioeca8.sandag.org_ws_abm2_f4[[#This Row],[flow_pm]]</f>
        <v>13061</v>
      </c>
    </row>
    <row r="372" spans="5:15" x14ac:dyDescent="0.25">
      <c r="E372">
        <v>9028</v>
      </c>
      <c r="F372">
        <f t="shared" si="5"/>
        <v>259</v>
      </c>
      <c r="G372">
        <f>IFERROR(VLOOKUP(Table_socioeca8.sandag.org_ws_abm2_f4[[#This Row],[hwycov_id]],[2]flow_freeway!$A$2:$E$1643,3,FALSE),0)</f>
        <v>64534</v>
      </c>
      <c r="H372">
        <f>IFERROR(VLOOKUP(Table_socioeca8.sandag.org_ws_abm2_f4[[#This Row],[hwycov_id]],[2]flow_freeway!$A$2:$E$1643,4,FALSE),0)</f>
        <v>9926</v>
      </c>
      <c r="I372">
        <f>IFERROR(VLOOKUP(Table_socioeca8.sandag.org_ws_abm2_f4[[#This Row],[hwycov_id]],[2]flow_freeway!$A$2:$E$1643,5,FALSE),0)</f>
        <v>21140</v>
      </c>
      <c r="K372">
        <f>Table_socioeca8.sandag.org_ws_abm2_f4[[#This Row],[hwycov_id]]</f>
        <v>9028</v>
      </c>
      <c r="L372">
        <f>Table_socioeca8.sandag.org_ws_abm2_f4[[#This Row],[scenario_id]]</f>
        <v>259</v>
      </c>
      <c r="M372">
        <f>Table_socioeca8.sandag.org_ws_abm2_f4[[#This Row],[flow_day]]</f>
        <v>64534</v>
      </c>
      <c r="N372">
        <f>Table_socioeca8.sandag.org_ws_abm2_f4[[#This Row],[flow_am]]</f>
        <v>9926</v>
      </c>
      <c r="O372">
        <f>Table_socioeca8.sandag.org_ws_abm2_f4[[#This Row],[flow_pm]]</f>
        <v>21140</v>
      </c>
    </row>
    <row r="373" spans="5:15" x14ac:dyDescent="0.25">
      <c r="E373">
        <v>9029</v>
      </c>
      <c r="F373">
        <f t="shared" si="5"/>
        <v>259</v>
      </c>
      <c r="G373">
        <f>IFERROR(VLOOKUP(Table_socioeca8.sandag.org_ws_abm2_f4[[#This Row],[hwycov_id]],[2]flow_freeway!$A$2:$E$1643,3,FALSE),0)</f>
        <v>70359</v>
      </c>
      <c r="H373">
        <f>IFERROR(VLOOKUP(Table_socioeca8.sandag.org_ws_abm2_f4[[#This Row],[hwycov_id]],[2]flow_freeway!$A$2:$E$1643,4,FALSE),0)</f>
        <v>19717</v>
      </c>
      <c r="I373">
        <f>IFERROR(VLOOKUP(Table_socioeca8.sandag.org_ws_abm2_f4[[#This Row],[hwycov_id]],[2]flow_freeway!$A$2:$E$1643,5,FALSE),0)</f>
        <v>14515</v>
      </c>
      <c r="K373">
        <f>Table_socioeca8.sandag.org_ws_abm2_f4[[#This Row],[hwycov_id]]</f>
        <v>9029</v>
      </c>
      <c r="L373">
        <f>Table_socioeca8.sandag.org_ws_abm2_f4[[#This Row],[scenario_id]]</f>
        <v>259</v>
      </c>
      <c r="M373">
        <f>Table_socioeca8.sandag.org_ws_abm2_f4[[#This Row],[flow_day]]</f>
        <v>70359</v>
      </c>
      <c r="N373">
        <f>Table_socioeca8.sandag.org_ws_abm2_f4[[#This Row],[flow_am]]</f>
        <v>19717</v>
      </c>
      <c r="O373">
        <f>Table_socioeca8.sandag.org_ws_abm2_f4[[#This Row],[flow_pm]]</f>
        <v>14515</v>
      </c>
    </row>
    <row r="374" spans="5:15" x14ac:dyDescent="0.25">
      <c r="E374">
        <v>9031</v>
      </c>
      <c r="F374">
        <f t="shared" si="5"/>
        <v>259</v>
      </c>
      <c r="G374">
        <f>IFERROR(VLOOKUP(Table_socioeca8.sandag.org_ws_abm2_f4[[#This Row],[hwycov_id]],[2]flow_freeway!$A$2:$E$1643,3,FALSE),0)</f>
        <v>5657</v>
      </c>
      <c r="H374">
        <f>IFERROR(VLOOKUP(Table_socioeca8.sandag.org_ws_abm2_f4[[#This Row],[hwycov_id]],[2]flow_freeway!$A$2:$E$1643,4,FALSE),0)</f>
        <v>1524</v>
      </c>
      <c r="I374">
        <f>IFERROR(VLOOKUP(Table_socioeca8.sandag.org_ws_abm2_f4[[#This Row],[hwycov_id]],[2]flow_freeway!$A$2:$E$1643,5,FALSE),0)</f>
        <v>646</v>
      </c>
      <c r="K374">
        <f>Table_socioeca8.sandag.org_ws_abm2_f4[[#This Row],[hwycov_id]]</f>
        <v>9031</v>
      </c>
      <c r="L374">
        <f>Table_socioeca8.sandag.org_ws_abm2_f4[[#This Row],[scenario_id]]</f>
        <v>259</v>
      </c>
      <c r="M374">
        <f>Table_socioeca8.sandag.org_ws_abm2_f4[[#This Row],[flow_day]]</f>
        <v>5657</v>
      </c>
      <c r="N374">
        <f>Table_socioeca8.sandag.org_ws_abm2_f4[[#This Row],[flow_am]]</f>
        <v>1524</v>
      </c>
      <c r="O374">
        <f>Table_socioeca8.sandag.org_ws_abm2_f4[[#This Row],[flow_pm]]</f>
        <v>646</v>
      </c>
    </row>
    <row r="375" spans="5:15" x14ac:dyDescent="0.25">
      <c r="E375">
        <v>9032</v>
      </c>
      <c r="F375">
        <f t="shared" si="5"/>
        <v>259</v>
      </c>
      <c r="G375">
        <f>IFERROR(VLOOKUP(Table_socioeca8.sandag.org_ws_abm2_f4[[#This Row],[hwycov_id]],[2]flow_freeway!$A$2:$E$1643,3,FALSE),0)</f>
        <v>5829</v>
      </c>
      <c r="H375">
        <f>IFERROR(VLOOKUP(Table_socioeca8.sandag.org_ws_abm2_f4[[#This Row],[hwycov_id]],[2]flow_freeway!$A$2:$E$1643,4,FALSE),0)</f>
        <v>823</v>
      </c>
      <c r="I375">
        <f>IFERROR(VLOOKUP(Table_socioeca8.sandag.org_ws_abm2_f4[[#This Row],[hwycov_id]],[2]flow_freeway!$A$2:$E$1643,5,FALSE),0)</f>
        <v>1783</v>
      </c>
      <c r="K375">
        <f>Table_socioeca8.sandag.org_ws_abm2_f4[[#This Row],[hwycov_id]]</f>
        <v>9032</v>
      </c>
      <c r="L375">
        <f>Table_socioeca8.sandag.org_ws_abm2_f4[[#This Row],[scenario_id]]</f>
        <v>259</v>
      </c>
      <c r="M375">
        <f>Table_socioeca8.sandag.org_ws_abm2_f4[[#This Row],[flow_day]]</f>
        <v>5829</v>
      </c>
      <c r="N375">
        <f>Table_socioeca8.sandag.org_ws_abm2_f4[[#This Row],[flow_am]]</f>
        <v>823</v>
      </c>
      <c r="O375">
        <f>Table_socioeca8.sandag.org_ws_abm2_f4[[#This Row],[flow_pm]]</f>
        <v>1783</v>
      </c>
    </row>
    <row r="376" spans="5:15" x14ac:dyDescent="0.25">
      <c r="E376">
        <v>9033</v>
      </c>
      <c r="F376">
        <f t="shared" si="5"/>
        <v>259</v>
      </c>
      <c r="G376">
        <f>IFERROR(VLOOKUP(Table_socioeca8.sandag.org_ws_abm2_f4[[#This Row],[hwycov_id]],[2]flow_freeway!$A$2:$E$1643,3,FALSE),0)</f>
        <v>38083</v>
      </c>
      <c r="H376">
        <f>IFERROR(VLOOKUP(Table_socioeca8.sandag.org_ws_abm2_f4[[#This Row],[hwycov_id]],[2]flow_freeway!$A$2:$E$1643,4,FALSE),0)</f>
        <v>9373</v>
      </c>
      <c r="I376">
        <f>IFERROR(VLOOKUP(Table_socioeca8.sandag.org_ws_abm2_f4[[#This Row],[hwycov_id]],[2]flow_freeway!$A$2:$E$1643,5,FALSE),0)</f>
        <v>8258</v>
      </c>
      <c r="K376">
        <f>Table_socioeca8.sandag.org_ws_abm2_f4[[#This Row],[hwycov_id]]</f>
        <v>9033</v>
      </c>
      <c r="L376">
        <f>Table_socioeca8.sandag.org_ws_abm2_f4[[#This Row],[scenario_id]]</f>
        <v>259</v>
      </c>
      <c r="M376">
        <f>Table_socioeca8.sandag.org_ws_abm2_f4[[#This Row],[flow_day]]</f>
        <v>38083</v>
      </c>
      <c r="N376">
        <f>Table_socioeca8.sandag.org_ws_abm2_f4[[#This Row],[flow_am]]</f>
        <v>9373</v>
      </c>
      <c r="O376">
        <f>Table_socioeca8.sandag.org_ws_abm2_f4[[#This Row],[flow_pm]]</f>
        <v>8258</v>
      </c>
    </row>
    <row r="377" spans="5:15" x14ac:dyDescent="0.25">
      <c r="E377">
        <v>9034</v>
      </c>
      <c r="F377">
        <f t="shared" si="5"/>
        <v>259</v>
      </c>
      <c r="G377">
        <f>IFERROR(VLOOKUP(Table_socioeca8.sandag.org_ws_abm2_f4[[#This Row],[hwycov_id]],[2]flow_freeway!$A$2:$E$1643,3,FALSE),0)</f>
        <v>27526</v>
      </c>
      <c r="H377">
        <f>IFERROR(VLOOKUP(Table_socioeca8.sandag.org_ws_abm2_f4[[#This Row],[hwycov_id]],[2]flow_freeway!$A$2:$E$1643,4,FALSE),0)</f>
        <v>6979</v>
      </c>
      <c r="I377">
        <f>IFERROR(VLOOKUP(Table_socioeca8.sandag.org_ws_abm2_f4[[#This Row],[hwycov_id]],[2]flow_freeway!$A$2:$E$1643,5,FALSE),0)</f>
        <v>6532</v>
      </c>
      <c r="K377">
        <f>Table_socioeca8.sandag.org_ws_abm2_f4[[#This Row],[hwycov_id]]</f>
        <v>9034</v>
      </c>
      <c r="L377">
        <f>Table_socioeca8.sandag.org_ws_abm2_f4[[#This Row],[scenario_id]]</f>
        <v>259</v>
      </c>
      <c r="M377">
        <f>Table_socioeca8.sandag.org_ws_abm2_f4[[#This Row],[flow_day]]</f>
        <v>27526</v>
      </c>
      <c r="N377">
        <f>Table_socioeca8.sandag.org_ws_abm2_f4[[#This Row],[flow_am]]</f>
        <v>6979</v>
      </c>
      <c r="O377">
        <f>Table_socioeca8.sandag.org_ws_abm2_f4[[#This Row],[flow_pm]]</f>
        <v>6532</v>
      </c>
    </row>
    <row r="378" spans="5:15" x14ac:dyDescent="0.25">
      <c r="E378">
        <v>9035</v>
      </c>
      <c r="F378">
        <f t="shared" si="5"/>
        <v>259</v>
      </c>
      <c r="G378">
        <f>IFERROR(VLOOKUP(Table_socioeca8.sandag.org_ws_abm2_f4[[#This Row],[hwycov_id]],[2]flow_freeway!$A$2:$E$1643,3,FALSE),0)</f>
        <v>25356</v>
      </c>
      <c r="H378">
        <f>IFERROR(VLOOKUP(Table_socioeca8.sandag.org_ws_abm2_f4[[#This Row],[hwycov_id]],[2]flow_freeway!$A$2:$E$1643,4,FALSE),0)</f>
        <v>4541</v>
      </c>
      <c r="I378">
        <f>IFERROR(VLOOKUP(Table_socioeca8.sandag.org_ws_abm2_f4[[#This Row],[hwycov_id]],[2]flow_freeway!$A$2:$E$1643,5,FALSE),0)</f>
        <v>6658</v>
      </c>
      <c r="K378">
        <f>Table_socioeca8.sandag.org_ws_abm2_f4[[#This Row],[hwycov_id]]</f>
        <v>9035</v>
      </c>
      <c r="L378">
        <f>Table_socioeca8.sandag.org_ws_abm2_f4[[#This Row],[scenario_id]]</f>
        <v>259</v>
      </c>
      <c r="M378">
        <f>Table_socioeca8.sandag.org_ws_abm2_f4[[#This Row],[flow_day]]</f>
        <v>25356</v>
      </c>
      <c r="N378">
        <f>Table_socioeca8.sandag.org_ws_abm2_f4[[#This Row],[flow_am]]</f>
        <v>4541</v>
      </c>
      <c r="O378">
        <f>Table_socioeca8.sandag.org_ws_abm2_f4[[#This Row],[flow_pm]]</f>
        <v>6658</v>
      </c>
    </row>
    <row r="379" spans="5:15" x14ac:dyDescent="0.25">
      <c r="E379">
        <v>9036</v>
      </c>
      <c r="F379">
        <f t="shared" si="5"/>
        <v>259</v>
      </c>
      <c r="G379">
        <f>IFERROR(VLOOKUP(Table_socioeca8.sandag.org_ws_abm2_f4[[#This Row],[hwycov_id]],[2]flow_freeway!$A$2:$E$1643,3,FALSE),0)</f>
        <v>39774</v>
      </c>
      <c r="H379">
        <f>IFERROR(VLOOKUP(Table_socioeca8.sandag.org_ws_abm2_f4[[#This Row],[hwycov_id]],[2]flow_freeway!$A$2:$E$1643,4,FALSE),0)</f>
        <v>6634</v>
      </c>
      <c r="I379">
        <f>IFERROR(VLOOKUP(Table_socioeca8.sandag.org_ws_abm2_f4[[#This Row],[hwycov_id]],[2]flow_freeway!$A$2:$E$1643,5,FALSE),0)</f>
        <v>10997</v>
      </c>
      <c r="K379">
        <f>Table_socioeca8.sandag.org_ws_abm2_f4[[#This Row],[hwycov_id]]</f>
        <v>9036</v>
      </c>
      <c r="L379">
        <f>Table_socioeca8.sandag.org_ws_abm2_f4[[#This Row],[scenario_id]]</f>
        <v>259</v>
      </c>
      <c r="M379">
        <f>Table_socioeca8.sandag.org_ws_abm2_f4[[#This Row],[flow_day]]</f>
        <v>39774</v>
      </c>
      <c r="N379">
        <f>Table_socioeca8.sandag.org_ws_abm2_f4[[#This Row],[flow_am]]</f>
        <v>6634</v>
      </c>
      <c r="O379">
        <f>Table_socioeca8.sandag.org_ws_abm2_f4[[#This Row],[flow_pm]]</f>
        <v>10997</v>
      </c>
    </row>
    <row r="380" spans="5:15" x14ac:dyDescent="0.25">
      <c r="E380">
        <v>9037</v>
      </c>
      <c r="F380">
        <f t="shared" si="5"/>
        <v>259</v>
      </c>
      <c r="G380">
        <f>IFERROR(VLOOKUP(Table_socioeca8.sandag.org_ws_abm2_f4[[#This Row],[hwycov_id]],[2]flow_freeway!$A$2:$E$1643,3,FALSE),0)</f>
        <v>42402</v>
      </c>
      <c r="H380">
        <f>IFERROR(VLOOKUP(Table_socioeca8.sandag.org_ws_abm2_f4[[#This Row],[hwycov_id]],[2]flow_freeway!$A$2:$E$1643,4,FALSE),0)</f>
        <v>6990</v>
      </c>
      <c r="I380">
        <f>IFERROR(VLOOKUP(Table_socioeca8.sandag.org_ws_abm2_f4[[#This Row],[hwycov_id]],[2]flow_freeway!$A$2:$E$1643,5,FALSE),0)</f>
        <v>11742</v>
      </c>
      <c r="K380">
        <f>Table_socioeca8.sandag.org_ws_abm2_f4[[#This Row],[hwycov_id]]</f>
        <v>9037</v>
      </c>
      <c r="L380">
        <f>Table_socioeca8.sandag.org_ws_abm2_f4[[#This Row],[scenario_id]]</f>
        <v>259</v>
      </c>
      <c r="M380">
        <f>Table_socioeca8.sandag.org_ws_abm2_f4[[#This Row],[flow_day]]</f>
        <v>42402</v>
      </c>
      <c r="N380">
        <f>Table_socioeca8.sandag.org_ws_abm2_f4[[#This Row],[flow_am]]</f>
        <v>6990</v>
      </c>
      <c r="O380">
        <f>Table_socioeca8.sandag.org_ws_abm2_f4[[#This Row],[flow_pm]]</f>
        <v>11742</v>
      </c>
    </row>
    <row r="381" spans="5:15" x14ac:dyDescent="0.25">
      <c r="E381">
        <v>9039</v>
      </c>
      <c r="F381">
        <f t="shared" si="5"/>
        <v>259</v>
      </c>
      <c r="G381">
        <f>IFERROR(VLOOKUP(Table_socioeca8.sandag.org_ws_abm2_f4[[#This Row],[hwycov_id]],[2]flow_freeway!$A$2:$E$1643,3,FALSE),0)</f>
        <v>70300</v>
      </c>
      <c r="H381">
        <f>IFERROR(VLOOKUP(Table_socioeca8.sandag.org_ws_abm2_f4[[#This Row],[hwycov_id]],[2]flow_freeway!$A$2:$E$1643,4,FALSE),0)</f>
        <v>14924</v>
      </c>
      <c r="I381">
        <f>IFERROR(VLOOKUP(Table_socioeca8.sandag.org_ws_abm2_f4[[#This Row],[hwycov_id]],[2]flow_freeway!$A$2:$E$1643,5,FALSE),0)</f>
        <v>15773</v>
      </c>
      <c r="K381">
        <f>Table_socioeca8.sandag.org_ws_abm2_f4[[#This Row],[hwycov_id]]</f>
        <v>9039</v>
      </c>
      <c r="L381">
        <f>Table_socioeca8.sandag.org_ws_abm2_f4[[#This Row],[scenario_id]]</f>
        <v>259</v>
      </c>
      <c r="M381">
        <f>Table_socioeca8.sandag.org_ws_abm2_f4[[#This Row],[flow_day]]</f>
        <v>70300</v>
      </c>
      <c r="N381">
        <f>Table_socioeca8.sandag.org_ws_abm2_f4[[#This Row],[flow_am]]</f>
        <v>14924</v>
      </c>
      <c r="O381">
        <f>Table_socioeca8.sandag.org_ws_abm2_f4[[#This Row],[flow_pm]]</f>
        <v>15773</v>
      </c>
    </row>
    <row r="382" spans="5:15" x14ac:dyDescent="0.25">
      <c r="E382">
        <v>9041</v>
      </c>
      <c r="F382">
        <f t="shared" si="5"/>
        <v>259</v>
      </c>
      <c r="G382">
        <f>IFERROR(VLOOKUP(Table_socioeca8.sandag.org_ws_abm2_f4[[#This Row],[hwycov_id]],[2]flow_freeway!$A$2:$E$1643,3,FALSE),0)</f>
        <v>42308</v>
      </c>
      <c r="H382">
        <f>IFERROR(VLOOKUP(Table_socioeca8.sandag.org_ws_abm2_f4[[#This Row],[hwycov_id]],[2]flow_freeway!$A$2:$E$1643,4,FALSE),0)</f>
        <v>10381</v>
      </c>
      <c r="I382">
        <f>IFERROR(VLOOKUP(Table_socioeca8.sandag.org_ws_abm2_f4[[#This Row],[hwycov_id]],[2]flow_freeway!$A$2:$E$1643,5,FALSE),0)</f>
        <v>9259</v>
      </c>
      <c r="K382">
        <f>Table_socioeca8.sandag.org_ws_abm2_f4[[#This Row],[hwycov_id]]</f>
        <v>9041</v>
      </c>
      <c r="L382">
        <f>Table_socioeca8.sandag.org_ws_abm2_f4[[#This Row],[scenario_id]]</f>
        <v>259</v>
      </c>
      <c r="M382">
        <f>Table_socioeca8.sandag.org_ws_abm2_f4[[#This Row],[flow_day]]</f>
        <v>42308</v>
      </c>
      <c r="N382">
        <f>Table_socioeca8.sandag.org_ws_abm2_f4[[#This Row],[flow_am]]</f>
        <v>10381</v>
      </c>
      <c r="O382">
        <f>Table_socioeca8.sandag.org_ws_abm2_f4[[#This Row],[flow_pm]]</f>
        <v>9259</v>
      </c>
    </row>
    <row r="383" spans="5:15" x14ac:dyDescent="0.25">
      <c r="E383">
        <v>9042</v>
      </c>
      <c r="F383">
        <f t="shared" si="5"/>
        <v>259</v>
      </c>
      <c r="G383">
        <f>IFERROR(VLOOKUP(Table_socioeca8.sandag.org_ws_abm2_f4[[#This Row],[hwycov_id]],[2]flow_freeway!$A$2:$E$1643,3,FALSE),0)</f>
        <v>91962</v>
      </c>
      <c r="H383">
        <f>IFERROR(VLOOKUP(Table_socioeca8.sandag.org_ws_abm2_f4[[#This Row],[hwycov_id]],[2]flow_freeway!$A$2:$E$1643,4,FALSE),0)</f>
        <v>18060</v>
      </c>
      <c r="I383">
        <f>IFERROR(VLOOKUP(Table_socioeca8.sandag.org_ws_abm2_f4[[#This Row],[hwycov_id]],[2]flow_freeway!$A$2:$E$1643,5,FALSE),0)</f>
        <v>23301</v>
      </c>
      <c r="K383">
        <f>Table_socioeca8.sandag.org_ws_abm2_f4[[#This Row],[hwycov_id]]</f>
        <v>9042</v>
      </c>
      <c r="L383">
        <f>Table_socioeca8.sandag.org_ws_abm2_f4[[#This Row],[scenario_id]]</f>
        <v>259</v>
      </c>
      <c r="M383">
        <f>Table_socioeca8.sandag.org_ws_abm2_f4[[#This Row],[flow_day]]</f>
        <v>91962</v>
      </c>
      <c r="N383">
        <f>Table_socioeca8.sandag.org_ws_abm2_f4[[#This Row],[flow_am]]</f>
        <v>18060</v>
      </c>
      <c r="O383">
        <f>Table_socioeca8.sandag.org_ws_abm2_f4[[#This Row],[flow_pm]]</f>
        <v>23301</v>
      </c>
    </row>
    <row r="384" spans="5:15" x14ac:dyDescent="0.25">
      <c r="E384">
        <v>9043</v>
      </c>
      <c r="F384">
        <f t="shared" si="5"/>
        <v>259</v>
      </c>
      <c r="G384">
        <f>IFERROR(VLOOKUP(Table_socioeca8.sandag.org_ws_abm2_f4[[#This Row],[hwycov_id]],[2]flow_freeway!$A$2:$E$1643,3,FALSE),0)</f>
        <v>83907</v>
      </c>
      <c r="H384">
        <f>IFERROR(VLOOKUP(Table_socioeca8.sandag.org_ws_abm2_f4[[#This Row],[hwycov_id]],[2]flow_freeway!$A$2:$E$1643,4,FALSE),0)</f>
        <v>17208</v>
      </c>
      <c r="I384">
        <f>IFERROR(VLOOKUP(Table_socioeca8.sandag.org_ws_abm2_f4[[#This Row],[hwycov_id]],[2]flow_freeway!$A$2:$E$1643,5,FALSE),0)</f>
        <v>21131</v>
      </c>
      <c r="K384">
        <f>Table_socioeca8.sandag.org_ws_abm2_f4[[#This Row],[hwycov_id]]</f>
        <v>9043</v>
      </c>
      <c r="L384">
        <f>Table_socioeca8.sandag.org_ws_abm2_f4[[#This Row],[scenario_id]]</f>
        <v>259</v>
      </c>
      <c r="M384">
        <f>Table_socioeca8.sandag.org_ws_abm2_f4[[#This Row],[flow_day]]</f>
        <v>83907</v>
      </c>
      <c r="N384">
        <f>Table_socioeca8.sandag.org_ws_abm2_f4[[#This Row],[flow_am]]</f>
        <v>17208</v>
      </c>
      <c r="O384">
        <f>Table_socioeca8.sandag.org_ws_abm2_f4[[#This Row],[flow_pm]]</f>
        <v>21131</v>
      </c>
    </row>
    <row r="385" spans="5:15" x14ac:dyDescent="0.25">
      <c r="E385">
        <v>9054</v>
      </c>
      <c r="F385">
        <f t="shared" si="5"/>
        <v>259</v>
      </c>
      <c r="G385">
        <f>IFERROR(VLOOKUP(Table_socioeca8.sandag.org_ws_abm2_f4[[#This Row],[hwycov_id]],[2]flow_freeway!$A$2:$E$1643,3,FALSE),0)</f>
        <v>70300</v>
      </c>
      <c r="H385">
        <f>IFERROR(VLOOKUP(Table_socioeca8.sandag.org_ws_abm2_f4[[#This Row],[hwycov_id]],[2]flow_freeway!$A$2:$E$1643,4,FALSE),0)</f>
        <v>14924</v>
      </c>
      <c r="I385">
        <f>IFERROR(VLOOKUP(Table_socioeca8.sandag.org_ws_abm2_f4[[#This Row],[hwycov_id]],[2]flow_freeway!$A$2:$E$1643,5,FALSE),0)</f>
        <v>15773</v>
      </c>
      <c r="K385">
        <f>Table_socioeca8.sandag.org_ws_abm2_f4[[#This Row],[hwycov_id]]</f>
        <v>9054</v>
      </c>
      <c r="L385">
        <f>Table_socioeca8.sandag.org_ws_abm2_f4[[#This Row],[scenario_id]]</f>
        <v>259</v>
      </c>
      <c r="M385">
        <f>Table_socioeca8.sandag.org_ws_abm2_f4[[#This Row],[flow_day]]</f>
        <v>70300</v>
      </c>
      <c r="N385">
        <f>Table_socioeca8.sandag.org_ws_abm2_f4[[#This Row],[flow_am]]</f>
        <v>14924</v>
      </c>
      <c r="O385">
        <f>Table_socioeca8.sandag.org_ws_abm2_f4[[#This Row],[flow_pm]]</f>
        <v>15773</v>
      </c>
    </row>
    <row r="386" spans="5:15" x14ac:dyDescent="0.25">
      <c r="E386">
        <v>9132</v>
      </c>
      <c r="F386">
        <f t="shared" si="5"/>
        <v>259</v>
      </c>
      <c r="G386">
        <f>IFERROR(VLOOKUP(Table_socioeca8.sandag.org_ws_abm2_f4[[#This Row],[hwycov_id]],[2]flow_freeway!$A$2:$E$1643,3,FALSE),0)</f>
        <v>3888</v>
      </c>
      <c r="H386">
        <f>IFERROR(VLOOKUP(Table_socioeca8.sandag.org_ws_abm2_f4[[#This Row],[hwycov_id]],[2]flow_freeway!$A$2:$E$1643,4,FALSE),0)</f>
        <v>1291</v>
      </c>
      <c r="I386">
        <f>IFERROR(VLOOKUP(Table_socioeca8.sandag.org_ws_abm2_f4[[#This Row],[hwycov_id]],[2]flow_freeway!$A$2:$E$1643,5,FALSE),0)</f>
        <v>826</v>
      </c>
      <c r="K386">
        <f>Table_socioeca8.sandag.org_ws_abm2_f4[[#This Row],[hwycov_id]]</f>
        <v>9132</v>
      </c>
      <c r="L386">
        <f>Table_socioeca8.sandag.org_ws_abm2_f4[[#This Row],[scenario_id]]</f>
        <v>259</v>
      </c>
      <c r="M386">
        <f>Table_socioeca8.sandag.org_ws_abm2_f4[[#This Row],[flow_day]]</f>
        <v>3888</v>
      </c>
      <c r="N386">
        <f>Table_socioeca8.sandag.org_ws_abm2_f4[[#This Row],[flow_am]]</f>
        <v>1291</v>
      </c>
      <c r="O386">
        <f>Table_socioeca8.sandag.org_ws_abm2_f4[[#This Row],[flow_pm]]</f>
        <v>826</v>
      </c>
    </row>
    <row r="387" spans="5:15" x14ac:dyDescent="0.25">
      <c r="E387">
        <v>9136</v>
      </c>
      <c r="F387">
        <f t="shared" si="5"/>
        <v>259</v>
      </c>
      <c r="G387">
        <f>IFERROR(VLOOKUP(Table_socioeca8.sandag.org_ws_abm2_f4[[#This Row],[hwycov_id]],[2]flow_freeway!$A$2:$E$1643,3,FALSE),0)</f>
        <v>7274</v>
      </c>
      <c r="H387">
        <f>IFERROR(VLOOKUP(Table_socioeca8.sandag.org_ws_abm2_f4[[#This Row],[hwycov_id]],[2]flow_freeway!$A$2:$E$1643,4,FALSE),0)</f>
        <v>1345</v>
      </c>
      <c r="I387">
        <f>IFERROR(VLOOKUP(Table_socioeca8.sandag.org_ws_abm2_f4[[#This Row],[hwycov_id]],[2]flow_freeway!$A$2:$E$1643,5,FALSE),0)</f>
        <v>3060</v>
      </c>
      <c r="K387">
        <f>Table_socioeca8.sandag.org_ws_abm2_f4[[#This Row],[hwycov_id]]</f>
        <v>9136</v>
      </c>
      <c r="L387">
        <f>Table_socioeca8.sandag.org_ws_abm2_f4[[#This Row],[scenario_id]]</f>
        <v>259</v>
      </c>
      <c r="M387">
        <f>Table_socioeca8.sandag.org_ws_abm2_f4[[#This Row],[flow_day]]</f>
        <v>7274</v>
      </c>
      <c r="N387">
        <f>Table_socioeca8.sandag.org_ws_abm2_f4[[#This Row],[flow_am]]</f>
        <v>1345</v>
      </c>
      <c r="O387">
        <f>Table_socioeca8.sandag.org_ws_abm2_f4[[#This Row],[flow_pm]]</f>
        <v>3060</v>
      </c>
    </row>
    <row r="388" spans="5:15" x14ac:dyDescent="0.25">
      <c r="E388">
        <v>9142</v>
      </c>
      <c r="F388">
        <f t="shared" ref="F388:F451" si="6">F387</f>
        <v>259</v>
      </c>
      <c r="G388">
        <f>IFERROR(VLOOKUP(Table_socioeca8.sandag.org_ws_abm2_f4[[#This Row],[hwycov_id]],[2]flow_freeway!$A$2:$E$1643,3,FALSE),0)</f>
        <v>7689</v>
      </c>
      <c r="H388">
        <f>IFERROR(VLOOKUP(Table_socioeca8.sandag.org_ws_abm2_f4[[#This Row],[hwycov_id]],[2]flow_freeway!$A$2:$E$1643,4,FALSE),0)</f>
        <v>1492</v>
      </c>
      <c r="I388">
        <f>IFERROR(VLOOKUP(Table_socioeca8.sandag.org_ws_abm2_f4[[#This Row],[hwycov_id]],[2]flow_freeway!$A$2:$E$1643,5,FALSE),0)</f>
        <v>3133</v>
      </c>
      <c r="K388">
        <f>Table_socioeca8.sandag.org_ws_abm2_f4[[#This Row],[hwycov_id]]</f>
        <v>9142</v>
      </c>
      <c r="L388">
        <f>Table_socioeca8.sandag.org_ws_abm2_f4[[#This Row],[scenario_id]]</f>
        <v>259</v>
      </c>
      <c r="M388">
        <f>Table_socioeca8.sandag.org_ws_abm2_f4[[#This Row],[flow_day]]</f>
        <v>7689</v>
      </c>
      <c r="N388">
        <f>Table_socioeca8.sandag.org_ws_abm2_f4[[#This Row],[flow_am]]</f>
        <v>1492</v>
      </c>
      <c r="O388">
        <f>Table_socioeca8.sandag.org_ws_abm2_f4[[#This Row],[flow_pm]]</f>
        <v>3133</v>
      </c>
    </row>
    <row r="389" spans="5:15" x14ac:dyDescent="0.25">
      <c r="E389">
        <v>9143</v>
      </c>
      <c r="F389">
        <f t="shared" si="6"/>
        <v>259</v>
      </c>
      <c r="G389">
        <f>IFERROR(VLOOKUP(Table_socioeca8.sandag.org_ws_abm2_f4[[#This Row],[hwycov_id]],[2]flow_freeway!$A$2:$E$1643,3,FALSE),0)</f>
        <v>7663</v>
      </c>
      <c r="H389">
        <f>IFERROR(VLOOKUP(Table_socioeca8.sandag.org_ws_abm2_f4[[#This Row],[hwycov_id]],[2]flow_freeway!$A$2:$E$1643,4,FALSE),0)</f>
        <v>3420</v>
      </c>
      <c r="I389">
        <f>IFERROR(VLOOKUP(Table_socioeca8.sandag.org_ws_abm2_f4[[#This Row],[hwycov_id]],[2]flow_freeway!$A$2:$E$1643,5,FALSE),0)</f>
        <v>1650</v>
      </c>
      <c r="K389">
        <f>Table_socioeca8.sandag.org_ws_abm2_f4[[#This Row],[hwycov_id]]</f>
        <v>9143</v>
      </c>
      <c r="L389">
        <f>Table_socioeca8.sandag.org_ws_abm2_f4[[#This Row],[scenario_id]]</f>
        <v>259</v>
      </c>
      <c r="M389">
        <f>Table_socioeca8.sandag.org_ws_abm2_f4[[#This Row],[flow_day]]</f>
        <v>7663</v>
      </c>
      <c r="N389">
        <f>Table_socioeca8.sandag.org_ws_abm2_f4[[#This Row],[flow_am]]</f>
        <v>3420</v>
      </c>
      <c r="O389">
        <f>Table_socioeca8.sandag.org_ws_abm2_f4[[#This Row],[flow_pm]]</f>
        <v>1650</v>
      </c>
    </row>
    <row r="390" spans="5:15" x14ac:dyDescent="0.25">
      <c r="E390">
        <v>9144</v>
      </c>
      <c r="F390">
        <f t="shared" si="6"/>
        <v>259</v>
      </c>
      <c r="G390">
        <f>IFERROR(VLOOKUP(Table_socioeca8.sandag.org_ws_abm2_f4[[#This Row],[hwycov_id]],[2]flow_freeway!$A$2:$E$1643,3,FALSE),0)</f>
        <v>7663</v>
      </c>
      <c r="H390">
        <f>IFERROR(VLOOKUP(Table_socioeca8.sandag.org_ws_abm2_f4[[#This Row],[hwycov_id]],[2]flow_freeway!$A$2:$E$1643,4,FALSE),0)</f>
        <v>3420</v>
      </c>
      <c r="I390">
        <f>IFERROR(VLOOKUP(Table_socioeca8.sandag.org_ws_abm2_f4[[#This Row],[hwycov_id]],[2]flow_freeway!$A$2:$E$1643,5,FALSE),0)</f>
        <v>1650</v>
      </c>
      <c r="K390">
        <f>Table_socioeca8.sandag.org_ws_abm2_f4[[#This Row],[hwycov_id]]</f>
        <v>9144</v>
      </c>
      <c r="L390">
        <f>Table_socioeca8.sandag.org_ws_abm2_f4[[#This Row],[scenario_id]]</f>
        <v>259</v>
      </c>
      <c r="M390">
        <f>Table_socioeca8.sandag.org_ws_abm2_f4[[#This Row],[flow_day]]</f>
        <v>7663</v>
      </c>
      <c r="N390">
        <f>Table_socioeca8.sandag.org_ws_abm2_f4[[#This Row],[flow_am]]</f>
        <v>3420</v>
      </c>
      <c r="O390">
        <f>Table_socioeca8.sandag.org_ws_abm2_f4[[#This Row],[flow_pm]]</f>
        <v>1650</v>
      </c>
    </row>
    <row r="391" spans="5:15" x14ac:dyDescent="0.25">
      <c r="E391">
        <v>9146</v>
      </c>
      <c r="F391">
        <f t="shared" si="6"/>
        <v>259</v>
      </c>
      <c r="G391">
        <f>IFERROR(VLOOKUP(Table_socioeca8.sandag.org_ws_abm2_f4[[#This Row],[hwycov_id]],[2]flow_freeway!$A$2:$E$1643,3,FALSE),0)</f>
        <v>8798</v>
      </c>
      <c r="H391">
        <f>IFERROR(VLOOKUP(Table_socioeca8.sandag.org_ws_abm2_f4[[#This Row],[hwycov_id]],[2]flow_freeway!$A$2:$E$1643,4,FALSE),0)</f>
        <v>4229</v>
      </c>
      <c r="I391">
        <f>IFERROR(VLOOKUP(Table_socioeca8.sandag.org_ws_abm2_f4[[#This Row],[hwycov_id]],[2]flow_freeway!$A$2:$E$1643,5,FALSE),0)</f>
        <v>1672</v>
      </c>
      <c r="K391">
        <f>Table_socioeca8.sandag.org_ws_abm2_f4[[#This Row],[hwycov_id]]</f>
        <v>9146</v>
      </c>
      <c r="L391">
        <f>Table_socioeca8.sandag.org_ws_abm2_f4[[#This Row],[scenario_id]]</f>
        <v>259</v>
      </c>
      <c r="M391">
        <f>Table_socioeca8.sandag.org_ws_abm2_f4[[#This Row],[flow_day]]</f>
        <v>8798</v>
      </c>
      <c r="N391">
        <f>Table_socioeca8.sandag.org_ws_abm2_f4[[#This Row],[flow_am]]</f>
        <v>4229</v>
      </c>
      <c r="O391">
        <f>Table_socioeca8.sandag.org_ws_abm2_f4[[#This Row],[flow_pm]]</f>
        <v>1672</v>
      </c>
    </row>
    <row r="392" spans="5:15" x14ac:dyDescent="0.25">
      <c r="E392">
        <v>9241</v>
      </c>
      <c r="F392">
        <f t="shared" si="6"/>
        <v>259</v>
      </c>
      <c r="G392">
        <f>IFERROR(VLOOKUP(Table_socioeca8.sandag.org_ws_abm2_f4[[#This Row],[hwycov_id]],[2]flow_freeway!$A$2:$E$1643,3,FALSE),0)</f>
        <v>82485</v>
      </c>
      <c r="H392">
        <f>IFERROR(VLOOKUP(Table_socioeca8.sandag.org_ws_abm2_f4[[#This Row],[hwycov_id]],[2]flow_freeway!$A$2:$E$1643,4,FALSE),0)</f>
        <v>18001</v>
      </c>
      <c r="I392">
        <f>IFERROR(VLOOKUP(Table_socioeca8.sandag.org_ws_abm2_f4[[#This Row],[hwycov_id]],[2]flow_freeway!$A$2:$E$1643,5,FALSE),0)</f>
        <v>22265</v>
      </c>
      <c r="K392">
        <f>Table_socioeca8.sandag.org_ws_abm2_f4[[#This Row],[hwycov_id]]</f>
        <v>9241</v>
      </c>
      <c r="L392">
        <f>Table_socioeca8.sandag.org_ws_abm2_f4[[#This Row],[scenario_id]]</f>
        <v>259</v>
      </c>
      <c r="M392">
        <f>Table_socioeca8.sandag.org_ws_abm2_f4[[#This Row],[flow_day]]</f>
        <v>82485</v>
      </c>
      <c r="N392">
        <f>Table_socioeca8.sandag.org_ws_abm2_f4[[#This Row],[flow_am]]</f>
        <v>18001</v>
      </c>
      <c r="O392">
        <f>Table_socioeca8.sandag.org_ws_abm2_f4[[#This Row],[flow_pm]]</f>
        <v>22265</v>
      </c>
    </row>
    <row r="393" spans="5:15" x14ac:dyDescent="0.25">
      <c r="E393">
        <v>9249</v>
      </c>
      <c r="F393">
        <f t="shared" si="6"/>
        <v>259</v>
      </c>
      <c r="G393">
        <f>IFERROR(VLOOKUP(Table_socioeca8.sandag.org_ws_abm2_f4[[#This Row],[hwycov_id]],[2]flow_freeway!$A$2:$E$1643,3,FALSE),0)</f>
        <v>89785</v>
      </c>
      <c r="H393">
        <f>IFERROR(VLOOKUP(Table_socioeca8.sandag.org_ws_abm2_f4[[#This Row],[hwycov_id]],[2]flow_freeway!$A$2:$E$1643,4,FALSE),0)</f>
        <v>18699</v>
      </c>
      <c r="I393">
        <f>IFERROR(VLOOKUP(Table_socioeca8.sandag.org_ws_abm2_f4[[#This Row],[hwycov_id]],[2]flow_freeway!$A$2:$E$1643,5,FALSE),0)</f>
        <v>22381</v>
      </c>
      <c r="K393">
        <f>Table_socioeca8.sandag.org_ws_abm2_f4[[#This Row],[hwycov_id]]</f>
        <v>9249</v>
      </c>
      <c r="L393">
        <f>Table_socioeca8.sandag.org_ws_abm2_f4[[#This Row],[scenario_id]]</f>
        <v>259</v>
      </c>
      <c r="M393">
        <f>Table_socioeca8.sandag.org_ws_abm2_f4[[#This Row],[flow_day]]</f>
        <v>89785</v>
      </c>
      <c r="N393">
        <f>Table_socioeca8.sandag.org_ws_abm2_f4[[#This Row],[flow_am]]</f>
        <v>18699</v>
      </c>
      <c r="O393">
        <f>Table_socioeca8.sandag.org_ws_abm2_f4[[#This Row],[flow_pm]]</f>
        <v>22381</v>
      </c>
    </row>
    <row r="394" spans="5:15" x14ac:dyDescent="0.25">
      <c r="E394">
        <v>9250</v>
      </c>
      <c r="F394">
        <f t="shared" si="6"/>
        <v>259</v>
      </c>
      <c r="G394">
        <f>IFERROR(VLOOKUP(Table_socioeca8.sandag.org_ws_abm2_f4[[#This Row],[hwycov_id]],[2]flow_freeway!$A$2:$E$1643,3,FALSE),0)</f>
        <v>80838</v>
      </c>
      <c r="H394">
        <f>IFERROR(VLOOKUP(Table_socioeca8.sandag.org_ws_abm2_f4[[#This Row],[hwycov_id]],[2]flow_freeway!$A$2:$E$1643,4,FALSE),0)</f>
        <v>17163</v>
      </c>
      <c r="I394">
        <f>IFERROR(VLOOKUP(Table_socioeca8.sandag.org_ws_abm2_f4[[#This Row],[hwycov_id]],[2]flow_freeway!$A$2:$E$1643,5,FALSE),0)</f>
        <v>19973</v>
      </c>
      <c r="K394">
        <f>Table_socioeca8.sandag.org_ws_abm2_f4[[#This Row],[hwycov_id]]</f>
        <v>9250</v>
      </c>
      <c r="L394">
        <f>Table_socioeca8.sandag.org_ws_abm2_f4[[#This Row],[scenario_id]]</f>
        <v>259</v>
      </c>
      <c r="M394">
        <f>Table_socioeca8.sandag.org_ws_abm2_f4[[#This Row],[flow_day]]</f>
        <v>80838</v>
      </c>
      <c r="N394">
        <f>Table_socioeca8.sandag.org_ws_abm2_f4[[#This Row],[flow_am]]</f>
        <v>17163</v>
      </c>
      <c r="O394">
        <f>Table_socioeca8.sandag.org_ws_abm2_f4[[#This Row],[flow_pm]]</f>
        <v>19973</v>
      </c>
    </row>
    <row r="395" spans="5:15" x14ac:dyDescent="0.25">
      <c r="E395">
        <v>9251</v>
      </c>
      <c r="F395">
        <f t="shared" si="6"/>
        <v>259</v>
      </c>
      <c r="G395">
        <f>IFERROR(VLOOKUP(Table_socioeca8.sandag.org_ws_abm2_f4[[#This Row],[hwycov_id]],[2]flow_freeway!$A$2:$E$1643,3,FALSE),0)</f>
        <v>82485</v>
      </c>
      <c r="H395">
        <f>IFERROR(VLOOKUP(Table_socioeca8.sandag.org_ws_abm2_f4[[#This Row],[hwycov_id]],[2]flow_freeway!$A$2:$E$1643,4,FALSE),0)</f>
        <v>18001</v>
      </c>
      <c r="I395">
        <f>IFERROR(VLOOKUP(Table_socioeca8.sandag.org_ws_abm2_f4[[#This Row],[hwycov_id]],[2]flow_freeway!$A$2:$E$1643,5,FALSE),0)</f>
        <v>22265</v>
      </c>
      <c r="K395">
        <f>Table_socioeca8.sandag.org_ws_abm2_f4[[#This Row],[hwycov_id]]</f>
        <v>9251</v>
      </c>
      <c r="L395">
        <f>Table_socioeca8.sandag.org_ws_abm2_f4[[#This Row],[scenario_id]]</f>
        <v>259</v>
      </c>
      <c r="M395">
        <f>Table_socioeca8.sandag.org_ws_abm2_f4[[#This Row],[flow_day]]</f>
        <v>82485</v>
      </c>
      <c r="N395">
        <f>Table_socioeca8.sandag.org_ws_abm2_f4[[#This Row],[flow_am]]</f>
        <v>18001</v>
      </c>
      <c r="O395">
        <f>Table_socioeca8.sandag.org_ws_abm2_f4[[#This Row],[flow_pm]]</f>
        <v>22265</v>
      </c>
    </row>
    <row r="396" spans="5:15" x14ac:dyDescent="0.25">
      <c r="E396">
        <v>9252</v>
      </c>
      <c r="F396">
        <f t="shared" si="6"/>
        <v>259</v>
      </c>
      <c r="G396">
        <f>IFERROR(VLOOKUP(Table_socioeca8.sandag.org_ws_abm2_f4[[#This Row],[hwycov_id]],[2]flow_freeway!$A$2:$E$1643,3,FALSE),0)</f>
        <v>66001</v>
      </c>
      <c r="H396">
        <f>IFERROR(VLOOKUP(Table_socioeca8.sandag.org_ws_abm2_f4[[#This Row],[hwycov_id]],[2]flow_freeway!$A$2:$E$1643,4,FALSE),0)</f>
        <v>14251</v>
      </c>
      <c r="I396">
        <f>IFERROR(VLOOKUP(Table_socioeca8.sandag.org_ws_abm2_f4[[#This Row],[hwycov_id]],[2]flow_freeway!$A$2:$E$1643,5,FALSE),0)</f>
        <v>18910</v>
      </c>
      <c r="K396">
        <f>Table_socioeca8.sandag.org_ws_abm2_f4[[#This Row],[hwycov_id]]</f>
        <v>9252</v>
      </c>
      <c r="L396">
        <f>Table_socioeca8.sandag.org_ws_abm2_f4[[#This Row],[scenario_id]]</f>
        <v>259</v>
      </c>
      <c r="M396">
        <f>Table_socioeca8.sandag.org_ws_abm2_f4[[#This Row],[flow_day]]</f>
        <v>66001</v>
      </c>
      <c r="N396">
        <f>Table_socioeca8.sandag.org_ws_abm2_f4[[#This Row],[flow_am]]</f>
        <v>14251</v>
      </c>
      <c r="O396">
        <f>Table_socioeca8.sandag.org_ws_abm2_f4[[#This Row],[flow_pm]]</f>
        <v>18910</v>
      </c>
    </row>
    <row r="397" spans="5:15" x14ac:dyDescent="0.25">
      <c r="E397">
        <v>9300</v>
      </c>
      <c r="F397">
        <f t="shared" si="6"/>
        <v>259</v>
      </c>
      <c r="G397">
        <f>IFERROR(VLOOKUP(Table_socioeca8.sandag.org_ws_abm2_f4[[#This Row],[hwycov_id]],[2]flow_freeway!$A$2:$E$1643,3,FALSE),0)</f>
        <v>64264</v>
      </c>
      <c r="H397">
        <f>IFERROR(VLOOKUP(Table_socioeca8.sandag.org_ws_abm2_f4[[#This Row],[hwycov_id]],[2]flow_freeway!$A$2:$E$1643,4,FALSE),0)</f>
        <v>17767</v>
      </c>
      <c r="I397">
        <f>IFERROR(VLOOKUP(Table_socioeca8.sandag.org_ws_abm2_f4[[#This Row],[hwycov_id]],[2]flow_freeway!$A$2:$E$1643,5,FALSE),0)</f>
        <v>12635</v>
      </c>
      <c r="K397">
        <f>Table_socioeca8.sandag.org_ws_abm2_f4[[#This Row],[hwycov_id]]</f>
        <v>9300</v>
      </c>
      <c r="L397">
        <f>Table_socioeca8.sandag.org_ws_abm2_f4[[#This Row],[scenario_id]]</f>
        <v>259</v>
      </c>
      <c r="M397">
        <f>Table_socioeca8.sandag.org_ws_abm2_f4[[#This Row],[flow_day]]</f>
        <v>64264</v>
      </c>
      <c r="N397">
        <f>Table_socioeca8.sandag.org_ws_abm2_f4[[#This Row],[flow_am]]</f>
        <v>17767</v>
      </c>
      <c r="O397">
        <f>Table_socioeca8.sandag.org_ws_abm2_f4[[#This Row],[flow_pm]]</f>
        <v>12635</v>
      </c>
    </row>
    <row r="398" spans="5:15" x14ac:dyDescent="0.25">
      <c r="E398">
        <v>9328</v>
      </c>
      <c r="F398">
        <f t="shared" si="6"/>
        <v>259</v>
      </c>
      <c r="G398">
        <f>IFERROR(VLOOKUP(Table_socioeca8.sandag.org_ws_abm2_f4[[#This Row],[hwycov_id]],[2]flow_freeway!$A$2:$E$1643,3,FALSE),0)</f>
        <v>121235</v>
      </c>
      <c r="H398">
        <f>IFERROR(VLOOKUP(Table_socioeca8.sandag.org_ws_abm2_f4[[#This Row],[hwycov_id]],[2]flow_freeway!$A$2:$E$1643,4,FALSE),0)</f>
        <v>29605</v>
      </c>
      <c r="I398">
        <f>IFERROR(VLOOKUP(Table_socioeca8.sandag.org_ws_abm2_f4[[#This Row],[hwycov_id]],[2]flow_freeway!$A$2:$E$1643,5,FALSE),0)</f>
        <v>25941</v>
      </c>
      <c r="K398">
        <f>Table_socioeca8.sandag.org_ws_abm2_f4[[#This Row],[hwycov_id]]</f>
        <v>9328</v>
      </c>
      <c r="L398">
        <f>Table_socioeca8.sandag.org_ws_abm2_f4[[#This Row],[scenario_id]]</f>
        <v>259</v>
      </c>
      <c r="M398">
        <f>Table_socioeca8.sandag.org_ws_abm2_f4[[#This Row],[flow_day]]</f>
        <v>121235</v>
      </c>
      <c r="N398">
        <f>Table_socioeca8.sandag.org_ws_abm2_f4[[#This Row],[flow_am]]</f>
        <v>29605</v>
      </c>
      <c r="O398">
        <f>Table_socioeca8.sandag.org_ws_abm2_f4[[#This Row],[flow_pm]]</f>
        <v>25941</v>
      </c>
    </row>
    <row r="399" spans="5:15" x14ac:dyDescent="0.25">
      <c r="E399">
        <v>9330</v>
      </c>
      <c r="F399">
        <f t="shared" si="6"/>
        <v>259</v>
      </c>
      <c r="G399">
        <f>IFERROR(VLOOKUP(Table_socioeca8.sandag.org_ws_abm2_f4[[#This Row],[hwycov_id]],[2]flow_freeway!$A$2:$E$1643,3,FALSE),0)</f>
        <v>126791</v>
      </c>
      <c r="H399">
        <f>IFERROR(VLOOKUP(Table_socioeca8.sandag.org_ws_abm2_f4[[#This Row],[hwycov_id]],[2]flow_freeway!$A$2:$E$1643,4,FALSE),0)</f>
        <v>23312</v>
      </c>
      <c r="I399">
        <f>IFERROR(VLOOKUP(Table_socioeca8.sandag.org_ws_abm2_f4[[#This Row],[hwycov_id]],[2]flow_freeway!$A$2:$E$1643,5,FALSE),0)</f>
        <v>33738</v>
      </c>
      <c r="K399">
        <f>Table_socioeca8.sandag.org_ws_abm2_f4[[#This Row],[hwycov_id]]</f>
        <v>9330</v>
      </c>
      <c r="L399">
        <f>Table_socioeca8.sandag.org_ws_abm2_f4[[#This Row],[scenario_id]]</f>
        <v>259</v>
      </c>
      <c r="M399">
        <f>Table_socioeca8.sandag.org_ws_abm2_f4[[#This Row],[flow_day]]</f>
        <v>126791</v>
      </c>
      <c r="N399">
        <f>Table_socioeca8.sandag.org_ws_abm2_f4[[#This Row],[flow_am]]</f>
        <v>23312</v>
      </c>
      <c r="O399">
        <f>Table_socioeca8.sandag.org_ws_abm2_f4[[#This Row],[flow_pm]]</f>
        <v>33738</v>
      </c>
    </row>
    <row r="400" spans="5:15" x14ac:dyDescent="0.25">
      <c r="E400">
        <v>9333</v>
      </c>
      <c r="F400">
        <f t="shared" si="6"/>
        <v>259</v>
      </c>
      <c r="G400">
        <f>IFERROR(VLOOKUP(Table_socioeca8.sandag.org_ws_abm2_f4[[#This Row],[hwycov_id]],[2]flow_freeway!$A$2:$E$1643,3,FALSE),0)</f>
        <v>105617</v>
      </c>
      <c r="H400">
        <f>IFERROR(VLOOKUP(Table_socioeca8.sandag.org_ws_abm2_f4[[#This Row],[hwycov_id]],[2]flow_freeway!$A$2:$E$1643,4,FALSE),0)</f>
        <v>26363</v>
      </c>
      <c r="I400">
        <f>IFERROR(VLOOKUP(Table_socioeca8.sandag.org_ws_abm2_f4[[#This Row],[hwycov_id]],[2]flow_freeway!$A$2:$E$1643,5,FALSE),0)</f>
        <v>22660</v>
      </c>
      <c r="K400">
        <f>Table_socioeca8.sandag.org_ws_abm2_f4[[#This Row],[hwycov_id]]</f>
        <v>9333</v>
      </c>
      <c r="L400">
        <f>Table_socioeca8.sandag.org_ws_abm2_f4[[#This Row],[scenario_id]]</f>
        <v>259</v>
      </c>
      <c r="M400">
        <f>Table_socioeca8.sandag.org_ws_abm2_f4[[#This Row],[flow_day]]</f>
        <v>105617</v>
      </c>
      <c r="N400">
        <f>Table_socioeca8.sandag.org_ws_abm2_f4[[#This Row],[flow_am]]</f>
        <v>26363</v>
      </c>
      <c r="O400">
        <f>Table_socioeca8.sandag.org_ws_abm2_f4[[#This Row],[flow_pm]]</f>
        <v>22660</v>
      </c>
    </row>
    <row r="401" spans="5:15" x14ac:dyDescent="0.25">
      <c r="E401">
        <v>9335</v>
      </c>
      <c r="F401">
        <f t="shared" si="6"/>
        <v>259</v>
      </c>
      <c r="G401">
        <f>IFERROR(VLOOKUP(Table_socioeca8.sandag.org_ws_abm2_f4[[#This Row],[hwycov_id]],[2]flow_freeway!$A$2:$E$1643,3,FALSE),0)</f>
        <v>113215</v>
      </c>
      <c r="H401">
        <f>IFERROR(VLOOKUP(Table_socioeca8.sandag.org_ws_abm2_f4[[#This Row],[hwycov_id]],[2]flow_freeway!$A$2:$E$1643,4,FALSE),0)</f>
        <v>21171</v>
      </c>
      <c r="I401">
        <f>IFERROR(VLOOKUP(Table_socioeca8.sandag.org_ws_abm2_f4[[#This Row],[hwycov_id]],[2]flow_freeway!$A$2:$E$1643,5,FALSE),0)</f>
        <v>30074</v>
      </c>
      <c r="K401">
        <f>Table_socioeca8.sandag.org_ws_abm2_f4[[#This Row],[hwycov_id]]</f>
        <v>9335</v>
      </c>
      <c r="L401">
        <f>Table_socioeca8.sandag.org_ws_abm2_f4[[#This Row],[scenario_id]]</f>
        <v>259</v>
      </c>
      <c r="M401">
        <f>Table_socioeca8.sandag.org_ws_abm2_f4[[#This Row],[flow_day]]</f>
        <v>113215</v>
      </c>
      <c r="N401">
        <f>Table_socioeca8.sandag.org_ws_abm2_f4[[#This Row],[flow_am]]</f>
        <v>21171</v>
      </c>
      <c r="O401">
        <f>Table_socioeca8.sandag.org_ws_abm2_f4[[#This Row],[flow_pm]]</f>
        <v>30074</v>
      </c>
    </row>
    <row r="402" spans="5:15" x14ac:dyDescent="0.25">
      <c r="E402">
        <v>9336</v>
      </c>
      <c r="F402">
        <f t="shared" si="6"/>
        <v>259</v>
      </c>
      <c r="G402">
        <f>IFERROR(VLOOKUP(Table_socioeca8.sandag.org_ws_abm2_f4[[#This Row],[hwycov_id]],[2]flow_freeway!$A$2:$E$1643,3,FALSE),0)</f>
        <v>112075</v>
      </c>
      <c r="H402">
        <f>IFERROR(VLOOKUP(Table_socioeca8.sandag.org_ws_abm2_f4[[#This Row],[hwycov_id]],[2]flow_freeway!$A$2:$E$1643,4,FALSE),0)</f>
        <v>27560</v>
      </c>
      <c r="I402">
        <f>IFERROR(VLOOKUP(Table_socioeca8.sandag.org_ws_abm2_f4[[#This Row],[hwycov_id]],[2]flow_freeway!$A$2:$E$1643,5,FALSE),0)</f>
        <v>24406</v>
      </c>
      <c r="K402">
        <f>Table_socioeca8.sandag.org_ws_abm2_f4[[#This Row],[hwycov_id]]</f>
        <v>9336</v>
      </c>
      <c r="L402">
        <f>Table_socioeca8.sandag.org_ws_abm2_f4[[#This Row],[scenario_id]]</f>
        <v>259</v>
      </c>
      <c r="M402">
        <f>Table_socioeca8.sandag.org_ws_abm2_f4[[#This Row],[flow_day]]</f>
        <v>112075</v>
      </c>
      <c r="N402">
        <f>Table_socioeca8.sandag.org_ws_abm2_f4[[#This Row],[flow_am]]</f>
        <v>27560</v>
      </c>
      <c r="O402">
        <f>Table_socioeca8.sandag.org_ws_abm2_f4[[#This Row],[flow_pm]]</f>
        <v>24406</v>
      </c>
    </row>
    <row r="403" spans="5:15" x14ac:dyDescent="0.25">
      <c r="E403">
        <v>9337</v>
      </c>
      <c r="F403">
        <f t="shared" si="6"/>
        <v>259</v>
      </c>
      <c r="G403">
        <f>IFERROR(VLOOKUP(Table_socioeca8.sandag.org_ws_abm2_f4[[#This Row],[hwycov_id]],[2]flow_freeway!$A$2:$E$1643,3,FALSE),0)</f>
        <v>88975</v>
      </c>
      <c r="H403">
        <f>IFERROR(VLOOKUP(Table_socioeca8.sandag.org_ws_abm2_f4[[#This Row],[hwycov_id]],[2]flow_freeway!$A$2:$E$1643,4,FALSE),0)</f>
        <v>20011</v>
      </c>
      <c r="I403">
        <f>IFERROR(VLOOKUP(Table_socioeca8.sandag.org_ws_abm2_f4[[#This Row],[hwycov_id]],[2]flow_freeway!$A$2:$E$1643,5,FALSE),0)</f>
        <v>20584</v>
      </c>
      <c r="K403">
        <f>Table_socioeca8.sandag.org_ws_abm2_f4[[#This Row],[hwycov_id]]</f>
        <v>9337</v>
      </c>
      <c r="L403">
        <f>Table_socioeca8.sandag.org_ws_abm2_f4[[#This Row],[scenario_id]]</f>
        <v>259</v>
      </c>
      <c r="M403">
        <f>Table_socioeca8.sandag.org_ws_abm2_f4[[#This Row],[flow_day]]</f>
        <v>88975</v>
      </c>
      <c r="N403">
        <f>Table_socioeca8.sandag.org_ws_abm2_f4[[#This Row],[flow_am]]</f>
        <v>20011</v>
      </c>
      <c r="O403">
        <f>Table_socioeca8.sandag.org_ws_abm2_f4[[#This Row],[flow_pm]]</f>
        <v>20584</v>
      </c>
    </row>
    <row r="404" spans="5:15" x14ac:dyDescent="0.25">
      <c r="E404">
        <v>9338</v>
      </c>
      <c r="F404">
        <f t="shared" si="6"/>
        <v>259</v>
      </c>
      <c r="G404">
        <f>IFERROR(VLOOKUP(Table_socioeca8.sandag.org_ws_abm2_f4[[#This Row],[hwycov_id]],[2]flow_freeway!$A$2:$E$1643,3,FALSE),0)</f>
        <v>121311</v>
      </c>
      <c r="H404">
        <f>IFERROR(VLOOKUP(Table_socioeca8.sandag.org_ws_abm2_f4[[#This Row],[hwycov_id]],[2]flow_freeway!$A$2:$E$1643,4,FALSE),0)</f>
        <v>23011</v>
      </c>
      <c r="I404">
        <f>IFERROR(VLOOKUP(Table_socioeca8.sandag.org_ws_abm2_f4[[#This Row],[hwycov_id]],[2]flow_freeway!$A$2:$E$1643,5,FALSE),0)</f>
        <v>32079</v>
      </c>
      <c r="K404">
        <f>Table_socioeca8.sandag.org_ws_abm2_f4[[#This Row],[hwycov_id]]</f>
        <v>9338</v>
      </c>
      <c r="L404">
        <f>Table_socioeca8.sandag.org_ws_abm2_f4[[#This Row],[scenario_id]]</f>
        <v>259</v>
      </c>
      <c r="M404">
        <f>Table_socioeca8.sandag.org_ws_abm2_f4[[#This Row],[flow_day]]</f>
        <v>121311</v>
      </c>
      <c r="N404">
        <f>Table_socioeca8.sandag.org_ws_abm2_f4[[#This Row],[flow_am]]</f>
        <v>23011</v>
      </c>
      <c r="O404">
        <f>Table_socioeca8.sandag.org_ws_abm2_f4[[#This Row],[flow_pm]]</f>
        <v>32079</v>
      </c>
    </row>
    <row r="405" spans="5:15" x14ac:dyDescent="0.25">
      <c r="E405">
        <v>9339</v>
      </c>
      <c r="F405">
        <f t="shared" si="6"/>
        <v>259</v>
      </c>
      <c r="G405">
        <f>IFERROR(VLOOKUP(Table_socioeca8.sandag.org_ws_abm2_f4[[#This Row],[hwycov_id]],[2]flow_freeway!$A$2:$E$1643,3,FALSE),0)</f>
        <v>112613</v>
      </c>
      <c r="H405">
        <f>IFERROR(VLOOKUP(Table_socioeca8.sandag.org_ws_abm2_f4[[#This Row],[hwycov_id]],[2]flow_freeway!$A$2:$E$1643,4,FALSE),0)</f>
        <v>22113</v>
      </c>
      <c r="I405">
        <f>IFERROR(VLOOKUP(Table_socioeca8.sandag.org_ws_abm2_f4[[#This Row],[hwycov_id]],[2]flow_freeway!$A$2:$E$1643,5,FALSE),0)</f>
        <v>29152</v>
      </c>
      <c r="K405">
        <f>Table_socioeca8.sandag.org_ws_abm2_f4[[#This Row],[hwycov_id]]</f>
        <v>9339</v>
      </c>
      <c r="L405">
        <f>Table_socioeca8.sandag.org_ws_abm2_f4[[#This Row],[scenario_id]]</f>
        <v>259</v>
      </c>
      <c r="M405">
        <f>Table_socioeca8.sandag.org_ws_abm2_f4[[#This Row],[flow_day]]</f>
        <v>112613</v>
      </c>
      <c r="N405">
        <f>Table_socioeca8.sandag.org_ws_abm2_f4[[#This Row],[flow_am]]</f>
        <v>22113</v>
      </c>
      <c r="O405">
        <f>Table_socioeca8.sandag.org_ws_abm2_f4[[#This Row],[flow_pm]]</f>
        <v>29152</v>
      </c>
    </row>
    <row r="406" spans="5:15" x14ac:dyDescent="0.25">
      <c r="E406">
        <v>9342</v>
      </c>
      <c r="F406">
        <f t="shared" si="6"/>
        <v>259</v>
      </c>
      <c r="G406">
        <f>IFERROR(VLOOKUP(Table_socioeca8.sandag.org_ws_abm2_f4[[#This Row],[hwycov_id]],[2]flow_freeway!$A$2:$E$1643,3,FALSE),0)</f>
        <v>95626</v>
      </c>
      <c r="H406">
        <f>IFERROR(VLOOKUP(Table_socioeca8.sandag.org_ws_abm2_f4[[#This Row],[hwycov_id]],[2]flow_freeway!$A$2:$E$1643,4,FALSE),0)</f>
        <v>21384</v>
      </c>
      <c r="I406">
        <f>IFERROR(VLOOKUP(Table_socioeca8.sandag.org_ws_abm2_f4[[#This Row],[hwycov_id]],[2]flow_freeway!$A$2:$E$1643,5,FALSE),0)</f>
        <v>23161</v>
      </c>
      <c r="K406">
        <f>Table_socioeca8.sandag.org_ws_abm2_f4[[#This Row],[hwycov_id]]</f>
        <v>9342</v>
      </c>
      <c r="L406">
        <f>Table_socioeca8.sandag.org_ws_abm2_f4[[#This Row],[scenario_id]]</f>
        <v>259</v>
      </c>
      <c r="M406">
        <f>Table_socioeca8.sandag.org_ws_abm2_f4[[#This Row],[flow_day]]</f>
        <v>95626</v>
      </c>
      <c r="N406">
        <f>Table_socioeca8.sandag.org_ws_abm2_f4[[#This Row],[flow_am]]</f>
        <v>21384</v>
      </c>
      <c r="O406">
        <f>Table_socioeca8.sandag.org_ws_abm2_f4[[#This Row],[flow_pm]]</f>
        <v>23161</v>
      </c>
    </row>
    <row r="407" spans="5:15" x14ac:dyDescent="0.25">
      <c r="E407">
        <v>9343</v>
      </c>
      <c r="F407">
        <f t="shared" si="6"/>
        <v>259</v>
      </c>
      <c r="G407">
        <f>IFERROR(VLOOKUP(Table_socioeca8.sandag.org_ws_abm2_f4[[#This Row],[hwycov_id]],[2]flow_freeway!$A$2:$E$1643,3,FALSE),0)</f>
        <v>103978</v>
      </c>
      <c r="H407">
        <f>IFERROR(VLOOKUP(Table_socioeca8.sandag.org_ws_abm2_f4[[#This Row],[hwycov_id]],[2]flow_freeway!$A$2:$E$1643,4,FALSE),0)</f>
        <v>20276</v>
      </c>
      <c r="I407">
        <f>IFERROR(VLOOKUP(Table_socioeca8.sandag.org_ws_abm2_f4[[#This Row],[hwycov_id]],[2]flow_freeway!$A$2:$E$1643,5,FALSE),0)</f>
        <v>26716</v>
      </c>
      <c r="K407">
        <f>Table_socioeca8.sandag.org_ws_abm2_f4[[#This Row],[hwycov_id]]</f>
        <v>9343</v>
      </c>
      <c r="L407">
        <f>Table_socioeca8.sandag.org_ws_abm2_f4[[#This Row],[scenario_id]]</f>
        <v>259</v>
      </c>
      <c r="M407">
        <f>Table_socioeca8.sandag.org_ws_abm2_f4[[#This Row],[flow_day]]</f>
        <v>103978</v>
      </c>
      <c r="N407">
        <f>Table_socioeca8.sandag.org_ws_abm2_f4[[#This Row],[flow_am]]</f>
        <v>20276</v>
      </c>
      <c r="O407">
        <f>Table_socioeca8.sandag.org_ws_abm2_f4[[#This Row],[flow_pm]]</f>
        <v>26716</v>
      </c>
    </row>
    <row r="408" spans="5:15" x14ac:dyDescent="0.25">
      <c r="E408">
        <v>9468</v>
      </c>
      <c r="F408">
        <f t="shared" si="6"/>
        <v>259</v>
      </c>
      <c r="G408">
        <f>IFERROR(VLOOKUP(Table_socioeca8.sandag.org_ws_abm2_f4[[#This Row],[hwycov_id]],[2]flow_freeway!$A$2:$E$1643,3,FALSE),0)</f>
        <v>4702</v>
      </c>
      <c r="H408">
        <f>IFERROR(VLOOKUP(Table_socioeca8.sandag.org_ws_abm2_f4[[#This Row],[hwycov_id]],[2]flow_freeway!$A$2:$E$1643,4,FALSE),0)</f>
        <v>716</v>
      </c>
      <c r="I408">
        <f>IFERROR(VLOOKUP(Table_socioeca8.sandag.org_ws_abm2_f4[[#This Row],[hwycov_id]],[2]flow_freeway!$A$2:$E$1643,5,FALSE),0)</f>
        <v>1295</v>
      </c>
      <c r="K408">
        <f>Table_socioeca8.sandag.org_ws_abm2_f4[[#This Row],[hwycov_id]]</f>
        <v>9468</v>
      </c>
      <c r="L408">
        <f>Table_socioeca8.sandag.org_ws_abm2_f4[[#This Row],[scenario_id]]</f>
        <v>259</v>
      </c>
      <c r="M408">
        <f>Table_socioeca8.sandag.org_ws_abm2_f4[[#This Row],[flow_day]]</f>
        <v>4702</v>
      </c>
      <c r="N408">
        <f>Table_socioeca8.sandag.org_ws_abm2_f4[[#This Row],[flow_am]]</f>
        <v>716</v>
      </c>
      <c r="O408">
        <f>Table_socioeca8.sandag.org_ws_abm2_f4[[#This Row],[flow_pm]]</f>
        <v>1295</v>
      </c>
    </row>
    <row r="409" spans="5:15" x14ac:dyDescent="0.25">
      <c r="E409">
        <v>9472</v>
      </c>
      <c r="F409">
        <f t="shared" si="6"/>
        <v>259</v>
      </c>
      <c r="G409">
        <f>IFERROR(VLOOKUP(Table_socioeca8.sandag.org_ws_abm2_f4[[#This Row],[hwycov_id]],[2]flow_freeway!$A$2:$E$1643,3,FALSE),0)</f>
        <v>4702</v>
      </c>
      <c r="H409">
        <f>IFERROR(VLOOKUP(Table_socioeca8.sandag.org_ws_abm2_f4[[#This Row],[hwycov_id]],[2]flow_freeway!$A$2:$E$1643,4,FALSE),0)</f>
        <v>716</v>
      </c>
      <c r="I409">
        <f>IFERROR(VLOOKUP(Table_socioeca8.sandag.org_ws_abm2_f4[[#This Row],[hwycov_id]],[2]flow_freeway!$A$2:$E$1643,5,FALSE),0)</f>
        <v>1295</v>
      </c>
      <c r="K409">
        <f>Table_socioeca8.sandag.org_ws_abm2_f4[[#This Row],[hwycov_id]]</f>
        <v>9472</v>
      </c>
      <c r="L409">
        <f>Table_socioeca8.sandag.org_ws_abm2_f4[[#This Row],[scenario_id]]</f>
        <v>259</v>
      </c>
      <c r="M409">
        <f>Table_socioeca8.sandag.org_ws_abm2_f4[[#This Row],[flow_day]]</f>
        <v>4702</v>
      </c>
      <c r="N409">
        <f>Table_socioeca8.sandag.org_ws_abm2_f4[[#This Row],[flow_am]]</f>
        <v>716</v>
      </c>
      <c r="O409">
        <f>Table_socioeca8.sandag.org_ws_abm2_f4[[#This Row],[flow_pm]]</f>
        <v>1295</v>
      </c>
    </row>
    <row r="410" spans="5:15" x14ac:dyDescent="0.25">
      <c r="E410">
        <v>9473</v>
      </c>
      <c r="F410">
        <f t="shared" si="6"/>
        <v>259</v>
      </c>
      <c r="G410">
        <f>IFERROR(VLOOKUP(Table_socioeca8.sandag.org_ws_abm2_f4[[#This Row],[hwycov_id]],[2]flow_freeway!$A$2:$E$1643,3,FALSE),0)</f>
        <v>4057</v>
      </c>
      <c r="H410">
        <f>IFERROR(VLOOKUP(Table_socioeca8.sandag.org_ws_abm2_f4[[#This Row],[hwycov_id]],[2]flow_freeway!$A$2:$E$1643,4,FALSE),0)</f>
        <v>1056</v>
      </c>
      <c r="I410">
        <f>IFERROR(VLOOKUP(Table_socioeca8.sandag.org_ws_abm2_f4[[#This Row],[hwycov_id]],[2]flow_freeway!$A$2:$E$1643,5,FALSE),0)</f>
        <v>896</v>
      </c>
      <c r="K410">
        <f>Table_socioeca8.sandag.org_ws_abm2_f4[[#This Row],[hwycov_id]]</f>
        <v>9473</v>
      </c>
      <c r="L410">
        <f>Table_socioeca8.sandag.org_ws_abm2_f4[[#This Row],[scenario_id]]</f>
        <v>259</v>
      </c>
      <c r="M410">
        <f>Table_socioeca8.sandag.org_ws_abm2_f4[[#This Row],[flow_day]]</f>
        <v>4057</v>
      </c>
      <c r="N410">
        <f>Table_socioeca8.sandag.org_ws_abm2_f4[[#This Row],[flow_am]]</f>
        <v>1056</v>
      </c>
      <c r="O410">
        <f>Table_socioeca8.sandag.org_ws_abm2_f4[[#This Row],[flow_pm]]</f>
        <v>896</v>
      </c>
    </row>
    <row r="411" spans="5:15" x14ac:dyDescent="0.25">
      <c r="E411">
        <v>9474</v>
      </c>
      <c r="F411">
        <f t="shared" si="6"/>
        <v>259</v>
      </c>
      <c r="G411">
        <f>IFERROR(VLOOKUP(Table_socioeca8.sandag.org_ws_abm2_f4[[#This Row],[hwycov_id]],[2]flow_freeway!$A$2:$E$1643,3,FALSE),0)</f>
        <v>4057</v>
      </c>
      <c r="H411">
        <f>IFERROR(VLOOKUP(Table_socioeca8.sandag.org_ws_abm2_f4[[#This Row],[hwycov_id]],[2]flow_freeway!$A$2:$E$1643,4,FALSE),0)</f>
        <v>1056</v>
      </c>
      <c r="I411">
        <f>IFERROR(VLOOKUP(Table_socioeca8.sandag.org_ws_abm2_f4[[#This Row],[hwycov_id]],[2]flow_freeway!$A$2:$E$1643,5,FALSE),0)</f>
        <v>896</v>
      </c>
      <c r="K411">
        <f>Table_socioeca8.sandag.org_ws_abm2_f4[[#This Row],[hwycov_id]]</f>
        <v>9474</v>
      </c>
      <c r="L411">
        <f>Table_socioeca8.sandag.org_ws_abm2_f4[[#This Row],[scenario_id]]</f>
        <v>259</v>
      </c>
      <c r="M411">
        <f>Table_socioeca8.sandag.org_ws_abm2_f4[[#This Row],[flow_day]]</f>
        <v>4057</v>
      </c>
      <c r="N411">
        <f>Table_socioeca8.sandag.org_ws_abm2_f4[[#This Row],[flow_am]]</f>
        <v>1056</v>
      </c>
      <c r="O411">
        <f>Table_socioeca8.sandag.org_ws_abm2_f4[[#This Row],[flow_pm]]</f>
        <v>896</v>
      </c>
    </row>
    <row r="412" spans="5:15" x14ac:dyDescent="0.25">
      <c r="E412">
        <v>9477</v>
      </c>
      <c r="F412">
        <f t="shared" si="6"/>
        <v>259</v>
      </c>
      <c r="G412">
        <f>IFERROR(VLOOKUP(Table_socioeca8.sandag.org_ws_abm2_f4[[#This Row],[hwycov_id]],[2]flow_freeway!$A$2:$E$1643,3,FALSE),0)</f>
        <v>4057</v>
      </c>
      <c r="H412">
        <f>IFERROR(VLOOKUP(Table_socioeca8.sandag.org_ws_abm2_f4[[#This Row],[hwycov_id]],[2]flow_freeway!$A$2:$E$1643,4,FALSE),0)</f>
        <v>1056</v>
      </c>
      <c r="I412">
        <f>IFERROR(VLOOKUP(Table_socioeca8.sandag.org_ws_abm2_f4[[#This Row],[hwycov_id]],[2]flow_freeway!$A$2:$E$1643,5,FALSE),0)</f>
        <v>896</v>
      </c>
      <c r="K412">
        <f>Table_socioeca8.sandag.org_ws_abm2_f4[[#This Row],[hwycov_id]]</f>
        <v>9477</v>
      </c>
      <c r="L412">
        <f>Table_socioeca8.sandag.org_ws_abm2_f4[[#This Row],[scenario_id]]</f>
        <v>259</v>
      </c>
      <c r="M412">
        <f>Table_socioeca8.sandag.org_ws_abm2_f4[[#This Row],[flow_day]]</f>
        <v>4057</v>
      </c>
      <c r="N412">
        <f>Table_socioeca8.sandag.org_ws_abm2_f4[[#This Row],[flow_am]]</f>
        <v>1056</v>
      </c>
      <c r="O412">
        <f>Table_socioeca8.sandag.org_ws_abm2_f4[[#This Row],[flow_pm]]</f>
        <v>896</v>
      </c>
    </row>
    <row r="413" spans="5:15" x14ac:dyDescent="0.25">
      <c r="E413">
        <v>9483</v>
      </c>
      <c r="F413">
        <f t="shared" si="6"/>
        <v>259</v>
      </c>
      <c r="G413">
        <f>IFERROR(VLOOKUP(Table_socioeca8.sandag.org_ws_abm2_f4[[#This Row],[hwycov_id]],[2]flow_freeway!$A$2:$E$1643,3,FALSE),0)</f>
        <v>4702</v>
      </c>
      <c r="H413">
        <f>IFERROR(VLOOKUP(Table_socioeca8.sandag.org_ws_abm2_f4[[#This Row],[hwycov_id]],[2]flow_freeway!$A$2:$E$1643,4,FALSE),0)</f>
        <v>716</v>
      </c>
      <c r="I413">
        <f>IFERROR(VLOOKUP(Table_socioeca8.sandag.org_ws_abm2_f4[[#This Row],[hwycov_id]],[2]flow_freeway!$A$2:$E$1643,5,FALSE),0)</f>
        <v>1295</v>
      </c>
      <c r="K413">
        <f>Table_socioeca8.sandag.org_ws_abm2_f4[[#This Row],[hwycov_id]]</f>
        <v>9483</v>
      </c>
      <c r="L413">
        <f>Table_socioeca8.sandag.org_ws_abm2_f4[[#This Row],[scenario_id]]</f>
        <v>259</v>
      </c>
      <c r="M413">
        <f>Table_socioeca8.sandag.org_ws_abm2_f4[[#This Row],[flow_day]]</f>
        <v>4702</v>
      </c>
      <c r="N413">
        <f>Table_socioeca8.sandag.org_ws_abm2_f4[[#This Row],[flow_am]]</f>
        <v>716</v>
      </c>
      <c r="O413">
        <f>Table_socioeca8.sandag.org_ws_abm2_f4[[#This Row],[flow_pm]]</f>
        <v>1295</v>
      </c>
    </row>
    <row r="414" spans="5:15" x14ac:dyDescent="0.25">
      <c r="E414">
        <v>9484</v>
      </c>
      <c r="F414">
        <f t="shared" si="6"/>
        <v>259</v>
      </c>
      <c r="G414">
        <f>IFERROR(VLOOKUP(Table_socioeca8.sandag.org_ws_abm2_f4[[#This Row],[hwycov_id]],[2]flow_freeway!$A$2:$E$1643,3,FALSE),0)</f>
        <v>3067</v>
      </c>
      <c r="H414">
        <f>IFERROR(VLOOKUP(Table_socioeca8.sandag.org_ws_abm2_f4[[#This Row],[hwycov_id]],[2]flow_freeway!$A$2:$E$1643,4,FALSE),0)</f>
        <v>490</v>
      </c>
      <c r="I414">
        <f>IFERROR(VLOOKUP(Table_socioeca8.sandag.org_ws_abm2_f4[[#This Row],[hwycov_id]],[2]flow_freeway!$A$2:$E$1643,5,FALSE),0)</f>
        <v>792</v>
      </c>
      <c r="K414">
        <f>Table_socioeca8.sandag.org_ws_abm2_f4[[#This Row],[hwycov_id]]</f>
        <v>9484</v>
      </c>
      <c r="L414">
        <f>Table_socioeca8.sandag.org_ws_abm2_f4[[#This Row],[scenario_id]]</f>
        <v>259</v>
      </c>
      <c r="M414">
        <f>Table_socioeca8.sandag.org_ws_abm2_f4[[#This Row],[flow_day]]</f>
        <v>3067</v>
      </c>
      <c r="N414">
        <f>Table_socioeca8.sandag.org_ws_abm2_f4[[#This Row],[flow_am]]</f>
        <v>490</v>
      </c>
      <c r="O414">
        <f>Table_socioeca8.sandag.org_ws_abm2_f4[[#This Row],[flow_pm]]</f>
        <v>792</v>
      </c>
    </row>
    <row r="415" spans="5:15" x14ac:dyDescent="0.25">
      <c r="E415">
        <v>9485</v>
      </c>
      <c r="F415">
        <f t="shared" si="6"/>
        <v>259</v>
      </c>
      <c r="G415">
        <f>IFERROR(VLOOKUP(Table_socioeca8.sandag.org_ws_abm2_f4[[#This Row],[hwycov_id]],[2]flow_freeway!$A$2:$E$1643,3,FALSE),0)</f>
        <v>3067</v>
      </c>
      <c r="H415">
        <f>IFERROR(VLOOKUP(Table_socioeca8.sandag.org_ws_abm2_f4[[#This Row],[hwycov_id]],[2]flow_freeway!$A$2:$E$1643,4,FALSE),0)</f>
        <v>490</v>
      </c>
      <c r="I415">
        <f>IFERROR(VLOOKUP(Table_socioeca8.sandag.org_ws_abm2_f4[[#This Row],[hwycov_id]],[2]flow_freeway!$A$2:$E$1643,5,FALSE),0)</f>
        <v>792</v>
      </c>
      <c r="K415">
        <f>Table_socioeca8.sandag.org_ws_abm2_f4[[#This Row],[hwycov_id]]</f>
        <v>9485</v>
      </c>
      <c r="L415">
        <f>Table_socioeca8.sandag.org_ws_abm2_f4[[#This Row],[scenario_id]]</f>
        <v>259</v>
      </c>
      <c r="M415">
        <f>Table_socioeca8.sandag.org_ws_abm2_f4[[#This Row],[flow_day]]</f>
        <v>3067</v>
      </c>
      <c r="N415">
        <f>Table_socioeca8.sandag.org_ws_abm2_f4[[#This Row],[flow_am]]</f>
        <v>490</v>
      </c>
      <c r="O415">
        <f>Table_socioeca8.sandag.org_ws_abm2_f4[[#This Row],[flow_pm]]</f>
        <v>792</v>
      </c>
    </row>
    <row r="416" spans="5:15" x14ac:dyDescent="0.25">
      <c r="E416">
        <v>9488</v>
      </c>
      <c r="F416">
        <f t="shared" si="6"/>
        <v>259</v>
      </c>
      <c r="G416">
        <f>IFERROR(VLOOKUP(Table_socioeca8.sandag.org_ws_abm2_f4[[#This Row],[hwycov_id]],[2]flow_freeway!$A$2:$E$1643,3,FALSE),0)</f>
        <v>4057</v>
      </c>
      <c r="H416">
        <f>IFERROR(VLOOKUP(Table_socioeca8.sandag.org_ws_abm2_f4[[#This Row],[hwycov_id]],[2]flow_freeway!$A$2:$E$1643,4,FALSE),0)</f>
        <v>1056</v>
      </c>
      <c r="I416">
        <f>IFERROR(VLOOKUP(Table_socioeca8.sandag.org_ws_abm2_f4[[#This Row],[hwycov_id]],[2]flow_freeway!$A$2:$E$1643,5,FALSE),0)</f>
        <v>896</v>
      </c>
      <c r="K416">
        <f>Table_socioeca8.sandag.org_ws_abm2_f4[[#This Row],[hwycov_id]]</f>
        <v>9488</v>
      </c>
      <c r="L416">
        <f>Table_socioeca8.sandag.org_ws_abm2_f4[[#This Row],[scenario_id]]</f>
        <v>259</v>
      </c>
      <c r="M416">
        <f>Table_socioeca8.sandag.org_ws_abm2_f4[[#This Row],[flow_day]]</f>
        <v>4057</v>
      </c>
      <c r="N416">
        <f>Table_socioeca8.sandag.org_ws_abm2_f4[[#This Row],[flow_am]]</f>
        <v>1056</v>
      </c>
      <c r="O416">
        <f>Table_socioeca8.sandag.org_ws_abm2_f4[[#This Row],[flow_pm]]</f>
        <v>896</v>
      </c>
    </row>
    <row r="417" spans="5:15" x14ac:dyDescent="0.25">
      <c r="E417">
        <v>9489</v>
      </c>
      <c r="F417">
        <f t="shared" si="6"/>
        <v>259</v>
      </c>
      <c r="G417">
        <f>IFERROR(VLOOKUP(Table_socioeca8.sandag.org_ws_abm2_f4[[#This Row],[hwycov_id]],[2]flow_freeway!$A$2:$E$1643,3,FALSE),0)</f>
        <v>2691</v>
      </c>
      <c r="H417">
        <f>IFERROR(VLOOKUP(Table_socioeca8.sandag.org_ws_abm2_f4[[#This Row],[hwycov_id]],[2]flow_freeway!$A$2:$E$1643,4,FALSE),0)</f>
        <v>728</v>
      </c>
      <c r="I417">
        <f>IFERROR(VLOOKUP(Table_socioeca8.sandag.org_ws_abm2_f4[[#This Row],[hwycov_id]],[2]flow_freeway!$A$2:$E$1643,5,FALSE),0)</f>
        <v>626</v>
      </c>
      <c r="K417">
        <f>Table_socioeca8.sandag.org_ws_abm2_f4[[#This Row],[hwycov_id]]</f>
        <v>9489</v>
      </c>
      <c r="L417">
        <f>Table_socioeca8.sandag.org_ws_abm2_f4[[#This Row],[scenario_id]]</f>
        <v>259</v>
      </c>
      <c r="M417">
        <f>Table_socioeca8.sandag.org_ws_abm2_f4[[#This Row],[flow_day]]</f>
        <v>2691</v>
      </c>
      <c r="N417">
        <f>Table_socioeca8.sandag.org_ws_abm2_f4[[#This Row],[flow_am]]</f>
        <v>728</v>
      </c>
      <c r="O417">
        <f>Table_socioeca8.sandag.org_ws_abm2_f4[[#This Row],[flow_pm]]</f>
        <v>626</v>
      </c>
    </row>
    <row r="418" spans="5:15" x14ac:dyDescent="0.25">
      <c r="E418">
        <v>9490</v>
      </c>
      <c r="F418">
        <f t="shared" si="6"/>
        <v>259</v>
      </c>
      <c r="G418">
        <f>IFERROR(VLOOKUP(Table_socioeca8.sandag.org_ws_abm2_f4[[#This Row],[hwycov_id]],[2]flow_freeway!$A$2:$E$1643,3,FALSE),0)</f>
        <v>2691</v>
      </c>
      <c r="H418">
        <f>IFERROR(VLOOKUP(Table_socioeca8.sandag.org_ws_abm2_f4[[#This Row],[hwycov_id]],[2]flow_freeway!$A$2:$E$1643,4,FALSE),0)</f>
        <v>728</v>
      </c>
      <c r="I418">
        <f>IFERROR(VLOOKUP(Table_socioeca8.sandag.org_ws_abm2_f4[[#This Row],[hwycov_id]],[2]flow_freeway!$A$2:$E$1643,5,FALSE),0)</f>
        <v>626</v>
      </c>
      <c r="K418">
        <f>Table_socioeca8.sandag.org_ws_abm2_f4[[#This Row],[hwycov_id]]</f>
        <v>9490</v>
      </c>
      <c r="L418">
        <f>Table_socioeca8.sandag.org_ws_abm2_f4[[#This Row],[scenario_id]]</f>
        <v>259</v>
      </c>
      <c r="M418">
        <f>Table_socioeca8.sandag.org_ws_abm2_f4[[#This Row],[flow_day]]</f>
        <v>2691</v>
      </c>
      <c r="N418">
        <f>Table_socioeca8.sandag.org_ws_abm2_f4[[#This Row],[flow_am]]</f>
        <v>728</v>
      </c>
      <c r="O418">
        <f>Table_socioeca8.sandag.org_ws_abm2_f4[[#This Row],[flow_pm]]</f>
        <v>626</v>
      </c>
    </row>
    <row r="419" spans="5:15" x14ac:dyDescent="0.25">
      <c r="E419">
        <v>9509</v>
      </c>
      <c r="F419">
        <f t="shared" si="6"/>
        <v>259</v>
      </c>
      <c r="G419">
        <f>IFERROR(VLOOKUP(Table_socioeca8.sandag.org_ws_abm2_f4[[#This Row],[hwycov_id]],[2]flow_freeway!$A$2:$E$1643,3,FALSE),0)</f>
        <v>4512</v>
      </c>
      <c r="H419">
        <f>IFERROR(VLOOKUP(Table_socioeca8.sandag.org_ws_abm2_f4[[#This Row],[hwycov_id]],[2]flow_freeway!$A$2:$E$1643,4,FALSE),0)</f>
        <v>1377</v>
      </c>
      <c r="I419">
        <f>IFERROR(VLOOKUP(Table_socioeca8.sandag.org_ws_abm2_f4[[#This Row],[hwycov_id]],[2]flow_freeway!$A$2:$E$1643,5,FALSE),0)</f>
        <v>990</v>
      </c>
      <c r="K419">
        <f>Table_socioeca8.sandag.org_ws_abm2_f4[[#This Row],[hwycov_id]]</f>
        <v>9509</v>
      </c>
      <c r="L419">
        <f>Table_socioeca8.sandag.org_ws_abm2_f4[[#This Row],[scenario_id]]</f>
        <v>259</v>
      </c>
      <c r="M419">
        <f>Table_socioeca8.sandag.org_ws_abm2_f4[[#This Row],[flow_day]]</f>
        <v>4512</v>
      </c>
      <c r="N419">
        <f>Table_socioeca8.sandag.org_ws_abm2_f4[[#This Row],[flow_am]]</f>
        <v>1377</v>
      </c>
      <c r="O419">
        <f>Table_socioeca8.sandag.org_ws_abm2_f4[[#This Row],[flow_pm]]</f>
        <v>990</v>
      </c>
    </row>
    <row r="420" spans="5:15" x14ac:dyDescent="0.25">
      <c r="E420">
        <v>9510</v>
      </c>
      <c r="F420">
        <f t="shared" si="6"/>
        <v>259</v>
      </c>
      <c r="G420">
        <f>IFERROR(VLOOKUP(Table_socioeca8.sandag.org_ws_abm2_f4[[#This Row],[hwycov_id]],[2]flow_freeway!$A$2:$E$1643,3,FALSE),0)</f>
        <v>3820</v>
      </c>
      <c r="H420">
        <f>IFERROR(VLOOKUP(Table_socioeca8.sandag.org_ws_abm2_f4[[#This Row],[hwycov_id]],[2]flow_freeway!$A$2:$E$1643,4,FALSE),0)</f>
        <v>904</v>
      </c>
      <c r="I420">
        <f>IFERROR(VLOOKUP(Table_socioeca8.sandag.org_ws_abm2_f4[[#This Row],[hwycov_id]],[2]flow_freeway!$A$2:$E$1643,5,FALSE),0)</f>
        <v>1212</v>
      </c>
      <c r="K420">
        <f>Table_socioeca8.sandag.org_ws_abm2_f4[[#This Row],[hwycov_id]]</f>
        <v>9510</v>
      </c>
      <c r="L420">
        <f>Table_socioeca8.sandag.org_ws_abm2_f4[[#This Row],[scenario_id]]</f>
        <v>259</v>
      </c>
      <c r="M420">
        <f>Table_socioeca8.sandag.org_ws_abm2_f4[[#This Row],[flow_day]]</f>
        <v>3820</v>
      </c>
      <c r="N420">
        <f>Table_socioeca8.sandag.org_ws_abm2_f4[[#This Row],[flow_am]]</f>
        <v>904</v>
      </c>
      <c r="O420">
        <f>Table_socioeca8.sandag.org_ws_abm2_f4[[#This Row],[flow_pm]]</f>
        <v>1212</v>
      </c>
    </row>
    <row r="421" spans="5:15" x14ac:dyDescent="0.25">
      <c r="E421">
        <v>9512</v>
      </c>
      <c r="F421">
        <f t="shared" si="6"/>
        <v>259</v>
      </c>
      <c r="G421">
        <f>IFERROR(VLOOKUP(Table_socioeca8.sandag.org_ws_abm2_f4[[#This Row],[hwycov_id]],[2]flow_freeway!$A$2:$E$1643,3,FALSE),0)</f>
        <v>3488</v>
      </c>
      <c r="H421">
        <f>IFERROR(VLOOKUP(Table_socioeca8.sandag.org_ws_abm2_f4[[#This Row],[hwycov_id]],[2]flow_freeway!$A$2:$E$1643,4,FALSE),0)</f>
        <v>824</v>
      </c>
      <c r="I421">
        <f>IFERROR(VLOOKUP(Table_socioeca8.sandag.org_ws_abm2_f4[[#This Row],[hwycov_id]],[2]flow_freeway!$A$2:$E$1643,5,FALSE),0)</f>
        <v>1104</v>
      </c>
      <c r="K421">
        <f>Table_socioeca8.sandag.org_ws_abm2_f4[[#This Row],[hwycov_id]]</f>
        <v>9512</v>
      </c>
      <c r="L421">
        <f>Table_socioeca8.sandag.org_ws_abm2_f4[[#This Row],[scenario_id]]</f>
        <v>259</v>
      </c>
      <c r="M421">
        <f>Table_socioeca8.sandag.org_ws_abm2_f4[[#This Row],[flow_day]]</f>
        <v>3488</v>
      </c>
      <c r="N421">
        <f>Table_socioeca8.sandag.org_ws_abm2_f4[[#This Row],[flow_am]]</f>
        <v>824</v>
      </c>
      <c r="O421">
        <f>Table_socioeca8.sandag.org_ws_abm2_f4[[#This Row],[flow_pm]]</f>
        <v>1104</v>
      </c>
    </row>
    <row r="422" spans="5:15" x14ac:dyDescent="0.25">
      <c r="E422">
        <v>9513</v>
      </c>
      <c r="F422">
        <f t="shared" si="6"/>
        <v>259</v>
      </c>
      <c r="G422">
        <f>IFERROR(VLOOKUP(Table_socioeca8.sandag.org_ws_abm2_f4[[#This Row],[hwycov_id]],[2]flow_freeway!$A$2:$E$1643,3,FALSE),0)</f>
        <v>3488</v>
      </c>
      <c r="H422">
        <f>IFERROR(VLOOKUP(Table_socioeca8.sandag.org_ws_abm2_f4[[#This Row],[hwycov_id]],[2]flow_freeway!$A$2:$E$1643,4,FALSE),0)</f>
        <v>824</v>
      </c>
      <c r="I422">
        <f>IFERROR(VLOOKUP(Table_socioeca8.sandag.org_ws_abm2_f4[[#This Row],[hwycov_id]],[2]flow_freeway!$A$2:$E$1643,5,FALSE),0)</f>
        <v>1104</v>
      </c>
      <c r="K422">
        <f>Table_socioeca8.sandag.org_ws_abm2_f4[[#This Row],[hwycov_id]]</f>
        <v>9513</v>
      </c>
      <c r="L422">
        <f>Table_socioeca8.sandag.org_ws_abm2_f4[[#This Row],[scenario_id]]</f>
        <v>259</v>
      </c>
      <c r="M422">
        <f>Table_socioeca8.sandag.org_ws_abm2_f4[[#This Row],[flow_day]]</f>
        <v>3488</v>
      </c>
      <c r="N422">
        <f>Table_socioeca8.sandag.org_ws_abm2_f4[[#This Row],[flow_am]]</f>
        <v>824</v>
      </c>
      <c r="O422">
        <f>Table_socioeca8.sandag.org_ws_abm2_f4[[#This Row],[flow_pm]]</f>
        <v>1104</v>
      </c>
    </row>
    <row r="423" spans="5:15" x14ac:dyDescent="0.25">
      <c r="E423">
        <v>9516</v>
      </c>
      <c r="F423">
        <f t="shared" si="6"/>
        <v>259</v>
      </c>
      <c r="G423">
        <f>IFERROR(VLOOKUP(Table_socioeca8.sandag.org_ws_abm2_f4[[#This Row],[hwycov_id]],[2]flow_freeway!$A$2:$E$1643,3,FALSE),0)</f>
        <v>5735</v>
      </c>
      <c r="H423">
        <f>IFERROR(VLOOKUP(Table_socioeca8.sandag.org_ws_abm2_f4[[#This Row],[hwycov_id]],[2]flow_freeway!$A$2:$E$1643,4,FALSE),0)</f>
        <v>1095</v>
      </c>
      <c r="I423">
        <f>IFERROR(VLOOKUP(Table_socioeca8.sandag.org_ws_abm2_f4[[#This Row],[hwycov_id]],[2]flow_freeway!$A$2:$E$1643,5,FALSE),0)</f>
        <v>2142</v>
      </c>
      <c r="K423">
        <f>Table_socioeca8.sandag.org_ws_abm2_f4[[#This Row],[hwycov_id]]</f>
        <v>9516</v>
      </c>
      <c r="L423">
        <f>Table_socioeca8.sandag.org_ws_abm2_f4[[#This Row],[scenario_id]]</f>
        <v>259</v>
      </c>
      <c r="M423">
        <f>Table_socioeca8.sandag.org_ws_abm2_f4[[#This Row],[flow_day]]</f>
        <v>5735</v>
      </c>
      <c r="N423">
        <f>Table_socioeca8.sandag.org_ws_abm2_f4[[#This Row],[flow_am]]</f>
        <v>1095</v>
      </c>
      <c r="O423">
        <f>Table_socioeca8.sandag.org_ws_abm2_f4[[#This Row],[flow_pm]]</f>
        <v>2142</v>
      </c>
    </row>
    <row r="424" spans="5:15" x14ac:dyDescent="0.25">
      <c r="E424">
        <v>9517</v>
      </c>
      <c r="F424">
        <f t="shared" si="6"/>
        <v>259</v>
      </c>
      <c r="G424">
        <f>IFERROR(VLOOKUP(Table_socioeca8.sandag.org_ws_abm2_f4[[#This Row],[hwycov_id]],[2]flow_freeway!$A$2:$E$1643,3,FALSE),0)</f>
        <v>68509</v>
      </c>
      <c r="H424">
        <f>IFERROR(VLOOKUP(Table_socioeca8.sandag.org_ws_abm2_f4[[#This Row],[hwycov_id]],[2]flow_freeway!$A$2:$E$1643,4,FALSE),0)</f>
        <v>13572</v>
      </c>
      <c r="I424">
        <f>IFERROR(VLOOKUP(Table_socioeca8.sandag.org_ws_abm2_f4[[#This Row],[hwycov_id]],[2]flow_freeway!$A$2:$E$1643,5,FALSE),0)</f>
        <v>18397</v>
      </c>
      <c r="K424">
        <f>Table_socioeca8.sandag.org_ws_abm2_f4[[#This Row],[hwycov_id]]</f>
        <v>9517</v>
      </c>
      <c r="L424">
        <f>Table_socioeca8.sandag.org_ws_abm2_f4[[#This Row],[scenario_id]]</f>
        <v>259</v>
      </c>
      <c r="M424">
        <f>Table_socioeca8.sandag.org_ws_abm2_f4[[#This Row],[flow_day]]</f>
        <v>68509</v>
      </c>
      <c r="N424">
        <f>Table_socioeca8.sandag.org_ws_abm2_f4[[#This Row],[flow_am]]</f>
        <v>13572</v>
      </c>
      <c r="O424">
        <f>Table_socioeca8.sandag.org_ws_abm2_f4[[#This Row],[flow_pm]]</f>
        <v>18397</v>
      </c>
    </row>
    <row r="425" spans="5:15" x14ac:dyDescent="0.25">
      <c r="E425">
        <v>9518</v>
      </c>
      <c r="F425">
        <f t="shared" si="6"/>
        <v>259</v>
      </c>
      <c r="G425">
        <f>IFERROR(VLOOKUP(Table_socioeca8.sandag.org_ws_abm2_f4[[#This Row],[hwycov_id]],[2]flow_freeway!$A$2:$E$1643,3,FALSE),0)</f>
        <v>68509</v>
      </c>
      <c r="H425">
        <f>IFERROR(VLOOKUP(Table_socioeca8.sandag.org_ws_abm2_f4[[#This Row],[hwycov_id]],[2]flow_freeway!$A$2:$E$1643,4,FALSE),0)</f>
        <v>13572</v>
      </c>
      <c r="I425">
        <f>IFERROR(VLOOKUP(Table_socioeca8.sandag.org_ws_abm2_f4[[#This Row],[hwycov_id]],[2]flow_freeway!$A$2:$E$1643,5,FALSE),0)</f>
        <v>18397</v>
      </c>
      <c r="K425">
        <f>Table_socioeca8.sandag.org_ws_abm2_f4[[#This Row],[hwycov_id]]</f>
        <v>9518</v>
      </c>
      <c r="L425">
        <f>Table_socioeca8.sandag.org_ws_abm2_f4[[#This Row],[scenario_id]]</f>
        <v>259</v>
      </c>
      <c r="M425">
        <f>Table_socioeca8.sandag.org_ws_abm2_f4[[#This Row],[flow_day]]</f>
        <v>68509</v>
      </c>
      <c r="N425">
        <f>Table_socioeca8.sandag.org_ws_abm2_f4[[#This Row],[flow_am]]</f>
        <v>13572</v>
      </c>
      <c r="O425">
        <f>Table_socioeca8.sandag.org_ws_abm2_f4[[#This Row],[flow_pm]]</f>
        <v>18397</v>
      </c>
    </row>
    <row r="426" spans="5:15" x14ac:dyDescent="0.25">
      <c r="E426">
        <v>9519</v>
      </c>
      <c r="F426">
        <f t="shared" si="6"/>
        <v>259</v>
      </c>
      <c r="G426">
        <f>IFERROR(VLOOKUP(Table_socioeca8.sandag.org_ws_abm2_f4[[#This Row],[hwycov_id]],[2]flow_freeway!$A$2:$E$1643,3,FALSE),0)</f>
        <v>5635</v>
      </c>
      <c r="H426">
        <f>IFERROR(VLOOKUP(Table_socioeca8.sandag.org_ws_abm2_f4[[#This Row],[hwycov_id]],[2]flow_freeway!$A$2:$E$1643,4,FALSE),0)</f>
        <v>2094</v>
      </c>
      <c r="I426">
        <f>IFERROR(VLOOKUP(Table_socioeca8.sandag.org_ws_abm2_f4[[#This Row],[hwycov_id]],[2]flow_freeway!$A$2:$E$1643,5,FALSE),0)</f>
        <v>1200</v>
      </c>
      <c r="K426">
        <f>Table_socioeca8.sandag.org_ws_abm2_f4[[#This Row],[hwycov_id]]</f>
        <v>9519</v>
      </c>
      <c r="L426">
        <f>Table_socioeca8.sandag.org_ws_abm2_f4[[#This Row],[scenario_id]]</f>
        <v>259</v>
      </c>
      <c r="M426">
        <f>Table_socioeca8.sandag.org_ws_abm2_f4[[#This Row],[flow_day]]</f>
        <v>5635</v>
      </c>
      <c r="N426">
        <f>Table_socioeca8.sandag.org_ws_abm2_f4[[#This Row],[flow_am]]</f>
        <v>2094</v>
      </c>
      <c r="O426">
        <f>Table_socioeca8.sandag.org_ws_abm2_f4[[#This Row],[flow_pm]]</f>
        <v>1200</v>
      </c>
    </row>
    <row r="427" spans="5:15" x14ac:dyDescent="0.25">
      <c r="E427">
        <v>9540</v>
      </c>
      <c r="F427">
        <f t="shared" si="6"/>
        <v>259</v>
      </c>
      <c r="G427">
        <f>IFERROR(VLOOKUP(Table_socioeca8.sandag.org_ws_abm2_f4[[#This Row],[hwycov_id]],[2]flow_freeway!$A$2:$E$1643,3,FALSE),0)</f>
        <v>4584</v>
      </c>
      <c r="H427">
        <f>IFERROR(VLOOKUP(Table_socioeca8.sandag.org_ws_abm2_f4[[#This Row],[hwycov_id]],[2]flow_freeway!$A$2:$E$1643,4,FALSE),0)</f>
        <v>1675</v>
      </c>
      <c r="I427">
        <f>IFERROR(VLOOKUP(Table_socioeca8.sandag.org_ws_abm2_f4[[#This Row],[hwycov_id]],[2]flow_freeway!$A$2:$E$1643,5,FALSE),0)</f>
        <v>1041</v>
      </c>
      <c r="K427">
        <f>Table_socioeca8.sandag.org_ws_abm2_f4[[#This Row],[hwycov_id]]</f>
        <v>9540</v>
      </c>
      <c r="L427">
        <f>Table_socioeca8.sandag.org_ws_abm2_f4[[#This Row],[scenario_id]]</f>
        <v>259</v>
      </c>
      <c r="M427">
        <f>Table_socioeca8.sandag.org_ws_abm2_f4[[#This Row],[flow_day]]</f>
        <v>4584</v>
      </c>
      <c r="N427">
        <f>Table_socioeca8.sandag.org_ws_abm2_f4[[#This Row],[flow_am]]</f>
        <v>1675</v>
      </c>
      <c r="O427">
        <f>Table_socioeca8.sandag.org_ws_abm2_f4[[#This Row],[flow_pm]]</f>
        <v>1041</v>
      </c>
    </row>
    <row r="428" spans="5:15" x14ac:dyDescent="0.25">
      <c r="E428">
        <v>9808</v>
      </c>
      <c r="F428">
        <f t="shared" si="6"/>
        <v>259</v>
      </c>
      <c r="G428">
        <f>IFERROR(VLOOKUP(Table_socioeca8.sandag.org_ws_abm2_f4[[#This Row],[hwycov_id]],[2]flow_freeway!$A$2:$E$1643,3,FALSE),0)</f>
        <v>13429</v>
      </c>
      <c r="H428">
        <f>IFERROR(VLOOKUP(Table_socioeca8.sandag.org_ws_abm2_f4[[#This Row],[hwycov_id]],[2]flow_freeway!$A$2:$E$1643,4,FALSE),0)</f>
        <v>1803</v>
      </c>
      <c r="I428">
        <f>IFERROR(VLOOKUP(Table_socioeca8.sandag.org_ws_abm2_f4[[#This Row],[hwycov_id]],[2]flow_freeway!$A$2:$E$1643,5,FALSE),0)</f>
        <v>5461</v>
      </c>
      <c r="K428">
        <f>Table_socioeca8.sandag.org_ws_abm2_f4[[#This Row],[hwycov_id]]</f>
        <v>9808</v>
      </c>
      <c r="L428">
        <f>Table_socioeca8.sandag.org_ws_abm2_f4[[#This Row],[scenario_id]]</f>
        <v>259</v>
      </c>
      <c r="M428">
        <f>Table_socioeca8.sandag.org_ws_abm2_f4[[#This Row],[flow_day]]</f>
        <v>13429</v>
      </c>
      <c r="N428">
        <f>Table_socioeca8.sandag.org_ws_abm2_f4[[#This Row],[flow_am]]</f>
        <v>1803</v>
      </c>
      <c r="O428">
        <f>Table_socioeca8.sandag.org_ws_abm2_f4[[#This Row],[flow_pm]]</f>
        <v>5461</v>
      </c>
    </row>
    <row r="429" spans="5:15" x14ac:dyDescent="0.25">
      <c r="E429">
        <v>9872</v>
      </c>
      <c r="F429">
        <f t="shared" si="6"/>
        <v>259</v>
      </c>
      <c r="G429">
        <f>IFERROR(VLOOKUP(Table_socioeca8.sandag.org_ws_abm2_f4[[#This Row],[hwycov_id]],[2]flow_freeway!$A$2:$E$1643,3,FALSE),0)</f>
        <v>129663</v>
      </c>
      <c r="H429">
        <f>IFERROR(VLOOKUP(Table_socioeca8.sandag.org_ws_abm2_f4[[#This Row],[hwycov_id]],[2]flow_freeway!$A$2:$E$1643,4,FALSE),0)</f>
        <v>20270</v>
      </c>
      <c r="I429">
        <f>IFERROR(VLOOKUP(Table_socioeca8.sandag.org_ws_abm2_f4[[#This Row],[hwycov_id]],[2]flow_freeway!$A$2:$E$1643,5,FALSE),0)</f>
        <v>37746</v>
      </c>
      <c r="K429">
        <f>Table_socioeca8.sandag.org_ws_abm2_f4[[#This Row],[hwycov_id]]</f>
        <v>9872</v>
      </c>
      <c r="L429">
        <f>Table_socioeca8.sandag.org_ws_abm2_f4[[#This Row],[scenario_id]]</f>
        <v>259</v>
      </c>
      <c r="M429">
        <f>Table_socioeca8.sandag.org_ws_abm2_f4[[#This Row],[flow_day]]</f>
        <v>129663</v>
      </c>
      <c r="N429">
        <f>Table_socioeca8.sandag.org_ws_abm2_f4[[#This Row],[flow_am]]</f>
        <v>20270</v>
      </c>
      <c r="O429">
        <f>Table_socioeca8.sandag.org_ws_abm2_f4[[#This Row],[flow_pm]]</f>
        <v>37746</v>
      </c>
    </row>
    <row r="430" spans="5:15" x14ac:dyDescent="0.25">
      <c r="E430">
        <v>9873</v>
      </c>
      <c r="F430">
        <f t="shared" si="6"/>
        <v>259</v>
      </c>
      <c r="G430">
        <f>IFERROR(VLOOKUP(Table_socioeca8.sandag.org_ws_abm2_f4[[#This Row],[hwycov_id]],[2]flow_freeway!$A$2:$E$1643,3,FALSE),0)</f>
        <v>127380</v>
      </c>
      <c r="H430">
        <f>IFERROR(VLOOKUP(Table_socioeca8.sandag.org_ws_abm2_f4[[#This Row],[hwycov_id]],[2]flow_freeway!$A$2:$E$1643,4,FALSE),0)</f>
        <v>30512</v>
      </c>
      <c r="I430">
        <f>IFERROR(VLOOKUP(Table_socioeca8.sandag.org_ws_abm2_f4[[#This Row],[hwycov_id]],[2]flow_freeway!$A$2:$E$1643,5,FALSE),0)</f>
        <v>23685</v>
      </c>
      <c r="K430">
        <f>Table_socioeca8.sandag.org_ws_abm2_f4[[#This Row],[hwycov_id]]</f>
        <v>9873</v>
      </c>
      <c r="L430">
        <f>Table_socioeca8.sandag.org_ws_abm2_f4[[#This Row],[scenario_id]]</f>
        <v>259</v>
      </c>
      <c r="M430">
        <f>Table_socioeca8.sandag.org_ws_abm2_f4[[#This Row],[flow_day]]</f>
        <v>127380</v>
      </c>
      <c r="N430">
        <f>Table_socioeca8.sandag.org_ws_abm2_f4[[#This Row],[flow_am]]</f>
        <v>30512</v>
      </c>
      <c r="O430">
        <f>Table_socioeca8.sandag.org_ws_abm2_f4[[#This Row],[flow_pm]]</f>
        <v>23685</v>
      </c>
    </row>
    <row r="431" spans="5:15" x14ac:dyDescent="0.25">
      <c r="E431">
        <v>9903</v>
      </c>
      <c r="F431">
        <f t="shared" si="6"/>
        <v>259</v>
      </c>
      <c r="G431">
        <f>IFERROR(VLOOKUP(Table_socioeca8.sandag.org_ws_abm2_f4[[#This Row],[hwycov_id]],[2]flow_freeway!$A$2:$E$1643,3,FALSE),0)</f>
        <v>49982</v>
      </c>
      <c r="H431">
        <f>IFERROR(VLOOKUP(Table_socioeca8.sandag.org_ws_abm2_f4[[#This Row],[hwycov_id]],[2]flow_freeway!$A$2:$E$1643,4,FALSE),0)</f>
        <v>9943</v>
      </c>
      <c r="I431">
        <f>IFERROR(VLOOKUP(Table_socioeca8.sandag.org_ws_abm2_f4[[#This Row],[hwycov_id]],[2]flow_freeway!$A$2:$E$1643,5,FALSE),0)</f>
        <v>10006</v>
      </c>
      <c r="K431">
        <f>Table_socioeca8.sandag.org_ws_abm2_f4[[#This Row],[hwycov_id]]</f>
        <v>9903</v>
      </c>
      <c r="L431">
        <f>Table_socioeca8.sandag.org_ws_abm2_f4[[#This Row],[scenario_id]]</f>
        <v>259</v>
      </c>
      <c r="M431">
        <f>Table_socioeca8.sandag.org_ws_abm2_f4[[#This Row],[flow_day]]</f>
        <v>49982</v>
      </c>
      <c r="N431">
        <f>Table_socioeca8.sandag.org_ws_abm2_f4[[#This Row],[flow_am]]</f>
        <v>9943</v>
      </c>
      <c r="O431">
        <f>Table_socioeca8.sandag.org_ws_abm2_f4[[#This Row],[flow_pm]]</f>
        <v>10006</v>
      </c>
    </row>
    <row r="432" spans="5:15" x14ac:dyDescent="0.25">
      <c r="E432">
        <v>9904</v>
      </c>
      <c r="F432">
        <f t="shared" si="6"/>
        <v>259</v>
      </c>
      <c r="G432">
        <f>IFERROR(VLOOKUP(Table_socioeca8.sandag.org_ws_abm2_f4[[#This Row],[hwycov_id]],[2]flow_freeway!$A$2:$E$1643,3,FALSE),0)</f>
        <v>46591</v>
      </c>
      <c r="H432">
        <f>IFERROR(VLOOKUP(Table_socioeca8.sandag.org_ws_abm2_f4[[#This Row],[hwycov_id]],[2]flow_freeway!$A$2:$E$1643,4,FALSE),0)</f>
        <v>8148</v>
      </c>
      <c r="I432">
        <f>IFERROR(VLOOKUP(Table_socioeca8.sandag.org_ws_abm2_f4[[#This Row],[hwycov_id]],[2]flow_freeway!$A$2:$E$1643,5,FALSE),0)</f>
        <v>10211</v>
      </c>
      <c r="K432">
        <f>Table_socioeca8.sandag.org_ws_abm2_f4[[#This Row],[hwycov_id]]</f>
        <v>9904</v>
      </c>
      <c r="L432">
        <f>Table_socioeca8.sandag.org_ws_abm2_f4[[#This Row],[scenario_id]]</f>
        <v>259</v>
      </c>
      <c r="M432">
        <f>Table_socioeca8.sandag.org_ws_abm2_f4[[#This Row],[flow_day]]</f>
        <v>46591</v>
      </c>
      <c r="N432">
        <f>Table_socioeca8.sandag.org_ws_abm2_f4[[#This Row],[flow_am]]</f>
        <v>8148</v>
      </c>
      <c r="O432">
        <f>Table_socioeca8.sandag.org_ws_abm2_f4[[#This Row],[flow_pm]]</f>
        <v>10211</v>
      </c>
    </row>
    <row r="433" spans="5:15" x14ac:dyDescent="0.25">
      <c r="E433">
        <v>9910</v>
      </c>
      <c r="F433">
        <f t="shared" si="6"/>
        <v>259</v>
      </c>
      <c r="G433">
        <f>IFERROR(VLOOKUP(Table_socioeca8.sandag.org_ws_abm2_f4[[#This Row],[hwycov_id]],[2]flow_freeway!$A$2:$E$1643,3,FALSE),0)</f>
        <v>17093</v>
      </c>
      <c r="H433">
        <f>IFERROR(VLOOKUP(Table_socioeca8.sandag.org_ws_abm2_f4[[#This Row],[hwycov_id]],[2]flow_freeway!$A$2:$E$1643,4,FALSE),0)</f>
        <v>3088</v>
      </c>
      <c r="I433">
        <f>IFERROR(VLOOKUP(Table_socioeca8.sandag.org_ws_abm2_f4[[#This Row],[hwycov_id]],[2]flow_freeway!$A$2:$E$1643,5,FALSE),0)</f>
        <v>3709</v>
      </c>
      <c r="K433">
        <f>Table_socioeca8.sandag.org_ws_abm2_f4[[#This Row],[hwycov_id]]</f>
        <v>9910</v>
      </c>
      <c r="L433">
        <f>Table_socioeca8.sandag.org_ws_abm2_f4[[#This Row],[scenario_id]]</f>
        <v>259</v>
      </c>
      <c r="M433">
        <f>Table_socioeca8.sandag.org_ws_abm2_f4[[#This Row],[flow_day]]</f>
        <v>17093</v>
      </c>
      <c r="N433">
        <f>Table_socioeca8.sandag.org_ws_abm2_f4[[#This Row],[flow_am]]</f>
        <v>3088</v>
      </c>
      <c r="O433">
        <f>Table_socioeca8.sandag.org_ws_abm2_f4[[#This Row],[flow_pm]]</f>
        <v>3709</v>
      </c>
    </row>
    <row r="434" spans="5:15" x14ac:dyDescent="0.25">
      <c r="E434">
        <v>9914</v>
      </c>
      <c r="F434">
        <f t="shared" si="6"/>
        <v>259</v>
      </c>
      <c r="G434">
        <f>IFERROR(VLOOKUP(Table_socioeca8.sandag.org_ws_abm2_f4[[#This Row],[hwycov_id]],[2]flow_freeway!$A$2:$E$1643,3,FALSE),0)</f>
        <v>17156</v>
      </c>
      <c r="H434">
        <f>IFERROR(VLOOKUP(Table_socioeca8.sandag.org_ws_abm2_f4[[#This Row],[hwycov_id]],[2]flow_freeway!$A$2:$E$1643,4,FALSE),0)</f>
        <v>3635</v>
      </c>
      <c r="I434">
        <f>IFERROR(VLOOKUP(Table_socioeca8.sandag.org_ws_abm2_f4[[#This Row],[hwycov_id]],[2]flow_freeway!$A$2:$E$1643,5,FALSE),0)</f>
        <v>3446</v>
      </c>
      <c r="K434">
        <f>Table_socioeca8.sandag.org_ws_abm2_f4[[#This Row],[hwycov_id]]</f>
        <v>9914</v>
      </c>
      <c r="L434">
        <f>Table_socioeca8.sandag.org_ws_abm2_f4[[#This Row],[scenario_id]]</f>
        <v>259</v>
      </c>
      <c r="M434">
        <f>Table_socioeca8.sandag.org_ws_abm2_f4[[#This Row],[flow_day]]</f>
        <v>17156</v>
      </c>
      <c r="N434">
        <f>Table_socioeca8.sandag.org_ws_abm2_f4[[#This Row],[flow_am]]</f>
        <v>3635</v>
      </c>
      <c r="O434">
        <f>Table_socioeca8.sandag.org_ws_abm2_f4[[#This Row],[flow_pm]]</f>
        <v>3446</v>
      </c>
    </row>
    <row r="435" spans="5:15" x14ac:dyDescent="0.25">
      <c r="E435">
        <v>9915</v>
      </c>
      <c r="F435">
        <f t="shared" si="6"/>
        <v>259</v>
      </c>
      <c r="G435">
        <f>IFERROR(VLOOKUP(Table_socioeca8.sandag.org_ws_abm2_f4[[#This Row],[hwycov_id]],[2]flow_freeway!$A$2:$E$1643,3,FALSE),0)</f>
        <v>16764</v>
      </c>
      <c r="H435">
        <f>IFERROR(VLOOKUP(Table_socioeca8.sandag.org_ws_abm2_f4[[#This Row],[hwycov_id]],[2]flow_freeway!$A$2:$E$1643,4,FALSE),0)</f>
        <v>3036</v>
      </c>
      <c r="I435">
        <f>IFERROR(VLOOKUP(Table_socioeca8.sandag.org_ws_abm2_f4[[#This Row],[hwycov_id]],[2]flow_freeway!$A$2:$E$1643,5,FALSE),0)</f>
        <v>3650</v>
      </c>
      <c r="K435">
        <f>Table_socioeca8.sandag.org_ws_abm2_f4[[#This Row],[hwycov_id]]</f>
        <v>9915</v>
      </c>
      <c r="L435">
        <f>Table_socioeca8.sandag.org_ws_abm2_f4[[#This Row],[scenario_id]]</f>
        <v>259</v>
      </c>
      <c r="M435">
        <f>Table_socioeca8.sandag.org_ws_abm2_f4[[#This Row],[flow_day]]</f>
        <v>16764</v>
      </c>
      <c r="N435">
        <f>Table_socioeca8.sandag.org_ws_abm2_f4[[#This Row],[flow_am]]</f>
        <v>3036</v>
      </c>
      <c r="O435">
        <f>Table_socioeca8.sandag.org_ws_abm2_f4[[#This Row],[flow_pm]]</f>
        <v>3650</v>
      </c>
    </row>
    <row r="436" spans="5:15" x14ac:dyDescent="0.25">
      <c r="E436">
        <v>9919</v>
      </c>
      <c r="F436">
        <f t="shared" si="6"/>
        <v>259</v>
      </c>
      <c r="G436">
        <f>IFERROR(VLOOKUP(Table_socioeca8.sandag.org_ws_abm2_f4[[#This Row],[hwycov_id]],[2]flow_freeway!$A$2:$E$1643,3,FALSE),0)</f>
        <v>40742</v>
      </c>
      <c r="H436">
        <f>IFERROR(VLOOKUP(Table_socioeca8.sandag.org_ws_abm2_f4[[#This Row],[hwycov_id]],[2]flow_freeway!$A$2:$E$1643,4,FALSE),0)</f>
        <v>10184</v>
      </c>
      <c r="I436">
        <f>IFERROR(VLOOKUP(Table_socioeca8.sandag.org_ws_abm2_f4[[#This Row],[hwycov_id]],[2]flow_freeway!$A$2:$E$1643,5,FALSE),0)</f>
        <v>3611</v>
      </c>
      <c r="K436">
        <f>Table_socioeca8.sandag.org_ws_abm2_f4[[#This Row],[hwycov_id]]</f>
        <v>9919</v>
      </c>
      <c r="L436">
        <f>Table_socioeca8.sandag.org_ws_abm2_f4[[#This Row],[scenario_id]]</f>
        <v>259</v>
      </c>
      <c r="M436">
        <f>Table_socioeca8.sandag.org_ws_abm2_f4[[#This Row],[flow_day]]</f>
        <v>40742</v>
      </c>
      <c r="N436">
        <f>Table_socioeca8.sandag.org_ws_abm2_f4[[#This Row],[flow_am]]</f>
        <v>10184</v>
      </c>
      <c r="O436">
        <f>Table_socioeca8.sandag.org_ws_abm2_f4[[#This Row],[flow_pm]]</f>
        <v>3611</v>
      </c>
    </row>
    <row r="437" spans="5:15" x14ac:dyDescent="0.25">
      <c r="E437">
        <v>9930</v>
      </c>
      <c r="F437">
        <f t="shared" si="6"/>
        <v>259</v>
      </c>
      <c r="G437">
        <f>IFERROR(VLOOKUP(Table_socioeca8.sandag.org_ws_abm2_f4[[#This Row],[hwycov_id]],[2]flow_freeway!$A$2:$E$1643,3,FALSE),0)</f>
        <v>44409</v>
      </c>
      <c r="H437">
        <f>IFERROR(VLOOKUP(Table_socioeca8.sandag.org_ws_abm2_f4[[#This Row],[hwycov_id]],[2]flow_freeway!$A$2:$E$1643,4,FALSE),0)</f>
        <v>8569</v>
      </c>
      <c r="I437">
        <f>IFERROR(VLOOKUP(Table_socioeca8.sandag.org_ws_abm2_f4[[#This Row],[hwycov_id]],[2]flow_freeway!$A$2:$E$1643,5,FALSE),0)</f>
        <v>8755</v>
      </c>
      <c r="K437">
        <f>Table_socioeca8.sandag.org_ws_abm2_f4[[#This Row],[hwycov_id]]</f>
        <v>9930</v>
      </c>
      <c r="L437">
        <f>Table_socioeca8.sandag.org_ws_abm2_f4[[#This Row],[scenario_id]]</f>
        <v>259</v>
      </c>
      <c r="M437">
        <f>Table_socioeca8.sandag.org_ws_abm2_f4[[#This Row],[flow_day]]</f>
        <v>44409</v>
      </c>
      <c r="N437">
        <f>Table_socioeca8.sandag.org_ws_abm2_f4[[#This Row],[flow_am]]</f>
        <v>8569</v>
      </c>
      <c r="O437">
        <f>Table_socioeca8.sandag.org_ws_abm2_f4[[#This Row],[flow_pm]]</f>
        <v>8755</v>
      </c>
    </row>
    <row r="438" spans="5:15" x14ac:dyDescent="0.25">
      <c r="E438">
        <v>9931</v>
      </c>
      <c r="F438">
        <f t="shared" si="6"/>
        <v>259</v>
      </c>
      <c r="G438">
        <f>IFERROR(VLOOKUP(Table_socioeca8.sandag.org_ws_abm2_f4[[#This Row],[hwycov_id]],[2]flow_freeway!$A$2:$E$1643,3,FALSE),0)</f>
        <v>17148</v>
      </c>
      <c r="H438">
        <f>IFERROR(VLOOKUP(Table_socioeca8.sandag.org_ws_abm2_f4[[#This Row],[hwycov_id]],[2]flow_freeway!$A$2:$E$1643,4,FALSE),0)</f>
        <v>579</v>
      </c>
      <c r="I438">
        <f>IFERROR(VLOOKUP(Table_socioeca8.sandag.org_ws_abm2_f4[[#This Row],[hwycov_id]],[2]flow_freeway!$A$2:$E$1643,5,FALSE),0)</f>
        <v>5819</v>
      </c>
      <c r="K438">
        <f>Table_socioeca8.sandag.org_ws_abm2_f4[[#This Row],[hwycov_id]]</f>
        <v>9931</v>
      </c>
      <c r="L438">
        <f>Table_socioeca8.sandag.org_ws_abm2_f4[[#This Row],[scenario_id]]</f>
        <v>259</v>
      </c>
      <c r="M438">
        <f>Table_socioeca8.sandag.org_ws_abm2_f4[[#This Row],[flow_day]]</f>
        <v>17148</v>
      </c>
      <c r="N438">
        <f>Table_socioeca8.sandag.org_ws_abm2_f4[[#This Row],[flow_am]]</f>
        <v>579</v>
      </c>
      <c r="O438">
        <f>Table_socioeca8.sandag.org_ws_abm2_f4[[#This Row],[flow_pm]]</f>
        <v>5819</v>
      </c>
    </row>
    <row r="439" spans="5:15" x14ac:dyDescent="0.25">
      <c r="E439">
        <v>9953</v>
      </c>
      <c r="F439">
        <f t="shared" si="6"/>
        <v>259</v>
      </c>
      <c r="G439">
        <f>IFERROR(VLOOKUP(Table_socioeca8.sandag.org_ws_abm2_f4[[#This Row],[hwycov_id]],[2]flow_freeway!$A$2:$E$1643,3,FALSE),0)</f>
        <v>30870</v>
      </c>
      <c r="H439">
        <f>IFERROR(VLOOKUP(Table_socioeca8.sandag.org_ws_abm2_f4[[#This Row],[hwycov_id]],[2]flow_freeway!$A$2:$E$1643,4,FALSE),0)</f>
        <v>5078</v>
      </c>
      <c r="I439">
        <f>IFERROR(VLOOKUP(Table_socioeca8.sandag.org_ws_abm2_f4[[#This Row],[hwycov_id]],[2]flow_freeway!$A$2:$E$1643,5,FALSE),0)</f>
        <v>7020</v>
      </c>
      <c r="K439">
        <f>Table_socioeca8.sandag.org_ws_abm2_f4[[#This Row],[hwycov_id]]</f>
        <v>9953</v>
      </c>
      <c r="L439">
        <f>Table_socioeca8.sandag.org_ws_abm2_f4[[#This Row],[scenario_id]]</f>
        <v>259</v>
      </c>
      <c r="M439">
        <f>Table_socioeca8.sandag.org_ws_abm2_f4[[#This Row],[flow_day]]</f>
        <v>30870</v>
      </c>
      <c r="N439">
        <f>Table_socioeca8.sandag.org_ws_abm2_f4[[#This Row],[flow_am]]</f>
        <v>5078</v>
      </c>
      <c r="O439">
        <f>Table_socioeca8.sandag.org_ws_abm2_f4[[#This Row],[flow_pm]]</f>
        <v>7020</v>
      </c>
    </row>
    <row r="440" spans="5:15" x14ac:dyDescent="0.25">
      <c r="E440">
        <v>10002</v>
      </c>
      <c r="F440">
        <f t="shared" si="6"/>
        <v>259</v>
      </c>
      <c r="G440">
        <f>IFERROR(VLOOKUP(Table_socioeca8.sandag.org_ws_abm2_f4[[#This Row],[hwycov_id]],[2]flow_freeway!$A$2:$E$1643,3,FALSE),0)</f>
        <v>26737</v>
      </c>
      <c r="H440">
        <f>IFERROR(VLOOKUP(Table_socioeca8.sandag.org_ws_abm2_f4[[#This Row],[hwycov_id]],[2]flow_freeway!$A$2:$E$1643,4,FALSE),0)</f>
        <v>5456</v>
      </c>
      <c r="I440">
        <f>IFERROR(VLOOKUP(Table_socioeca8.sandag.org_ws_abm2_f4[[#This Row],[hwycov_id]],[2]flow_freeway!$A$2:$E$1643,5,FALSE),0)</f>
        <v>3494</v>
      </c>
      <c r="K440">
        <f>Table_socioeca8.sandag.org_ws_abm2_f4[[#This Row],[hwycov_id]]</f>
        <v>10002</v>
      </c>
      <c r="L440">
        <f>Table_socioeca8.sandag.org_ws_abm2_f4[[#This Row],[scenario_id]]</f>
        <v>259</v>
      </c>
      <c r="M440">
        <f>Table_socioeca8.sandag.org_ws_abm2_f4[[#This Row],[flow_day]]</f>
        <v>26737</v>
      </c>
      <c r="N440">
        <f>Table_socioeca8.sandag.org_ws_abm2_f4[[#This Row],[flow_am]]</f>
        <v>5456</v>
      </c>
      <c r="O440">
        <f>Table_socioeca8.sandag.org_ws_abm2_f4[[#This Row],[flow_pm]]</f>
        <v>3494</v>
      </c>
    </row>
    <row r="441" spans="5:15" x14ac:dyDescent="0.25">
      <c r="E441">
        <v>10003</v>
      </c>
      <c r="F441">
        <f t="shared" si="6"/>
        <v>259</v>
      </c>
      <c r="G441">
        <f>IFERROR(VLOOKUP(Table_socioeca8.sandag.org_ws_abm2_f4[[#This Row],[hwycov_id]],[2]flow_freeway!$A$2:$E$1643,3,FALSE),0)</f>
        <v>27667</v>
      </c>
      <c r="H441">
        <f>IFERROR(VLOOKUP(Table_socioeca8.sandag.org_ws_abm2_f4[[#This Row],[hwycov_id]],[2]flow_freeway!$A$2:$E$1643,4,FALSE),0)</f>
        <v>3696</v>
      </c>
      <c r="I441">
        <f>IFERROR(VLOOKUP(Table_socioeca8.sandag.org_ws_abm2_f4[[#This Row],[hwycov_id]],[2]flow_freeway!$A$2:$E$1643,5,FALSE),0)</f>
        <v>7042</v>
      </c>
      <c r="K441">
        <f>Table_socioeca8.sandag.org_ws_abm2_f4[[#This Row],[hwycov_id]]</f>
        <v>10003</v>
      </c>
      <c r="L441">
        <f>Table_socioeca8.sandag.org_ws_abm2_f4[[#This Row],[scenario_id]]</f>
        <v>259</v>
      </c>
      <c r="M441">
        <f>Table_socioeca8.sandag.org_ws_abm2_f4[[#This Row],[flow_day]]</f>
        <v>27667</v>
      </c>
      <c r="N441">
        <f>Table_socioeca8.sandag.org_ws_abm2_f4[[#This Row],[flow_am]]</f>
        <v>3696</v>
      </c>
      <c r="O441">
        <f>Table_socioeca8.sandag.org_ws_abm2_f4[[#This Row],[flow_pm]]</f>
        <v>7042</v>
      </c>
    </row>
    <row r="442" spans="5:15" x14ac:dyDescent="0.25">
      <c r="E442">
        <v>10013</v>
      </c>
      <c r="F442">
        <f t="shared" si="6"/>
        <v>259</v>
      </c>
      <c r="G442">
        <f>IFERROR(VLOOKUP(Table_socioeca8.sandag.org_ws_abm2_f4[[#This Row],[hwycov_id]],[2]flow_freeway!$A$2:$E$1643,3,FALSE),0)</f>
        <v>17137</v>
      </c>
      <c r="H442">
        <f>IFERROR(VLOOKUP(Table_socioeca8.sandag.org_ws_abm2_f4[[#This Row],[hwycov_id]],[2]flow_freeway!$A$2:$E$1643,4,FALSE),0)</f>
        <v>579</v>
      </c>
      <c r="I442">
        <f>IFERROR(VLOOKUP(Table_socioeca8.sandag.org_ws_abm2_f4[[#This Row],[hwycov_id]],[2]flow_freeway!$A$2:$E$1643,5,FALSE),0)</f>
        <v>5809</v>
      </c>
      <c r="K442">
        <f>Table_socioeca8.sandag.org_ws_abm2_f4[[#This Row],[hwycov_id]]</f>
        <v>10013</v>
      </c>
      <c r="L442">
        <f>Table_socioeca8.sandag.org_ws_abm2_f4[[#This Row],[scenario_id]]</f>
        <v>259</v>
      </c>
      <c r="M442">
        <f>Table_socioeca8.sandag.org_ws_abm2_f4[[#This Row],[flow_day]]</f>
        <v>17137</v>
      </c>
      <c r="N442">
        <f>Table_socioeca8.sandag.org_ws_abm2_f4[[#This Row],[flow_am]]</f>
        <v>579</v>
      </c>
      <c r="O442">
        <f>Table_socioeca8.sandag.org_ws_abm2_f4[[#This Row],[flow_pm]]</f>
        <v>5809</v>
      </c>
    </row>
    <row r="443" spans="5:15" x14ac:dyDescent="0.25">
      <c r="E443">
        <v>10015</v>
      </c>
      <c r="F443">
        <f t="shared" si="6"/>
        <v>259</v>
      </c>
      <c r="G443">
        <f>IFERROR(VLOOKUP(Table_socioeca8.sandag.org_ws_abm2_f4[[#This Row],[hwycov_id]],[2]flow_freeway!$A$2:$E$1643,3,FALSE),0)</f>
        <v>24323</v>
      </c>
      <c r="H443">
        <f>IFERROR(VLOOKUP(Table_socioeca8.sandag.org_ws_abm2_f4[[#This Row],[hwycov_id]],[2]flow_freeway!$A$2:$E$1643,4,FALSE),0)</f>
        <v>6597</v>
      </c>
      <c r="I443">
        <f>IFERROR(VLOOKUP(Table_socioeca8.sandag.org_ws_abm2_f4[[#This Row],[hwycov_id]],[2]flow_freeway!$A$2:$E$1643,5,FALSE),0)</f>
        <v>2100</v>
      </c>
      <c r="K443">
        <f>Table_socioeca8.sandag.org_ws_abm2_f4[[#This Row],[hwycov_id]]</f>
        <v>10015</v>
      </c>
      <c r="L443">
        <f>Table_socioeca8.sandag.org_ws_abm2_f4[[#This Row],[scenario_id]]</f>
        <v>259</v>
      </c>
      <c r="M443">
        <f>Table_socioeca8.sandag.org_ws_abm2_f4[[#This Row],[flow_day]]</f>
        <v>24323</v>
      </c>
      <c r="N443">
        <f>Table_socioeca8.sandag.org_ws_abm2_f4[[#This Row],[flow_am]]</f>
        <v>6597</v>
      </c>
      <c r="O443">
        <f>Table_socioeca8.sandag.org_ws_abm2_f4[[#This Row],[flow_pm]]</f>
        <v>2100</v>
      </c>
    </row>
    <row r="444" spans="5:15" x14ac:dyDescent="0.25">
      <c r="E444">
        <v>10016</v>
      </c>
      <c r="F444">
        <f t="shared" si="6"/>
        <v>259</v>
      </c>
      <c r="G444">
        <f>IFERROR(VLOOKUP(Table_socioeca8.sandag.org_ws_abm2_f4[[#This Row],[hwycov_id]],[2]flow_freeway!$A$2:$E$1643,3,FALSE),0)</f>
        <v>24622</v>
      </c>
      <c r="H444">
        <f>IFERROR(VLOOKUP(Table_socioeca8.sandag.org_ws_abm2_f4[[#This Row],[hwycov_id]],[2]flow_freeway!$A$2:$E$1643,4,FALSE),0)</f>
        <v>781</v>
      </c>
      <c r="I444">
        <f>IFERROR(VLOOKUP(Table_socioeca8.sandag.org_ws_abm2_f4[[#This Row],[hwycov_id]],[2]flow_freeway!$A$2:$E$1643,5,FALSE),0)</f>
        <v>9265</v>
      </c>
      <c r="K444">
        <f>Table_socioeca8.sandag.org_ws_abm2_f4[[#This Row],[hwycov_id]]</f>
        <v>10016</v>
      </c>
      <c r="L444">
        <f>Table_socioeca8.sandag.org_ws_abm2_f4[[#This Row],[scenario_id]]</f>
        <v>259</v>
      </c>
      <c r="M444">
        <f>Table_socioeca8.sandag.org_ws_abm2_f4[[#This Row],[flow_day]]</f>
        <v>24622</v>
      </c>
      <c r="N444">
        <f>Table_socioeca8.sandag.org_ws_abm2_f4[[#This Row],[flow_am]]</f>
        <v>781</v>
      </c>
      <c r="O444">
        <f>Table_socioeca8.sandag.org_ws_abm2_f4[[#This Row],[flow_pm]]</f>
        <v>9265</v>
      </c>
    </row>
    <row r="445" spans="5:15" x14ac:dyDescent="0.25">
      <c r="E445">
        <v>10044</v>
      </c>
      <c r="F445">
        <f t="shared" si="6"/>
        <v>259</v>
      </c>
      <c r="G445">
        <f>IFERROR(VLOOKUP(Table_socioeca8.sandag.org_ws_abm2_f4[[#This Row],[hwycov_id]],[2]flow_freeway!$A$2:$E$1643,3,FALSE),0)</f>
        <v>30870</v>
      </c>
      <c r="H445">
        <f>IFERROR(VLOOKUP(Table_socioeca8.sandag.org_ws_abm2_f4[[#This Row],[hwycov_id]],[2]flow_freeway!$A$2:$E$1643,4,FALSE),0)</f>
        <v>5078</v>
      </c>
      <c r="I445">
        <f>IFERROR(VLOOKUP(Table_socioeca8.sandag.org_ws_abm2_f4[[#This Row],[hwycov_id]],[2]flow_freeway!$A$2:$E$1643,5,FALSE),0)</f>
        <v>7020</v>
      </c>
      <c r="K445">
        <f>Table_socioeca8.sandag.org_ws_abm2_f4[[#This Row],[hwycov_id]]</f>
        <v>10044</v>
      </c>
      <c r="L445">
        <f>Table_socioeca8.sandag.org_ws_abm2_f4[[#This Row],[scenario_id]]</f>
        <v>259</v>
      </c>
      <c r="M445">
        <f>Table_socioeca8.sandag.org_ws_abm2_f4[[#This Row],[flow_day]]</f>
        <v>30870</v>
      </c>
      <c r="N445">
        <f>Table_socioeca8.sandag.org_ws_abm2_f4[[#This Row],[flow_am]]</f>
        <v>5078</v>
      </c>
      <c r="O445">
        <f>Table_socioeca8.sandag.org_ws_abm2_f4[[#This Row],[flow_pm]]</f>
        <v>7020</v>
      </c>
    </row>
    <row r="446" spans="5:15" x14ac:dyDescent="0.25">
      <c r="E446">
        <v>10056</v>
      </c>
      <c r="F446">
        <f t="shared" si="6"/>
        <v>259</v>
      </c>
      <c r="G446">
        <f>IFERROR(VLOOKUP(Table_socioeca8.sandag.org_ws_abm2_f4[[#This Row],[hwycov_id]],[2]flow_freeway!$A$2:$E$1643,3,FALSE),0)</f>
        <v>49982</v>
      </c>
      <c r="H446">
        <f>IFERROR(VLOOKUP(Table_socioeca8.sandag.org_ws_abm2_f4[[#This Row],[hwycov_id]],[2]flow_freeway!$A$2:$E$1643,4,FALSE),0)</f>
        <v>9943</v>
      </c>
      <c r="I446">
        <f>IFERROR(VLOOKUP(Table_socioeca8.sandag.org_ws_abm2_f4[[#This Row],[hwycov_id]],[2]flow_freeway!$A$2:$E$1643,5,FALSE),0)</f>
        <v>10006</v>
      </c>
      <c r="K446">
        <f>Table_socioeca8.sandag.org_ws_abm2_f4[[#This Row],[hwycov_id]]</f>
        <v>10056</v>
      </c>
      <c r="L446">
        <f>Table_socioeca8.sandag.org_ws_abm2_f4[[#This Row],[scenario_id]]</f>
        <v>259</v>
      </c>
      <c r="M446">
        <f>Table_socioeca8.sandag.org_ws_abm2_f4[[#This Row],[flow_day]]</f>
        <v>49982</v>
      </c>
      <c r="N446">
        <f>Table_socioeca8.sandag.org_ws_abm2_f4[[#This Row],[flow_am]]</f>
        <v>9943</v>
      </c>
      <c r="O446">
        <f>Table_socioeca8.sandag.org_ws_abm2_f4[[#This Row],[flow_pm]]</f>
        <v>10006</v>
      </c>
    </row>
    <row r="447" spans="5:15" x14ac:dyDescent="0.25">
      <c r="E447">
        <v>10057</v>
      </c>
      <c r="F447">
        <f t="shared" si="6"/>
        <v>259</v>
      </c>
      <c r="G447">
        <f>IFERROR(VLOOKUP(Table_socioeca8.sandag.org_ws_abm2_f4[[#This Row],[hwycov_id]],[2]flow_freeway!$A$2:$E$1643,3,FALSE),0)</f>
        <v>46591</v>
      </c>
      <c r="H447">
        <f>IFERROR(VLOOKUP(Table_socioeca8.sandag.org_ws_abm2_f4[[#This Row],[hwycov_id]],[2]flow_freeway!$A$2:$E$1643,4,FALSE),0)</f>
        <v>8148</v>
      </c>
      <c r="I447">
        <f>IFERROR(VLOOKUP(Table_socioeca8.sandag.org_ws_abm2_f4[[#This Row],[hwycov_id]],[2]flow_freeway!$A$2:$E$1643,5,FALSE),0)</f>
        <v>10211</v>
      </c>
      <c r="K447">
        <f>Table_socioeca8.sandag.org_ws_abm2_f4[[#This Row],[hwycov_id]]</f>
        <v>10057</v>
      </c>
      <c r="L447">
        <f>Table_socioeca8.sandag.org_ws_abm2_f4[[#This Row],[scenario_id]]</f>
        <v>259</v>
      </c>
      <c r="M447">
        <f>Table_socioeca8.sandag.org_ws_abm2_f4[[#This Row],[flow_day]]</f>
        <v>46591</v>
      </c>
      <c r="N447">
        <f>Table_socioeca8.sandag.org_ws_abm2_f4[[#This Row],[flow_am]]</f>
        <v>8148</v>
      </c>
      <c r="O447">
        <f>Table_socioeca8.sandag.org_ws_abm2_f4[[#This Row],[flow_pm]]</f>
        <v>10211</v>
      </c>
    </row>
    <row r="448" spans="5:15" x14ac:dyDescent="0.25">
      <c r="E448">
        <v>10067</v>
      </c>
      <c r="F448">
        <f t="shared" si="6"/>
        <v>259</v>
      </c>
      <c r="G448">
        <f>IFERROR(VLOOKUP(Table_socioeca8.sandag.org_ws_abm2_f4[[#This Row],[hwycov_id]],[2]flow_freeway!$A$2:$E$1643,3,FALSE),0)</f>
        <v>31507</v>
      </c>
      <c r="H448">
        <f>IFERROR(VLOOKUP(Table_socioeca8.sandag.org_ws_abm2_f4[[#This Row],[hwycov_id]],[2]flow_freeway!$A$2:$E$1643,4,FALSE),0)</f>
        <v>5086</v>
      </c>
      <c r="I448">
        <f>IFERROR(VLOOKUP(Table_socioeca8.sandag.org_ws_abm2_f4[[#This Row],[hwycov_id]],[2]flow_freeway!$A$2:$E$1643,5,FALSE),0)</f>
        <v>7264</v>
      </c>
      <c r="K448">
        <f>Table_socioeca8.sandag.org_ws_abm2_f4[[#This Row],[hwycov_id]]</f>
        <v>10067</v>
      </c>
      <c r="L448">
        <f>Table_socioeca8.sandag.org_ws_abm2_f4[[#This Row],[scenario_id]]</f>
        <v>259</v>
      </c>
      <c r="M448">
        <f>Table_socioeca8.sandag.org_ws_abm2_f4[[#This Row],[flow_day]]</f>
        <v>31507</v>
      </c>
      <c r="N448">
        <f>Table_socioeca8.sandag.org_ws_abm2_f4[[#This Row],[flow_am]]</f>
        <v>5086</v>
      </c>
      <c r="O448">
        <f>Table_socioeca8.sandag.org_ws_abm2_f4[[#This Row],[flow_pm]]</f>
        <v>7264</v>
      </c>
    </row>
    <row r="449" spans="5:15" x14ac:dyDescent="0.25">
      <c r="E449">
        <v>10158</v>
      </c>
      <c r="F449">
        <f t="shared" si="6"/>
        <v>259</v>
      </c>
      <c r="G449">
        <f>IFERROR(VLOOKUP(Table_socioeca8.sandag.org_ws_abm2_f4[[#This Row],[hwycov_id]],[2]flow_freeway!$A$2:$E$1643,3,FALSE),0)</f>
        <v>72998</v>
      </c>
      <c r="H449">
        <f>IFERROR(VLOOKUP(Table_socioeca8.sandag.org_ws_abm2_f4[[#This Row],[hwycov_id]],[2]flow_freeway!$A$2:$E$1643,4,FALSE),0)</f>
        <v>14426</v>
      </c>
      <c r="I449">
        <f>IFERROR(VLOOKUP(Table_socioeca8.sandag.org_ws_abm2_f4[[#This Row],[hwycov_id]],[2]flow_freeway!$A$2:$E$1643,5,FALSE),0)</f>
        <v>18146</v>
      </c>
      <c r="K449">
        <f>Table_socioeca8.sandag.org_ws_abm2_f4[[#This Row],[hwycov_id]]</f>
        <v>10158</v>
      </c>
      <c r="L449">
        <f>Table_socioeca8.sandag.org_ws_abm2_f4[[#This Row],[scenario_id]]</f>
        <v>259</v>
      </c>
      <c r="M449">
        <f>Table_socioeca8.sandag.org_ws_abm2_f4[[#This Row],[flow_day]]</f>
        <v>72998</v>
      </c>
      <c r="N449">
        <f>Table_socioeca8.sandag.org_ws_abm2_f4[[#This Row],[flow_am]]</f>
        <v>14426</v>
      </c>
      <c r="O449">
        <f>Table_socioeca8.sandag.org_ws_abm2_f4[[#This Row],[flow_pm]]</f>
        <v>18146</v>
      </c>
    </row>
    <row r="450" spans="5:15" x14ac:dyDescent="0.25">
      <c r="E450">
        <v>10159</v>
      </c>
      <c r="F450">
        <f t="shared" si="6"/>
        <v>259</v>
      </c>
      <c r="G450">
        <f>IFERROR(VLOOKUP(Table_socioeca8.sandag.org_ws_abm2_f4[[#This Row],[hwycov_id]],[2]flow_freeway!$A$2:$E$1643,3,FALSE),0)</f>
        <v>36359</v>
      </c>
      <c r="H450">
        <f>IFERROR(VLOOKUP(Table_socioeca8.sandag.org_ws_abm2_f4[[#This Row],[hwycov_id]],[2]flow_freeway!$A$2:$E$1643,4,FALSE),0)</f>
        <v>6027</v>
      </c>
      <c r="I450">
        <f>IFERROR(VLOOKUP(Table_socioeca8.sandag.org_ws_abm2_f4[[#This Row],[hwycov_id]],[2]flow_freeway!$A$2:$E$1643,5,FALSE),0)</f>
        <v>9846</v>
      </c>
      <c r="K450">
        <f>Table_socioeca8.sandag.org_ws_abm2_f4[[#This Row],[hwycov_id]]</f>
        <v>10159</v>
      </c>
      <c r="L450">
        <f>Table_socioeca8.sandag.org_ws_abm2_f4[[#This Row],[scenario_id]]</f>
        <v>259</v>
      </c>
      <c r="M450">
        <f>Table_socioeca8.sandag.org_ws_abm2_f4[[#This Row],[flow_day]]</f>
        <v>36359</v>
      </c>
      <c r="N450">
        <f>Table_socioeca8.sandag.org_ws_abm2_f4[[#This Row],[flow_am]]</f>
        <v>6027</v>
      </c>
      <c r="O450">
        <f>Table_socioeca8.sandag.org_ws_abm2_f4[[#This Row],[flow_pm]]</f>
        <v>9846</v>
      </c>
    </row>
    <row r="451" spans="5:15" x14ac:dyDescent="0.25">
      <c r="E451">
        <v>10177</v>
      </c>
      <c r="F451">
        <f t="shared" si="6"/>
        <v>259</v>
      </c>
      <c r="G451">
        <f>IFERROR(VLOOKUP(Table_socioeca8.sandag.org_ws_abm2_f4[[#This Row],[hwycov_id]],[2]flow_freeway!$A$2:$E$1643,3,FALSE),0)</f>
        <v>83907</v>
      </c>
      <c r="H451">
        <f>IFERROR(VLOOKUP(Table_socioeca8.sandag.org_ws_abm2_f4[[#This Row],[hwycov_id]],[2]flow_freeway!$A$2:$E$1643,4,FALSE),0)</f>
        <v>17208</v>
      </c>
      <c r="I451">
        <f>IFERROR(VLOOKUP(Table_socioeca8.sandag.org_ws_abm2_f4[[#This Row],[hwycov_id]],[2]flow_freeway!$A$2:$E$1643,5,FALSE),0)</f>
        <v>21131</v>
      </c>
      <c r="K451">
        <f>Table_socioeca8.sandag.org_ws_abm2_f4[[#This Row],[hwycov_id]]</f>
        <v>10177</v>
      </c>
      <c r="L451">
        <f>Table_socioeca8.sandag.org_ws_abm2_f4[[#This Row],[scenario_id]]</f>
        <v>259</v>
      </c>
      <c r="M451">
        <f>Table_socioeca8.sandag.org_ws_abm2_f4[[#This Row],[flow_day]]</f>
        <v>83907</v>
      </c>
      <c r="N451">
        <f>Table_socioeca8.sandag.org_ws_abm2_f4[[#This Row],[flow_am]]</f>
        <v>17208</v>
      </c>
      <c r="O451">
        <f>Table_socioeca8.sandag.org_ws_abm2_f4[[#This Row],[flow_pm]]</f>
        <v>21131</v>
      </c>
    </row>
    <row r="452" spans="5:15" x14ac:dyDescent="0.25">
      <c r="E452">
        <v>10238</v>
      </c>
      <c r="F452">
        <f t="shared" ref="F452:F515" si="7">F451</f>
        <v>259</v>
      </c>
      <c r="G452">
        <f>IFERROR(VLOOKUP(Table_socioeca8.sandag.org_ws_abm2_f4[[#This Row],[hwycov_id]],[2]flow_freeway!$A$2:$E$1643,3,FALSE),0)</f>
        <v>4057</v>
      </c>
      <c r="H452">
        <f>IFERROR(VLOOKUP(Table_socioeca8.sandag.org_ws_abm2_f4[[#This Row],[hwycov_id]],[2]flow_freeway!$A$2:$E$1643,4,FALSE),0)</f>
        <v>1056</v>
      </c>
      <c r="I452">
        <f>IFERROR(VLOOKUP(Table_socioeca8.sandag.org_ws_abm2_f4[[#This Row],[hwycov_id]],[2]flow_freeway!$A$2:$E$1643,5,FALSE),0)</f>
        <v>896</v>
      </c>
      <c r="K452">
        <f>Table_socioeca8.sandag.org_ws_abm2_f4[[#This Row],[hwycov_id]]</f>
        <v>10238</v>
      </c>
      <c r="L452">
        <f>Table_socioeca8.sandag.org_ws_abm2_f4[[#This Row],[scenario_id]]</f>
        <v>259</v>
      </c>
      <c r="M452">
        <f>Table_socioeca8.sandag.org_ws_abm2_f4[[#This Row],[flow_day]]</f>
        <v>4057</v>
      </c>
      <c r="N452">
        <f>Table_socioeca8.sandag.org_ws_abm2_f4[[#This Row],[flow_am]]</f>
        <v>1056</v>
      </c>
      <c r="O452">
        <f>Table_socioeca8.sandag.org_ws_abm2_f4[[#This Row],[flow_pm]]</f>
        <v>896</v>
      </c>
    </row>
    <row r="453" spans="5:15" x14ac:dyDescent="0.25">
      <c r="E453">
        <v>10241</v>
      </c>
      <c r="F453">
        <f t="shared" si="7"/>
        <v>259</v>
      </c>
      <c r="G453">
        <f>IFERROR(VLOOKUP(Table_socioeca8.sandag.org_ws_abm2_f4[[#This Row],[hwycov_id]],[2]flow_freeway!$A$2:$E$1643,3,FALSE),0)</f>
        <v>4057</v>
      </c>
      <c r="H453">
        <f>IFERROR(VLOOKUP(Table_socioeca8.sandag.org_ws_abm2_f4[[#This Row],[hwycov_id]],[2]flow_freeway!$A$2:$E$1643,4,FALSE),0)</f>
        <v>1056</v>
      </c>
      <c r="I453">
        <f>IFERROR(VLOOKUP(Table_socioeca8.sandag.org_ws_abm2_f4[[#This Row],[hwycov_id]],[2]flow_freeway!$A$2:$E$1643,5,FALSE),0)</f>
        <v>896</v>
      </c>
      <c r="K453">
        <f>Table_socioeca8.sandag.org_ws_abm2_f4[[#This Row],[hwycov_id]]</f>
        <v>10241</v>
      </c>
      <c r="L453">
        <f>Table_socioeca8.sandag.org_ws_abm2_f4[[#This Row],[scenario_id]]</f>
        <v>259</v>
      </c>
      <c r="M453">
        <f>Table_socioeca8.sandag.org_ws_abm2_f4[[#This Row],[flow_day]]</f>
        <v>4057</v>
      </c>
      <c r="N453">
        <f>Table_socioeca8.sandag.org_ws_abm2_f4[[#This Row],[flow_am]]</f>
        <v>1056</v>
      </c>
      <c r="O453">
        <f>Table_socioeca8.sandag.org_ws_abm2_f4[[#This Row],[flow_pm]]</f>
        <v>896</v>
      </c>
    </row>
    <row r="454" spans="5:15" x14ac:dyDescent="0.25">
      <c r="E454">
        <v>10243</v>
      </c>
      <c r="F454">
        <f t="shared" si="7"/>
        <v>259</v>
      </c>
      <c r="G454">
        <f>IFERROR(VLOOKUP(Table_socioeca8.sandag.org_ws_abm2_f4[[#This Row],[hwycov_id]],[2]flow_freeway!$A$2:$E$1643,3,FALSE),0)</f>
        <v>4702</v>
      </c>
      <c r="H454">
        <f>IFERROR(VLOOKUP(Table_socioeca8.sandag.org_ws_abm2_f4[[#This Row],[hwycov_id]],[2]flow_freeway!$A$2:$E$1643,4,FALSE),0)</f>
        <v>716</v>
      </c>
      <c r="I454">
        <f>IFERROR(VLOOKUP(Table_socioeca8.sandag.org_ws_abm2_f4[[#This Row],[hwycov_id]],[2]flow_freeway!$A$2:$E$1643,5,FALSE),0)</f>
        <v>1295</v>
      </c>
      <c r="K454">
        <f>Table_socioeca8.sandag.org_ws_abm2_f4[[#This Row],[hwycov_id]]</f>
        <v>10243</v>
      </c>
      <c r="L454">
        <f>Table_socioeca8.sandag.org_ws_abm2_f4[[#This Row],[scenario_id]]</f>
        <v>259</v>
      </c>
      <c r="M454">
        <f>Table_socioeca8.sandag.org_ws_abm2_f4[[#This Row],[flow_day]]</f>
        <v>4702</v>
      </c>
      <c r="N454">
        <f>Table_socioeca8.sandag.org_ws_abm2_f4[[#This Row],[flow_am]]</f>
        <v>716</v>
      </c>
      <c r="O454">
        <f>Table_socioeca8.sandag.org_ws_abm2_f4[[#This Row],[flow_pm]]</f>
        <v>1295</v>
      </c>
    </row>
    <row r="455" spans="5:15" x14ac:dyDescent="0.25">
      <c r="E455">
        <v>10248</v>
      </c>
      <c r="F455">
        <f t="shared" si="7"/>
        <v>259</v>
      </c>
      <c r="G455">
        <f>IFERROR(VLOOKUP(Table_socioeca8.sandag.org_ws_abm2_f4[[#This Row],[hwycov_id]],[2]flow_freeway!$A$2:$E$1643,3,FALSE),0)</f>
        <v>4702</v>
      </c>
      <c r="H455">
        <f>IFERROR(VLOOKUP(Table_socioeca8.sandag.org_ws_abm2_f4[[#This Row],[hwycov_id]],[2]flow_freeway!$A$2:$E$1643,4,FALSE),0)</f>
        <v>716</v>
      </c>
      <c r="I455">
        <f>IFERROR(VLOOKUP(Table_socioeca8.sandag.org_ws_abm2_f4[[#This Row],[hwycov_id]],[2]flow_freeway!$A$2:$E$1643,5,FALSE),0)</f>
        <v>1295</v>
      </c>
      <c r="K455">
        <f>Table_socioeca8.sandag.org_ws_abm2_f4[[#This Row],[hwycov_id]]</f>
        <v>10248</v>
      </c>
      <c r="L455">
        <f>Table_socioeca8.sandag.org_ws_abm2_f4[[#This Row],[scenario_id]]</f>
        <v>259</v>
      </c>
      <c r="M455">
        <f>Table_socioeca8.sandag.org_ws_abm2_f4[[#This Row],[flow_day]]</f>
        <v>4702</v>
      </c>
      <c r="N455">
        <f>Table_socioeca8.sandag.org_ws_abm2_f4[[#This Row],[flow_am]]</f>
        <v>716</v>
      </c>
      <c r="O455">
        <f>Table_socioeca8.sandag.org_ws_abm2_f4[[#This Row],[flow_pm]]</f>
        <v>1295</v>
      </c>
    </row>
    <row r="456" spans="5:15" x14ac:dyDescent="0.25">
      <c r="E456">
        <v>10252</v>
      </c>
      <c r="F456">
        <f t="shared" si="7"/>
        <v>259</v>
      </c>
      <c r="G456">
        <f>IFERROR(VLOOKUP(Table_socioeca8.sandag.org_ws_abm2_f4[[#This Row],[hwycov_id]],[2]flow_freeway!$A$2:$E$1643,3,FALSE),0)</f>
        <v>65829</v>
      </c>
      <c r="H456">
        <f>IFERROR(VLOOKUP(Table_socioeca8.sandag.org_ws_abm2_f4[[#This Row],[hwycov_id]],[2]flow_freeway!$A$2:$E$1643,4,FALSE),0)</f>
        <v>9586</v>
      </c>
      <c r="I456">
        <f>IFERROR(VLOOKUP(Table_socioeca8.sandag.org_ws_abm2_f4[[#This Row],[hwycov_id]],[2]flow_freeway!$A$2:$E$1643,5,FALSE),0)</f>
        <v>19777</v>
      </c>
      <c r="K456">
        <f>Table_socioeca8.sandag.org_ws_abm2_f4[[#This Row],[hwycov_id]]</f>
        <v>10252</v>
      </c>
      <c r="L456">
        <f>Table_socioeca8.sandag.org_ws_abm2_f4[[#This Row],[scenario_id]]</f>
        <v>259</v>
      </c>
      <c r="M456">
        <f>Table_socioeca8.sandag.org_ws_abm2_f4[[#This Row],[flow_day]]</f>
        <v>65829</v>
      </c>
      <c r="N456">
        <f>Table_socioeca8.sandag.org_ws_abm2_f4[[#This Row],[flow_am]]</f>
        <v>9586</v>
      </c>
      <c r="O456">
        <f>Table_socioeca8.sandag.org_ws_abm2_f4[[#This Row],[flow_pm]]</f>
        <v>19777</v>
      </c>
    </row>
    <row r="457" spans="5:15" x14ac:dyDescent="0.25">
      <c r="E457">
        <v>10255</v>
      </c>
      <c r="F457">
        <f t="shared" si="7"/>
        <v>259</v>
      </c>
      <c r="G457">
        <f>IFERROR(VLOOKUP(Table_socioeca8.sandag.org_ws_abm2_f4[[#This Row],[hwycov_id]],[2]flow_freeway!$A$2:$E$1643,3,FALSE),0)</f>
        <v>8798</v>
      </c>
      <c r="H457">
        <f>IFERROR(VLOOKUP(Table_socioeca8.sandag.org_ws_abm2_f4[[#This Row],[hwycov_id]],[2]flow_freeway!$A$2:$E$1643,4,FALSE),0)</f>
        <v>4229</v>
      </c>
      <c r="I457">
        <f>IFERROR(VLOOKUP(Table_socioeca8.sandag.org_ws_abm2_f4[[#This Row],[hwycov_id]],[2]flow_freeway!$A$2:$E$1643,5,FALSE),0)</f>
        <v>1672</v>
      </c>
      <c r="K457">
        <f>Table_socioeca8.sandag.org_ws_abm2_f4[[#This Row],[hwycov_id]]</f>
        <v>10255</v>
      </c>
      <c r="L457">
        <f>Table_socioeca8.sandag.org_ws_abm2_f4[[#This Row],[scenario_id]]</f>
        <v>259</v>
      </c>
      <c r="M457">
        <f>Table_socioeca8.sandag.org_ws_abm2_f4[[#This Row],[flow_day]]</f>
        <v>8798</v>
      </c>
      <c r="N457">
        <f>Table_socioeca8.sandag.org_ws_abm2_f4[[#This Row],[flow_am]]</f>
        <v>4229</v>
      </c>
      <c r="O457">
        <f>Table_socioeca8.sandag.org_ws_abm2_f4[[#This Row],[flow_pm]]</f>
        <v>1672</v>
      </c>
    </row>
    <row r="458" spans="5:15" x14ac:dyDescent="0.25">
      <c r="E458">
        <v>10257</v>
      </c>
      <c r="F458">
        <f t="shared" si="7"/>
        <v>259</v>
      </c>
      <c r="G458">
        <f>IFERROR(VLOOKUP(Table_socioeca8.sandag.org_ws_abm2_f4[[#This Row],[hwycov_id]],[2]flow_freeway!$A$2:$E$1643,3,FALSE),0)</f>
        <v>10692</v>
      </c>
      <c r="H458">
        <f>IFERROR(VLOOKUP(Table_socioeca8.sandag.org_ws_abm2_f4[[#This Row],[hwycov_id]],[2]flow_freeway!$A$2:$E$1643,4,FALSE),0)</f>
        <v>5315</v>
      </c>
      <c r="I458">
        <f>IFERROR(VLOOKUP(Table_socioeca8.sandag.org_ws_abm2_f4[[#This Row],[hwycov_id]],[2]flow_freeway!$A$2:$E$1643,5,FALSE),0)</f>
        <v>1942</v>
      </c>
      <c r="K458">
        <f>Table_socioeca8.sandag.org_ws_abm2_f4[[#This Row],[hwycov_id]]</f>
        <v>10257</v>
      </c>
      <c r="L458">
        <f>Table_socioeca8.sandag.org_ws_abm2_f4[[#This Row],[scenario_id]]</f>
        <v>259</v>
      </c>
      <c r="M458">
        <f>Table_socioeca8.sandag.org_ws_abm2_f4[[#This Row],[flow_day]]</f>
        <v>10692</v>
      </c>
      <c r="N458">
        <f>Table_socioeca8.sandag.org_ws_abm2_f4[[#This Row],[flow_am]]</f>
        <v>5315</v>
      </c>
      <c r="O458">
        <f>Table_socioeca8.sandag.org_ws_abm2_f4[[#This Row],[flow_pm]]</f>
        <v>1942</v>
      </c>
    </row>
    <row r="459" spans="5:15" x14ac:dyDescent="0.25">
      <c r="E459">
        <v>10389</v>
      </c>
      <c r="F459">
        <f t="shared" si="7"/>
        <v>259</v>
      </c>
      <c r="G459">
        <f>IFERROR(VLOOKUP(Table_socioeca8.sandag.org_ws_abm2_f4[[#This Row],[hwycov_id]],[2]flow_freeway!$A$2:$E$1643,3,FALSE),0)</f>
        <v>27450</v>
      </c>
      <c r="H459">
        <f>IFERROR(VLOOKUP(Table_socioeca8.sandag.org_ws_abm2_f4[[#This Row],[hwycov_id]],[2]flow_freeway!$A$2:$E$1643,4,FALSE),0)</f>
        <v>3172</v>
      </c>
      <c r="I459">
        <f>IFERROR(VLOOKUP(Table_socioeca8.sandag.org_ws_abm2_f4[[#This Row],[hwycov_id]],[2]flow_freeway!$A$2:$E$1643,5,FALSE),0)</f>
        <v>11555</v>
      </c>
      <c r="K459">
        <f>Table_socioeca8.sandag.org_ws_abm2_f4[[#This Row],[hwycov_id]]</f>
        <v>10389</v>
      </c>
      <c r="L459">
        <f>Table_socioeca8.sandag.org_ws_abm2_f4[[#This Row],[scenario_id]]</f>
        <v>259</v>
      </c>
      <c r="M459">
        <f>Table_socioeca8.sandag.org_ws_abm2_f4[[#This Row],[flow_day]]</f>
        <v>27450</v>
      </c>
      <c r="N459">
        <f>Table_socioeca8.sandag.org_ws_abm2_f4[[#This Row],[flow_am]]</f>
        <v>3172</v>
      </c>
      <c r="O459">
        <f>Table_socioeca8.sandag.org_ws_abm2_f4[[#This Row],[flow_pm]]</f>
        <v>11555</v>
      </c>
    </row>
    <row r="460" spans="5:15" x14ac:dyDescent="0.25">
      <c r="E460">
        <v>10390</v>
      </c>
      <c r="F460">
        <f t="shared" si="7"/>
        <v>259</v>
      </c>
      <c r="G460">
        <f>IFERROR(VLOOKUP(Table_socioeca8.sandag.org_ws_abm2_f4[[#This Row],[hwycov_id]],[2]flow_freeway!$A$2:$E$1643,3,FALSE),0)</f>
        <v>32187</v>
      </c>
      <c r="H460">
        <f>IFERROR(VLOOKUP(Table_socioeca8.sandag.org_ws_abm2_f4[[#This Row],[hwycov_id]],[2]flow_freeway!$A$2:$E$1643,4,FALSE),0)</f>
        <v>3406</v>
      </c>
      <c r="I460">
        <f>IFERROR(VLOOKUP(Table_socioeca8.sandag.org_ws_abm2_f4[[#This Row],[hwycov_id]],[2]flow_freeway!$A$2:$E$1643,5,FALSE),0)</f>
        <v>11871</v>
      </c>
      <c r="K460">
        <f>Table_socioeca8.sandag.org_ws_abm2_f4[[#This Row],[hwycov_id]]</f>
        <v>10390</v>
      </c>
      <c r="L460">
        <f>Table_socioeca8.sandag.org_ws_abm2_f4[[#This Row],[scenario_id]]</f>
        <v>259</v>
      </c>
      <c r="M460">
        <f>Table_socioeca8.sandag.org_ws_abm2_f4[[#This Row],[flow_day]]</f>
        <v>32187</v>
      </c>
      <c r="N460">
        <f>Table_socioeca8.sandag.org_ws_abm2_f4[[#This Row],[flow_am]]</f>
        <v>3406</v>
      </c>
      <c r="O460">
        <f>Table_socioeca8.sandag.org_ws_abm2_f4[[#This Row],[flow_pm]]</f>
        <v>11871</v>
      </c>
    </row>
    <row r="461" spans="5:15" x14ac:dyDescent="0.25">
      <c r="E461">
        <v>10486</v>
      </c>
      <c r="F461">
        <f t="shared" si="7"/>
        <v>259</v>
      </c>
      <c r="G461">
        <f>IFERROR(VLOOKUP(Table_socioeca8.sandag.org_ws_abm2_f4[[#This Row],[hwycov_id]],[2]flow_freeway!$A$2:$E$1643,3,FALSE),0)</f>
        <v>105280</v>
      </c>
      <c r="H461">
        <f>IFERROR(VLOOKUP(Table_socioeca8.sandag.org_ws_abm2_f4[[#This Row],[hwycov_id]],[2]flow_freeway!$A$2:$E$1643,4,FALSE),0)</f>
        <v>17286</v>
      </c>
      <c r="I461">
        <f>IFERROR(VLOOKUP(Table_socioeca8.sandag.org_ws_abm2_f4[[#This Row],[hwycov_id]],[2]flow_freeway!$A$2:$E$1643,5,FALSE),0)</f>
        <v>27200</v>
      </c>
      <c r="K461">
        <f>Table_socioeca8.sandag.org_ws_abm2_f4[[#This Row],[hwycov_id]]</f>
        <v>10486</v>
      </c>
      <c r="L461">
        <f>Table_socioeca8.sandag.org_ws_abm2_f4[[#This Row],[scenario_id]]</f>
        <v>259</v>
      </c>
      <c r="M461">
        <f>Table_socioeca8.sandag.org_ws_abm2_f4[[#This Row],[flow_day]]</f>
        <v>105280</v>
      </c>
      <c r="N461">
        <f>Table_socioeca8.sandag.org_ws_abm2_f4[[#This Row],[flow_am]]</f>
        <v>17286</v>
      </c>
      <c r="O461">
        <f>Table_socioeca8.sandag.org_ws_abm2_f4[[#This Row],[flow_pm]]</f>
        <v>27200</v>
      </c>
    </row>
    <row r="462" spans="5:15" x14ac:dyDescent="0.25">
      <c r="E462">
        <v>10572</v>
      </c>
      <c r="F462">
        <f t="shared" si="7"/>
        <v>259</v>
      </c>
      <c r="G462">
        <f>IFERROR(VLOOKUP(Table_socioeca8.sandag.org_ws_abm2_f4[[#This Row],[hwycov_id]],[2]flow_freeway!$A$2:$E$1643,3,FALSE),0)</f>
        <v>79625</v>
      </c>
      <c r="H462">
        <f>IFERROR(VLOOKUP(Table_socioeca8.sandag.org_ws_abm2_f4[[#This Row],[hwycov_id]],[2]flow_freeway!$A$2:$E$1643,4,FALSE),0)</f>
        <v>14561</v>
      </c>
      <c r="I462">
        <f>IFERROR(VLOOKUP(Table_socioeca8.sandag.org_ws_abm2_f4[[#This Row],[hwycov_id]],[2]flow_freeway!$A$2:$E$1643,5,FALSE),0)</f>
        <v>19654</v>
      </c>
      <c r="K462">
        <f>Table_socioeca8.sandag.org_ws_abm2_f4[[#This Row],[hwycov_id]]</f>
        <v>10572</v>
      </c>
      <c r="L462">
        <f>Table_socioeca8.sandag.org_ws_abm2_f4[[#This Row],[scenario_id]]</f>
        <v>259</v>
      </c>
      <c r="M462">
        <f>Table_socioeca8.sandag.org_ws_abm2_f4[[#This Row],[flow_day]]</f>
        <v>79625</v>
      </c>
      <c r="N462">
        <f>Table_socioeca8.sandag.org_ws_abm2_f4[[#This Row],[flow_am]]</f>
        <v>14561</v>
      </c>
      <c r="O462">
        <f>Table_socioeca8.sandag.org_ws_abm2_f4[[#This Row],[flow_pm]]</f>
        <v>19654</v>
      </c>
    </row>
    <row r="463" spans="5:15" x14ac:dyDescent="0.25">
      <c r="E463">
        <v>10575</v>
      </c>
      <c r="F463">
        <f t="shared" si="7"/>
        <v>259</v>
      </c>
      <c r="G463">
        <f>IFERROR(VLOOKUP(Table_socioeca8.sandag.org_ws_abm2_f4[[#This Row],[hwycov_id]],[2]flow_freeway!$A$2:$E$1643,3,FALSE),0)</f>
        <v>1523</v>
      </c>
      <c r="H463">
        <f>IFERROR(VLOOKUP(Table_socioeca8.sandag.org_ws_abm2_f4[[#This Row],[hwycov_id]],[2]flow_freeway!$A$2:$E$1643,4,FALSE),0)</f>
        <v>1523</v>
      </c>
      <c r="I463">
        <f>IFERROR(VLOOKUP(Table_socioeca8.sandag.org_ws_abm2_f4[[#This Row],[hwycov_id]],[2]flow_freeway!$A$2:$E$1643,5,FALSE),0)</f>
        <v>0</v>
      </c>
      <c r="K463">
        <f>Table_socioeca8.sandag.org_ws_abm2_f4[[#This Row],[hwycov_id]]</f>
        <v>10575</v>
      </c>
      <c r="L463">
        <f>Table_socioeca8.sandag.org_ws_abm2_f4[[#This Row],[scenario_id]]</f>
        <v>259</v>
      </c>
      <c r="M463">
        <f>Table_socioeca8.sandag.org_ws_abm2_f4[[#This Row],[flow_day]]</f>
        <v>1523</v>
      </c>
      <c r="N463">
        <f>Table_socioeca8.sandag.org_ws_abm2_f4[[#This Row],[flow_am]]</f>
        <v>1523</v>
      </c>
      <c r="O463">
        <f>Table_socioeca8.sandag.org_ws_abm2_f4[[#This Row],[flow_pm]]</f>
        <v>0</v>
      </c>
    </row>
    <row r="464" spans="5:15" x14ac:dyDescent="0.25">
      <c r="E464">
        <v>10633</v>
      </c>
      <c r="F464">
        <f t="shared" si="7"/>
        <v>259</v>
      </c>
      <c r="G464">
        <f>IFERROR(VLOOKUP(Table_socioeca8.sandag.org_ws_abm2_f4[[#This Row],[hwycov_id]],[2]flow_freeway!$A$2:$E$1643,3,FALSE),0)</f>
        <v>70903</v>
      </c>
      <c r="H464">
        <f>IFERROR(VLOOKUP(Table_socioeca8.sandag.org_ws_abm2_f4[[#This Row],[hwycov_id]],[2]flow_freeway!$A$2:$E$1643,4,FALSE),0)</f>
        <v>12868</v>
      </c>
      <c r="I464">
        <f>IFERROR(VLOOKUP(Table_socioeca8.sandag.org_ws_abm2_f4[[#This Row],[hwycov_id]],[2]flow_freeway!$A$2:$E$1643,5,FALSE),0)</f>
        <v>15836</v>
      </c>
      <c r="K464">
        <f>Table_socioeca8.sandag.org_ws_abm2_f4[[#This Row],[hwycov_id]]</f>
        <v>10633</v>
      </c>
      <c r="L464">
        <f>Table_socioeca8.sandag.org_ws_abm2_f4[[#This Row],[scenario_id]]</f>
        <v>259</v>
      </c>
      <c r="M464">
        <f>Table_socioeca8.sandag.org_ws_abm2_f4[[#This Row],[flow_day]]</f>
        <v>70903</v>
      </c>
      <c r="N464">
        <f>Table_socioeca8.sandag.org_ws_abm2_f4[[#This Row],[flow_am]]</f>
        <v>12868</v>
      </c>
      <c r="O464">
        <f>Table_socioeca8.sandag.org_ws_abm2_f4[[#This Row],[flow_pm]]</f>
        <v>15836</v>
      </c>
    </row>
    <row r="465" spans="5:15" x14ac:dyDescent="0.25">
      <c r="E465">
        <v>10658</v>
      </c>
      <c r="F465">
        <f t="shared" si="7"/>
        <v>259</v>
      </c>
      <c r="G465">
        <f>IFERROR(VLOOKUP(Table_socioeca8.sandag.org_ws_abm2_f4[[#This Row],[hwycov_id]],[2]flow_freeway!$A$2:$E$1643,3,FALSE),0)</f>
        <v>2132</v>
      </c>
      <c r="H465">
        <f>IFERROR(VLOOKUP(Table_socioeca8.sandag.org_ws_abm2_f4[[#This Row],[hwycov_id]],[2]flow_freeway!$A$2:$E$1643,4,FALSE),0)</f>
        <v>0</v>
      </c>
      <c r="I465">
        <f>IFERROR(VLOOKUP(Table_socioeca8.sandag.org_ws_abm2_f4[[#This Row],[hwycov_id]],[2]flow_freeway!$A$2:$E$1643,5,FALSE),0)</f>
        <v>2132</v>
      </c>
      <c r="K465">
        <f>Table_socioeca8.sandag.org_ws_abm2_f4[[#This Row],[hwycov_id]]</f>
        <v>10658</v>
      </c>
      <c r="L465">
        <f>Table_socioeca8.sandag.org_ws_abm2_f4[[#This Row],[scenario_id]]</f>
        <v>259</v>
      </c>
      <c r="M465">
        <f>Table_socioeca8.sandag.org_ws_abm2_f4[[#This Row],[flow_day]]</f>
        <v>2132</v>
      </c>
      <c r="N465">
        <f>Table_socioeca8.sandag.org_ws_abm2_f4[[#This Row],[flow_am]]</f>
        <v>0</v>
      </c>
      <c r="O465">
        <f>Table_socioeca8.sandag.org_ws_abm2_f4[[#This Row],[flow_pm]]</f>
        <v>2132</v>
      </c>
    </row>
    <row r="466" spans="5:15" x14ac:dyDescent="0.25">
      <c r="E466">
        <v>10790</v>
      </c>
      <c r="F466">
        <f t="shared" si="7"/>
        <v>259</v>
      </c>
      <c r="G466">
        <f>IFERROR(VLOOKUP(Table_socioeca8.sandag.org_ws_abm2_f4[[#This Row],[hwycov_id]],[2]flow_freeway!$A$2:$E$1643,3,FALSE),0)</f>
        <v>61474</v>
      </c>
      <c r="H466">
        <f>IFERROR(VLOOKUP(Table_socioeca8.sandag.org_ws_abm2_f4[[#This Row],[hwycov_id]],[2]flow_freeway!$A$2:$E$1643,4,FALSE),0)</f>
        <v>10807</v>
      </c>
      <c r="I466">
        <f>IFERROR(VLOOKUP(Table_socioeca8.sandag.org_ws_abm2_f4[[#This Row],[hwycov_id]],[2]flow_freeway!$A$2:$E$1643,5,FALSE),0)</f>
        <v>17246</v>
      </c>
      <c r="K466">
        <f>Table_socioeca8.sandag.org_ws_abm2_f4[[#This Row],[hwycov_id]]</f>
        <v>10790</v>
      </c>
      <c r="L466">
        <f>Table_socioeca8.sandag.org_ws_abm2_f4[[#This Row],[scenario_id]]</f>
        <v>259</v>
      </c>
      <c r="M466">
        <f>Table_socioeca8.sandag.org_ws_abm2_f4[[#This Row],[flow_day]]</f>
        <v>61474</v>
      </c>
      <c r="N466">
        <f>Table_socioeca8.sandag.org_ws_abm2_f4[[#This Row],[flow_am]]</f>
        <v>10807</v>
      </c>
      <c r="O466">
        <f>Table_socioeca8.sandag.org_ws_abm2_f4[[#This Row],[flow_pm]]</f>
        <v>17246</v>
      </c>
    </row>
    <row r="467" spans="5:15" x14ac:dyDescent="0.25">
      <c r="E467">
        <v>10791</v>
      </c>
      <c r="F467">
        <f t="shared" si="7"/>
        <v>259</v>
      </c>
      <c r="G467">
        <f>IFERROR(VLOOKUP(Table_socioeca8.sandag.org_ws_abm2_f4[[#This Row],[hwycov_id]],[2]flow_freeway!$A$2:$E$1643,3,FALSE),0)</f>
        <v>61474</v>
      </c>
      <c r="H467">
        <f>IFERROR(VLOOKUP(Table_socioeca8.sandag.org_ws_abm2_f4[[#This Row],[hwycov_id]],[2]flow_freeway!$A$2:$E$1643,4,FALSE),0)</f>
        <v>10807</v>
      </c>
      <c r="I467">
        <f>IFERROR(VLOOKUP(Table_socioeca8.sandag.org_ws_abm2_f4[[#This Row],[hwycov_id]],[2]flow_freeway!$A$2:$E$1643,5,FALSE),0)</f>
        <v>17246</v>
      </c>
      <c r="K467">
        <f>Table_socioeca8.sandag.org_ws_abm2_f4[[#This Row],[hwycov_id]]</f>
        <v>10791</v>
      </c>
      <c r="L467">
        <f>Table_socioeca8.sandag.org_ws_abm2_f4[[#This Row],[scenario_id]]</f>
        <v>259</v>
      </c>
      <c r="M467">
        <f>Table_socioeca8.sandag.org_ws_abm2_f4[[#This Row],[flow_day]]</f>
        <v>61474</v>
      </c>
      <c r="N467">
        <f>Table_socioeca8.sandag.org_ws_abm2_f4[[#This Row],[flow_am]]</f>
        <v>10807</v>
      </c>
      <c r="O467">
        <f>Table_socioeca8.sandag.org_ws_abm2_f4[[#This Row],[flow_pm]]</f>
        <v>17246</v>
      </c>
    </row>
    <row r="468" spans="5:15" x14ac:dyDescent="0.25">
      <c r="E468">
        <v>10792</v>
      </c>
      <c r="F468">
        <f t="shared" si="7"/>
        <v>259</v>
      </c>
      <c r="G468">
        <f>IFERROR(VLOOKUP(Table_socioeca8.sandag.org_ws_abm2_f4[[#This Row],[hwycov_id]],[2]flow_freeway!$A$2:$E$1643,3,FALSE),0)</f>
        <v>58426</v>
      </c>
      <c r="H468">
        <f>IFERROR(VLOOKUP(Table_socioeca8.sandag.org_ws_abm2_f4[[#This Row],[hwycov_id]],[2]flow_freeway!$A$2:$E$1643,4,FALSE),0)</f>
        <v>13235</v>
      </c>
      <c r="I468">
        <f>IFERROR(VLOOKUP(Table_socioeca8.sandag.org_ws_abm2_f4[[#This Row],[hwycov_id]],[2]flow_freeway!$A$2:$E$1643,5,FALSE),0)</f>
        <v>12669</v>
      </c>
      <c r="K468">
        <f>Table_socioeca8.sandag.org_ws_abm2_f4[[#This Row],[hwycov_id]]</f>
        <v>10792</v>
      </c>
      <c r="L468">
        <f>Table_socioeca8.sandag.org_ws_abm2_f4[[#This Row],[scenario_id]]</f>
        <v>259</v>
      </c>
      <c r="M468">
        <f>Table_socioeca8.sandag.org_ws_abm2_f4[[#This Row],[flow_day]]</f>
        <v>58426</v>
      </c>
      <c r="N468">
        <f>Table_socioeca8.sandag.org_ws_abm2_f4[[#This Row],[flow_am]]</f>
        <v>13235</v>
      </c>
      <c r="O468">
        <f>Table_socioeca8.sandag.org_ws_abm2_f4[[#This Row],[flow_pm]]</f>
        <v>12669</v>
      </c>
    </row>
    <row r="469" spans="5:15" x14ac:dyDescent="0.25">
      <c r="E469">
        <v>10793</v>
      </c>
      <c r="F469">
        <f t="shared" si="7"/>
        <v>259</v>
      </c>
      <c r="G469">
        <f>IFERROR(VLOOKUP(Table_socioeca8.sandag.org_ws_abm2_f4[[#This Row],[hwycov_id]],[2]flow_freeway!$A$2:$E$1643,3,FALSE),0)</f>
        <v>58426</v>
      </c>
      <c r="H469">
        <f>IFERROR(VLOOKUP(Table_socioeca8.sandag.org_ws_abm2_f4[[#This Row],[hwycov_id]],[2]flow_freeway!$A$2:$E$1643,4,FALSE),0)</f>
        <v>13235</v>
      </c>
      <c r="I469">
        <f>IFERROR(VLOOKUP(Table_socioeca8.sandag.org_ws_abm2_f4[[#This Row],[hwycov_id]],[2]flow_freeway!$A$2:$E$1643,5,FALSE),0)</f>
        <v>12669</v>
      </c>
      <c r="K469">
        <f>Table_socioeca8.sandag.org_ws_abm2_f4[[#This Row],[hwycov_id]]</f>
        <v>10793</v>
      </c>
      <c r="L469">
        <f>Table_socioeca8.sandag.org_ws_abm2_f4[[#This Row],[scenario_id]]</f>
        <v>259</v>
      </c>
      <c r="M469">
        <f>Table_socioeca8.sandag.org_ws_abm2_f4[[#This Row],[flow_day]]</f>
        <v>58426</v>
      </c>
      <c r="N469">
        <f>Table_socioeca8.sandag.org_ws_abm2_f4[[#This Row],[flow_am]]</f>
        <v>13235</v>
      </c>
      <c r="O469">
        <f>Table_socioeca8.sandag.org_ws_abm2_f4[[#This Row],[flow_pm]]</f>
        <v>12669</v>
      </c>
    </row>
    <row r="470" spans="5:15" x14ac:dyDescent="0.25">
      <c r="E470">
        <v>10859</v>
      </c>
      <c r="F470">
        <f t="shared" si="7"/>
        <v>259</v>
      </c>
      <c r="G470">
        <f>IFERROR(VLOOKUP(Table_socioeca8.sandag.org_ws_abm2_f4[[#This Row],[hwycov_id]],[2]flow_freeway!$A$2:$E$1643,3,FALSE),0)</f>
        <v>112477</v>
      </c>
      <c r="H470">
        <f>IFERROR(VLOOKUP(Table_socioeca8.sandag.org_ws_abm2_f4[[#This Row],[hwycov_id]],[2]flow_freeway!$A$2:$E$1643,4,FALSE),0)</f>
        <v>17055</v>
      </c>
      <c r="I470">
        <f>IFERROR(VLOOKUP(Table_socioeca8.sandag.org_ws_abm2_f4[[#This Row],[hwycov_id]],[2]flow_freeway!$A$2:$E$1643,5,FALSE),0)</f>
        <v>32312</v>
      </c>
      <c r="K470">
        <f>Table_socioeca8.sandag.org_ws_abm2_f4[[#This Row],[hwycov_id]]</f>
        <v>10859</v>
      </c>
      <c r="L470">
        <f>Table_socioeca8.sandag.org_ws_abm2_f4[[#This Row],[scenario_id]]</f>
        <v>259</v>
      </c>
      <c r="M470">
        <f>Table_socioeca8.sandag.org_ws_abm2_f4[[#This Row],[flow_day]]</f>
        <v>112477</v>
      </c>
      <c r="N470">
        <f>Table_socioeca8.sandag.org_ws_abm2_f4[[#This Row],[flow_am]]</f>
        <v>17055</v>
      </c>
      <c r="O470">
        <f>Table_socioeca8.sandag.org_ws_abm2_f4[[#This Row],[flow_pm]]</f>
        <v>32312</v>
      </c>
    </row>
    <row r="471" spans="5:15" x14ac:dyDescent="0.25">
      <c r="E471">
        <v>10913</v>
      </c>
      <c r="F471">
        <f t="shared" si="7"/>
        <v>259</v>
      </c>
      <c r="G471">
        <f>IFERROR(VLOOKUP(Table_socioeca8.sandag.org_ws_abm2_f4[[#This Row],[hwycov_id]],[2]flow_freeway!$A$2:$E$1643,3,FALSE),0)</f>
        <v>86753</v>
      </c>
      <c r="H471">
        <f>IFERROR(VLOOKUP(Table_socioeca8.sandag.org_ws_abm2_f4[[#This Row],[hwycov_id]],[2]flow_freeway!$A$2:$E$1643,4,FALSE),0)</f>
        <v>16348</v>
      </c>
      <c r="I471">
        <f>IFERROR(VLOOKUP(Table_socioeca8.sandag.org_ws_abm2_f4[[#This Row],[hwycov_id]],[2]flow_freeway!$A$2:$E$1643,5,FALSE),0)</f>
        <v>23110</v>
      </c>
      <c r="K471">
        <f>Table_socioeca8.sandag.org_ws_abm2_f4[[#This Row],[hwycov_id]]</f>
        <v>10913</v>
      </c>
      <c r="L471">
        <f>Table_socioeca8.sandag.org_ws_abm2_f4[[#This Row],[scenario_id]]</f>
        <v>259</v>
      </c>
      <c r="M471">
        <f>Table_socioeca8.sandag.org_ws_abm2_f4[[#This Row],[flow_day]]</f>
        <v>86753</v>
      </c>
      <c r="N471">
        <f>Table_socioeca8.sandag.org_ws_abm2_f4[[#This Row],[flow_am]]</f>
        <v>16348</v>
      </c>
      <c r="O471">
        <f>Table_socioeca8.sandag.org_ws_abm2_f4[[#This Row],[flow_pm]]</f>
        <v>23110</v>
      </c>
    </row>
    <row r="472" spans="5:15" x14ac:dyDescent="0.25">
      <c r="E472">
        <v>10963</v>
      </c>
      <c r="F472">
        <f t="shared" si="7"/>
        <v>259</v>
      </c>
      <c r="G472">
        <f>IFERROR(VLOOKUP(Table_socioeca8.sandag.org_ws_abm2_f4[[#This Row],[hwycov_id]],[2]flow_freeway!$A$2:$E$1643,3,FALSE),0)</f>
        <v>75155</v>
      </c>
      <c r="H472">
        <f>IFERROR(VLOOKUP(Table_socioeca8.sandag.org_ws_abm2_f4[[#This Row],[hwycov_id]],[2]flow_freeway!$A$2:$E$1643,4,FALSE),0)</f>
        <v>13497</v>
      </c>
      <c r="I472">
        <f>IFERROR(VLOOKUP(Table_socioeca8.sandag.org_ws_abm2_f4[[#This Row],[hwycov_id]],[2]flow_freeway!$A$2:$E$1643,5,FALSE),0)</f>
        <v>22634</v>
      </c>
      <c r="K472">
        <f>Table_socioeca8.sandag.org_ws_abm2_f4[[#This Row],[hwycov_id]]</f>
        <v>10963</v>
      </c>
      <c r="L472">
        <f>Table_socioeca8.sandag.org_ws_abm2_f4[[#This Row],[scenario_id]]</f>
        <v>259</v>
      </c>
      <c r="M472">
        <f>Table_socioeca8.sandag.org_ws_abm2_f4[[#This Row],[flow_day]]</f>
        <v>75155</v>
      </c>
      <c r="N472">
        <f>Table_socioeca8.sandag.org_ws_abm2_f4[[#This Row],[flow_am]]</f>
        <v>13497</v>
      </c>
      <c r="O472">
        <f>Table_socioeca8.sandag.org_ws_abm2_f4[[#This Row],[flow_pm]]</f>
        <v>22634</v>
      </c>
    </row>
    <row r="473" spans="5:15" x14ac:dyDescent="0.25">
      <c r="E473">
        <v>10965</v>
      </c>
      <c r="F473">
        <f t="shared" si="7"/>
        <v>259</v>
      </c>
      <c r="G473">
        <f>IFERROR(VLOOKUP(Table_socioeca8.sandag.org_ws_abm2_f4[[#This Row],[hwycov_id]],[2]flow_freeway!$A$2:$E$1643,3,FALSE),0)</f>
        <v>89004</v>
      </c>
      <c r="H473">
        <f>IFERROR(VLOOKUP(Table_socioeca8.sandag.org_ws_abm2_f4[[#This Row],[hwycov_id]],[2]flow_freeway!$A$2:$E$1643,4,FALSE),0)</f>
        <v>19521</v>
      </c>
      <c r="I473">
        <f>IFERROR(VLOOKUP(Table_socioeca8.sandag.org_ws_abm2_f4[[#This Row],[hwycov_id]],[2]flow_freeway!$A$2:$E$1643,5,FALSE),0)</f>
        <v>22654</v>
      </c>
      <c r="K473">
        <f>Table_socioeca8.sandag.org_ws_abm2_f4[[#This Row],[hwycov_id]]</f>
        <v>10965</v>
      </c>
      <c r="L473">
        <f>Table_socioeca8.sandag.org_ws_abm2_f4[[#This Row],[scenario_id]]</f>
        <v>259</v>
      </c>
      <c r="M473">
        <f>Table_socioeca8.sandag.org_ws_abm2_f4[[#This Row],[flow_day]]</f>
        <v>89004</v>
      </c>
      <c r="N473">
        <f>Table_socioeca8.sandag.org_ws_abm2_f4[[#This Row],[flow_am]]</f>
        <v>19521</v>
      </c>
      <c r="O473">
        <f>Table_socioeca8.sandag.org_ws_abm2_f4[[#This Row],[flow_pm]]</f>
        <v>22654</v>
      </c>
    </row>
    <row r="474" spans="5:15" x14ac:dyDescent="0.25">
      <c r="E474">
        <v>10966</v>
      </c>
      <c r="F474">
        <f t="shared" si="7"/>
        <v>259</v>
      </c>
      <c r="G474">
        <f>IFERROR(VLOOKUP(Table_socioeca8.sandag.org_ws_abm2_f4[[#This Row],[hwycov_id]],[2]flow_freeway!$A$2:$E$1643,3,FALSE),0)</f>
        <v>88266</v>
      </c>
      <c r="H474">
        <f>IFERROR(VLOOKUP(Table_socioeca8.sandag.org_ws_abm2_f4[[#This Row],[hwycov_id]],[2]flow_freeway!$A$2:$E$1643,4,FALSE),0)</f>
        <v>18457</v>
      </c>
      <c r="I474">
        <f>IFERROR(VLOOKUP(Table_socioeca8.sandag.org_ws_abm2_f4[[#This Row],[hwycov_id]],[2]flow_freeway!$A$2:$E$1643,5,FALSE),0)</f>
        <v>21209</v>
      </c>
      <c r="K474">
        <f>Table_socioeca8.sandag.org_ws_abm2_f4[[#This Row],[hwycov_id]]</f>
        <v>10966</v>
      </c>
      <c r="L474">
        <f>Table_socioeca8.sandag.org_ws_abm2_f4[[#This Row],[scenario_id]]</f>
        <v>259</v>
      </c>
      <c r="M474">
        <f>Table_socioeca8.sandag.org_ws_abm2_f4[[#This Row],[flow_day]]</f>
        <v>88266</v>
      </c>
      <c r="N474">
        <f>Table_socioeca8.sandag.org_ws_abm2_f4[[#This Row],[flow_am]]</f>
        <v>18457</v>
      </c>
      <c r="O474">
        <f>Table_socioeca8.sandag.org_ws_abm2_f4[[#This Row],[flow_pm]]</f>
        <v>21209</v>
      </c>
    </row>
    <row r="475" spans="5:15" x14ac:dyDescent="0.25">
      <c r="E475">
        <v>10967</v>
      </c>
      <c r="F475">
        <f t="shared" si="7"/>
        <v>259</v>
      </c>
      <c r="G475">
        <f>IFERROR(VLOOKUP(Table_socioeca8.sandag.org_ws_abm2_f4[[#This Row],[hwycov_id]],[2]flow_freeway!$A$2:$E$1643,3,FALSE),0)</f>
        <v>94419</v>
      </c>
      <c r="H475">
        <f>IFERROR(VLOOKUP(Table_socioeca8.sandag.org_ws_abm2_f4[[#This Row],[hwycov_id]],[2]flow_freeway!$A$2:$E$1643,4,FALSE),0)</f>
        <v>20159</v>
      </c>
      <c r="I475">
        <f>IFERROR(VLOOKUP(Table_socioeca8.sandag.org_ws_abm2_f4[[#This Row],[hwycov_id]],[2]flow_freeway!$A$2:$E$1643,5,FALSE),0)</f>
        <v>24249</v>
      </c>
      <c r="K475">
        <f>Table_socioeca8.sandag.org_ws_abm2_f4[[#This Row],[hwycov_id]]</f>
        <v>10967</v>
      </c>
      <c r="L475">
        <f>Table_socioeca8.sandag.org_ws_abm2_f4[[#This Row],[scenario_id]]</f>
        <v>259</v>
      </c>
      <c r="M475">
        <f>Table_socioeca8.sandag.org_ws_abm2_f4[[#This Row],[flow_day]]</f>
        <v>94419</v>
      </c>
      <c r="N475">
        <f>Table_socioeca8.sandag.org_ws_abm2_f4[[#This Row],[flow_am]]</f>
        <v>20159</v>
      </c>
      <c r="O475">
        <f>Table_socioeca8.sandag.org_ws_abm2_f4[[#This Row],[flow_pm]]</f>
        <v>24249</v>
      </c>
    </row>
    <row r="476" spans="5:15" x14ac:dyDescent="0.25">
      <c r="E476">
        <v>10968</v>
      </c>
      <c r="F476">
        <f t="shared" si="7"/>
        <v>259</v>
      </c>
      <c r="G476">
        <f>IFERROR(VLOOKUP(Table_socioeca8.sandag.org_ws_abm2_f4[[#This Row],[hwycov_id]],[2]flow_freeway!$A$2:$E$1643,3,FALSE),0)</f>
        <v>89304</v>
      </c>
      <c r="H476">
        <f>IFERROR(VLOOKUP(Table_socioeca8.sandag.org_ws_abm2_f4[[#This Row],[hwycov_id]],[2]flow_freeway!$A$2:$E$1643,4,FALSE),0)</f>
        <v>18895</v>
      </c>
      <c r="I476">
        <f>IFERROR(VLOOKUP(Table_socioeca8.sandag.org_ws_abm2_f4[[#This Row],[hwycov_id]],[2]flow_freeway!$A$2:$E$1643,5,FALSE),0)</f>
        <v>22946</v>
      </c>
      <c r="K476">
        <f>Table_socioeca8.sandag.org_ws_abm2_f4[[#This Row],[hwycov_id]]</f>
        <v>10968</v>
      </c>
      <c r="L476">
        <f>Table_socioeca8.sandag.org_ws_abm2_f4[[#This Row],[scenario_id]]</f>
        <v>259</v>
      </c>
      <c r="M476">
        <f>Table_socioeca8.sandag.org_ws_abm2_f4[[#This Row],[flow_day]]</f>
        <v>89304</v>
      </c>
      <c r="N476">
        <f>Table_socioeca8.sandag.org_ws_abm2_f4[[#This Row],[flow_am]]</f>
        <v>18895</v>
      </c>
      <c r="O476">
        <f>Table_socioeca8.sandag.org_ws_abm2_f4[[#This Row],[flow_pm]]</f>
        <v>22946</v>
      </c>
    </row>
    <row r="477" spans="5:15" x14ac:dyDescent="0.25">
      <c r="E477">
        <v>10969</v>
      </c>
      <c r="F477">
        <f t="shared" si="7"/>
        <v>259</v>
      </c>
      <c r="G477">
        <f>IFERROR(VLOOKUP(Table_socioeca8.sandag.org_ws_abm2_f4[[#This Row],[hwycov_id]],[2]flow_freeway!$A$2:$E$1643,3,FALSE),0)</f>
        <v>82871</v>
      </c>
      <c r="H477">
        <f>IFERROR(VLOOKUP(Table_socioeca8.sandag.org_ws_abm2_f4[[#This Row],[hwycov_id]],[2]flow_freeway!$A$2:$E$1643,4,FALSE),0)</f>
        <v>18150</v>
      </c>
      <c r="I477">
        <f>IFERROR(VLOOKUP(Table_socioeca8.sandag.org_ws_abm2_f4[[#This Row],[hwycov_id]],[2]flow_freeway!$A$2:$E$1643,5,FALSE),0)</f>
        <v>20356</v>
      </c>
      <c r="K477">
        <f>Table_socioeca8.sandag.org_ws_abm2_f4[[#This Row],[hwycov_id]]</f>
        <v>10969</v>
      </c>
      <c r="L477">
        <f>Table_socioeca8.sandag.org_ws_abm2_f4[[#This Row],[scenario_id]]</f>
        <v>259</v>
      </c>
      <c r="M477">
        <f>Table_socioeca8.sandag.org_ws_abm2_f4[[#This Row],[flow_day]]</f>
        <v>82871</v>
      </c>
      <c r="N477">
        <f>Table_socioeca8.sandag.org_ws_abm2_f4[[#This Row],[flow_am]]</f>
        <v>18150</v>
      </c>
      <c r="O477">
        <f>Table_socioeca8.sandag.org_ws_abm2_f4[[#This Row],[flow_pm]]</f>
        <v>20356</v>
      </c>
    </row>
    <row r="478" spans="5:15" x14ac:dyDescent="0.25">
      <c r="E478">
        <v>10970</v>
      </c>
      <c r="F478">
        <f t="shared" si="7"/>
        <v>259</v>
      </c>
      <c r="G478">
        <f>IFERROR(VLOOKUP(Table_socioeca8.sandag.org_ws_abm2_f4[[#This Row],[hwycov_id]],[2]flow_freeway!$A$2:$E$1643,3,FALSE),0)</f>
        <v>93336</v>
      </c>
      <c r="H478">
        <f>IFERROR(VLOOKUP(Table_socioeca8.sandag.org_ws_abm2_f4[[#This Row],[hwycov_id]],[2]flow_freeway!$A$2:$E$1643,4,FALSE),0)</f>
        <v>19535</v>
      </c>
      <c r="I478">
        <f>IFERROR(VLOOKUP(Table_socioeca8.sandag.org_ws_abm2_f4[[#This Row],[hwycov_id]],[2]flow_freeway!$A$2:$E$1643,5,FALSE),0)</f>
        <v>22409</v>
      </c>
      <c r="K478">
        <f>Table_socioeca8.sandag.org_ws_abm2_f4[[#This Row],[hwycov_id]]</f>
        <v>10970</v>
      </c>
      <c r="L478">
        <f>Table_socioeca8.sandag.org_ws_abm2_f4[[#This Row],[scenario_id]]</f>
        <v>259</v>
      </c>
      <c r="M478">
        <f>Table_socioeca8.sandag.org_ws_abm2_f4[[#This Row],[flow_day]]</f>
        <v>93336</v>
      </c>
      <c r="N478">
        <f>Table_socioeca8.sandag.org_ws_abm2_f4[[#This Row],[flow_am]]</f>
        <v>19535</v>
      </c>
      <c r="O478">
        <f>Table_socioeca8.sandag.org_ws_abm2_f4[[#This Row],[flow_pm]]</f>
        <v>22409</v>
      </c>
    </row>
    <row r="479" spans="5:15" x14ac:dyDescent="0.25">
      <c r="E479">
        <v>10979</v>
      </c>
      <c r="F479">
        <f t="shared" si="7"/>
        <v>259</v>
      </c>
      <c r="G479">
        <f>IFERROR(VLOOKUP(Table_socioeca8.sandag.org_ws_abm2_f4[[#This Row],[hwycov_id]],[2]flow_freeway!$A$2:$E$1643,3,FALSE),0)</f>
        <v>77455</v>
      </c>
      <c r="H479">
        <f>IFERROR(VLOOKUP(Table_socioeca8.sandag.org_ws_abm2_f4[[#This Row],[hwycov_id]],[2]flow_freeway!$A$2:$E$1643,4,FALSE),0)</f>
        <v>19356</v>
      </c>
      <c r="I479">
        <f>IFERROR(VLOOKUP(Table_socioeca8.sandag.org_ws_abm2_f4[[#This Row],[hwycov_id]],[2]flow_freeway!$A$2:$E$1643,5,FALSE),0)</f>
        <v>17206</v>
      </c>
      <c r="K479">
        <f>Table_socioeca8.sandag.org_ws_abm2_f4[[#This Row],[hwycov_id]]</f>
        <v>10979</v>
      </c>
      <c r="L479">
        <f>Table_socioeca8.sandag.org_ws_abm2_f4[[#This Row],[scenario_id]]</f>
        <v>259</v>
      </c>
      <c r="M479">
        <f>Table_socioeca8.sandag.org_ws_abm2_f4[[#This Row],[flow_day]]</f>
        <v>77455</v>
      </c>
      <c r="N479">
        <f>Table_socioeca8.sandag.org_ws_abm2_f4[[#This Row],[flow_am]]</f>
        <v>19356</v>
      </c>
      <c r="O479">
        <f>Table_socioeca8.sandag.org_ws_abm2_f4[[#This Row],[flow_pm]]</f>
        <v>17206</v>
      </c>
    </row>
    <row r="480" spans="5:15" x14ac:dyDescent="0.25">
      <c r="E480">
        <v>10981</v>
      </c>
      <c r="F480">
        <f t="shared" si="7"/>
        <v>259</v>
      </c>
      <c r="G480">
        <f>IFERROR(VLOOKUP(Table_socioeca8.sandag.org_ws_abm2_f4[[#This Row],[hwycov_id]],[2]flow_freeway!$A$2:$E$1643,3,FALSE),0)</f>
        <v>110163</v>
      </c>
      <c r="H480">
        <f>IFERROR(VLOOKUP(Table_socioeca8.sandag.org_ws_abm2_f4[[#This Row],[hwycov_id]],[2]flow_freeway!$A$2:$E$1643,4,FALSE),0)</f>
        <v>27216</v>
      </c>
      <c r="I480">
        <f>IFERROR(VLOOKUP(Table_socioeca8.sandag.org_ws_abm2_f4[[#This Row],[hwycov_id]],[2]flow_freeway!$A$2:$E$1643,5,FALSE),0)</f>
        <v>24316</v>
      </c>
      <c r="K480">
        <f>Table_socioeca8.sandag.org_ws_abm2_f4[[#This Row],[hwycov_id]]</f>
        <v>10981</v>
      </c>
      <c r="L480">
        <f>Table_socioeca8.sandag.org_ws_abm2_f4[[#This Row],[scenario_id]]</f>
        <v>259</v>
      </c>
      <c r="M480">
        <f>Table_socioeca8.sandag.org_ws_abm2_f4[[#This Row],[flow_day]]</f>
        <v>110163</v>
      </c>
      <c r="N480">
        <f>Table_socioeca8.sandag.org_ws_abm2_f4[[#This Row],[flow_am]]</f>
        <v>27216</v>
      </c>
      <c r="O480">
        <f>Table_socioeca8.sandag.org_ws_abm2_f4[[#This Row],[flow_pm]]</f>
        <v>24316</v>
      </c>
    </row>
    <row r="481" spans="5:15" x14ac:dyDescent="0.25">
      <c r="E481">
        <v>10982</v>
      </c>
      <c r="F481">
        <f t="shared" si="7"/>
        <v>259</v>
      </c>
      <c r="G481">
        <f>IFERROR(VLOOKUP(Table_socioeca8.sandag.org_ws_abm2_f4[[#This Row],[hwycov_id]],[2]flow_freeway!$A$2:$E$1643,3,FALSE),0)</f>
        <v>91846</v>
      </c>
      <c r="H481">
        <f>IFERROR(VLOOKUP(Table_socioeca8.sandag.org_ws_abm2_f4[[#This Row],[hwycov_id]],[2]flow_freeway!$A$2:$E$1643,4,FALSE),0)</f>
        <v>24673</v>
      </c>
      <c r="I481">
        <f>IFERROR(VLOOKUP(Table_socioeca8.sandag.org_ws_abm2_f4[[#This Row],[hwycov_id]],[2]flow_freeway!$A$2:$E$1643,5,FALSE),0)</f>
        <v>19134</v>
      </c>
      <c r="K481">
        <f>Table_socioeca8.sandag.org_ws_abm2_f4[[#This Row],[hwycov_id]]</f>
        <v>10982</v>
      </c>
      <c r="L481">
        <f>Table_socioeca8.sandag.org_ws_abm2_f4[[#This Row],[scenario_id]]</f>
        <v>259</v>
      </c>
      <c r="M481">
        <f>Table_socioeca8.sandag.org_ws_abm2_f4[[#This Row],[flow_day]]</f>
        <v>91846</v>
      </c>
      <c r="N481">
        <f>Table_socioeca8.sandag.org_ws_abm2_f4[[#This Row],[flow_am]]</f>
        <v>24673</v>
      </c>
      <c r="O481">
        <f>Table_socioeca8.sandag.org_ws_abm2_f4[[#This Row],[flow_pm]]</f>
        <v>19134</v>
      </c>
    </row>
    <row r="482" spans="5:15" x14ac:dyDescent="0.25">
      <c r="E482">
        <v>10991</v>
      </c>
      <c r="F482">
        <f t="shared" si="7"/>
        <v>259</v>
      </c>
      <c r="G482">
        <f>IFERROR(VLOOKUP(Table_socioeca8.sandag.org_ws_abm2_f4[[#This Row],[hwycov_id]],[2]flow_freeway!$A$2:$E$1643,3,FALSE),0)</f>
        <v>69753</v>
      </c>
      <c r="H482">
        <f>IFERROR(VLOOKUP(Table_socioeca8.sandag.org_ws_abm2_f4[[#This Row],[hwycov_id]],[2]flow_freeway!$A$2:$E$1643,4,FALSE),0)</f>
        <v>19630</v>
      </c>
      <c r="I482">
        <f>IFERROR(VLOOKUP(Table_socioeca8.sandag.org_ws_abm2_f4[[#This Row],[hwycov_id]],[2]flow_freeway!$A$2:$E$1643,5,FALSE),0)</f>
        <v>13322</v>
      </c>
      <c r="K482">
        <f>Table_socioeca8.sandag.org_ws_abm2_f4[[#This Row],[hwycov_id]]</f>
        <v>10991</v>
      </c>
      <c r="L482">
        <f>Table_socioeca8.sandag.org_ws_abm2_f4[[#This Row],[scenario_id]]</f>
        <v>259</v>
      </c>
      <c r="M482">
        <f>Table_socioeca8.sandag.org_ws_abm2_f4[[#This Row],[flow_day]]</f>
        <v>69753</v>
      </c>
      <c r="N482">
        <f>Table_socioeca8.sandag.org_ws_abm2_f4[[#This Row],[flow_am]]</f>
        <v>19630</v>
      </c>
      <c r="O482">
        <f>Table_socioeca8.sandag.org_ws_abm2_f4[[#This Row],[flow_pm]]</f>
        <v>13322</v>
      </c>
    </row>
    <row r="483" spans="5:15" x14ac:dyDescent="0.25">
      <c r="E483">
        <v>10994</v>
      </c>
      <c r="F483">
        <f t="shared" si="7"/>
        <v>259</v>
      </c>
      <c r="G483">
        <f>IFERROR(VLOOKUP(Table_socioeca8.sandag.org_ws_abm2_f4[[#This Row],[hwycov_id]],[2]flow_freeway!$A$2:$E$1643,3,FALSE),0)</f>
        <v>80494</v>
      </c>
      <c r="H483">
        <f>IFERROR(VLOOKUP(Table_socioeca8.sandag.org_ws_abm2_f4[[#This Row],[hwycov_id]],[2]flow_freeway!$A$2:$E$1643,4,FALSE),0)</f>
        <v>22596</v>
      </c>
      <c r="I483">
        <f>IFERROR(VLOOKUP(Table_socioeca8.sandag.org_ws_abm2_f4[[#This Row],[hwycov_id]],[2]flow_freeway!$A$2:$E$1643,5,FALSE),0)</f>
        <v>15808</v>
      </c>
      <c r="K483">
        <f>Table_socioeca8.sandag.org_ws_abm2_f4[[#This Row],[hwycov_id]]</f>
        <v>10994</v>
      </c>
      <c r="L483">
        <f>Table_socioeca8.sandag.org_ws_abm2_f4[[#This Row],[scenario_id]]</f>
        <v>259</v>
      </c>
      <c r="M483">
        <f>Table_socioeca8.sandag.org_ws_abm2_f4[[#This Row],[flow_day]]</f>
        <v>80494</v>
      </c>
      <c r="N483">
        <f>Table_socioeca8.sandag.org_ws_abm2_f4[[#This Row],[flow_am]]</f>
        <v>22596</v>
      </c>
      <c r="O483">
        <f>Table_socioeca8.sandag.org_ws_abm2_f4[[#This Row],[flow_pm]]</f>
        <v>15808</v>
      </c>
    </row>
    <row r="484" spans="5:15" x14ac:dyDescent="0.25">
      <c r="E484">
        <v>10996</v>
      </c>
      <c r="F484">
        <f t="shared" si="7"/>
        <v>259</v>
      </c>
      <c r="G484">
        <f>IFERROR(VLOOKUP(Table_socioeca8.sandag.org_ws_abm2_f4[[#This Row],[hwycov_id]],[2]flow_freeway!$A$2:$E$1643,3,FALSE),0)</f>
        <v>114336</v>
      </c>
      <c r="H484">
        <f>IFERROR(VLOOKUP(Table_socioeca8.sandag.org_ws_abm2_f4[[#This Row],[hwycov_id]],[2]flow_freeway!$A$2:$E$1643,4,FALSE),0)</f>
        <v>17763</v>
      </c>
      <c r="I484">
        <f>IFERROR(VLOOKUP(Table_socioeca8.sandag.org_ws_abm2_f4[[#This Row],[hwycov_id]],[2]flow_freeway!$A$2:$E$1643,5,FALSE),0)</f>
        <v>35005</v>
      </c>
      <c r="K484">
        <f>Table_socioeca8.sandag.org_ws_abm2_f4[[#This Row],[hwycov_id]]</f>
        <v>10996</v>
      </c>
      <c r="L484">
        <f>Table_socioeca8.sandag.org_ws_abm2_f4[[#This Row],[scenario_id]]</f>
        <v>259</v>
      </c>
      <c r="M484">
        <f>Table_socioeca8.sandag.org_ws_abm2_f4[[#This Row],[flow_day]]</f>
        <v>114336</v>
      </c>
      <c r="N484">
        <f>Table_socioeca8.sandag.org_ws_abm2_f4[[#This Row],[flow_am]]</f>
        <v>17763</v>
      </c>
      <c r="O484">
        <f>Table_socioeca8.sandag.org_ws_abm2_f4[[#This Row],[flow_pm]]</f>
        <v>35005</v>
      </c>
    </row>
    <row r="485" spans="5:15" x14ac:dyDescent="0.25">
      <c r="E485">
        <v>10998</v>
      </c>
      <c r="F485">
        <f t="shared" si="7"/>
        <v>259</v>
      </c>
      <c r="G485">
        <f>IFERROR(VLOOKUP(Table_socioeca8.sandag.org_ws_abm2_f4[[#This Row],[hwycov_id]],[2]flow_freeway!$A$2:$E$1643,3,FALSE),0)</f>
        <v>126202</v>
      </c>
      <c r="H485">
        <f>IFERROR(VLOOKUP(Table_socioeca8.sandag.org_ws_abm2_f4[[#This Row],[hwycov_id]],[2]flow_freeway!$A$2:$E$1643,4,FALSE),0)</f>
        <v>31590</v>
      </c>
      <c r="I485">
        <f>IFERROR(VLOOKUP(Table_socioeca8.sandag.org_ws_abm2_f4[[#This Row],[hwycov_id]],[2]flow_freeway!$A$2:$E$1643,5,FALSE),0)</f>
        <v>26621</v>
      </c>
      <c r="K485">
        <f>Table_socioeca8.sandag.org_ws_abm2_f4[[#This Row],[hwycov_id]]</f>
        <v>10998</v>
      </c>
      <c r="L485">
        <f>Table_socioeca8.sandag.org_ws_abm2_f4[[#This Row],[scenario_id]]</f>
        <v>259</v>
      </c>
      <c r="M485">
        <f>Table_socioeca8.sandag.org_ws_abm2_f4[[#This Row],[flow_day]]</f>
        <v>126202</v>
      </c>
      <c r="N485">
        <f>Table_socioeca8.sandag.org_ws_abm2_f4[[#This Row],[flow_am]]</f>
        <v>31590</v>
      </c>
      <c r="O485">
        <f>Table_socioeca8.sandag.org_ws_abm2_f4[[#This Row],[flow_pm]]</f>
        <v>26621</v>
      </c>
    </row>
    <row r="486" spans="5:15" x14ac:dyDescent="0.25">
      <c r="E486">
        <v>11035</v>
      </c>
      <c r="F486">
        <f t="shared" si="7"/>
        <v>259</v>
      </c>
      <c r="G486">
        <f>IFERROR(VLOOKUP(Table_socioeca8.sandag.org_ws_abm2_f4[[#This Row],[hwycov_id]],[2]flow_freeway!$A$2:$E$1643,3,FALSE),0)</f>
        <v>108562</v>
      </c>
      <c r="H486">
        <f>IFERROR(VLOOKUP(Table_socioeca8.sandag.org_ws_abm2_f4[[#This Row],[hwycov_id]],[2]flow_freeway!$A$2:$E$1643,4,FALSE),0)</f>
        <v>16446</v>
      </c>
      <c r="I486">
        <f>IFERROR(VLOOKUP(Table_socioeca8.sandag.org_ws_abm2_f4[[#This Row],[hwycov_id]],[2]flow_freeway!$A$2:$E$1643,5,FALSE),0)</f>
        <v>31955</v>
      </c>
      <c r="K486">
        <f>Table_socioeca8.sandag.org_ws_abm2_f4[[#This Row],[hwycov_id]]</f>
        <v>11035</v>
      </c>
      <c r="L486">
        <f>Table_socioeca8.sandag.org_ws_abm2_f4[[#This Row],[scenario_id]]</f>
        <v>259</v>
      </c>
      <c r="M486">
        <f>Table_socioeca8.sandag.org_ws_abm2_f4[[#This Row],[flow_day]]</f>
        <v>108562</v>
      </c>
      <c r="N486">
        <f>Table_socioeca8.sandag.org_ws_abm2_f4[[#This Row],[flow_am]]</f>
        <v>16446</v>
      </c>
      <c r="O486">
        <f>Table_socioeca8.sandag.org_ws_abm2_f4[[#This Row],[flow_pm]]</f>
        <v>31955</v>
      </c>
    </row>
    <row r="487" spans="5:15" x14ac:dyDescent="0.25">
      <c r="E487">
        <v>11050</v>
      </c>
      <c r="F487">
        <f t="shared" si="7"/>
        <v>259</v>
      </c>
      <c r="G487">
        <f>IFERROR(VLOOKUP(Table_socioeca8.sandag.org_ws_abm2_f4[[#This Row],[hwycov_id]],[2]flow_freeway!$A$2:$E$1643,3,FALSE),0)</f>
        <v>39937</v>
      </c>
      <c r="H487">
        <f>IFERROR(VLOOKUP(Table_socioeca8.sandag.org_ws_abm2_f4[[#This Row],[hwycov_id]],[2]flow_freeway!$A$2:$E$1643,4,FALSE),0)</f>
        <v>10015</v>
      </c>
      <c r="I487">
        <f>IFERROR(VLOOKUP(Table_socioeca8.sandag.org_ws_abm2_f4[[#This Row],[hwycov_id]],[2]flow_freeway!$A$2:$E$1643,5,FALSE),0)</f>
        <v>8838</v>
      </c>
      <c r="K487">
        <f>Table_socioeca8.sandag.org_ws_abm2_f4[[#This Row],[hwycov_id]]</f>
        <v>11050</v>
      </c>
      <c r="L487">
        <f>Table_socioeca8.sandag.org_ws_abm2_f4[[#This Row],[scenario_id]]</f>
        <v>259</v>
      </c>
      <c r="M487">
        <f>Table_socioeca8.sandag.org_ws_abm2_f4[[#This Row],[flow_day]]</f>
        <v>39937</v>
      </c>
      <c r="N487">
        <f>Table_socioeca8.sandag.org_ws_abm2_f4[[#This Row],[flow_am]]</f>
        <v>10015</v>
      </c>
      <c r="O487">
        <f>Table_socioeca8.sandag.org_ws_abm2_f4[[#This Row],[flow_pm]]</f>
        <v>8838</v>
      </c>
    </row>
    <row r="488" spans="5:15" x14ac:dyDescent="0.25">
      <c r="E488">
        <v>11054</v>
      </c>
      <c r="F488">
        <f t="shared" si="7"/>
        <v>259</v>
      </c>
      <c r="G488">
        <f>IFERROR(VLOOKUP(Table_socioeca8.sandag.org_ws_abm2_f4[[#This Row],[hwycov_id]],[2]flow_freeway!$A$2:$E$1643,3,FALSE),0)</f>
        <v>85518</v>
      </c>
      <c r="H488">
        <f>IFERROR(VLOOKUP(Table_socioeca8.sandag.org_ws_abm2_f4[[#This Row],[hwycov_id]],[2]flow_freeway!$A$2:$E$1643,4,FALSE),0)</f>
        <v>14453</v>
      </c>
      <c r="I488">
        <f>IFERROR(VLOOKUP(Table_socioeca8.sandag.org_ws_abm2_f4[[#This Row],[hwycov_id]],[2]flow_freeway!$A$2:$E$1643,5,FALSE),0)</f>
        <v>23965</v>
      </c>
      <c r="K488">
        <f>Table_socioeca8.sandag.org_ws_abm2_f4[[#This Row],[hwycov_id]]</f>
        <v>11054</v>
      </c>
      <c r="L488">
        <f>Table_socioeca8.sandag.org_ws_abm2_f4[[#This Row],[scenario_id]]</f>
        <v>259</v>
      </c>
      <c r="M488">
        <f>Table_socioeca8.sandag.org_ws_abm2_f4[[#This Row],[flow_day]]</f>
        <v>85518</v>
      </c>
      <c r="N488">
        <f>Table_socioeca8.sandag.org_ws_abm2_f4[[#This Row],[flow_am]]</f>
        <v>14453</v>
      </c>
      <c r="O488">
        <f>Table_socioeca8.sandag.org_ws_abm2_f4[[#This Row],[flow_pm]]</f>
        <v>23965</v>
      </c>
    </row>
    <row r="489" spans="5:15" x14ac:dyDescent="0.25">
      <c r="E489">
        <v>11055</v>
      </c>
      <c r="F489">
        <f t="shared" si="7"/>
        <v>259</v>
      </c>
      <c r="G489">
        <f>IFERROR(VLOOKUP(Table_socioeca8.sandag.org_ws_abm2_f4[[#This Row],[hwycov_id]],[2]flow_freeway!$A$2:$E$1643,3,FALSE),0)</f>
        <v>79593</v>
      </c>
      <c r="H489">
        <f>IFERROR(VLOOKUP(Table_socioeca8.sandag.org_ws_abm2_f4[[#This Row],[hwycov_id]],[2]flow_freeway!$A$2:$E$1643,4,FALSE),0)</f>
        <v>13253</v>
      </c>
      <c r="I489">
        <f>IFERROR(VLOOKUP(Table_socioeca8.sandag.org_ws_abm2_f4[[#This Row],[hwycov_id]],[2]flow_freeway!$A$2:$E$1643,5,FALSE),0)</f>
        <v>22367</v>
      </c>
      <c r="K489">
        <f>Table_socioeca8.sandag.org_ws_abm2_f4[[#This Row],[hwycov_id]]</f>
        <v>11055</v>
      </c>
      <c r="L489">
        <f>Table_socioeca8.sandag.org_ws_abm2_f4[[#This Row],[scenario_id]]</f>
        <v>259</v>
      </c>
      <c r="M489">
        <f>Table_socioeca8.sandag.org_ws_abm2_f4[[#This Row],[flow_day]]</f>
        <v>79593</v>
      </c>
      <c r="N489">
        <f>Table_socioeca8.sandag.org_ws_abm2_f4[[#This Row],[flow_am]]</f>
        <v>13253</v>
      </c>
      <c r="O489">
        <f>Table_socioeca8.sandag.org_ws_abm2_f4[[#This Row],[flow_pm]]</f>
        <v>22367</v>
      </c>
    </row>
    <row r="490" spans="5:15" x14ac:dyDescent="0.25">
      <c r="E490">
        <v>11056</v>
      </c>
      <c r="F490">
        <f t="shared" si="7"/>
        <v>259</v>
      </c>
      <c r="G490">
        <f>IFERROR(VLOOKUP(Table_socioeca8.sandag.org_ws_abm2_f4[[#This Row],[hwycov_id]],[2]flow_freeway!$A$2:$E$1643,3,FALSE),0)</f>
        <v>87116</v>
      </c>
      <c r="H490">
        <f>IFERROR(VLOOKUP(Table_socioeca8.sandag.org_ws_abm2_f4[[#This Row],[hwycov_id]],[2]flow_freeway!$A$2:$E$1643,4,FALSE),0)</f>
        <v>20864</v>
      </c>
      <c r="I490">
        <f>IFERROR(VLOOKUP(Table_socioeca8.sandag.org_ws_abm2_f4[[#This Row],[hwycov_id]],[2]flow_freeway!$A$2:$E$1643,5,FALSE),0)</f>
        <v>19152</v>
      </c>
      <c r="K490">
        <f>Table_socioeca8.sandag.org_ws_abm2_f4[[#This Row],[hwycov_id]]</f>
        <v>11056</v>
      </c>
      <c r="L490">
        <f>Table_socioeca8.sandag.org_ws_abm2_f4[[#This Row],[scenario_id]]</f>
        <v>259</v>
      </c>
      <c r="M490">
        <f>Table_socioeca8.sandag.org_ws_abm2_f4[[#This Row],[flow_day]]</f>
        <v>87116</v>
      </c>
      <c r="N490">
        <f>Table_socioeca8.sandag.org_ws_abm2_f4[[#This Row],[flow_am]]</f>
        <v>20864</v>
      </c>
      <c r="O490">
        <f>Table_socioeca8.sandag.org_ws_abm2_f4[[#This Row],[flow_pm]]</f>
        <v>19152</v>
      </c>
    </row>
    <row r="491" spans="5:15" x14ac:dyDescent="0.25">
      <c r="E491">
        <v>11057</v>
      </c>
      <c r="F491">
        <f t="shared" si="7"/>
        <v>259</v>
      </c>
      <c r="G491">
        <f>IFERROR(VLOOKUP(Table_socioeca8.sandag.org_ws_abm2_f4[[#This Row],[hwycov_id]],[2]flow_freeway!$A$2:$E$1643,3,FALSE),0)</f>
        <v>92086</v>
      </c>
      <c r="H491">
        <f>IFERROR(VLOOKUP(Table_socioeca8.sandag.org_ws_abm2_f4[[#This Row],[hwycov_id]],[2]flow_freeway!$A$2:$E$1643,4,FALSE),0)</f>
        <v>21861</v>
      </c>
      <c r="I491">
        <f>IFERROR(VLOOKUP(Table_socioeca8.sandag.org_ws_abm2_f4[[#This Row],[hwycov_id]],[2]flow_freeway!$A$2:$E$1643,5,FALSE),0)</f>
        <v>20120</v>
      </c>
      <c r="K491">
        <f>Table_socioeca8.sandag.org_ws_abm2_f4[[#This Row],[hwycov_id]]</f>
        <v>11057</v>
      </c>
      <c r="L491">
        <f>Table_socioeca8.sandag.org_ws_abm2_f4[[#This Row],[scenario_id]]</f>
        <v>259</v>
      </c>
      <c r="M491">
        <f>Table_socioeca8.sandag.org_ws_abm2_f4[[#This Row],[flow_day]]</f>
        <v>92086</v>
      </c>
      <c r="N491">
        <f>Table_socioeca8.sandag.org_ws_abm2_f4[[#This Row],[flow_am]]</f>
        <v>21861</v>
      </c>
      <c r="O491">
        <f>Table_socioeca8.sandag.org_ws_abm2_f4[[#This Row],[flow_pm]]</f>
        <v>20120</v>
      </c>
    </row>
    <row r="492" spans="5:15" x14ac:dyDescent="0.25">
      <c r="E492">
        <v>11058</v>
      </c>
      <c r="F492">
        <f t="shared" si="7"/>
        <v>259</v>
      </c>
      <c r="G492">
        <f>IFERROR(VLOOKUP(Table_socioeca8.sandag.org_ws_abm2_f4[[#This Row],[hwycov_id]],[2]flow_freeway!$A$2:$E$1643,3,FALSE),0)</f>
        <v>84639</v>
      </c>
      <c r="H492">
        <f>IFERROR(VLOOKUP(Table_socioeca8.sandag.org_ws_abm2_f4[[#This Row],[hwycov_id]],[2]flow_freeway!$A$2:$E$1643,4,FALSE),0)</f>
        <v>14134</v>
      </c>
      <c r="I492">
        <f>IFERROR(VLOOKUP(Table_socioeca8.sandag.org_ws_abm2_f4[[#This Row],[hwycov_id]],[2]flow_freeway!$A$2:$E$1643,5,FALSE),0)</f>
        <v>23853</v>
      </c>
      <c r="K492">
        <f>Table_socioeca8.sandag.org_ws_abm2_f4[[#This Row],[hwycov_id]]</f>
        <v>11058</v>
      </c>
      <c r="L492">
        <f>Table_socioeca8.sandag.org_ws_abm2_f4[[#This Row],[scenario_id]]</f>
        <v>259</v>
      </c>
      <c r="M492">
        <f>Table_socioeca8.sandag.org_ws_abm2_f4[[#This Row],[flow_day]]</f>
        <v>84639</v>
      </c>
      <c r="N492">
        <f>Table_socioeca8.sandag.org_ws_abm2_f4[[#This Row],[flow_am]]</f>
        <v>14134</v>
      </c>
      <c r="O492">
        <f>Table_socioeca8.sandag.org_ws_abm2_f4[[#This Row],[flow_pm]]</f>
        <v>23853</v>
      </c>
    </row>
    <row r="493" spans="5:15" x14ac:dyDescent="0.25">
      <c r="E493">
        <v>11095</v>
      </c>
      <c r="F493">
        <f t="shared" si="7"/>
        <v>259</v>
      </c>
      <c r="G493">
        <f>IFERROR(VLOOKUP(Table_socioeca8.sandag.org_ws_abm2_f4[[#This Row],[hwycov_id]],[2]flow_freeway!$A$2:$E$1643,3,FALSE),0)</f>
        <v>48891</v>
      </c>
      <c r="H493">
        <f>IFERROR(VLOOKUP(Table_socioeca8.sandag.org_ws_abm2_f4[[#This Row],[hwycov_id]],[2]flow_freeway!$A$2:$E$1643,4,FALSE),0)</f>
        <v>11686</v>
      </c>
      <c r="I493">
        <f>IFERROR(VLOOKUP(Table_socioeca8.sandag.org_ws_abm2_f4[[#This Row],[hwycov_id]],[2]flow_freeway!$A$2:$E$1643,5,FALSE),0)</f>
        <v>14441</v>
      </c>
      <c r="K493">
        <f>Table_socioeca8.sandag.org_ws_abm2_f4[[#This Row],[hwycov_id]]</f>
        <v>11095</v>
      </c>
      <c r="L493">
        <f>Table_socioeca8.sandag.org_ws_abm2_f4[[#This Row],[scenario_id]]</f>
        <v>259</v>
      </c>
      <c r="M493">
        <f>Table_socioeca8.sandag.org_ws_abm2_f4[[#This Row],[flow_day]]</f>
        <v>48891</v>
      </c>
      <c r="N493">
        <f>Table_socioeca8.sandag.org_ws_abm2_f4[[#This Row],[flow_am]]</f>
        <v>11686</v>
      </c>
      <c r="O493">
        <f>Table_socioeca8.sandag.org_ws_abm2_f4[[#This Row],[flow_pm]]</f>
        <v>14441</v>
      </c>
    </row>
    <row r="494" spans="5:15" x14ac:dyDescent="0.25">
      <c r="E494">
        <v>11097</v>
      </c>
      <c r="F494">
        <f t="shared" si="7"/>
        <v>259</v>
      </c>
      <c r="G494">
        <f>IFERROR(VLOOKUP(Table_socioeca8.sandag.org_ws_abm2_f4[[#This Row],[hwycov_id]],[2]flow_freeway!$A$2:$E$1643,3,FALSE),0)</f>
        <v>30249</v>
      </c>
      <c r="H494">
        <f>IFERROR(VLOOKUP(Table_socioeca8.sandag.org_ws_abm2_f4[[#This Row],[hwycov_id]],[2]flow_freeway!$A$2:$E$1643,4,FALSE),0)</f>
        <v>6634</v>
      </c>
      <c r="I494">
        <f>IFERROR(VLOOKUP(Table_socioeca8.sandag.org_ws_abm2_f4[[#This Row],[hwycov_id]],[2]flow_freeway!$A$2:$E$1643,5,FALSE),0)</f>
        <v>9651</v>
      </c>
      <c r="K494">
        <f>Table_socioeca8.sandag.org_ws_abm2_f4[[#This Row],[hwycov_id]]</f>
        <v>11097</v>
      </c>
      <c r="L494">
        <f>Table_socioeca8.sandag.org_ws_abm2_f4[[#This Row],[scenario_id]]</f>
        <v>259</v>
      </c>
      <c r="M494">
        <f>Table_socioeca8.sandag.org_ws_abm2_f4[[#This Row],[flow_day]]</f>
        <v>30249</v>
      </c>
      <c r="N494">
        <f>Table_socioeca8.sandag.org_ws_abm2_f4[[#This Row],[flow_am]]</f>
        <v>6634</v>
      </c>
      <c r="O494">
        <f>Table_socioeca8.sandag.org_ws_abm2_f4[[#This Row],[flow_pm]]</f>
        <v>9651</v>
      </c>
    </row>
    <row r="495" spans="5:15" x14ac:dyDescent="0.25">
      <c r="E495">
        <v>11100</v>
      </c>
      <c r="F495">
        <f t="shared" si="7"/>
        <v>259</v>
      </c>
      <c r="G495">
        <f>IFERROR(VLOOKUP(Table_socioeca8.sandag.org_ws_abm2_f4[[#This Row],[hwycov_id]],[2]flow_freeway!$A$2:$E$1643,3,FALSE),0)</f>
        <v>29905</v>
      </c>
      <c r="H495">
        <f>IFERROR(VLOOKUP(Table_socioeca8.sandag.org_ws_abm2_f4[[#This Row],[hwycov_id]],[2]flow_freeway!$A$2:$E$1643,4,FALSE),0)</f>
        <v>8081</v>
      </c>
      <c r="I495">
        <f>IFERROR(VLOOKUP(Table_socioeca8.sandag.org_ws_abm2_f4[[#This Row],[hwycov_id]],[2]flow_freeway!$A$2:$E$1643,5,FALSE),0)</f>
        <v>7121</v>
      </c>
      <c r="K495">
        <f>Table_socioeca8.sandag.org_ws_abm2_f4[[#This Row],[hwycov_id]]</f>
        <v>11100</v>
      </c>
      <c r="L495">
        <f>Table_socioeca8.sandag.org_ws_abm2_f4[[#This Row],[scenario_id]]</f>
        <v>259</v>
      </c>
      <c r="M495">
        <f>Table_socioeca8.sandag.org_ws_abm2_f4[[#This Row],[flow_day]]</f>
        <v>29905</v>
      </c>
      <c r="N495">
        <f>Table_socioeca8.sandag.org_ws_abm2_f4[[#This Row],[flow_am]]</f>
        <v>8081</v>
      </c>
      <c r="O495">
        <f>Table_socioeca8.sandag.org_ws_abm2_f4[[#This Row],[flow_pm]]</f>
        <v>7121</v>
      </c>
    </row>
    <row r="496" spans="5:15" x14ac:dyDescent="0.25">
      <c r="E496">
        <v>11101</v>
      </c>
      <c r="F496">
        <f t="shared" si="7"/>
        <v>259</v>
      </c>
      <c r="G496">
        <f>IFERROR(VLOOKUP(Table_socioeca8.sandag.org_ws_abm2_f4[[#This Row],[hwycov_id]],[2]flow_freeway!$A$2:$E$1643,3,FALSE),0)</f>
        <v>67773</v>
      </c>
      <c r="H496">
        <f>IFERROR(VLOOKUP(Table_socioeca8.sandag.org_ws_abm2_f4[[#This Row],[hwycov_id]],[2]flow_freeway!$A$2:$E$1643,4,FALSE),0)</f>
        <v>13557</v>
      </c>
      <c r="I496">
        <f>IFERROR(VLOOKUP(Table_socioeca8.sandag.org_ws_abm2_f4[[#This Row],[hwycov_id]],[2]flow_freeway!$A$2:$E$1643,5,FALSE),0)</f>
        <v>18905</v>
      </c>
      <c r="K496">
        <f>Table_socioeca8.sandag.org_ws_abm2_f4[[#This Row],[hwycov_id]]</f>
        <v>11101</v>
      </c>
      <c r="L496">
        <f>Table_socioeca8.sandag.org_ws_abm2_f4[[#This Row],[scenario_id]]</f>
        <v>259</v>
      </c>
      <c r="M496">
        <f>Table_socioeca8.sandag.org_ws_abm2_f4[[#This Row],[flow_day]]</f>
        <v>67773</v>
      </c>
      <c r="N496">
        <f>Table_socioeca8.sandag.org_ws_abm2_f4[[#This Row],[flow_am]]</f>
        <v>13557</v>
      </c>
      <c r="O496">
        <f>Table_socioeca8.sandag.org_ws_abm2_f4[[#This Row],[flow_pm]]</f>
        <v>18905</v>
      </c>
    </row>
    <row r="497" spans="5:15" x14ac:dyDescent="0.25">
      <c r="E497">
        <v>11102</v>
      </c>
      <c r="F497">
        <f t="shared" si="7"/>
        <v>259</v>
      </c>
      <c r="G497">
        <f>IFERROR(VLOOKUP(Table_socioeca8.sandag.org_ws_abm2_f4[[#This Row],[hwycov_id]],[2]flow_freeway!$A$2:$E$1643,3,FALSE),0)</f>
        <v>68032</v>
      </c>
      <c r="H497">
        <f>IFERROR(VLOOKUP(Table_socioeca8.sandag.org_ws_abm2_f4[[#This Row],[hwycov_id]],[2]flow_freeway!$A$2:$E$1643,4,FALSE),0)</f>
        <v>17275</v>
      </c>
      <c r="I497">
        <f>IFERROR(VLOOKUP(Table_socioeca8.sandag.org_ws_abm2_f4[[#This Row],[hwycov_id]],[2]flow_freeway!$A$2:$E$1643,5,FALSE),0)</f>
        <v>16188</v>
      </c>
      <c r="K497">
        <f>Table_socioeca8.sandag.org_ws_abm2_f4[[#This Row],[hwycov_id]]</f>
        <v>11102</v>
      </c>
      <c r="L497">
        <f>Table_socioeca8.sandag.org_ws_abm2_f4[[#This Row],[scenario_id]]</f>
        <v>259</v>
      </c>
      <c r="M497">
        <f>Table_socioeca8.sandag.org_ws_abm2_f4[[#This Row],[flow_day]]</f>
        <v>68032</v>
      </c>
      <c r="N497">
        <f>Table_socioeca8.sandag.org_ws_abm2_f4[[#This Row],[flow_am]]</f>
        <v>17275</v>
      </c>
      <c r="O497">
        <f>Table_socioeca8.sandag.org_ws_abm2_f4[[#This Row],[flow_pm]]</f>
        <v>16188</v>
      </c>
    </row>
    <row r="498" spans="5:15" x14ac:dyDescent="0.25">
      <c r="E498">
        <v>11103</v>
      </c>
      <c r="F498">
        <f t="shared" si="7"/>
        <v>259</v>
      </c>
      <c r="G498">
        <f>IFERROR(VLOOKUP(Table_socioeca8.sandag.org_ws_abm2_f4[[#This Row],[hwycov_id]],[2]flow_freeway!$A$2:$E$1643,3,FALSE),0)</f>
        <v>68858</v>
      </c>
      <c r="H498">
        <f>IFERROR(VLOOKUP(Table_socioeca8.sandag.org_ws_abm2_f4[[#This Row],[hwycov_id]],[2]flow_freeway!$A$2:$E$1643,4,FALSE),0)</f>
        <v>13677</v>
      </c>
      <c r="I498">
        <f>IFERROR(VLOOKUP(Table_socioeca8.sandag.org_ws_abm2_f4[[#This Row],[hwycov_id]],[2]flow_freeway!$A$2:$E$1643,5,FALSE),0)</f>
        <v>19319</v>
      </c>
      <c r="K498">
        <f>Table_socioeca8.sandag.org_ws_abm2_f4[[#This Row],[hwycov_id]]</f>
        <v>11103</v>
      </c>
      <c r="L498">
        <f>Table_socioeca8.sandag.org_ws_abm2_f4[[#This Row],[scenario_id]]</f>
        <v>259</v>
      </c>
      <c r="M498">
        <f>Table_socioeca8.sandag.org_ws_abm2_f4[[#This Row],[flow_day]]</f>
        <v>68858</v>
      </c>
      <c r="N498">
        <f>Table_socioeca8.sandag.org_ws_abm2_f4[[#This Row],[flow_am]]</f>
        <v>13677</v>
      </c>
      <c r="O498">
        <f>Table_socioeca8.sandag.org_ws_abm2_f4[[#This Row],[flow_pm]]</f>
        <v>19319</v>
      </c>
    </row>
    <row r="499" spans="5:15" x14ac:dyDescent="0.25">
      <c r="E499">
        <v>11106</v>
      </c>
      <c r="F499">
        <f t="shared" si="7"/>
        <v>259</v>
      </c>
      <c r="G499">
        <f>IFERROR(VLOOKUP(Table_socioeca8.sandag.org_ws_abm2_f4[[#This Row],[hwycov_id]],[2]flow_freeway!$A$2:$E$1643,3,FALSE),0)</f>
        <v>62572</v>
      </c>
      <c r="H499">
        <f>IFERROR(VLOOKUP(Table_socioeca8.sandag.org_ws_abm2_f4[[#This Row],[hwycov_id]],[2]flow_freeway!$A$2:$E$1643,4,FALSE),0)</f>
        <v>16363</v>
      </c>
      <c r="I499">
        <f>IFERROR(VLOOKUP(Table_socioeca8.sandag.org_ws_abm2_f4[[#This Row],[hwycov_id]],[2]flow_freeway!$A$2:$E$1643,5,FALSE),0)</f>
        <v>13596</v>
      </c>
      <c r="K499">
        <f>Table_socioeca8.sandag.org_ws_abm2_f4[[#This Row],[hwycov_id]]</f>
        <v>11106</v>
      </c>
      <c r="L499">
        <f>Table_socioeca8.sandag.org_ws_abm2_f4[[#This Row],[scenario_id]]</f>
        <v>259</v>
      </c>
      <c r="M499">
        <f>Table_socioeca8.sandag.org_ws_abm2_f4[[#This Row],[flow_day]]</f>
        <v>62572</v>
      </c>
      <c r="N499">
        <f>Table_socioeca8.sandag.org_ws_abm2_f4[[#This Row],[flow_am]]</f>
        <v>16363</v>
      </c>
      <c r="O499">
        <f>Table_socioeca8.sandag.org_ws_abm2_f4[[#This Row],[flow_pm]]</f>
        <v>13596</v>
      </c>
    </row>
    <row r="500" spans="5:15" x14ac:dyDescent="0.25">
      <c r="E500">
        <v>11107</v>
      </c>
      <c r="F500">
        <f t="shared" si="7"/>
        <v>259</v>
      </c>
      <c r="G500">
        <f>IFERROR(VLOOKUP(Table_socioeca8.sandag.org_ws_abm2_f4[[#This Row],[hwycov_id]],[2]flow_freeway!$A$2:$E$1643,3,FALSE),0)</f>
        <v>41659</v>
      </c>
      <c r="H500">
        <f>IFERROR(VLOOKUP(Table_socioeca8.sandag.org_ws_abm2_f4[[#This Row],[hwycov_id]],[2]flow_freeway!$A$2:$E$1643,4,FALSE),0)</f>
        <v>12898</v>
      </c>
      <c r="I500">
        <f>IFERROR(VLOOKUP(Table_socioeca8.sandag.org_ws_abm2_f4[[#This Row],[hwycov_id]],[2]flow_freeway!$A$2:$E$1643,5,FALSE),0)</f>
        <v>7752</v>
      </c>
      <c r="K500">
        <f>Table_socioeca8.sandag.org_ws_abm2_f4[[#This Row],[hwycov_id]]</f>
        <v>11107</v>
      </c>
      <c r="L500">
        <f>Table_socioeca8.sandag.org_ws_abm2_f4[[#This Row],[scenario_id]]</f>
        <v>259</v>
      </c>
      <c r="M500">
        <f>Table_socioeca8.sandag.org_ws_abm2_f4[[#This Row],[flow_day]]</f>
        <v>41659</v>
      </c>
      <c r="N500">
        <f>Table_socioeca8.sandag.org_ws_abm2_f4[[#This Row],[flow_am]]</f>
        <v>12898</v>
      </c>
      <c r="O500">
        <f>Table_socioeca8.sandag.org_ws_abm2_f4[[#This Row],[flow_pm]]</f>
        <v>7752</v>
      </c>
    </row>
    <row r="501" spans="5:15" x14ac:dyDescent="0.25">
      <c r="E501">
        <v>11109</v>
      </c>
      <c r="F501">
        <f t="shared" si="7"/>
        <v>259</v>
      </c>
      <c r="G501">
        <f>IFERROR(VLOOKUP(Table_socioeca8.sandag.org_ws_abm2_f4[[#This Row],[hwycov_id]],[2]flow_freeway!$A$2:$E$1643,3,FALSE),0)</f>
        <v>71829</v>
      </c>
      <c r="H501">
        <f>IFERROR(VLOOKUP(Table_socioeca8.sandag.org_ws_abm2_f4[[#This Row],[hwycov_id]],[2]flow_freeway!$A$2:$E$1643,4,FALSE),0)</f>
        <v>18973</v>
      </c>
      <c r="I501">
        <f>IFERROR(VLOOKUP(Table_socioeca8.sandag.org_ws_abm2_f4[[#This Row],[hwycov_id]],[2]flow_freeway!$A$2:$E$1643,5,FALSE),0)</f>
        <v>15208</v>
      </c>
      <c r="K501">
        <f>Table_socioeca8.sandag.org_ws_abm2_f4[[#This Row],[hwycov_id]]</f>
        <v>11109</v>
      </c>
      <c r="L501">
        <f>Table_socioeca8.sandag.org_ws_abm2_f4[[#This Row],[scenario_id]]</f>
        <v>259</v>
      </c>
      <c r="M501">
        <f>Table_socioeca8.sandag.org_ws_abm2_f4[[#This Row],[flow_day]]</f>
        <v>71829</v>
      </c>
      <c r="N501">
        <f>Table_socioeca8.sandag.org_ws_abm2_f4[[#This Row],[flow_am]]</f>
        <v>18973</v>
      </c>
      <c r="O501">
        <f>Table_socioeca8.sandag.org_ws_abm2_f4[[#This Row],[flow_pm]]</f>
        <v>15208</v>
      </c>
    </row>
    <row r="502" spans="5:15" x14ac:dyDescent="0.25">
      <c r="E502">
        <v>11110</v>
      </c>
      <c r="F502">
        <f t="shared" si="7"/>
        <v>259</v>
      </c>
      <c r="G502">
        <f>IFERROR(VLOOKUP(Table_socioeca8.sandag.org_ws_abm2_f4[[#This Row],[hwycov_id]],[2]flow_freeway!$A$2:$E$1643,3,FALSE),0)</f>
        <v>54903</v>
      </c>
      <c r="H502">
        <f>IFERROR(VLOOKUP(Table_socioeca8.sandag.org_ws_abm2_f4[[#This Row],[hwycov_id]],[2]flow_freeway!$A$2:$E$1643,4,FALSE),0)</f>
        <v>14928</v>
      </c>
      <c r="I502">
        <f>IFERROR(VLOOKUP(Table_socioeca8.sandag.org_ws_abm2_f4[[#This Row],[hwycov_id]],[2]flow_freeway!$A$2:$E$1643,5,FALSE),0)</f>
        <v>12213</v>
      </c>
      <c r="K502">
        <f>Table_socioeca8.sandag.org_ws_abm2_f4[[#This Row],[hwycov_id]]</f>
        <v>11110</v>
      </c>
      <c r="L502">
        <f>Table_socioeca8.sandag.org_ws_abm2_f4[[#This Row],[scenario_id]]</f>
        <v>259</v>
      </c>
      <c r="M502">
        <f>Table_socioeca8.sandag.org_ws_abm2_f4[[#This Row],[flow_day]]</f>
        <v>54903</v>
      </c>
      <c r="N502">
        <f>Table_socioeca8.sandag.org_ws_abm2_f4[[#This Row],[flow_am]]</f>
        <v>14928</v>
      </c>
      <c r="O502">
        <f>Table_socioeca8.sandag.org_ws_abm2_f4[[#This Row],[flow_pm]]</f>
        <v>12213</v>
      </c>
    </row>
    <row r="503" spans="5:15" x14ac:dyDescent="0.25">
      <c r="E503">
        <v>11112</v>
      </c>
      <c r="F503">
        <f t="shared" si="7"/>
        <v>259</v>
      </c>
      <c r="G503">
        <f>IFERROR(VLOOKUP(Table_socioeca8.sandag.org_ws_abm2_f4[[#This Row],[hwycov_id]],[2]flow_freeway!$A$2:$E$1643,3,FALSE),0)</f>
        <v>45030</v>
      </c>
      <c r="H503">
        <f>IFERROR(VLOOKUP(Table_socioeca8.sandag.org_ws_abm2_f4[[#This Row],[hwycov_id]],[2]flow_freeway!$A$2:$E$1643,4,FALSE),0)</f>
        <v>6722</v>
      </c>
      <c r="I503">
        <f>IFERROR(VLOOKUP(Table_socioeca8.sandag.org_ws_abm2_f4[[#This Row],[hwycov_id]],[2]flow_freeway!$A$2:$E$1643,5,FALSE),0)</f>
        <v>16772</v>
      </c>
      <c r="K503">
        <f>Table_socioeca8.sandag.org_ws_abm2_f4[[#This Row],[hwycov_id]]</f>
        <v>11112</v>
      </c>
      <c r="L503">
        <f>Table_socioeca8.sandag.org_ws_abm2_f4[[#This Row],[scenario_id]]</f>
        <v>259</v>
      </c>
      <c r="M503">
        <f>Table_socioeca8.sandag.org_ws_abm2_f4[[#This Row],[flow_day]]</f>
        <v>45030</v>
      </c>
      <c r="N503">
        <f>Table_socioeca8.sandag.org_ws_abm2_f4[[#This Row],[flow_am]]</f>
        <v>6722</v>
      </c>
      <c r="O503">
        <f>Table_socioeca8.sandag.org_ws_abm2_f4[[#This Row],[flow_pm]]</f>
        <v>16772</v>
      </c>
    </row>
    <row r="504" spans="5:15" x14ac:dyDescent="0.25">
      <c r="E504">
        <v>11113</v>
      </c>
      <c r="F504">
        <f t="shared" si="7"/>
        <v>259</v>
      </c>
      <c r="G504">
        <f>IFERROR(VLOOKUP(Table_socioeca8.sandag.org_ws_abm2_f4[[#This Row],[hwycov_id]],[2]flow_freeway!$A$2:$E$1643,3,FALSE),0)</f>
        <v>59306</v>
      </c>
      <c r="H504">
        <f>IFERROR(VLOOKUP(Table_socioeca8.sandag.org_ws_abm2_f4[[#This Row],[hwycov_id]],[2]flow_freeway!$A$2:$E$1643,4,FALSE),0)</f>
        <v>9372</v>
      </c>
      <c r="I504">
        <f>IFERROR(VLOOKUP(Table_socioeca8.sandag.org_ws_abm2_f4[[#This Row],[hwycov_id]],[2]flow_freeway!$A$2:$E$1643,5,FALSE),0)</f>
        <v>19785</v>
      </c>
      <c r="K504">
        <f>Table_socioeca8.sandag.org_ws_abm2_f4[[#This Row],[hwycov_id]]</f>
        <v>11113</v>
      </c>
      <c r="L504">
        <f>Table_socioeca8.sandag.org_ws_abm2_f4[[#This Row],[scenario_id]]</f>
        <v>259</v>
      </c>
      <c r="M504">
        <f>Table_socioeca8.sandag.org_ws_abm2_f4[[#This Row],[flow_day]]</f>
        <v>59306</v>
      </c>
      <c r="N504">
        <f>Table_socioeca8.sandag.org_ws_abm2_f4[[#This Row],[flow_am]]</f>
        <v>9372</v>
      </c>
      <c r="O504">
        <f>Table_socioeca8.sandag.org_ws_abm2_f4[[#This Row],[flow_pm]]</f>
        <v>19785</v>
      </c>
    </row>
    <row r="505" spans="5:15" x14ac:dyDescent="0.25">
      <c r="E505">
        <v>11120</v>
      </c>
      <c r="F505">
        <f t="shared" si="7"/>
        <v>259</v>
      </c>
      <c r="G505">
        <f>IFERROR(VLOOKUP(Table_socioeca8.sandag.org_ws_abm2_f4[[#This Row],[hwycov_id]],[2]flow_freeway!$A$2:$E$1643,3,FALSE),0)</f>
        <v>58406</v>
      </c>
      <c r="H505">
        <f>IFERROR(VLOOKUP(Table_socioeca8.sandag.org_ws_abm2_f4[[#This Row],[hwycov_id]],[2]flow_freeway!$A$2:$E$1643,4,FALSE),0)</f>
        <v>8530</v>
      </c>
      <c r="I505">
        <f>IFERROR(VLOOKUP(Table_socioeca8.sandag.org_ws_abm2_f4[[#This Row],[hwycov_id]],[2]flow_freeway!$A$2:$E$1643,5,FALSE),0)</f>
        <v>19293</v>
      </c>
      <c r="K505">
        <f>Table_socioeca8.sandag.org_ws_abm2_f4[[#This Row],[hwycov_id]]</f>
        <v>11120</v>
      </c>
      <c r="L505">
        <f>Table_socioeca8.sandag.org_ws_abm2_f4[[#This Row],[scenario_id]]</f>
        <v>259</v>
      </c>
      <c r="M505">
        <f>Table_socioeca8.sandag.org_ws_abm2_f4[[#This Row],[flow_day]]</f>
        <v>58406</v>
      </c>
      <c r="N505">
        <f>Table_socioeca8.sandag.org_ws_abm2_f4[[#This Row],[flow_am]]</f>
        <v>8530</v>
      </c>
      <c r="O505">
        <f>Table_socioeca8.sandag.org_ws_abm2_f4[[#This Row],[flow_pm]]</f>
        <v>19293</v>
      </c>
    </row>
    <row r="506" spans="5:15" x14ac:dyDescent="0.25">
      <c r="E506">
        <v>11123</v>
      </c>
      <c r="F506">
        <f t="shared" si="7"/>
        <v>259</v>
      </c>
      <c r="G506">
        <f>IFERROR(VLOOKUP(Table_socioeca8.sandag.org_ws_abm2_f4[[#This Row],[hwycov_id]],[2]flow_freeway!$A$2:$E$1643,3,FALSE),0)</f>
        <v>55595</v>
      </c>
      <c r="H506">
        <f>IFERROR(VLOOKUP(Table_socioeca8.sandag.org_ws_abm2_f4[[#This Row],[hwycov_id]],[2]flow_freeway!$A$2:$E$1643,4,FALSE),0)</f>
        <v>14736</v>
      </c>
      <c r="I506">
        <f>IFERROR(VLOOKUP(Table_socioeca8.sandag.org_ws_abm2_f4[[#This Row],[hwycov_id]],[2]flow_freeway!$A$2:$E$1643,5,FALSE),0)</f>
        <v>11226</v>
      </c>
      <c r="K506">
        <f>Table_socioeca8.sandag.org_ws_abm2_f4[[#This Row],[hwycov_id]]</f>
        <v>11123</v>
      </c>
      <c r="L506">
        <f>Table_socioeca8.sandag.org_ws_abm2_f4[[#This Row],[scenario_id]]</f>
        <v>259</v>
      </c>
      <c r="M506">
        <f>Table_socioeca8.sandag.org_ws_abm2_f4[[#This Row],[flow_day]]</f>
        <v>55595</v>
      </c>
      <c r="N506">
        <f>Table_socioeca8.sandag.org_ws_abm2_f4[[#This Row],[flow_am]]</f>
        <v>14736</v>
      </c>
      <c r="O506">
        <f>Table_socioeca8.sandag.org_ws_abm2_f4[[#This Row],[flow_pm]]</f>
        <v>11226</v>
      </c>
    </row>
    <row r="507" spans="5:15" x14ac:dyDescent="0.25">
      <c r="E507">
        <v>11124</v>
      </c>
      <c r="F507">
        <f t="shared" si="7"/>
        <v>259</v>
      </c>
      <c r="G507">
        <f>IFERROR(VLOOKUP(Table_socioeca8.sandag.org_ws_abm2_f4[[#This Row],[hwycov_id]],[2]flow_freeway!$A$2:$E$1643,3,FALSE),0)</f>
        <v>53315</v>
      </c>
      <c r="H507">
        <f>IFERROR(VLOOKUP(Table_socioeca8.sandag.org_ws_abm2_f4[[#This Row],[hwycov_id]],[2]flow_freeway!$A$2:$E$1643,4,FALSE),0)</f>
        <v>8593</v>
      </c>
      <c r="I507">
        <f>IFERROR(VLOOKUP(Table_socioeca8.sandag.org_ws_abm2_f4[[#This Row],[hwycov_id]],[2]flow_freeway!$A$2:$E$1643,5,FALSE),0)</f>
        <v>17238</v>
      </c>
      <c r="K507">
        <f>Table_socioeca8.sandag.org_ws_abm2_f4[[#This Row],[hwycov_id]]</f>
        <v>11124</v>
      </c>
      <c r="L507">
        <f>Table_socioeca8.sandag.org_ws_abm2_f4[[#This Row],[scenario_id]]</f>
        <v>259</v>
      </c>
      <c r="M507">
        <f>Table_socioeca8.sandag.org_ws_abm2_f4[[#This Row],[flow_day]]</f>
        <v>53315</v>
      </c>
      <c r="N507">
        <f>Table_socioeca8.sandag.org_ws_abm2_f4[[#This Row],[flow_am]]</f>
        <v>8593</v>
      </c>
      <c r="O507">
        <f>Table_socioeca8.sandag.org_ws_abm2_f4[[#This Row],[flow_pm]]</f>
        <v>17238</v>
      </c>
    </row>
    <row r="508" spans="5:15" x14ac:dyDescent="0.25">
      <c r="E508">
        <v>11125</v>
      </c>
      <c r="F508">
        <f t="shared" si="7"/>
        <v>259</v>
      </c>
      <c r="G508">
        <f>IFERROR(VLOOKUP(Table_socioeca8.sandag.org_ws_abm2_f4[[#This Row],[hwycov_id]],[2]flow_freeway!$A$2:$E$1643,3,FALSE),0)</f>
        <v>2132</v>
      </c>
      <c r="H508">
        <f>IFERROR(VLOOKUP(Table_socioeca8.sandag.org_ws_abm2_f4[[#This Row],[hwycov_id]],[2]flow_freeway!$A$2:$E$1643,4,FALSE),0)</f>
        <v>0</v>
      </c>
      <c r="I508">
        <f>IFERROR(VLOOKUP(Table_socioeca8.sandag.org_ws_abm2_f4[[#This Row],[hwycov_id]],[2]flow_freeway!$A$2:$E$1643,5,FALSE),0)</f>
        <v>2132</v>
      </c>
      <c r="K508">
        <f>Table_socioeca8.sandag.org_ws_abm2_f4[[#This Row],[hwycov_id]]</f>
        <v>11125</v>
      </c>
      <c r="L508">
        <f>Table_socioeca8.sandag.org_ws_abm2_f4[[#This Row],[scenario_id]]</f>
        <v>259</v>
      </c>
      <c r="M508">
        <f>Table_socioeca8.sandag.org_ws_abm2_f4[[#This Row],[flow_day]]</f>
        <v>2132</v>
      </c>
      <c r="N508">
        <f>Table_socioeca8.sandag.org_ws_abm2_f4[[#This Row],[flow_am]]</f>
        <v>0</v>
      </c>
      <c r="O508">
        <f>Table_socioeca8.sandag.org_ws_abm2_f4[[#This Row],[flow_pm]]</f>
        <v>2132</v>
      </c>
    </row>
    <row r="509" spans="5:15" x14ac:dyDescent="0.25">
      <c r="E509">
        <v>11245</v>
      </c>
      <c r="F509">
        <f t="shared" si="7"/>
        <v>259</v>
      </c>
      <c r="G509">
        <f>IFERROR(VLOOKUP(Table_socioeca8.sandag.org_ws_abm2_f4[[#This Row],[hwycov_id]],[2]flow_freeway!$A$2:$E$1643,3,FALSE),0)</f>
        <v>53147</v>
      </c>
      <c r="H509">
        <f>IFERROR(VLOOKUP(Table_socioeca8.sandag.org_ws_abm2_f4[[#This Row],[hwycov_id]],[2]flow_freeway!$A$2:$E$1643,4,FALSE),0)</f>
        <v>7993</v>
      </c>
      <c r="I509">
        <f>IFERROR(VLOOKUP(Table_socioeca8.sandag.org_ws_abm2_f4[[#This Row],[hwycov_id]],[2]flow_freeway!$A$2:$E$1643,5,FALSE),0)</f>
        <v>15840</v>
      </c>
      <c r="K509">
        <f>Table_socioeca8.sandag.org_ws_abm2_f4[[#This Row],[hwycov_id]]</f>
        <v>11245</v>
      </c>
      <c r="L509">
        <f>Table_socioeca8.sandag.org_ws_abm2_f4[[#This Row],[scenario_id]]</f>
        <v>259</v>
      </c>
      <c r="M509">
        <f>Table_socioeca8.sandag.org_ws_abm2_f4[[#This Row],[flow_day]]</f>
        <v>53147</v>
      </c>
      <c r="N509">
        <f>Table_socioeca8.sandag.org_ws_abm2_f4[[#This Row],[flow_am]]</f>
        <v>7993</v>
      </c>
      <c r="O509">
        <f>Table_socioeca8.sandag.org_ws_abm2_f4[[#This Row],[flow_pm]]</f>
        <v>15840</v>
      </c>
    </row>
    <row r="510" spans="5:15" x14ac:dyDescent="0.25">
      <c r="E510">
        <v>11263</v>
      </c>
      <c r="F510">
        <f t="shared" si="7"/>
        <v>259</v>
      </c>
      <c r="G510">
        <f>IFERROR(VLOOKUP(Table_socioeca8.sandag.org_ws_abm2_f4[[#This Row],[hwycov_id]],[2]flow_freeway!$A$2:$E$1643,3,FALSE),0)</f>
        <v>94511</v>
      </c>
      <c r="H510">
        <f>IFERROR(VLOOKUP(Table_socioeca8.sandag.org_ws_abm2_f4[[#This Row],[hwycov_id]],[2]flow_freeway!$A$2:$E$1643,4,FALSE),0)</f>
        <v>22649</v>
      </c>
      <c r="I510">
        <f>IFERROR(VLOOKUP(Table_socioeca8.sandag.org_ws_abm2_f4[[#This Row],[hwycov_id]],[2]flow_freeway!$A$2:$E$1643,5,FALSE),0)</f>
        <v>20852</v>
      </c>
      <c r="K510">
        <f>Table_socioeca8.sandag.org_ws_abm2_f4[[#This Row],[hwycov_id]]</f>
        <v>11263</v>
      </c>
      <c r="L510">
        <f>Table_socioeca8.sandag.org_ws_abm2_f4[[#This Row],[scenario_id]]</f>
        <v>259</v>
      </c>
      <c r="M510">
        <f>Table_socioeca8.sandag.org_ws_abm2_f4[[#This Row],[flow_day]]</f>
        <v>94511</v>
      </c>
      <c r="N510">
        <f>Table_socioeca8.sandag.org_ws_abm2_f4[[#This Row],[flow_am]]</f>
        <v>22649</v>
      </c>
      <c r="O510">
        <f>Table_socioeca8.sandag.org_ws_abm2_f4[[#This Row],[flow_pm]]</f>
        <v>20852</v>
      </c>
    </row>
    <row r="511" spans="5:15" x14ac:dyDescent="0.25">
      <c r="E511">
        <v>11266</v>
      </c>
      <c r="F511">
        <f t="shared" si="7"/>
        <v>259</v>
      </c>
      <c r="G511">
        <f>IFERROR(VLOOKUP(Table_socioeca8.sandag.org_ws_abm2_f4[[#This Row],[hwycov_id]],[2]flow_freeway!$A$2:$E$1643,3,FALSE),0)</f>
        <v>111609</v>
      </c>
      <c r="H511">
        <f>IFERROR(VLOOKUP(Table_socioeca8.sandag.org_ws_abm2_f4[[#This Row],[hwycov_id]],[2]flow_freeway!$A$2:$E$1643,4,FALSE),0)</f>
        <v>25597</v>
      </c>
      <c r="I511">
        <f>IFERROR(VLOOKUP(Table_socioeca8.sandag.org_ws_abm2_f4[[#This Row],[hwycov_id]],[2]flow_freeway!$A$2:$E$1643,5,FALSE),0)</f>
        <v>23582</v>
      </c>
      <c r="K511">
        <f>Table_socioeca8.sandag.org_ws_abm2_f4[[#This Row],[hwycov_id]]</f>
        <v>11266</v>
      </c>
      <c r="L511">
        <f>Table_socioeca8.sandag.org_ws_abm2_f4[[#This Row],[scenario_id]]</f>
        <v>259</v>
      </c>
      <c r="M511">
        <f>Table_socioeca8.sandag.org_ws_abm2_f4[[#This Row],[flow_day]]</f>
        <v>111609</v>
      </c>
      <c r="N511">
        <f>Table_socioeca8.sandag.org_ws_abm2_f4[[#This Row],[flow_am]]</f>
        <v>25597</v>
      </c>
      <c r="O511">
        <f>Table_socioeca8.sandag.org_ws_abm2_f4[[#This Row],[flow_pm]]</f>
        <v>23582</v>
      </c>
    </row>
    <row r="512" spans="5:15" x14ac:dyDescent="0.25">
      <c r="E512">
        <v>11268</v>
      </c>
      <c r="F512">
        <f t="shared" si="7"/>
        <v>259</v>
      </c>
      <c r="G512">
        <f>IFERROR(VLOOKUP(Table_socioeca8.sandag.org_ws_abm2_f4[[#This Row],[hwycov_id]],[2]flow_freeway!$A$2:$E$1643,3,FALSE),0)</f>
        <v>115073</v>
      </c>
      <c r="H512">
        <f>IFERROR(VLOOKUP(Table_socioeca8.sandag.org_ws_abm2_f4[[#This Row],[hwycov_id]],[2]flow_freeway!$A$2:$E$1643,4,FALSE),0)</f>
        <v>18926</v>
      </c>
      <c r="I512">
        <f>IFERROR(VLOOKUP(Table_socioeca8.sandag.org_ws_abm2_f4[[#This Row],[hwycov_id]],[2]flow_freeway!$A$2:$E$1643,5,FALSE),0)</f>
        <v>32055</v>
      </c>
      <c r="K512">
        <f>Table_socioeca8.sandag.org_ws_abm2_f4[[#This Row],[hwycov_id]]</f>
        <v>11268</v>
      </c>
      <c r="L512">
        <f>Table_socioeca8.sandag.org_ws_abm2_f4[[#This Row],[scenario_id]]</f>
        <v>259</v>
      </c>
      <c r="M512">
        <f>Table_socioeca8.sandag.org_ws_abm2_f4[[#This Row],[flow_day]]</f>
        <v>115073</v>
      </c>
      <c r="N512">
        <f>Table_socioeca8.sandag.org_ws_abm2_f4[[#This Row],[flow_am]]</f>
        <v>18926</v>
      </c>
      <c r="O512">
        <f>Table_socioeca8.sandag.org_ws_abm2_f4[[#This Row],[flow_pm]]</f>
        <v>32055</v>
      </c>
    </row>
    <row r="513" spans="5:15" x14ac:dyDescent="0.25">
      <c r="E513">
        <v>11271</v>
      </c>
      <c r="F513">
        <f t="shared" si="7"/>
        <v>259</v>
      </c>
      <c r="G513">
        <f>IFERROR(VLOOKUP(Table_socioeca8.sandag.org_ws_abm2_f4[[#This Row],[hwycov_id]],[2]flow_freeway!$A$2:$E$1643,3,FALSE),0)</f>
        <v>108819</v>
      </c>
      <c r="H513">
        <f>IFERROR(VLOOKUP(Table_socioeca8.sandag.org_ws_abm2_f4[[#This Row],[hwycov_id]],[2]flow_freeway!$A$2:$E$1643,4,FALSE),0)</f>
        <v>17958</v>
      </c>
      <c r="I513">
        <f>IFERROR(VLOOKUP(Table_socioeca8.sandag.org_ws_abm2_f4[[#This Row],[hwycov_id]],[2]flow_freeway!$A$2:$E$1643,5,FALSE),0)</f>
        <v>30253</v>
      </c>
      <c r="K513">
        <f>Table_socioeca8.sandag.org_ws_abm2_f4[[#This Row],[hwycov_id]]</f>
        <v>11271</v>
      </c>
      <c r="L513">
        <f>Table_socioeca8.sandag.org_ws_abm2_f4[[#This Row],[scenario_id]]</f>
        <v>259</v>
      </c>
      <c r="M513">
        <f>Table_socioeca8.sandag.org_ws_abm2_f4[[#This Row],[flow_day]]</f>
        <v>108819</v>
      </c>
      <c r="N513">
        <f>Table_socioeca8.sandag.org_ws_abm2_f4[[#This Row],[flow_am]]</f>
        <v>17958</v>
      </c>
      <c r="O513">
        <f>Table_socioeca8.sandag.org_ws_abm2_f4[[#This Row],[flow_pm]]</f>
        <v>30253</v>
      </c>
    </row>
    <row r="514" spans="5:15" x14ac:dyDescent="0.25">
      <c r="E514">
        <v>11275</v>
      </c>
      <c r="F514">
        <f t="shared" si="7"/>
        <v>259</v>
      </c>
      <c r="G514">
        <f>IFERROR(VLOOKUP(Table_socioeca8.sandag.org_ws_abm2_f4[[#This Row],[hwycov_id]],[2]flow_freeway!$A$2:$E$1643,3,FALSE),0)</f>
        <v>31981</v>
      </c>
      <c r="H514">
        <f>IFERROR(VLOOKUP(Table_socioeca8.sandag.org_ws_abm2_f4[[#This Row],[hwycov_id]],[2]flow_freeway!$A$2:$E$1643,4,FALSE),0)</f>
        <v>7864</v>
      </c>
      <c r="I514">
        <f>IFERROR(VLOOKUP(Table_socioeca8.sandag.org_ws_abm2_f4[[#This Row],[hwycov_id]],[2]flow_freeway!$A$2:$E$1643,5,FALSE),0)</f>
        <v>7443</v>
      </c>
      <c r="K514">
        <f>Table_socioeca8.sandag.org_ws_abm2_f4[[#This Row],[hwycov_id]]</f>
        <v>11275</v>
      </c>
      <c r="L514">
        <f>Table_socioeca8.sandag.org_ws_abm2_f4[[#This Row],[scenario_id]]</f>
        <v>259</v>
      </c>
      <c r="M514">
        <f>Table_socioeca8.sandag.org_ws_abm2_f4[[#This Row],[flow_day]]</f>
        <v>31981</v>
      </c>
      <c r="N514">
        <f>Table_socioeca8.sandag.org_ws_abm2_f4[[#This Row],[flow_am]]</f>
        <v>7864</v>
      </c>
      <c r="O514">
        <f>Table_socioeca8.sandag.org_ws_abm2_f4[[#This Row],[flow_pm]]</f>
        <v>7443</v>
      </c>
    </row>
    <row r="515" spans="5:15" x14ac:dyDescent="0.25">
      <c r="E515">
        <v>11278</v>
      </c>
      <c r="F515">
        <f t="shared" si="7"/>
        <v>259</v>
      </c>
      <c r="G515">
        <f>IFERROR(VLOOKUP(Table_socioeca8.sandag.org_ws_abm2_f4[[#This Row],[hwycov_id]],[2]flow_freeway!$A$2:$E$1643,3,FALSE),0)</f>
        <v>82455</v>
      </c>
      <c r="H515">
        <f>IFERROR(VLOOKUP(Table_socioeca8.sandag.org_ws_abm2_f4[[#This Row],[hwycov_id]],[2]flow_freeway!$A$2:$E$1643,4,FALSE),0)</f>
        <v>12734</v>
      </c>
      <c r="I515">
        <f>IFERROR(VLOOKUP(Table_socioeca8.sandag.org_ws_abm2_f4[[#This Row],[hwycov_id]],[2]flow_freeway!$A$2:$E$1643,5,FALSE),0)</f>
        <v>24318</v>
      </c>
      <c r="K515">
        <f>Table_socioeca8.sandag.org_ws_abm2_f4[[#This Row],[hwycov_id]]</f>
        <v>11278</v>
      </c>
      <c r="L515">
        <f>Table_socioeca8.sandag.org_ws_abm2_f4[[#This Row],[scenario_id]]</f>
        <v>259</v>
      </c>
      <c r="M515">
        <f>Table_socioeca8.sandag.org_ws_abm2_f4[[#This Row],[flow_day]]</f>
        <v>82455</v>
      </c>
      <c r="N515">
        <f>Table_socioeca8.sandag.org_ws_abm2_f4[[#This Row],[flow_am]]</f>
        <v>12734</v>
      </c>
      <c r="O515">
        <f>Table_socioeca8.sandag.org_ws_abm2_f4[[#This Row],[flow_pm]]</f>
        <v>24318</v>
      </c>
    </row>
    <row r="516" spans="5:15" x14ac:dyDescent="0.25">
      <c r="E516">
        <v>11280</v>
      </c>
      <c r="F516">
        <f t="shared" ref="F516:F579" si="8">F515</f>
        <v>259</v>
      </c>
      <c r="G516">
        <f>IFERROR(VLOOKUP(Table_socioeca8.sandag.org_ws_abm2_f4[[#This Row],[hwycov_id]],[2]flow_freeway!$A$2:$E$1643,3,FALSE),0)</f>
        <v>66392</v>
      </c>
      <c r="H516">
        <f>IFERROR(VLOOKUP(Table_socioeca8.sandag.org_ws_abm2_f4[[#This Row],[hwycov_id]],[2]flow_freeway!$A$2:$E$1643,4,FALSE),0)</f>
        <v>18096</v>
      </c>
      <c r="I516">
        <f>IFERROR(VLOOKUP(Table_socioeca8.sandag.org_ws_abm2_f4[[#This Row],[hwycov_id]],[2]flow_freeway!$A$2:$E$1643,5,FALSE),0)</f>
        <v>13189</v>
      </c>
      <c r="K516">
        <f>Table_socioeca8.sandag.org_ws_abm2_f4[[#This Row],[hwycov_id]]</f>
        <v>11280</v>
      </c>
      <c r="L516">
        <f>Table_socioeca8.sandag.org_ws_abm2_f4[[#This Row],[scenario_id]]</f>
        <v>259</v>
      </c>
      <c r="M516">
        <f>Table_socioeca8.sandag.org_ws_abm2_f4[[#This Row],[flow_day]]</f>
        <v>66392</v>
      </c>
      <c r="N516">
        <f>Table_socioeca8.sandag.org_ws_abm2_f4[[#This Row],[flow_am]]</f>
        <v>18096</v>
      </c>
      <c r="O516">
        <f>Table_socioeca8.sandag.org_ws_abm2_f4[[#This Row],[flow_pm]]</f>
        <v>13189</v>
      </c>
    </row>
    <row r="517" spans="5:15" x14ac:dyDescent="0.25">
      <c r="E517">
        <v>11282</v>
      </c>
      <c r="F517">
        <f t="shared" si="8"/>
        <v>259</v>
      </c>
      <c r="G517">
        <f>IFERROR(VLOOKUP(Table_socioeca8.sandag.org_ws_abm2_f4[[#This Row],[hwycov_id]],[2]flow_freeway!$A$2:$E$1643,3,FALSE),0)</f>
        <v>83751</v>
      </c>
      <c r="H517">
        <f>IFERROR(VLOOKUP(Table_socioeca8.sandag.org_ws_abm2_f4[[#This Row],[hwycov_id]],[2]flow_freeway!$A$2:$E$1643,4,FALSE),0)</f>
        <v>21466</v>
      </c>
      <c r="I517">
        <f>IFERROR(VLOOKUP(Table_socioeca8.sandag.org_ws_abm2_f4[[#This Row],[hwycov_id]],[2]flow_freeway!$A$2:$E$1643,5,FALSE),0)</f>
        <v>16932</v>
      </c>
      <c r="K517">
        <f>Table_socioeca8.sandag.org_ws_abm2_f4[[#This Row],[hwycov_id]]</f>
        <v>11282</v>
      </c>
      <c r="L517">
        <f>Table_socioeca8.sandag.org_ws_abm2_f4[[#This Row],[scenario_id]]</f>
        <v>259</v>
      </c>
      <c r="M517">
        <f>Table_socioeca8.sandag.org_ws_abm2_f4[[#This Row],[flow_day]]</f>
        <v>83751</v>
      </c>
      <c r="N517">
        <f>Table_socioeca8.sandag.org_ws_abm2_f4[[#This Row],[flow_am]]</f>
        <v>21466</v>
      </c>
      <c r="O517">
        <f>Table_socioeca8.sandag.org_ws_abm2_f4[[#This Row],[flow_pm]]</f>
        <v>16932</v>
      </c>
    </row>
    <row r="518" spans="5:15" x14ac:dyDescent="0.25">
      <c r="E518">
        <v>11284</v>
      </c>
      <c r="F518">
        <f t="shared" si="8"/>
        <v>259</v>
      </c>
      <c r="G518">
        <f>IFERROR(VLOOKUP(Table_socioeca8.sandag.org_ws_abm2_f4[[#This Row],[hwycov_id]],[2]flow_freeway!$A$2:$E$1643,3,FALSE),0)</f>
        <v>27999</v>
      </c>
      <c r="H518">
        <f>IFERROR(VLOOKUP(Table_socioeca8.sandag.org_ws_abm2_f4[[#This Row],[hwycov_id]],[2]flow_freeway!$A$2:$E$1643,4,FALSE),0)</f>
        <v>6135</v>
      </c>
      <c r="I518">
        <f>IFERROR(VLOOKUP(Table_socioeca8.sandag.org_ws_abm2_f4[[#This Row],[hwycov_id]],[2]flow_freeway!$A$2:$E$1643,5,FALSE),0)</f>
        <v>8158</v>
      </c>
      <c r="K518">
        <f>Table_socioeca8.sandag.org_ws_abm2_f4[[#This Row],[hwycov_id]]</f>
        <v>11284</v>
      </c>
      <c r="L518">
        <f>Table_socioeca8.sandag.org_ws_abm2_f4[[#This Row],[scenario_id]]</f>
        <v>259</v>
      </c>
      <c r="M518">
        <f>Table_socioeca8.sandag.org_ws_abm2_f4[[#This Row],[flow_day]]</f>
        <v>27999</v>
      </c>
      <c r="N518">
        <f>Table_socioeca8.sandag.org_ws_abm2_f4[[#This Row],[flow_am]]</f>
        <v>6135</v>
      </c>
      <c r="O518">
        <f>Table_socioeca8.sandag.org_ws_abm2_f4[[#This Row],[flow_pm]]</f>
        <v>8158</v>
      </c>
    </row>
    <row r="519" spans="5:15" x14ac:dyDescent="0.25">
      <c r="E519">
        <v>11285</v>
      </c>
      <c r="F519">
        <f t="shared" si="8"/>
        <v>259</v>
      </c>
      <c r="G519">
        <f>IFERROR(VLOOKUP(Table_socioeca8.sandag.org_ws_abm2_f4[[#This Row],[hwycov_id]],[2]flow_freeway!$A$2:$E$1643,3,FALSE),0)</f>
        <v>23533</v>
      </c>
      <c r="H519">
        <f>IFERROR(VLOOKUP(Table_socioeca8.sandag.org_ws_abm2_f4[[#This Row],[hwycov_id]],[2]flow_freeway!$A$2:$E$1643,4,FALSE),0)</f>
        <v>5328</v>
      </c>
      <c r="I519">
        <f>IFERROR(VLOOKUP(Table_socioeca8.sandag.org_ws_abm2_f4[[#This Row],[hwycov_id]],[2]flow_freeway!$A$2:$E$1643,5,FALSE),0)</f>
        <v>6623</v>
      </c>
      <c r="K519">
        <f>Table_socioeca8.sandag.org_ws_abm2_f4[[#This Row],[hwycov_id]]</f>
        <v>11285</v>
      </c>
      <c r="L519">
        <f>Table_socioeca8.sandag.org_ws_abm2_f4[[#This Row],[scenario_id]]</f>
        <v>259</v>
      </c>
      <c r="M519">
        <f>Table_socioeca8.sandag.org_ws_abm2_f4[[#This Row],[flow_day]]</f>
        <v>23533</v>
      </c>
      <c r="N519">
        <f>Table_socioeca8.sandag.org_ws_abm2_f4[[#This Row],[flow_am]]</f>
        <v>5328</v>
      </c>
      <c r="O519">
        <f>Table_socioeca8.sandag.org_ws_abm2_f4[[#This Row],[flow_pm]]</f>
        <v>6623</v>
      </c>
    </row>
    <row r="520" spans="5:15" x14ac:dyDescent="0.25">
      <c r="E520">
        <v>11287</v>
      </c>
      <c r="F520">
        <f t="shared" si="8"/>
        <v>259</v>
      </c>
      <c r="G520">
        <f>IFERROR(VLOOKUP(Table_socioeca8.sandag.org_ws_abm2_f4[[#This Row],[hwycov_id]],[2]flow_freeway!$A$2:$E$1643,3,FALSE),0)</f>
        <v>50139</v>
      </c>
      <c r="H520">
        <f>IFERROR(VLOOKUP(Table_socioeca8.sandag.org_ws_abm2_f4[[#This Row],[hwycov_id]],[2]flow_freeway!$A$2:$E$1643,4,FALSE),0)</f>
        <v>7545</v>
      </c>
      <c r="I520">
        <f>IFERROR(VLOOKUP(Table_socioeca8.sandag.org_ws_abm2_f4[[#This Row],[hwycov_id]],[2]flow_freeway!$A$2:$E$1643,5,FALSE),0)</f>
        <v>15002</v>
      </c>
      <c r="K520">
        <f>Table_socioeca8.sandag.org_ws_abm2_f4[[#This Row],[hwycov_id]]</f>
        <v>11287</v>
      </c>
      <c r="L520">
        <f>Table_socioeca8.sandag.org_ws_abm2_f4[[#This Row],[scenario_id]]</f>
        <v>259</v>
      </c>
      <c r="M520">
        <f>Table_socioeca8.sandag.org_ws_abm2_f4[[#This Row],[flow_day]]</f>
        <v>50139</v>
      </c>
      <c r="N520">
        <f>Table_socioeca8.sandag.org_ws_abm2_f4[[#This Row],[flow_am]]</f>
        <v>7545</v>
      </c>
      <c r="O520">
        <f>Table_socioeca8.sandag.org_ws_abm2_f4[[#This Row],[flow_pm]]</f>
        <v>15002</v>
      </c>
    </row>
    <row r="521" spans="5:15" x14ac:dyDescent="0.25">
      <c r="E521">
        <v>11288</v>
      </c>
      <c r="F521">
        <f t="shared" si="8"/>
        <v>259</v>
      </c>
      <c r="G521">
        <f>IFERROR(VLOOKUP(Table_socioeca8.sandag.org_ws_abm2_f4[[#This Row],[hwycov_id]],[2]flow_freeway!$A$2:$E$1643,3,FALSE),0)</f>
        <v>56476</v>
      </c>
      <c r="H521">
        <f>IFERROR(VLOOKUP(Table_socioeca8.sandag.org_ws_abm2_f4[[#This Row],[hwycov_id]],[2]flow_freeway!$A$2:$E$1643,4,FALSE),0)</f>
        <v>8526</v>
      </c>
      <c r="I521">
        <f>IFERROR(VLOOKUP(Table_socioeca8.sandag.org_ws_abm2_f4[[#This Row],[hwycov_id]],[2]flow_freeway!$A$2:$E$1643,5,FALSE),0)</f>
        <v>16894</v>
      </c>
      <c r="K521">
        <f>Table_socioeca8.sandag.org_ws_abm2_f4[[#This Row],[hwycov_id]]</f>
        <v>11288</v>
      </c>
      <c r="L521">
        <f>Table_socioeca8.sandag.org_ws_abm2_f4[[#This Row],[scenario_id]]</f>
        <v>259</v>
      </c>
      <c r="M521">
        <f>Table_socioeca8.sandag.org_ws_abm2_f4[[#This Row],[flow_day]]</f>
        <v>56476</v>
      </c>
      <c r="N521">
        <f>Table_socioeca8.sandag.org_ws_abm2_f4[[#This Row],[flow_am]]</f>
        <v>8526</v>
      </c>
      <c r="O521">
        <f>Table_socioeca8.sandag.org_ws_abm2_f4[[#This Row],[flow_pm]]</f>
        <v>16894</v>
      </c>
    </row>
    <row r="522" spans="5:15" x14ac:dyDescent="0.25">
      <c r="E522">
        <v>11289</v>
      </c>
      <c r="F522">
        <f t="shared" si="8"/>
        <v>259</v>
      </c>
      <c r="G522">
        <f>IFERROR(VLOOKUP(Table_socioeca8.sandag.org_ws_abm2_f4[[#This Row],[hwycov_id]],[2]flow_freeway!$A$2:$E$1643,3,FALSE),0)</f>
        <v>104978</v>
      </c>
      <c r="H522">
        <f>IFERROR(VLOOKUP(Table_socioeca8.sandag.org_ws_abm2_f4[[#This Row],[hwycov_id]],[2]flow_freeway!$A$2:$E$1643,4,FALSE),0)</f>
        <v>24272</v>
      </c>
      <c r="I522">
        <f>IFERROR(VLOOKUP(Table_socioeca8.sandag.org_ws_abm2_f4[[#This Row],[hwycov_id]],[2]flow_freeway!$A$2:$E$1643,5,FALSE),0)</f>
        <v>22185</v>
      </c>
      <c r="K522">
        <f>Table_socioeca8.sandag.org_ws_abm2_f4[[#This Row],[hwycov_id]]</f>
        <v>11289</v>
      </c>
      <c r="L522">
        <f>Table_socioeca8.sandag.org_ws_abm2_f4[[#This Row],[scenario_id]]</f>
        <v>259</v>
      </c>
      <c r="M522">
        <f>Table_socioeca8.sandag.org_ws_abm2_f4[[#This Row],[flow_day]]</f>
        <v>104978</v>
      </c>
      <c r="N522">
        <f>Table_socioeca8.sandag.org_ws_abm2_f4[[#This Row],[flow_am]]</f>
        <v>24272</v>
      </c>
      <c r="O522">
        <f>Table_socioeca8.sandag.org_ws_abm2_f4[[#This Row],[flow_pm]]</f>
        <v>22185</v>
      </c>
    </row>
    <row r="523" spans="5:15" x14ac:dyDescent="0.25">
      <c r="E523">
        <v>11290</v>
      </c>
      <c r="F523">
        <f t="shared" si="8"/>
        <v>259</v>
      </c>
      <c r="G523">
        <f>IFERROR(VLOOKUP(Table_socioeca8.sandag.org_ws_abm2_f4[[#This Row],[hwycov_id]],[2]flow_freeway!$A$2:$E$1643,3,FALSE),0)</f>
        <v>57616</v>
      </c>
      <c r="H523">
        <f>IFERROR(VLOOKUP(Table_socioeca8.sandag.org_ws_abm2_f4[[#This Row],[hwycov_id]],[2]flow_freeway!$A$2:$E$1643,4,FALSE),0)</f>
        <v>14661</v>
      </c>
      <c r="I523">
        <f>IFERROR(VLOOKUP(Table_socioeca8.sandag.org_ws_abm2_f4[[#This Row],[hwycov_id]],[2]flow_freeway!$A$2:$E$1643,5,FALSE),0)</f>
        <v>11594</v>
      </c>
      <c r="K523">
        <f>Table_socioeca8.sandag.org_ws_abm2_f4[[#This Row],[hwycov_id]]</f>
        <v>11290</v>
      </c>
      <c r="L523">
        <f>Table_socioeca8.sandag.org_ws_abm2_f4[[#This Row],[scenario_id]]</f>
        <v>259</v>
      </c>
      <c r="M523">
        <f>Table_socioeca8.sandag.org_ws_abm2_f4[[#This Row],[flow_day]]</f>
        <v>57616</v>
      </c>
      <c r="N523">
        <f>Table_socioeca8.sandag.org_ws_abm2_f4[[#This Row],[flow_am]]</f>
        <v>14661</v>
      </c>
      <c r="O523">
        <f>Table_socioeca8.sandag.org_ws_abm2_f4[[#This Row],[flow_pm]]</f>
        <v>11594</v>
      </c>
    </row>
    <row r="524" spans="5:15" x14ac:dyDescent="0.25">
      <c r="E524">
        <v>11291</v>
      </c>
      <c r="F524">
        <f t="shared" si="8"/>
        <v>259</v>
      </c>
      <c r="G524">
        <f>IFERROR(VLOOKUP(Table_socioeca8.sandag.org_ws_abm2_f4[[#This Row],[hwycov_id]],[2]flow_freeway!$A$2:$E$1643,3,FALSE),0)</f>
        <v>37777</v>
      </c>
      <c r="H524">
        <f>IFERROR(VLOOKUP(Table_socioeca8.sandag.org_ws_abm2_f4[[#This Row],[hwycov_id]],[2]flow_freeway!$A$2:$E$1643,4,FALSE),0)</f>
        <v>9555</v>
      </c>
      <c r="I524">
        <f>IFERROR(VLOOKUP(Table_socioeca8.sandag.org_ws_abm2_f4[[#This Row],[hwycov_id]],[2]flow_freeway!$A$2:$E$1643,5,FALSE),0)</f>
        <v>8359</v>
      </c>
      <c r="K524">
        <f>Table_socioeca8.sandag.org_ws_abm2_f4[[#This Row],[hwycov_id]]</f>
        <v>11291</v>
      </c>
      <c r="L524">
        <f>Table_socioeca8.sandag.org_ws_abm2_f4[[#This Row],[scenario_id]]</f>
        <v>259</v>
      </c>
      <c r="M524">
        <f>Table_socioeca8.sandag.org_ws_abm2_f4[[#This Row],[flow_day]]</f>
        <v>37777</v>
      </c>
      <c r="N524">
        <f>Table_socioeca8.sandag.org_ws_abm2_f4[[#This Row],[flow_am]]</f>
        <v>9555</v>
      </c>
      <c r="O524">
        <f>Table_socioeca8.sandag.org_ws_abm2_f4[[#This Row],[flow_pm]]</f>
        <v>8359</v>
      </c>
    </row>
    <row r="525" spans="5:15" x14ac:dyDescent="0.25">
      <c r="E525">
        <v>11293</v>
      </c>
      <c r="F525">
        <f t="shared" si="8"/>
        <v>259</v>
      </c>
      <c r="G525">
        <f>IFERROR(VLOOKUP(Table_socioeca8.sandag.org_ws_abm2_f4[[#This Row],[hwycov_id]],[2]flow_freeway!$A$2:$E$1643,3,FALSE),0)</f>
        <v>84381</v>
      </c>
      <c r="H525">
        <f>IFERROR(VLOOKUP(Table_socioeca8.sandag.org_ws_abm2_f4[[#This Row],[hwycov_id]],[2]flow_freeway!$A$2:$E$1643,4,FALSE),0)</f>
        <v>18439</v>
      </c>
      <c r="I525">
        <f>IFERROR(VLOOKUP(Table_socioeca8.sandag.org_ws_abm2_f4[[#This Row],[hwycov_id]],[2]flow_freeway!$A$2:$E$1643,5,FALSE),0)</f>
        <v>19996</v>
      </c>
      <c r="K525">
        <f>Table_socioeca8.sandag.org_ws_abm2_f4[[#This Row],[hwycov_id]]</f>
        <v>11293</v>
      </c>
      <c r="L525">
        <f>Table_socioeca8.sandag.org_ws_abm2_f4[[#This Row],[scenario_id]]</f>
        <v>259</v>
      </c>
      <c r="M525">
        <f>Table_socioeca8.sandag.org_ws_abm2_f4[[#This Row],[flow_day]]</f>
        <v>84381</v>
      </c>
      <c r="N525">
        <f>Table_socioeca8.sandag.org_ws_abm2_f4[[#This Row],[flow_am]]</f>
        <v>18439</v>
      </c>
      <c r="O525">
        <f>Table_socioeca8.sandag.org_ws_abm2_f4[[#This Row],[flow_pm]]</f>
        <v>19996</v>
      </c>
    </row>
    <row r="526" spans="5:15" x14ac:dyDescent="0.25">
      <c r="E526">
        <v>11294</v>
      </c>
      <c r="F526">
        <f t="shared" si="8"/>
        <v>259</v>
      </c>
      <c r="G526">
        <f>IFERROR(VLOOKUP(Table_socioeca8.sandag.org_ws_abm2_f4[[#This Row],[hwycov_id]],[2]flow_freeway!$A$2:$E$1643,3,FALSE),0)</f>
        <v>78200</v>
      </c>
      <c r="H526">
        <f>IFERROR(VLOOKUP(Table_socioeca8.sandag.org_ws_abm2_f4[[#This Row],[hwycov_id]],[2]flow_freeway!$A$2:$E$1643,4,FALSE),0)</f>
        <v>15692</v>
      </c>
      <c r="I526">
        <f>IFERROR(VLOOKUP(Table_socioeca8.sandag.org_ws_abm2_f4[[#This Row],[hwycov_id]],[2]flow_freeway!$A$2:$E$1643,5,FALSE),0)</f>
        <v>19946</v>
      </c>
      <c r="K526">
        <f>Table_socioeca8.sandag.org_ws_abm2_f4[[#This Row],[hwycov_id]]</f>
        <v>11294</v>
      </c>
      <c r="L526">
        <f>Table_socioeca8.sandag.org_ws_abm2_f4[[#This Row],[scenario_id]]</f>
        <v>259</v>
      </c>
      <c r="M526">
        <f>Table_socioeca8.sandag.org_ws_abm2_f4[[#This Row],[flow_day]]</f>
        <v>78200</v>
      </c>
      <c r="N526">
        <f>Table_socioeca8.sandag.org_ws_abm2_f4[[#This Row],[flow_am]]</f>
        <v>15692</v>
      </c>
      <c r="O526">
        <f>Table_socioeca8.sandag.org_ws_abm2_f4[[#This Row],[flow_pm]]</f>
        <v>19946</v>
      </c>
    </row>
    <row r="527" spans="5:15" x14ac:dyDescent="0.25">
      <c r="E527">
        <v>11296</v>
      </c>
      <c r="F527">
        <f t="shared" si="8"/>
        <v>259</v>
      </c>
      <c r="G527">
        <f>IFERROR(VLOOKUP(Table_socioeca8.sandag.org_ws_abm2_f4[[#This Row],[hwycov_id]],[2]flow_freeway!$A$2:$E$1643,3,FALSE),0)</f>
        <v>99028</v>
      </c>
      <c r="H527">
        <f>IFERROR(VLOOKUP(Table_socioeca8.sandag.org_ws_abm2_f4[[#This Row],[hwycov_id]],[2]flow_freeway!$A$2:$E$1643,4,FALSE),0)</f>
        <v>20914</v>
      </c>
      <c r="I527">
        <f>IFERROR(VLOOKUP(Table_socioeca8.sandag.org_ws_abm2_f4[[#This Row],[hwycov_id]],[2]flow_freeway!$A$2:$E$1643,5,FALSE),0)</f>
        <v>23420</v>
      </c>
      <c r="K527">
        <f>Table_socioeca8.sandag.org_ws_abm2_f4[[#This Row],[hwycov_id]]</f>
        <v>11296</v>
      </c>
      <c r="L527">
        <f>Table_socioeca8.sandag.org_ws_abm2_f4[[#This Row],[scenario_id]]</f>
        <v>259</v>
      </c>
      <c r="M527">
        <f>Table_socioeca8.sandag.org_ws_abm2_f4[[#This Row],[flow_day]]</f>
        <v>99028</v>
      </c>
      <c r="N527">
        <f>Table_socioeca8.sandag.org_ws_abm2_f4[[#This Row],[flow_am]]</f>
        <v>20914</v>
      </c>
      <c r="O527">
        <f>Table_socioeca8.sandag.org_ws_abm2_f4[[#This Row],[flow_pm]]</f>
        <v>23420</v>
      </c>
    </row>
    <row r="528" spans="5:15" x14ac:dyDescent="0.25">
      <c r="E528">
        <v>11297</v>
      </c>
      <c r="F528">
        <f t="shared" si="8"/>
        <v>259</v>
      </c>
      <c r="G528">
        <f>IFERROR(VLOOKUP(Table_socioeca8.sandag.org_ws_abm2_f4[[#This Row],[hwycov_id]],[2]flow_freeway!$A$2:$E$1643,3,FALSE),0)</f>
        <v>91962</v>
      </c>
      <c r="H528">
        <f>IFERROR(VLOOKUP(Table_socioeca8.sandag.org_ws_abm2_f4[[#This Row],[hwycov_id]],[2]flow_freeway!$A$2:$E$1643,4,FALSE),0)</f>
        <v>18060</v>
      </c>
      <c r="I528">
        <f>IFERROR(VLOOKUP(Table_socioeca8.sandag.org_ws_abm2_f4[[#This Row],[hwycov_id]],[2]flow_freeway!$A$2:$E$1643,5,FALSE),0)</f>
        <v>23301</v>
      </c>
      <c r="K528">
        <f>Table_socioeca8.sandag.org_ws_abm2_f4[[#This Row],[hwycov_id]]</f>
        <v>11297</v>
      </c>
      <c r="L528">
        <f>Table_socioeca8.sandag.org_ws_abm2_f4[[#This Row],[scenario_id]]</f>
        <v>259</v>
      </c>
      <c r="M528">
        <f>Table_socioeca8.sandag.org_ws_abm2_f4[[#This Row],[flow_day]]</f>
        <v>91962</v>
      </c>
      <c r="N528">
        <f>Table_socioeca8.sandag.org_ws_abm2_f4[[#This Row],[flow_am]]</f>
        <v>18060</v>
      </c>
      <c r="O528">
        <f>Table_socioeca8.sandag.org_ws_abm2_f4[[#This Row],[flow_pm]]</f>
        <v>23301</v>
      </c>
    </row>
    <row r="529" spans="5:15" x14ac:dyDescent="0.25">
      <c r="E529">
        <v>11311</v>
      </c>
      <c r="F529">
        <f t="shared" si="8"/>
        <v>259</v>
      </c>
      <c r="G529">
        <f>IFERROR(VLOOKUP(Table_socioeca8.sandag.org_ws_abm2_f4[[#This Row],[hwycov_id]],[2]flow_freeway!$A$2:$E$1643,3,FALSE),0)</f>
        <v>36160</v>
      </c>
      <c r="H529">
        <f>IFERROR(VLOOKUP(Table_socioeca8.sandag.org_ws_abm2_f4[[#This Row],[hwycov_id]],[2]flow_freeway!$A$2:$E$1643,4,FALSE),0)</f>
        <v>6145</v>
      </c>
      <c r="I529">
        <f>IFERROR(VLOOKUP(Table_socioeca8.sandag.org_ws_abm2_f4[[#This Row],[hwycov_id]],[2]flow_freeway!$A$2:$E$1643,5,FALSE),0)</f>
        <v>10000</v>
      </c>
      <c r="K529">
        <f>Table_socioeca8.sandag.org_ws_abm2_f4[[#This Row],[hwycov_id]]</f>
        <v>11311</v>
      </c>
      <c r="L529">
        <f>Table_socioeca8.sandag.org_ws_abm2_f4[[#This Row],[scenario_id]]</f>
        <v>259</v>
      </c>
      <c r="M529">
        <f>Table_socioeca8.sandag.org_ws_abm2_f4[[#This Row],[flow_day]]</f>
        <v>36160</v>
      </c>
      <c r="N529">
        <f>Table_socioeca8.sandag.org_ws_abm2_f4[[#This Row],[flow_am]]</f>
        <v>6145</v>
      </c>
      <c r="O529">
        <f>Table_socioeca8.sandag.org_ws_abm2_f4[[#This Row],[flow_pm]]</f>
        <v>10000</v>
      </c>
    </row>
    <row r="530" spans="5:15" x14ac:dyDescent="0.25">
      <c r="E530">
        <v>11312</v>
      </c>
      <c r="F530">
        <f t="shared" si="8"/>
        <v>259</v>
      </c>
      <c r="G530">
        <f>IFERROR(VLOOKUP(Table_socioeca8.sandag.org_ws_abm2_f4[[#This Row],[hwycov_id]],[2]flow_freeway!$A$2:$E$1643,3,FALSE),0)</f>
        <v>34999</v>
      </c>
      <c r="H530">
        <f>IFERROR(VLOOKUP(Table_socioeca8.sandag.org_ws_abm2_f4[[#This Row],[hwycov_id]],[2]flow_freeway!$A$2:$E$1643,4,FALSE),0)</f>
        <v>5853</v>
      </c>
      <c r="I530">
        <f>IFERROR(VLOOKUP(Table_socioeca8.sandag.org_ws_abm2_f4[[#This Row],[hwycov_id]],[2]flow_freeway!$A$2:$E$1643,5,FALSE),0)</f>
        <v>9727</v>
      </c>
      <c r="K530">
        <f>Table_socioeca8.sandag.org_ws_abm2_f4[[#This Row],[hwycov_id]]</f>
        <v>11312</v>
      </c>
      <c r="L530">
        <f>Table_socioeca8.sandag.org_ws_abm2_f4[[#This Row],[scenario_id]]</f>
        <v>259</v>
      </c>
      <c r="M530">
        <f>Table_socioeca8.sandag.org_ws_abm2_f4[[#This Row],[flow_day]]</f>
        <v>34999</v>
      </c>
      <c r="N530">
        <f>Table_socioeca8.sandag.org_ws_abm2_f4[[#This Row],[flow_am]]</f>
        <v>5853</v>
      </c>
      <c r="O530">
        <f>Table_socioeca8.sandag.org_ws_abm2_f4[[#This Row],[flow_pm]]</f>
        <v>9727</v>
      </c>
    </row>
    <row r="531" spans="5:15" x14ac:dyDescent="0.25">
      <c r="E531">
        <v>11326</v>
      </c>
      <c r="F531">
        <f t="shared" si="8"/>
        <v>259</v>
      </c>
      <c r="G531">
        <f>IFERROR(VLOOKUP(Table_socioeca8.sandag.org_ws_abm2_f4[[#This Row],[hwycov_id]],[2]flow_freeway!$A$2:$E$1643,3,FALSE),0)</f>
        <v>49796</v>
      </c>
      <c r="H531">
        <f>IFERROR(VLOOKUP(Table_socioeca8.sandag.org_ws_abm2_f4[[#This Row],[hwycov_id]],[2]flow_freeway!$A$2:$E$1643,4,FALSE),0)</f>
        <v>10892</v>
      </c>
      <c r="I531">
        <f>IFERROR(VLOOKUP(Table_socioeca8.sandag.org_ws_abm2_f4[[#This Row],[hwycov_id]],[2]flow_freeway!$A$2:$E$1643,5,FALSE),0)</f>
        <v>13766</v>
      </c>
      <c r="K531">
        <f>Table_socioeca8.sandag.org_ws_abm2_f4[[#This Row],[hwycov_id]]</f>
        <v>11326</v>
      </c>
      <c r="L531">
        <f>Table_socioeca8.sandag.org_ws_abm2_f4[[#This Row],[scenario_id]]</f>
        <v>259</v>
      </c>
      <c r="M531">
        <f>Table_socioeca8.sandag.org_ws_abm2_f4[[#This Row],[flow_day]]</f>
        <v>49796</v>
      </c>
      <c r="N531">
        <f>Table_socioeca8.sandag.org_ws_abm2_f4[[#This Row],[flow_am]]</f>
        <v>10892</v>
      </c>
      <c r="O531">
        <f>Table_socioeca8.sandag.org_ws_abm2_f4[[#This Row],[flow_pm]]</f>
        <v>13766</v>
      </c>
    </row>
    <row r="532" spans="5:15" x14ac:dyDescent="0.25">
      <c r="E532">
        <v>11327</v>
      </c>
      <c r="F532">
        <f t="shared" si="8"/>
        <v>259</v>
      </c>
      <c r="G532">
        <f>IFERROR(VLOOKUP(Table_socioeca8.sandag.org_ws_abm2_f4[[#This Row],[hwycov_id]],[2]flow_freeway!$A$2:$E$1643,3,FALSE),0)</f>
        <v>71646</v>
      </c>
      <c r="H532">
        <f>IFERROR(VLOOKUP(Table_socioeca8.sandag.org_ws_abm2_f4[[#This Row],[hwycov_id]],[2]flow_freeway!$A$2:$E$1643,4,FALSE),0)</f>
        <v>15200</v>
      </c>
      <c r="I532">
        <f>IFERROR(VLOOKUP(Table_socioeca8.sandag.org_ws_abm2_f4[[#This Row],[hwycov_id]],[2]flow_freeway!$A$2:$E$1643,5,FALSE),0)</f>
        <v>18014</v>
      </c>
      <c r="K532">
        <f>Table_socioeca8.sandag.org_ws_abm2_f4[[#This Row],[hwycov_id]]</f>
        <v>11327</v>
      </c>
      <c r="L532">
        <f>Table_socioeca8.sandag.org_ws_abm2_f4[[#This Row],[scenario_id]]</f>
        <v>259</v>
      </c>
      <c r="M532">
        <f>Table_socioeca8.sandag.org_ws_abm2_f4[[#This Row],[flow_day]]</f>
        <v>71646</v>
      </c>
      <c r="N532">
        <f>Table_socioeca8.sandag.org_ws_abm2_f4[[#This Row],[flow_am]]</f>
        <v>15200</v>
      </c>
      <c r="O532">
        <f>Table_socioeca8.sandag.org_ws_abm2_f4[[#This Row],[flow_pm]]</f>
        <v>18014</v>
      </c>
    </row>
    <row r="533" spans="5:15" x14ac:dyDescent="0.25">
      <c r="E533">
        <v>11329</v>
      </c>
      <c r="F533">
        <f t="shared" si="8"/>
        <v>259</v>
      </c>
      <c r="G533">
        <f>IFERROR(VLOOKUP(Table_socioeca8.sandag.org_ws_abm2_f4[[#This Row],[hwycov_id]],[2]flow_freeway!$A$2:$E$1643,3,FALSE),0)</f>
        <v>66749</v>
      </c>
      <c r="H533">
        <f>IFERROR(VLOOKUP(Table_socioeca8.sandag.org_ws_abm2_f4[[#This Row],[hwycov_id]],[2]flow_freeway!$A$2:$E$1643,4,FALSE),0)</f>
        <v>14184</v>
      </c>
      <c r="I533">
        <f>IFERROR(VLOOKUP(Table_socioeca8.sandag.org_ws_abm2_f4[[#This Row],[hwycov_id]],[2]flow_freeway!$A$2:$E$1643,5,FALSE),0)</f>
        <v>16911</v>
      </c>
      <c r="K533">
        <f>Table_socioeca8.sandag.org_ws_abm2_f4[[#This Row],[hwycov_id]]</f>
        <v>11329</v>
      </c>
      <c r="L533">
        <f>Table_socioeca8.sandag.org_ws_abm2_f4[[#This Row],[scenario_id]]</f>
        <v>259</v>
      </c>
      <c r="M533">
        <f>Table_socioeca8.sandag.org_ws_abm2_f4[[#This Row],[flow_day]]</f>
        <v>66749</v>
      </c>
      <c r="N533">
        <f>Table_socioeca8.sandag.org_ws_abm2_f4[[#This Row],[flow_am]]</f>
        <v>14184</v>
      </c>
      <c r="O533">
        <f>Table_socioeca8.sandag.org_ws_abm2_f4[[#This Row],[flow_pm]]</f>
        <v>16911</v>
      </c>
    </row>
    <row r="534" spans="5:15" x14ac:dyDescent="0.25">
      <c r="E534">
        <v>11370</v>
      </c>
      <c r="F534">
        <f t="shared" si="8"/>
        <v>259</v>
      </c>
      <c r="G534">
        <f>IFERROR(VLOOKUP(Table_socioeca8.sandag.org_ws_abm2_f4[[#This Row],[hwycov_id]],[2]flow_freeway!$A$2:$E$1643,3,FALSE),0)</f>
        <v>30249</v>
      </c>
      <c r="H534">
        <f>IFERROR(VLOOKUP(Table_socioeca8.sandag.org_ws_abm2_f4[[#This Row],[hwycov_id]],[2]flow_freeway!$A$2:$E$1643,4,FALSE),0)</f>
        <v>6634</v>
      </c>
      <c r="I534">
        <f>IFERROR(VLOOKUP(Table_socioeca8.sandag.org_ws_abm2_f4[[#This Row],[hwycov_id]],[2]flow_freeway!$A$2:$E$1643,5,FALSE),0)</f>
        <v>9651</v>
      </c>
      <c r="K534">
        <f>Table_socioeca8.sandag.org_ws_abm2_f4[[#This Row],[hwycov_id]]</f>
        <v>11370</v>
      </c>
      <c r="L534">
        <f>Table_socioeca8.sandag.org_ws_abm2_f4[[#This Row],[scenario_id]]</f>
        <v>259</v>
      </c>
      <c r="M534">
        <f>Table_socioeca8.sandag.org_ws_abm2_f4[[#This Row],[flow_day]]</f>
        <v>30249</v>
      </c>
      <c r="N534">
        <f>Table_socioeca8.sandag.org_ws_abm2_f4[[#This Row],[flow_am]]</f>
        <v>6634</v>
      </c>
      <c r="O534">
        <f>Table_socioeca8.sandag.org_ws_abm2_f4[[#This Row],[flow_pm]]</f>
        <v>9651</v>
      </c>
    </row>
    <row r="535" spans="5:15" x14ac:dyDescent="0.25">
      <c r="E535">
        <v>11371</v>
      </c>
      <c r="F535">
        <f t="shared" si="8"/>
        <v>259</v>
      </c>
      <c r="G535">
        <f>IFERROR(VLOOKUP(Table_socioeca8.sandag.org_ws_abm2_f4[[#This Row],[hwycov_id]],[2]flow_freeway!$A$2:$E$1643,3,FALSE),0)</f>
        <v>67709</v>
      </c>
      <c r="H535">
        <f>IFERROR(VLOOKUP(Table_socioeca8.sandag.org_ws_abm2_f4[[#This Row],[hwycov_id]],[2]flow_freeway!$A$2:$E$1643,4,FALSE),0)</f>
        <v>18931</v>
      </c>
      <c r="I535">
        <f>IFERROR(VLOOKUP(Table_socioeca8.sandag.org_ws_abm2_f4[[#This Row],[hwycov_id]],[2]flow_freeway!$A$2:$E$1643,5,FALSE),0)</f>
        <v>13450</v>
      </c>
      <c r="K535">
        <f>Table_socioeca8.sandag.org_ws_abm2_f4[[#This Row],[hwycov_id]]</f>
        <v>11371</v>
      </c>
      <c r="L535">
        <f>Table_socioeca8.sandag.org_ws_abm2_f4[[#This Row],[scenario_id]]</f>
        <v>259</v>
      </c>
      <c r="M535">
        <f>Table_socioeca8.sandag.org_ws_abm2_f4[[#This Row],[flow_day]]</f>
        <v>67709</v>
      </c>
      <c r="N535">
        <f>Table_socioeca8.sandag.org_ws_abm2_f4[[#This Row],[flow_am]]</f>
        <v>18931</v>
      </c>
      <c r="O535">
        <f>Table_socioeca8.sandag.org_ws_abm2_f4[[#This Row],[flow_pm]]</f>
        <v>13450</v>
      </c>
    </row>
    <row r="536" spans="5:15" x14ac:dyDescent="0.25">
      <c r="E536">
        <v>11379</v>
      </c>
      <c r="F536">
        <f t="shared" si="8"/>
        <v>259</v>
      </c>
      <c r="G536">
        <f>IFERROR(VLOOKUP(Table_socioeca8.sandag.org_ws_abm2_f4[[#This Row],[hwycov_id]],[2]flow_freeway!$A$2:$E$1643,3,FALSE),0)</f>
        <v>29806</v>
      </c>
      <c r="H536">
        <f>IFERROR(VLOOKUP(Table_socioeca8.sandag.org_ws_abm2_f4[[#This Row],[hwycov_id]],[2]flow_freeway!$A$2:$E$1643,4,FALSE),0)</f>
        <v>5472</v>
      </c>
      <c r="I536">
        <f>IFERROR(VLOOKUP(Table_socioeca8.sandag.org_ws_abm2_f4[[#This Row],[hwycov_id]],[2]flow_freeway!$A$2:$E$1643,5,FALSE),0)</f>
        <v>8813</v>
      </c>
      <c r="K536">
        <f>Table_socioeca8.sandag.org_ws_abm2_f4[[#This Row],[hwycov_id]]</f>
        <v>11379</v>
      </c>
      <c r="L536">
        <f>Table_socioeca8.sandag.org_ws_abm2_f4[[#This Row],[scenario_id]]</f>
        <v>259</v>
      </c>
      <c r="M536">
        <f>Table_socioeca8.sandag.org_ws_abm2_f4[[#This Row],[flow_day]]</f>
        <v>29806</v>
      </c>
      <c r="N536">
        <f>Table_socioeca8.sandag.org_ws_abm2_f4[[#This Row],[flow_am]]</f>
        <v>5472</v>
      </c>
      <c r="O536">
        <f>Table_socioeca8.sandag.org_ws_abm2_f4[[#This Row],[flow_pm]]</f>
        <v>8813</v>
      </c>
    </row>
    <row r="537" spans="5:15" x14ac:dyDescent="0.25">
      <c r="E537">
        <v>11382</v>
      </c>
      <c r="F537">
        <f t="shared" si="8"/>
        <v>259</v>
      </c>
      <c r="G537">
        <f>IFERROR(VLOOKUP(Table_socioeca8.sandag.org_ws_abm2_f4[[#This Row],[hwycov_id]],[2]flow_freeway!$A$2:$E$1643,3,FALSE),0)</f>
        <v>38053</v>
      </c>
      <c r="H537">
        <f>IFERROR(VLOOKUP(Table_socioeca8.sandag.org_ws_abm2_f4[[#This Row],[hwycov_id]],[2]flow_freeway!$A$2:$E$1643,4,FALSE),0)</f>
        <v>10429</v>
      </c>
      <c r="I537">
        <f>IFERROR(VLOOKUP(Table_socioeca8.sandag.org_ws_abm2_f4[[#This Row],[hwycov_id]],[2]flow_freeway!$A$2:$E$1643,5,FALSE),0)</f>
        <v>8404</v>
      </c>
      <c r="K537">
        <f>Table_socioeca8.sandag.org_ws_abm2_f4[[#This Row],[hwycov_id]]</f>
        <v>11382</v>
      </c>
      <c r="L537">
        <f>Table_socioeca8.sandag.org_ws_abm2_f4[[#This Row],[scenario_id]]</f>
        <v>259</v>
      </c>
      <c r="M537">
        <f>Table_socioeca8.sandag.org_ws_abm2_f4[[#This Row],[flow_day]]</f>
        <v>38053</v>
      </c>
      <c r="N537">
        <f>Table_socioeca8.sandag.org_ws_abm2_f4[[#This Row],[flow_am]]</f>
        <v>10429</v>
      </c>
      <c r="O537">
        <f>Table_socioeca8.sandag.org_ws_abm2_f4[[#This Row],[flow_pm]]</f>
        <v>8404</v>
      </c>
    </row>
    <row r="538" spans="5:15" x14ac:dyDescent="0.25">
      <c r="E538">
        <v>11481</v>
      </c>
      <c r="F538">
        <f t="shared" si="8"/>
        <v>259</v>
      </c>
      <c r="G538">
        <f>IFERROR(VLOOKUP(Table_socioeca8.sandag.org_ws_abm2_f4[[#This Row],[hwycov_id]],[2]flow_freeway!$A$2:$E$1643,3,FALSE),0)</f>
        <v>66664</v>
      </c>
      <c r="H538">
        <f>IFERROR(VLOOKUP(Table_socioeca8.sandag.org_ws_abm2_f4[[#This Row],[hwycov_id]],[2]flow_freeway!$A$2:$E$1643,4,FALSE),0)</f>
        <v>9590</v>
      </c>
      <c r="I538">
        <f>IFERROR(VLOOKUP(Table_socioeca8.sandag.org_ws_abm2_f4[[#This Row],[hwycov_id]],[2]flow_freeway!$A$2:$E$1643,5,FALSE),0)</f>
        <v>20161</v>
      </c>
      <c r="K538">
        <f>Table_socioeca8.sandag.org_ws_abm2_f4[[#This Row],[hwycov_id]]</f>
        <v>11481</v>
      </c>
      <c r="L538">
        <f>Table_socioeca8.sandag.org_ws_abm2_f4[[#This Row],[scenario_id]]</f>
        <v>259</v>
      </c>
      <c r="M538">
        <f>Table_socioeca8.sandag.org_ws_abm2_f4[[#This Row],[flow_day]]</f>
        <v>66664</v>
      </c>
      <c r="N538">
        <f>Table_socioeca8.sandag.org_ws_abm2_f4[[#This Row],[flow_am]]</f>
        <v>9590</v>
      </c>
      <c r="O538">
        <f>Table_socioeca8.sandag.org_ws_abm2_f4[[#This Row],[flow_pm]]</f>
        <v>20161</v>
      </c>
    </row>
    <row r="539" spans="5:15" x14ac:dyDescent="0.25">
      <c r="E539">
        <v>11483</v>
      </c>
      <c r="F539">
        <f t="shared" si="8"/>
        <v>259</v>
      </c>
      <c r="G539">
        <f>IFERROR(VLOOKUP(Table_socioeca8.sandag.org_ws_abm2_f4[[#This Row],[hwycov_id]],[2]flow_freeway!$A$2:$E$1643,3,FALSE),0)</f>
        <v>75015</v>
      </c>
      <c r="H539">
        <f>IFERROR(VLOOKUP(Table_socioeca8.sandag.org_ws_abm2_f4[[#This Row],[hwycov_id]],[2]flow_freeway!$A$2:$E$1643,4,FALSE),0)</f>
        <v>10677</v>
      </c>
      <c r="I539">
        <f>IFERROR(VLOOKUP(Table_socioeca8.sandag.org_ws_abm2_f4[[#This Row],[hwycov_id]],[2]flow_freeway!$A$2:$E$1643,5,FALSE),0)</f>
        <v>24071</v>
      </c>
      <c r="K539">
        <f>Table_socioeca8.sandag.org_ws_abm2_f4[[#This Row],[hwycov_id]]</f>
        <v>11483</v>
      </c>
      <c r="L539">
        <f>Table_socioeca8.sandag.org_ws_abm2_f4[[#This Row],[scenario_id]]</f>
        <v>259</v>
      </c>
      <c r="M539">
        <f>Table_socioeca8.sandag.org_ws_abm2_f4[[#This Row],[flow_day]]</f>
        <v>75015</v>
      </c>
      <c r="N539">
        <f>Table_socioeca8.sandag.org_ws_abm2_f4[[#This Row],[flow_am]]</f>
        <v>10677</v>
      </c>
      <c r="O539">
        <f>Table_socioeca8.sandag.org_ws_abm2_f4[[#This Row],[flow_pm]]</f>
        <v>24071</v>
      </c>
    </row>
    <row r="540" spans="5:15" x14ac:dyDescent="0.25">
      <c r="E540">
        <v>12007</v>
      </c>
      <c r="F540">
        <f t="shared" si="8"/>
        <v>259</v>
      </c>
      <c r="G540">
        <f>IFERROR(VLOOKUP(Table_socioeca8.sandag.org_ws_abm2_f4[[#This Row],[hwycov_id]],[2]flow_freeway!$A$2:$E$1643,3,FALSE),0)</f>
        <v>77510</v>
      </c>
      <c r="H540">
        <f>IFERROR(VLOOKUP(Table_socioeca8.sandag.org_ws_abm2_f4[[#This Row],[hwycov_id]],[2]flow_freeway!$A$2:$E$1643,4,FALSE),0)</f>
        <v>17745</v>
      </c>
      <c r="I540">
        <f>IFERROR(VLOOKUP(Table_socioeca8.sandag.org_ws_abm2_f4[[#This Row],[hwycov_id]],[2]flow_freeway!$A$2:$E$1643,5,FALSE),0)</f>
        <v>18056</v>
      </c>
      <c r="K540">
        <f>Table_socioeca8.sandag.org_ws_abm2_f4[[#This Row],[hwycov_id]]</f>
        <v>12007</v>
      </c>
      <c r="L540">
        <f>Table_socioeca8.sandag.org_ws_abm2_f4[[#This Row],[scenario_id]]</f>
        <v>259</v>
      </c>
      <c r="M540">
        <f>Table_socioeca8.sandag.org_ws_abm2_f4[[#This Row],[flow_day]]</f>
        <v>77510</v>
      </c>
      <c r="N540">
        <f>Table_socioeca8.sandag.org_ws_abm2_f4[[#This Row],[flow_am]]</f>
        <v>17745</v>
      </c>
      <c r="O540">
        <f>Table_socioeca8.sandag.org_ws_abm2_f4[[#This Row],[flow_pm]]</f>
        <v>18056</v>
      </c>
    </row>
    <row r="541" spans="5:15" x14ac:dyDescent="0.25">
      <c r="E541">
        <v>12009</v>
      </c>
      <c r="F541">
        <f t="shared" si="8"/>
        <v>259</v>
      </c>
      <c r="G541">
        <f>IFERROR(VLOOKUP(Table_socioeca8.sandag.org_ws_abm2_f4[[#This Row],[hwycov_id]],[2]flow_freeway!$A$2:$E$1643,3,FALSE),0)</f>
        <v>77623</v>
      </c>
      <c r="H541">
        <f>IFERROR(VLOOKUP(Table_socioeca8.sandag.org_ws_abm2_f4[[#This Row],[hwycov_id]],[2]flow_freeway!$A$2:$E$1643,4,FALSE),0)</f>
        <v>15826</v>
      </c>
      <c r="I541">
        <f>IFERROR(VLOOKUP(Table_socioeca8.sandag.org_ws_abm2_f4[[#This Row],[hwycov_id]],[2]flow_freeway!$A$2:$E$1643,5,FALSE),0)</f>
        <v>22340</v>
      </c>
      <c r="K541">
        <f>Table_socioeca8.sandag.org_ws_abm2_f4[[#This Row],[hwycov_id]]</f>
        <v>12009</v>
      </c>
      <c r="L541">
        <f>Table_socioeca8.sandag.org_ws_abm2_f4[[#This Row],[scenario_id]]</f>
        <v>259</v>
      </c>
      <c r="M541">
        <f>Table_socioeca8.sandag.org_ws_abm2_f4[[#This Row],[flow_day]]</f>
        <v>77623</v>
      </c>
      <c r="N541">
        <f>Table_socioeca8.sandag.org_ws_abm2_f4[[#This Row],[flow_am]]</f>
        <v>15826</v>
      </c>
      <c r="O541">
        <f>Table_socioeca8.sandag.org_ws_abm2_f4[[#This Row],[flow_pm]]</f>
        <v>22340</v>
      </c>
    </row>
    <row r="542" spans="5:15" x14ac:dyDescent="0.25">
      <c r="E542">
        <v>12010</v>
      </c>
      <c r="F542">
        <f t="shared" si="8"/>
        <v>259</v>
      </c>
      <c r="G542">
        <f>IFERROR(VLOOKUP(Table_socioeca8.sandag.org_ws_abm2_f4[[#This Row],[hwycov_id]],[2]flow_freeway!$A$2:$E$1643,3,FALSE),0)</f>
        <v>84895</v>
      </c>
      <c r="H542">
        <f>IFERROR(VLOOKUP(Table_socioeca8.sandag.org_ws_abm2_f4[[#This Row],[hwycov_id]],[2]flow_freeway!$A$2:$E$1643,4,FALSE),0)</f>
        <v>18840</v>
      </c>
      <c r="I542">
        <f>IFERROR(VLOOKUP(Table_socioeca8.sandag.org_ws_abm2_f4[[#This Row],[hwycov_id]],[2]flow_freeway!$A$2:$E$1643,5,FALSE),0)</f>
        <v>19655</v>
      </c>
      <c r="K542">
        <f>Table_socioeca8.sandag.org_ws_abm2_f4[[#This Row],[hwycov_id]]</f>
        <v>12010</v>
      </c>
      <c r="L542">
        <f>Table_socioeca8.sandag.org_ws_abm2_f4[[#This Row],[scenario_id]]</f>
        <v>259</v>
      </c>
      <c r="M542">
        <f>Table_socioeca8.sandag.org_ws_abm2_f4[[#This Row],[flow_day]]</f>
        <v>84895</v>
      </c>
      <c r="N542">
        <f>Table_socioeca8.sandag.org_ws_abm2_f4[[#This Row],[flow_am]]</f>
        <v>18840</v>
      </c>
      <c r="O542">
        <f>Table_socioeca8.sandag.org_ws_abm2_f4[[#This Row],[flow_pm]]</f>
        <v>19655</v>
      </c>
    </row>
    <row r="543" spans="5:15" x14ac:dyDescent="0.25">
      <c r="E543">
        <v>12065</v>
      </c>
      <c r="F543">
        <f t="shared" si="8"/>
        <v>259</v>
      </c>
      <c r="G543">
        <f>IFERROR(VLOOKUP(Table_socioeca8.sandag.org_ws_abm2_f4[[#This Row],[hwycov_id]],[2]flow_freeway!$A$2:$E$1643,3,FALSE),0)</f>
        <v>27231</v>
      </c>
      <c r="H543">
        <f>IFERROR(VLOOKUP(Table_socioeca8.sandag.org_ws_abm2_f4[[#This Row],[hwycov_id]],[2]flow_freeway!$A$2:$E$1643,4,FALSE),0)</f>
        <v>4883</v>
      </c>
      <c r="I543">
        <f>IFERROR(VLOOKUP(Table_socioeca8.sandag.org_ws_abm2_f4[[#This Row],[hwycov_id]],[2]flow_freeway!$A$2:$E$1643,5,FALSE),0)</f>
        <v>7726</v>
      </c>
      <c r="K543">
        <f>Table_socioeca8.sandag.org_ws_abm2_f4[[#This Row],[hwycov_id]]</f>
        <v>12065</v>
      </c>
      <c r="L543">
        <f>Table_socioeca8.sandag.org_ws_abm2_f4[[#This Row],[scenario_id]]</f>
        <v>259</v>
      </c>
      <c r="M543">
        <f>Table_socioeca8.sandag.org_ws_abm2_f4[[#This Row],[flow_day]]</f>
        <v>27231</v>
      </c>
      <c r="N543">
        <f>Table_socioeca8.sandag.org_ws_abm2_f4[[#This Row],[flow_am]]</f>
        <v>4883</v>
      </c>
      <c r="O543">
        <f>Table_socioeca8.sandag.org_ws_abm2_f4[[#This Row],[flow_pm]]</f>
        <v>7726</v>
      </c>
    </row>
    <row r="544" spans="5:15" x14ac:dyDescent="0.25">
      <c r="E544">
        <v>12193</v>
      </c>
      <c r="F544">
        <f t="shared" si="8"/>
        <v>259</v>
      </c>
      <c r="G544">
        <f>IFERROR(VLOOKUP(Table_socioeca8.sandag.org_ws_abm2_f4[[#This Row],[hwycov_id]],[2]flow_freeway!$A$2:$E$1643,3,FALSE),0)</f>
        <v>11836</v>
      </c>
      <c r="H544">
        <f>IFERROR(VLOOKUP(Table_socioeca8.sandag.org_ws_abm2_f4[[#This Row],[hwycov_id]],[2]flow_freeway!$A$2:$E$1643,4,FALSE),0)</f>
        <v>4702</v>
      </c>
      <c r="I544">
        <f>IFERROR(VLOOKUP(Table_socioeca8.sandag.org_ws_abm2_f4[[#This Row],[hwycov_id]],[2]flow_freeway!$A$2:$E$1643,5,FALSE),0)</f>
        <v>1196</v>
      </c>
      <c r="K544">
        <f>Table_socioeca8.sandag.org_ws_abm2_f4[[#This Row],[hwycov_id]]</f>
        <v>12193</v>
      </c>
      <c r="L544">
        <f>Table_socioeca8.sandag.org_ws_abm2_f4[[#This Row],[scenario_id]]</f>
        <v>259</v>
      </c>
      <c r="M544">
        <f>Table_socioeca8.sandag.org_ws_abm2_f4[[#This Row],[flow_day]]</f>
        <v>11836</v>
      </c>
      <c r="N544">
        <f>Table_socioeca8.sandag.org_ws_abm2_f4[[#This Row],[flow_am]]</f>
        <v>4702</v>
      </c>
      <c r="O544">
        <f>Table_socioeca8.sandag.org_ws_abm2_f4[[#This Row],[flow_pm]]</f>
        <v>1196</v>
      </c>
    </row>
    <row r="545" spans="5:15" x14ac:dyDescent="0.25">
      <c r="E545">
        <v>12238</v>
      </c>
      <c r="F545">
        <f t="shared" si="8"/>
        <v>259</v>
      </c>
      <c r="G545">
        <f>IFERROR(VLOOKUP(Table_socioeca8.sandag.org_ws_abm2_f4[[#This Row],[hwycov_id]],[2]flow_freeway!$A$2:$E$1643,3,FALSE),0)</f>
        <v>94310</v>
      </c>
      <c r="H545">
        <f>IFERROR(VLOOKUP(Table_socioeca8.sandag.org_ws_abm2_f4[[#This Row],[hwycov_id]],[2]flow_freeway!$A$2:$E$1643,4,FALSE),0)</f>
        <v>20020</v>
      </c>
      <c r="I545">
        <f>IFERROR(VLOOKUP(Table_socioeca8.sandag.org_ws_abm2_f4[[#This Row],[hwycov_id]],[2]flow_freeway!$A$2:$E$1643,5,FALSE),0)</f>
        <v>18912</v>
      </c>
      <c r="K545">
        <f>Table_socioeca8.sandag.org_ws_abm2_f4[[#This Row],[hwycov_id]]</f>
        <v>12238</v>
      </c>
      <c r="L545">
        <f>Table_socioeca8.sandag.org_ws_abm2_f4[[#This Row],[scenario_id]]</f>
        <v>259</v>
      </c>
      <c r="M545">
        <f>Table_socioeca8.sandag.org_ws_abm2_f4[[#This Row],[flow_day]]</f>
        <v>94310</v>
      </c>
      <c r="N545">
        <f>Table_socioeca8.sandag.org_ws_abm2_f4[[#This Row],[flow_am]]</f>
        <v>20020</v>
      </c>
      <c r="O545">
        <f>Table_socioeca8.sandag.org_ws_abm2_f4[[#This Row],[flow_pm]]</f>
        <v>18912</v>
      </c>
    </row>
    <row r="546" spans="5:15" x14ac:dyDescent="0.25">
      <c r="E546">
        <v>12239</v>
      </c>
      <c r="F546">
        <f t="shared" si="8"/>
        <v>259</v>
      </c>
      <c r="G546">
        <f>IFERROR(VLOOKUP(Table_socioeca8.sandag.org_ws_abm2_f4[[#This Row],[hwycov_id]],[2]flow_freeway!$A$2:$E$1643,3,FALSE),0)</f>
        <v>96495</v>
      </c>
      <c r="H546">
        <f>IFERROR(VLOOKUP(Table_socioeca8.sandag.org_ws_abm2_f4[[#This Row],[hwycov_id]],[2]flow_freeway!$A$2:$E$1643,4,FALSE),0)</f>
        <v>17285</v>
      </c>
      <c r="I546">
        <f>IFERROR(VLOOKUP(Table_socioeca8.sandag.org_ws_abm2_f4[[#This Row],[hwycov_id]],[2]flow_freeway!$A$2:$E$1643,5,FALSE),0)</f>
        <v>25038</v>
      </c>
      <c r="K546">
        <f>Table_socioeca8.sandag.org_ws_abm2_f4[[#This Row],[hwycov_id]]</f>
        <v>12239</v>
      </c>
      <c r="L546">
        <f>Table_socioeca8.sandag.org_ws_abm2_f4[[#This Row],[scenario_id]]</f>
        <v>259</v>
      </c>
      <c r="M546">
        <f>Table_socioeca8.sandag.org_ws_abm2_f4[[#This Row],[flow_day]]</f>
        <v>96495</v>
      </c>
      <c r="N546">
        <f>Table_socioeca8.sandag.org_ws_abm2_f4[[#This Row],[flow_am]]</f>
        <v>17285</v>
      </c>
      <c r="O546">
        <f>Table_socioeca8.sandag.org_ws_abm2_f4[[#This Row],[flow_pm]]</f>
        <v>25038</v>
      </c>
    </row>
    <row r="547" spans="5:15" x14ac:dyDescent="0.25">
      <c r="E547">
        <v>12241</v>
      </c>
      <c r="F547">
        <f t="shared" si="8"/>
        <v>259</v>
      </c>
      <c r="G547">
        <f>IFERROR(VLOOKUP(Table_socioeca8.sandag.org_ws_abm2_f4[[#This Row],[hwycov_id]],[2]flow_freeway!$A$2:$E$1643,3,FALSE),0)</f>
        <v>91335</v>
      </c>
      <c r="H547">
        <f>IFERROR(VLOOKUP(Table_socioeca8.sandag.org_ws_abm2_f4[[#This Row],[hwycov_id]],[2]flow_freeway!$A$2:$E$1643,4,FALSE),0)</f>
        <v>19583</v>
      </c>
      <c r="I547">
        <f>IFERROR(VLOOKUP(Table_socioeca8.sandag.org_ws_abm2_f4[[#This Row],[hwycov_id]],[2]flow_freeway!$A$2:$E$1643,5,FALSE),0)</f>
        <v>18128</v>
      </c>
      <c r="K547">
        <f>Table_socioeca8.sandag.org_ws_abm2_f4[[#This Row],[hwycov_id]]</f>
        <v>12241</v>
      </c>
      <c r="L547">
        <f>Table_socioeca8.sandag.org_ws_abm2_f4[[#This Row],[scenario_id]]</f>
        <v>259</v>
      </c>
      <c r="M547">
        <f>Table_socioeca8.sandag.org_ws_abm2_f4[[#This Row],[flow_day]]</f>
        <v>91335</v>
      </c>
      <c r="N547">
        <f>Table_socioeca8.sandag.org_ws_abm2_f4[[#This Row],[flow_am]]</f>
        <v>19583</v>
      </c>
      <c r="O547">
        <f>Table_socioeca8.sandag.org_ws_abm2_f4[[#This Row],[flow_pm]]</f>
        <v>18128</v>
      </c>
    </row>
    <row r="548" spans="5:15" x14ac:dyDescent="0.25">
      <c r="E548">
        <v>12242</v>
      </c>
      <c r="F548">
        <f t="shared" si="8"/>
        <v>259</v>
      </c>
      <c r="G548">
        <f>IFERROR(VLOOKUP(Table_socioeca8.sandag.org_ws_abm2_f4[[#This Row],[hwycov_id]],[2]flow_freeway!$A$2:$E$1643,3,FALSE),0)</f>
        <v>94503</v>
      </c>
      <c r="H548">
        <f>IFERROR(VLOOKUP(Table_socioeca8.sandag.org_ws_abm2_f4[[#This Row],[hwycov_id]],[2]flow_freeway!$A$2:$E$1643,4,FALSE),0)</f>
        <v>16884</v>
      </c>
      <c r="I548">
        <f>IFERROR(VLOOKUP(Table_socioeca8.sandag.org_ws_abm2_f4[[#This Row],[hwycov_id]],[2]flow_freeway!$A$2:$E$1643,5,FALSE),0)</f>
        <v>24581</v>
      </c>
      <c r="K548">
        <f>Table_socioeca8.sandag.org_ws_abm2_f4[[#This Row],[hwycov_id]]</f>
        <v>12242</v>
      </c>
      <c r="L548">
        <f>Table_socioeca8.sandag.org_ws_abm2_f4[[#This Row],[scenario_id]]</f>
        <v>259</v>
      </c>
      <c r="M548">
        <f>Table_socioeca8.sandag.org_ws_abm2_f4[[#This Row],[flow_day]]</f>
        <v>94503</v>
      </c>
      <c r="N548">
        <f>Table_socioeca8.sandag.org_ws_abm2_f4[[#This Row],[flow_am]]</f>
        <v>16884</v>
      </c>
      <c r="O548">
        <f>Table_socioeca8.sandag.org_ws_abm2_f4[[#This Row],[flow_pm]]</f>
        <v>24581</v>
      </c>
    </row>
    <row r="549" spans="5:15" x14ac:dyDescent="0.25">
      <c r="E549">
        <v>12245</v>
      </c>
      <c r="F549">
        <f t="shared" si="8"/>
        <v>259</v>
      </c>
      <c r="G549">
        <f>IFERROR(VLOOKUP(Table_socioeca8.sandag.org_ws_abm2_f4[[#This Row],[hwycov_id]],[2]flow_freeway!$A$2:$E$1643,3,FALSE),0)</f>
        <v>102905</v>
      </c>
      <c r="H549">
        <f>IFERROR(VLOOKUP(Table_socioeca8.sandag.org_ws_abm2_f4[[#This Row],[hwycov_id]],[2]flow_freeway!$A$2:$E$1643,4,FALSE),0)</f>
        <v>17930</v>
      </c>
      <c r="I549">
        <f>IFERROR(VLOOKUP(Table_socioeca8.sandag.org_ws_abm2_f4[[#This Row],[hwycov_id]],[2]flow_freeway!$A$2:$E$1643,5,FALSE),0)</f>
        <v>27145</v>
      </c>
      <c r="K549">
        <f>Table_socioeca8.sandag.org_ws_abm2_f4[[#This Row],[hwycov_id]]</f>
        <v>12245</v>
      </c>
      <c r="L549">
        <f>Table_socioeca8.sandag.org_ws_abm2_f4[[#This Row],[scenario_id]]</f>
        <v>259</v>
      </c>
      <c r="M549">
        <f>Table_socioeca8.sandag.org_ws_abm2_f4[[#This Row],[flow_day]]</f>
        <v>102905</v>
      </c>
      <c r="N549">
        <f>Table_socioeca8.sandag.org_ws_abm2_f4[[#This Row],[flow_am]]</f>
        <v>17930</v>
      </c>
      <c r="O549">
        <f>Table_socioeca8.sandag.org_ws_abm2_f4[[#This Row],[flow_pm]]</f>
        <v>27145</v>
      </c>
    </row>
    <row r="550" spans="5:15" x14ac:dyDescent="0.25">
      <c r="E550">
        <v>12247</v>
      </c>
      <c r="F550">
        <f t="shared" si="8"/>
        <v>259</v>
      </c>
      <c r="G550">
        <f>IFERROR(VLOOKUP(Table_socioeca8.sandag.org_ws_abm2_f4[[#This Row],[hwycov_id]],[2]flow_freeway!$A$2:$E$1643,3,FALSE),0)</f>
        <v>97386</v>
      </c>
      <c r="H550">
        <f>IFERROR(VLOOKUP(Table_socioeca8.sandag.org_ws_abm2_f4[[#This Row],[hwycov_id]],[2]flow_freeway!$A$2:$E$1643,4,FALSE),0)</f>
        <v>20832</v>
      </c>
      <c r="I550">
        <f>IFERROR(VLOOKUP(Table_socioeca8.sandag.org_ws_abm2_f4[[#This Row],[hwycov_id]],[2]flow_freeway!$A$2:$E$1643,5,FALSE),0)</f>
        <v>19047</v>
      </c>
      <c r="K550">
        <f>Table_socioeca8.sandag.org_ws_abm2_f4[[#This Row],[hwycov_id]]</f>
        <v>12247</v>
      </c>
      <c r="L550">
        <f>Table_socioeca8.sandag.org_ws_abm2_f4[[#This Row],[scenario_id]]</f>
        <v>259</v>
      </c>
      <c r="M550">
        <f>Table_socioeca8.sandag.org_ws_abm2_f4[[#This Row],[flow_day]]</f>
        <v>97386</v>
      </c>
      <c r="N550">
        <f>Table_socioeca8.sandag.org_ws_abm2_f4[[#This Row],[flow_am]]</f>
        <v>20832</v>
      </c>
      <c r="O550">
        <f>Table_socioeca8.sandag.org_ws_abm2_f4[[#This Row],[flow_pm]]</f>
        <v>19047</v>
      </c>
    </row>
    <row r="551" spans="5:15" x14ac:dyDescent="0.25">
      <c r="E551">
        <v>12253</v>
      </c>
      <c r="F551">
        <f t="shared" si="8"/>
        <v>259</v>
      </c>
      <c r="G551">
        <f>IFERROR(VLOOKUP(Table_socioeca8.sandag.org_ws_abm2_f4[[#This Row],[hwycov_id]],[2]flow_freeway!$A$2:$E$1643,3,FALSE),0)</f>
        <v>100549</v>
      </c>
      <c r="H551">
        <f>IFERROR(VLOOKUP(Table_socioeca8.sandag.org_ws_abm2_f4[[#This Row],[hwycov_id]],[2]flow_freeway!$A$2:$E$1643,4,FALSE),0)</f>
        <v>17510</v>
      </c>
      <c r="I551">
        <f>IFERROR(VLOOKUP(Table_socioeca8.sandag.org_ws_abm2_f4[[#This Row],[hwycov_id]],[2]flow_freeway!$A$2:$E$1643,5,FALSE),0)</f>
        <v>26662</v>
      </c>
      <c r="K551">
        <f>Table_socioeca8.sandag.org_ws_abm2_f4[[#This Row],[hwycov_id]]</f>
        <v>12253</v>
      </c>
      <c r="L551">
        <f>Table_socioeca8.sandag.org_ws_abm2_f4[[#This Row],[scenario_id]]</f>
        <v>259</v>
      </c>
      <c r="M551">
        <f>Table_socioeca8.sandag.org_ws_abm2_f4[[#This Row],[flow_day]]</f>
        <v>100549</v>
      </c>
      <c r="N551">
        <f>Table_socioeca8.sandag.org_ws_abm2_f4[[#This Row],[flow_am]]</f>
        <v>17510</v>
      </c>
      <c r="O551">
        <f>Table_socioeca8.sandag.org_ws_abm2_f4[[#This Row],[flow_pm]]</f>
        <v>26662</v>
      </c>
    </row>
    <row r="552" spans="5:15" x14ac:dyDescent="0.25">
      <c r="E552">
        <v>12267</v>
      </c>
      <c r="F552">
        <f t="shared" si="8"/>
        <v>259</v>
      </c>
      <c r="G552">
        <f>IFERROR(VLOOKUP(Table_socioeca8.sandag.org_ws_abm2_f4[[#This Row],[hwycov_id]],[2]flow_freeway!$A$2:$E$1643,3,FALSE),0)</f>
        <v>75274</v>
      </c>
      <c r="H552">
        <f>IFERROR(VLOOKUP(Table_socioeca8.sandag.org_ws_abm2_f4[[#This Row],[hwycov_id]],[2]flow_freeway!$A$2:$E$1643,4,FALSE),0)</f>
        <v>14671</v>
      </c>
      <c r="I552">
        <f>IFERROR(VLOOKUP(Table_socioeca8.sandag.org_ws_abm2_f4[[#This Row],[hwycov_id]],[2]flow_freeway!$A$2:$E$1643,5,FALSE),0)</f>
        <v>18285</v>
      </c>
      <c r="K552">
        <f>Table_socioeca8.sandag.org_ws_abm2_f4[[#This Row],[hwycov_id]]</f>
        <v>12267</v>
      </c>
      <c r="L552">
        <f>Table_socioeca8.sandag.org_ws_abm2_f4[[#This Row],[scenario_id]]</f>
        <v>259</v>
      </c>
      <c r="M552">
        <f>Table_socioeca8.sandag.org_ws_abm2_f4[[#This Row],[flow_day]]</f>
        <v>75274</v>
      </c>
      <c r="N552">
        <f>Table_socioeca8.sandag.org_ws_abm2_f4[[#This Row],[flow_am]]</f>
        <v>14671</v>
      </c>
      <c r="O552">
        <f>Table_socioeca8.sandag.org_ws_abm2_f4[[#This Row],[flow_pm]]</f>
        <v>18285</v>
      </c>
    </row>
    <row r="553" spans="5:15" x14ac:dyDescent="0.25">
      <c r="E553">
        <v>12268</v>
      </c>
      <c r="F553">
        <f t="shared" si="8"/>
        <v>259</v>
      </c>
      <c r="G553">
        <f>IFERROR(VLOOKUP(Table_socioeca8.sandag.org_ws_abm2_f4[[#This Row],[hwycov_id]],[2]flow_freeway!$A$2:$E$1643,3,FALSE),0)</f>
        <v>59447</v>
      </c>
      <c r="H553">
        <f>IFERROR(VLOOKUP(Table_socioeca8.sandag.org_ws_abm2_f4[[#This Row],[hwycov_id]],[2]flow_freeway!$A$2:$E$1643,4,FALSE),0)</f>
        <v>12256</v>
      </c>
      <c r="I553">
        <f>IFERROR(VLOOKUP(Table_socioeca8.sandag.org_ws_abm2_f4[[#This Row],[hwycov_id]],[2]flow_freeway!$A$2:$E$1643,5,FALSE),0)</f>
        <v>14668</v>
      </c>
      <c r="K553">
        <f>Table_socioeca8.sandag.org_ws_abm2_f4[[#This Row],[hwycov_id]]</f>
        <v>12268</v>
      </c>
      <c r="L553">
        <f>Table_socioeca8.sandag.org_ws_abm2_f4[[#This Row],[scenario_id]]</f>
        <v>259</v>
      </c>
      <c r="M553">
        <f>Table_socioeca8.sandag.org_ws_abm2_f4[[#This Row],[flow_day]]</f>
        <v>59447</v>
      </c>
      <c r="N553">
        <f>Table_socioeca8.sandag.org_ws_abm2_f4[[#This Row],[flow_am]]</f>
        <v>12256</v>
      </c>
      <c r="O553">
        <f>Table_socioeca8.sandag.org_ws_abm2_f4[[#This Row],[flow_pm]]</f>
        <v>14668</v>
      </c>
    </row>
    <row r="554" spans="5:15" x14ac:dyDescent="0.25">
      <c r="E554">
        <v>12270</v>
      </c>
      <c r="F554">
        <f t="shared" si="8"/>
        <v>259</v>
      </c>
      <c r="G554">
        <f>IFERROR(VLOOKUP(Table_socioeca8.sandag.org_ws_abm2_f4[[#This Row],[hwycov_id]],[2]flow_freeway!$A$2:$E$1643,3,FALSE),0)</f>
        <v>77959</v>
      </c>
      <c r="H554">
        <f>IFERROR(VLOOKUP(Table_socioeca8.sandag.org_ws_abm2_f4[[#This Row],[hwycov_id]],[2]flow_freeway!$A$2:$E$1643,4,FALSE),0)</f>
        <v>15282</v>
      </c>
      <c r="I554">
        <f>IFERROR(VLOOKUP(Table_socioeca8.sandag.org_ws_abm2_f4[[#This Row],[hwycov_id]],[2]flow_freeway!$A$2:$E$1643,5,FALSE),0)</f>
        <v>16372</v>
      </c>
      <c r="K554">
        <f>Table_socioeca8.sandag.org_ws_abm2_f4[[#This Row],[hwycov_id]]</f>
        <v>12270</v>
      </c>
      <c r="L554">
        <f>Table_socioeca8.sandag.org_ws_abm2_f4[[#This Row],[scenario_id]]</f>
        <v>259</v>
      </c>
      <c r="M554">
        <f>Table_socioeca8.sandag.org_ws_abm2_f4[[#This Row],[flow_day]]</f>
        <v>77959</v>
      </c>
      <c r="N554">
        <f>Table_socioeca8.sandag.org_ws_abm2_f4[[#This Row],[flow_am]]</f>
        <v>15282</v>
      </c>
      <c r="O554">
        <f>Table_socioeca8.sandag.org_ws_abm2_f4[[#This Row],[flow_pm]]</f>
        <v>16372</v>
      </c>
    </row>
    <row r="555" spans="5:15" x14ac:dyDescent="0.25">
      <c r="E555">
        <v>12547</v>
      </c>
      <c r="F555">
        <f t="shared" si="8"/>
        <v>259</v>
      </c>
      <c r="G555">
        <f>IFERROR(VLOOKUP(Table_socioeca8.sandag.org_ws_abm2_f4[[#This Row],[hwycov_id]],[2]flow_freeway!$A$2:$E$1643,3,FALSE),0)</f>
        <v>56152</v>
      </c>
      <c r="H555">
        <f>IFERROR(VLOOKUP(Table_socioeca8.sandag.org_ws_abm2_f4[[#This Row],[hwycov_id]],[2]flow_freeway!$A$2:$E$1643,4,FALSE),0)</f>
        <v>12404</v>
      </c>
      <c r="I555">
        <f>IFERROR(VLOOKUP(Table_socioeca8.sandag.org_ws_abm2_f4[[#This Row],[hwycov_id]],[2]flow_freeway!$A$2:$E$1643,5,FALSE),0)</f>
        <v>11972</v>
      </c>
      <c r="K555">
        <f>Table_socioeca8.sandag.org_ws_abm2_f4[[#This Row],[hwycov_id]]</f>
        <v>12547</v>
      </c>
      <c r="L555">
        <f>Table_socioeca8.sandag.org_ws_abm2_f4[[#This Row],[scenario_id]]</f>
        <v>259</v>
      </c>
      <c r="M555">
        <f>Table_socioeca8.sandag.org_ws_abm2_f4[[#This Row],[flow_day]]</f>
        <v>56152</v>
      </c>
      <c r="N555">
        <f>Table_socioeca8.sandag.org_ws_abm2_f4[[#This Row],[flow_am]]</f>
        <v>12404</v>
      </c>
      <c r="O555">
        <f>Table_socioeca8.sandag.org_ws_abm2_f4[[#This Row],[flow_pm]]</f>
        <v>11972</v>
      </c>
    </row>
    <row r="556" spans="5:15" x14ac:dyDescent="0.25">
      <c r="E556">
        <v>12571</v>
      </c>
      <c r="F556">
        <f t="shared" si="8"/>
        <v>259</v>
      </c>
      <c r="G556">
        <f>IFERROR(VLOOKUP(Table_socioeca8.sandag.org_ws_abm2_f4[[#This Row],[hwycov_id]],[2]flow_freeway!$A$2:$E$1643,3,FALSE),0)</f>
        <v>63541</v>
      </c>
      <c r="H556">
        <f>IFERROR(VLOOKUP(Table_socioeca8.sandag.org_ws_abm2_f4[[#This Row],[hwycov_id]],[2]flow_freeway!$A$2:$E$1643,4,FALSE),0)</f>
        <v>13799</v>
      </c>
      <c r="I556">
        <f>IFERROR(VLOOKUP(Table_socioeca8.sandag.org_ws_abm2_f4[[#This Row],[hwycov_id]],[2]flow_freeway!$A$2:$E$1643,5,FALSE),0)</f>
        <v>14175</v>
      </c>
      <c r="K556">
        <f>Table_socioeca8.sandag.org_ws_abm2_f4[[#This Row],[hwycov_id]]</f>
        <v>12571</v>
      </c>
      <c r="L556">
        <f>Table_socioeca8.sandag.org_ws_abm2_f4[[#This Row],[scenario_id]]</f>
        <v>259</v>
      </c>
      <c r="M556">
        <f>Table_socioeca8.sandag.org_ws_abm2_f4[[#This Row],[flow_day]]</f>
        <v>63541</v>
      </c>
      <c r="N556">
        <f>Table_socioeca8.sandag.org_ws_abm2_f4[[#This Row],[flow_am]]</f>
        <v>13799</v>
      </c>
      <c r="O556">
        <f>Table_socioeca8.sandag.org_ws_abm2_f4[[#This Row],[flow_pm]]</f>
        <v>14175</v>
      </c>
    </row>
    <row r="557" spans="5:15" x14ac:dyDescent="0.25">
      <c r="E557">
        <v>12572</v>
      </c>
      <c r="F557">
        <f t="shared" si="8"/>
        <v>259</v>
      </c>
      <c r="G557">
        <f>IFERROR(VLOOKUP(Table_socioeca8.sandag.org_ws_abm2_f4[[#This Row],[hwycov_id]],[2]flow_freeway!$A$2:$E$1643,3,FALSE),0)</f>
        <v>63541</v>
      </c>
      <c r="H557">
        <f>IFERROR(VLOOKUP(Table_socioeca8.sandag.org_ws_abm2_f4[[#This Row],[hwycov_id]],[2]flow_freeway!$A$2:$E$1643,4,FALSE),0)</f>
        <v>13799</v>
      </c>
      <c r="I557">
        <f>IFERROR(VLOOKUP(Table_socioeca8.sandag.org_ws_abm2_f4[[#This Row],[hwycov_id]],[2]flow_freeway!$A$2:$E$1643,5,FALSE),0)</f>
        <v>14175</v>
      </c>
      <c r="K557">
        <f>Table_socioeca8.sandag.org_ws_abm2_f4[[#This Row],[hwycov_id]]</f>
        <v>12572</v>
      </c>
      <c r="L557">
        <f>Table_socioeca8.sandag.org_ws_abm2_f4[[#This Row],[scenario_id]]</f>
        <v>259</v>
      </c>
      <c r="M557">
        <f>Table_socioeca8.sandag.org_ws_abm2_f4[[#This Row],[flow_day]]</f>
        <v>63541</v>
      </c>
      <c r="N557">
        <f>Table_socioeca8.sandag.org_ws_abm2_f4[[#This Row],[flow_am]]</f>
        <v>13799</v>
      </c>
      <c r="O557">
        <f>Table_socioeca8.sandag.org_ws_abm2_f4[[#This Row],[flow_pm]]</f>
        <v>14175</v>
      </c>
    </row>
    <row r="558" spans="5:15" x14ac:dyDescent="0.25">
      <c r="E558">
        <v>12573</v>
      </c>
      <c r="F558">
        <f t="shared" si="8"/>
        <v>259</v>
      </c>
      <c r="G558">
        <f>IFERROR(VLOOKUP(Table_socioeca8.sandag.org_ws_abm2_f4[[#This Row],[hwycov_id]],[2]flow_freeway!$A$2:$E$1643,3,FALSE),0)</f>
        <v>63328</v>
      </c>
      <c r="H558">
        <f>IFERROR(VLOOKUP(Table_socioeca8.sandag.org_ws_abm2_f4[[#This Row],[hwycov_id]],[2]flow_freeway!$A$2:$E$1643,4,FALSE),0)</f>
        <v>10874</v>
      </c>
      <c r="I558">
        <f>IFERROR(VLOOKUP(Table_socioeca8.sandag.org_ws_abm2_f4[[#This Row],[hwycov_id]],[2]flow_freeway!$A$2:$E$1643,5,FALSE),0)</f>
        <v>16516</v>
      </c>
      <c r="K558">
        <f>Table_socioeca8.sandag.org_ws_abm2_f4[[#This Row],[hwycov_id]]</f>
        <v>12573</v>
      </c>
      <c r="L558">
        <f>Table_socioeca8.sandag.org_ws_abm2_f4[[#This Row],[scenario_id]]</f>
        <v>259</v>
      </c>
      <c r="M558">
        <f>Table_socioeca8.sandag.org_ws_abm2_f4[[#This Row],[flow_day]]</f>
        <v>63328</v>
      </c>
      <c r="N558">
        <f>Table_socioeca8.sandag.org_ws_abm2_f4[[#This Row],[flow_am]]</f>
        <v>10874</v>
      </c>
      <c r="O558">
        <f>Table_socioeca8.sandag.org_ws_abm2_f4[[#This Row],[flow_pm]]</f>
        <v>16516</v>
      </c>
    </row>
    <row r="559" spans="5:15" x14ac:dyDescent="0.25">
      <c r="E559">
        <v>12574</v>
      </c>
      <c r="F559">
        <f t="shared" si="8"/>
        <v>259</v>
      </c>
      <c r="G559">
        <f>IFERROR(VLOOKUP(Table_socioeca8.sandag.org_ws_abm2_f4[[#This Row],[hwycov_id]],[2]flow_freeway!$A$2:$E$1643,3,FALSE),0)</f>
        <v>63328</v>
      </c>
      <c r="H559">
        <f>IFERROR(VLOOKUP(Table_socioeca8.sandag.org_ws_abm2_f4[[#This Row],[hwycov_id]],[2]flow_freeway!$A$2:$E$1643,4,FALSE),0)</f>
        <v>10874</v>
      </c>
      <c r="I559">
        <f>IFERROR(VLOOKUP(Table_socioeca8.sandag.org_ws_abm2_f4[[#This Row],[hwycov_id]],[2]flow_freeway!$A$2:$E$1643,5,FALSE),0)</f>
        <v>16516</v>
      </c>
      <c r="K559">
        <f>Table_socioeca8.sandag.org_ws_abm2_f4[[#This Row],[hwycov_id]]</f>
        <v>12574</v>
      </c>
      <c r="L559">
        <f>Table_socioeca8.sandag.org_ws_abm2_f4[[#This Row],[scenario_id]]</f>
        <v>259</v>
      </c>
      <c r="M559">
        <f>Table_socioeca8.sandag.org_ws_abm2_f4[[#This Row],[flow_day]]</f>
        <v>63328</v>
      </c>
      <c r="N559">
        <f>Table_socioeca8.sandag.org_ws_abm2_f4[[#This Row],[flow_am]]</f>
        <v>10874</v>
      </c>
      <c r="O559">
        <f>Table_socioeca8.sandag.org_ws_abm2_f4[[#This Row],[flow_pm]]</f>
        <v>16516</v>
      </c>
    </row>
    <row r="560" spans="5:15" x14ac:dyDescent="0.25">
      <c r="E560">
        <v>12578</v>
      </c>
      <c r="F560">
        <f t="shared" si="8"/>
        <v>259</v>
      </c>
      <c r="G560">
        <f>IFERROR(VLOOKUP(Table_socioeca8.sandag.org_ws_abm2_f4[[#This Row],[hwycov_id]],[2]flow_freeway!$A$2:$E$1643,3,FALSE),0)</f>
        <v>49290</v>
      </c>
      <c r="H560">
        <f>IFERROR(VLOOKUP(Table_socioeca8.sandag.org_ws_abm2_f4[[#This Row],[hwycov_id]],[2]flow_freeway!$A$2:$E$1643,4,FALSE),0)</f>
        <v>11239</v>
      </c>
      <c r="I560">
        <f>IFERROR(VLOOKUP(Table_socioeca8.sandag.org_ws_abm2_f4[[#This Row],[hwycov_id]],[2]flow_freeway!$A$2:$E$1643,5,FALSE),0)</f>
        <v>11273</v>
      </c>
      <c r="K560">
        <f>Table_socioeca8.sandag.org_ws_abm2_f4[[#This Row],[hwycov_id]]</f>
        <v>12578</v>
      </c>
      <c r="L560">
        <f>Table_socioeca8.sandag.org_ws_abm2_f4[[#This Row],[scenario_id]]</f>
        <v>259</v>
      </c>
      <c r="M560">
        <f>Table_socioeca8.sandag.org_ws_abm2_f4[[#This Row],[flow_day]]</f>
        <v>49290</v>
      </c>
      <c r="N560">
        <f>Table_socioeca8.sandag.org_ws_abm2_f4[[#This Row],[flow_am]]</f>
        <v>11239</v>
      </c>
      <c r="O560">
        <f>Table_socioeca8.sandag.org_ws_abm2_f4[[#This Row],[flow_pm]]</f>
        <v>11273</v>
      </c>
    </row>
    <row r="561" spans="5:15" x14ac:dyDescent="0.25">
      <c r="E561">
        <v>12579</v>
      </c>
      <c r="F561">
        <f t="shared" si="8"/>
        <v>259</v>
      </c>
      <c r="G561">
        <f>IFERROR(VLOOKUP(Table_socioeca8.sandag.org_ws_abm2_f4[[#This Row],[hwycov_id]],[2]flow_freeway!$A$2:$E$1643,3,FALSE),0)</f>
        <v>55418</v>
      </c>
      <c r="H561">
        <f>IFERROR(VLOOKUP(Table_socioeca8.sandag.org_ws_abm2_f4[[#This Row],[hwycov_id]],[2]flow_freeway!$A$2:$E$1643,4,FALSE),0)</f>
        <v>12289</v>
      </c>
      <c r="I561">
        <f>IFERROR(VLOOKUP(Table_socioeca8.sandag.org_ws_abm2_f4[[#This Row],[hwycov_id]],[2]flow_freeway!$A$2:$E$1643,5,FALSE),0)</f>
        <v>12740</v>
      </c>
      <c r="K561">
        <f>Table_socioeca8.sandag.org_ws_abm2_f4[[#This Row],[hwycov_id]]</f>
        <v>12579</v>
      </c>
      <c r="L561">
        <f>Table_socioeca8.sandag.org_ws_abm2_f4[[#This Row],[scenario_id]]</f>
        <v>259</v>
      </c>
      <c r="M561">
        <f>Table_socioeca8.sandag.org_ws_abm2_f4[[#This Row],[flow_day]]</f>
        <v>55418</v>
      </c>
      <c r="N561">
        <f>Table_socioeca8.sandag.org_ws_abm2_f4[[#This Row],[flow_am]]</f>
        <v>12289</v>
      </c>
      <c r="O561">
        <f>Table_socioeca8.sandag.org_ws_abm2_f4[[#This Row],[flow_pm]]</f>
        <v>12740</v>
      </c>
    </row>
    <row r="562" spans="5:15" x14ac:dyDescent="0.25">
      <c r="E562">
        <v>12582</v>
      </c>
      <c r="F562">
        <f t="shared" si="8"/>
        <v>259</v>
      </c>
      <c r="G562">
        <f>IFERROR(VLOOKUP(Table_socioeca8.sandag.org_ws_abm2_f4[[#This Row],[hwycov_id]],[2]flow_freeway!$A$2:$E$1643,3,FALSE),0)</f>
        <v>99951</v>
      </c>
      <c r="H562">
        <f>IFERROR(VLOOKUP(Table_socioeca8.sandag.org_ws_abm2_f4[[#This Row],[hwycov_id]],[2]flow_freeway!$A$2:$E$1643,4,FALSE),0)</f>
        <v>23173</v>
      </c>
      <c r="I562">
        <f>IFERROR(VLOOKUP(Table_socioeca8.sandag.org_ws_abm2_f4[[#This Row],[hwycov_id]],[2]flow_freeway!$A$2:$E$1643,5,FALSE),0)</f>
        <v>18276</v>
      </c>
      <c r="K562">
        <f>Table_socioeca8.sandag.org_ws_abm2_f4[[#This Row],[hwycov_id]]</f>
        <v>12582</v>
      </c>
      <c r="L562">
        <f>Table_socioeca8.sandag.org_ws_abm2_f4[[#This Row],[scenario_id]]</f>
        <v>259</v>
      </c>
      <c r="M562">
        <f>Table_socioeca8.sandag.org_ws_abm2_f4[[#This Row],[flow_day]]</f>
        <v>99951</v>
      </c>
      <c r="N562">
        <f>Table_socioeca8.sandag.org_ws_abm2_f4[[#This Row],[flow_am]]</f>
        <v>23173</v>
      </c>
      <c r="O562">
        <f>Table_socioeca8.sandag.org_ws_abm2_f4[[#This Row],[flow_pm]]</f>
        <v>18276</v>
      </c>
    </row>
    <row r="563" spans="5:15" x14ac:dyDescent="0.25">
      <c r="E563">
        <v>12583</v>
      </c>
      <c r="F563">
        <f t="shared" si="8"/>
        <v>259</v>
      </c>
      <c r="G563">
        <f>IFERROR(VLOOKUP(Table_socioeca8.sandag.org_ws_abm2_f4[[#This Row],[hwycov_id]],[2]flow_freeway!$A$2:$E$1643,3,FALSE),0)</f>
        <v>94051</v>
      </c>
      <c r="H563">
        <f>IFERROR(VLOOKUP(Table_socioeca8.sandag.org_ws_abm2_f4[[#This Row],[hwycov_id]],[2]flow_freeway!$A$2:$E$1643,4,FALSE),0)</f>
        <v>22197</v>
      </c>
      <c r="I563">
        <f>IFERROR(VLOOKUP(Table_socioeca8.sandag.org_ws_abm2_f4[[#This Row],[hwycov_id]],[2]flow_freeway!$A$2:$E$1643,5,FALSE),0)</f>
        <v>17028</v>
      </c>
      <c r="K563">
        <f>Table_socioeca8.sandag.org_ws_abm2_f4[[#This Row],[hwycov_id]]</f>
        <v>12583</v>
      </c>
      <c r="L563">
        <f>Table_socioeca8.sandag.org_ws_abm2_f4[[#This Row],[scenario_id]]</f>
        <v>259</v>
      </c>
      <c r="M563">
        <f>Table_socioeca8.sandag.org_ws_abm2_f4[[#This Row],[flow_day]]</f>
        <v>94051</v>
      </c>
      <c r="N563">
        <f>Table_socioeca8.sandag.org_ws_abm2_f4[[#This Row],[flow_am]]</f>
        <v>22197</v>
      </c>
      <c r="O563">
        <f>Table_socioeca8.sandag.org_ws_abm2_f4[[#This Row],[flow_pm]]</f>
        <v>17028</v>
      </c>
    </row>
    <row r="564" spans="5:15" x14ac:dyDescent="0.25">
      <c r="E564">
        <v>12584</v>
      </c>
      <c r="F564">
        <f t="shared" si="8"/>
        <v>259</v>
      </c>
      <c r="G564">
        <f>IFERROR(VLOOKUP(Table_socioeca8.sandag.org_ws_abm2_f4[[#This Row],[hwycov_id]],[2]flow_freeway!$A$2:$E$1643,3,FALSE),0)</f>
        <v>94760</v>
      </c>
      <c r="H564">
        <f>IFERROR(VLOOKUP(Table_socioeca8.sandag.org_ws_abm2_f4[[#This Row],[hwycov_id]],[2]flow_freeway!$A$2:$E$1643,4,FALSE),0)</f>
        <v>14546</v>
      </c>
      <c r="I564">
        <f>IFERROR(VLOOKUP(Table_socioeca8.sandag.org_ws_abm2_f4[[#This Row],[hwycov_id]],[2]flow_freeway!$A$2:$E$1643,5,FALSE),0)</f>
        <v>27327</v>
      </c>
      <c r="K564">
        <f>Table_socioeca8.sandag.org_ws_abm2_f4[[#This Row],[hwycov_id]]</f>
        <v>12584</v>
      </c>
      <c r="L564">
        <f>Table_socioeca8.sandag.org_ws_abm2_f4[[#This Row],[scenario_id]]</f>
        <v>259</v>
      </c>
      <c r="M564">
        <f>Table_socioeca8.sandag.org_ws_abm2_f4[[#This Row],[flow_day]]</f>
        <v>94760</v>
      </c>
      <c r="N564">
        <f>Table_socioeca8.sandag.org_ws_abm2_f4[[#This Row],[flow_am]]</f>
        <v>14546</v>
      </c>
      <c r="O564">
        <f>Table_socioeca8.sandag.org_ws_abm2_f4[[#This Row],[flow_pm]]</f>
        <v>27327</v>
      </c>
    </row>
    <row r="565" spans="5:15" x14ac:dyDescent="0.25">
      <c r="E565">
        <v>12585</v>
      </c>
      <c r="F565">
        <f t="shared" si="8"/>
        <v>259</v>
      </c>
      <c r="G565">
        <f>IFERROR(VLOOKUP(Table_socioeca8.sandag.org_ws_abm2_f4[[#This Row],[hwycov_id]],[2]flow_freeway!$A$2:$E$1643,3,FALSE),0)</f>
        <v>102692</v>
      </c>
      <c r="H565">
        <f>IFERROR(VLOOKUP(Table_socioeca8.sandag.org_ws_abm2_f4[[#This Row],[hwycov_id]],[2]flow_freeway!$A$2:$E$1643,4,FALSE),0)</f>
        <v>16009</v>
      </c>
      <c r="I565">
        <f>IFERROR(VLOOKUP(Table_socioeca8.sandag.org_ws_abm2_f4[[#This Row],[hwycov_id]],[2]flow_freeway!$A$2:$E$1643,5,FALSE),0)</f>
        <v>29600</v>
      </c>
      <c r="K565">
        <f>Table_socioeca8.sandag.org_ws_abm2_f4[[#This Row],[hwycov_id]]</f>
        <v>12585</v>
      </c>
      <c r="L565">
        <f>Table_socioeca8.sandag.org_ws_abm2_f4[[#This Row],[scenario_id]]</f>
        <v>259</v>
      </c>
      <c r="M565">
        <f>Table_socioeca8.sandag.org_ws_abm2_f4[[#This Row],[flow_day]]</f>
        <v>102692</v>
      </c>
      <c r="N565">
        <f>Table_socioeca8.sandag.org_ws_abm2_f4[[#This Row],[flow_am]]</f>
        <v>16009</v>
      </c>
      <c r="O565">
        <f>Table_socioeca8.sandag.org_ws_abm2_f4[[#This Row],[flow_pm]]</f>
        <v>29600</v>
      </c>
    </row>
    <row r="566" spans="5:15" x14ac:dyDescent="0.25">
      <c r="E566">
        <v>12586</v>
      </c>
      <c r="F566">
        <f t="shared" si="8"/>
        <v>259</v>
      </c>
      <c r="G566">
        <f>IFERROR(VLOOKUP(Table_socioeca8.sandag.org_ws_abm2_f4[[#This Row],[hwycov_id]],[2]flow_freeway!$A$2:$E$1643,3,FALSE),0)</f>
        <v>100249</v>
      </c>
      <c r="H566">
        <f>IFERROR(VLOOKUP(Table_socioeca8.sandag.org_ws_abm2_f4[[#This Row],[hwycov_id]],[2]flow_freeway!$A$2:$E$1643,4,FALSE),0)</f>
        <v>23278</v>
      </c>
      <c r="I566">
        <f>IFERROR(VLOOKUP(Table_socioeca8.sandag.org_ws_abm2_f4[[#This Row],[hwycov_id]],[2]flow_freeway!$A$2:$E$1643,5,FALSE),0)</f>
        <v>18417</v>
      </c>
      <c r="K566">
        <f>Table_socioeca8.sandag.org_ws_abm2_f4[[#This Row],[hwycov_id]]</f>
        <v>12586</v>
      </c>
      <c r="L566">
        <f>Table_socioeca8.sandag.org_ws_abm2_f4[[#This Row],[scenario_id]]</f>
        <v>259</v>
      </c>
      <c r="M566">
        <f>Table_socioeca8.sandag.org_ws_abm2_f4[[#This Row],[flow_day]]</f>
        <v>100249</v>
      </c>
      <c r="N566">
        <f>Table_socioeca8.sandag.org_ws_abm2_f4[[#This Row],[flow_am]]</f>
        <v>23278</v>
      </c>
      <c r="O566">
        <f>Table_socioeca8.sandag.org_ws_abm2_f4[[#This Row],[flow_pm]]</f>
        <v>18417</v>
      </c>
    </row>
    <row r="567" spans="5:15" x14ac:dyDescent="0.25">
      <c r="E567">
        <v>12589</v>
      </c>
      <c r="F567">
        <f t="shared" si="8"/>
        <v>259</v>
      </c>
      <c r="G567">
        <f>IFERROR(VLOOKUP(Table_socioeca8.sandag.org_ws_abm2_f4[[#This Row],[hwycov_id]],[2]flow_freeway!$A$2:$E$1643,3,FALSE),0)</f>
        <v>97093</v>
      </c>
      <c r="H567">
        <f>IFERROR(VLOOKUP(Table_socioeca8.sandag.org_ws_abm2_f4[[#This Row],[hwycov_id]],[2]flow_freeway!$A$2:$E$1643,4,FALSE),0)</f>
        <v>22541</v>
      </c>
      <c r="I567">
        <f>IFERROR(VLOOKUP(Table_socioeca8.sandag.org_ws_abm2_f4[[#This Row],[hwycov_id]],[2]flow_freeway!$A$2:$E$1643,5,FALSE),0)</f>
        <v>17682</v>
      </c>
      <c r="K567">
        <f>Table_socioeca8.sandag.org_ws_abm2_f4[[#This Row],[hwycov_id]]</f>
        <v>12589</v>
      </c>
      <c r="L567">
        <f>Table_socioeca8.sandag.org_ws_abm2_f4[[#This Row],[scenario_id]]</f>
        <v>259</v>
      </c>
      <c r="M567">
        <f>Table_socioeca8.sandag.org_ws_abm2_f4[[#This Row],[flow_day]]</f>
        <v>97093</v>
      </c>
      <c r="N567">
        <f>Table_socioeca8.sandag.org_ws_abm2_f4[[#This Row],[flow_am]]</f>
        <v>22541</v>
      </c>
      <c r="O567">
        <f>Table_socioeca8.sandag.org_ws_abm2_f4[[#This Row],[flow_pm]]</f>
        <v>17682</v>
      </c>
    </row>
    <row r="568" spans="5:15" x14ac:dyDescent="0.25">
      <c r="E568">
        <v>12591</v>
      </c>
      <c r="F568">
        <f t="shared" si="8"/>
        <v>259</v>
      </c>
      <c r="G568">
        <f>IFERROR(VLOOKUP(Table_socioeca8.sandag.org_ws_abm2_f4[[#This Row],[hwycov_id]],[2]flow_freeway!$A$2:$E$1643,3,FALSE),0)</f>
        <v>101630</v>
      </c>
      <c r="H568">
        <f>IFERROR(VLOOKUP(Table_socioeca8.sandag.org_ws_abm2_f4[[#This Row],[hwycov_id]],[2]flow_freeway!$A$2:$E$1643,4,FALSE),0)</f>
        <v>15894</v>
      </c>
      <c r="I568">
        <f>IFERROR(VLOOKUP(Table_socioeca8.sandag.org_ws_abm2_f4[[#This Row],[hwycov_id]],[2]flow_freeway!$A$2:$E$1643,5,FALSE),0)</f>
        <v>29304</v>
      </c>
      <c r="K568">
        <f>Table_socioeca8.sandag.org_ws_abm2_f4[[#This Row],[hwycov_id]]</f>
        <v>12591</v>
      </c>
      <c r="L568">
        <f>Table_socioeca8.sandag.org_ws_abm2_f4[[#This Row],[scenario_id]]</f>
        <v>259</v>
      </c>
      <c r="M568">
        <f>Table_socioeca8.sandag.org_ws_abm2_f4[[#This Row],[flow_day]]</f>
        <v>101630</v>
      </c>
      <c r="N568">
        <f>Table_socioeca8.sandag.org_ws_abm2_f4[[#This Row],[flow_am]]</f>
        <v>15894</v>
      </c>
      <c r="O568">
        <f>Table_socioeca8.sandag.org_ws_abm2_f4[[#This Row],[flow_pm]]</f>
        <v>29304</v>
      </c>
    </row>
    <row r="569" spans="5:15" x14ac:dyDescent="0.25">
      <c r="E569">
        <v>12592</v>
      </c>
      <c r="F569">
        <f t="shared" si="8"/>
        <v>259</v>
      </c>
      <c r="G569">
        <f>IFERROR(VLOOKUP(Table_socioeca8.sandag.org_ws_abm2_f4[[#This Row],[hwycov_id]],[2]flow_freeway!$A$2:$E$1643,3,FALSE),0)</f>
        <v>97768</v>
      </c>
      <c r="H569">
        <f>IFERROR(VLOOKUP(Table_socioeca8.sandag.org_ws_abm2_f4[[#This Row],[hwycov_id]],[2]flow_freeway!$A$2:$E$1643,4,FALSE),0)</f>
        <v>14860</v>
      </c>
      <c r="I569">
        <f>IFERROR(VLOOKUP(Table_socioeca8.sandag.org_ws_abm2_f4[[#This Row],[hwycov_id]],[2]flow_freeway!$A$2:$E$1643,5,FALSE),0)</f>
        <v>27822</v>
      </c>
      <c r="K569">
        <f>Table_socioeca8.sandag.org_ws_abm2_f4[[#This Row],[hwycov_id]]</f>
        <v>12592</v>
      </c>
      <c r="L569">
        <f>Table_socioeca8.sandag.org_ws_abm2_f4[[#This Row],[scenario_id]]</f>
        <v>259</v>
      </c>
      <c r="M569">
        <f>Table_socioeca8.sandag.org_ws_abm2_f4[[#This Row],[flow_day]]</f>
        <v>97768</v>
      </c>
      <c r="N569">
        <f>Table_socioeca8.sandag.org_ws_abm2_f4[[#This Row],[flow_am]]</f>
        <v>14860</v>
      </c>
      <c r="O569">
        <f>Table_socioeca8.sandag.org_ws_abm2_f4[[#This Row],[flow_pm]]</f>
        <v>27822</v>
      </c>
    </row>
    <row r="570" spans="5:15" x14ac:dyDescent="0.25">
      <c r="E570">
        <v>12593</v>
      </c>
      <c r="F570">
        <f t="shared" si="8"/>
        <v>259</v>
      </c>
      <c r="G570">
        <f>IFERROR(VLOOKUP(Table_socioeca8.sandag.org_ws_abm2_f4[[#This Row],[hwycov_id]],[2]flow_freeway!$A$2:$E$1643,3,FALSE),0)</f>
        <v>101656</v>
      </c>
      <c r="H570">
        <f>IFERROR(VLOOKUP(Table_socioeca8.sandag.org_ws_abm2_f4[[#This Row],[hwycov_id]],[2]flow_freeway!$A$2:$E$1643,4,FALSE),0)</f>
        <v>15772</v>
      </c>
      <c r="I570">
        <f>IFERROR(VLOOKUP(Table_socioeca8.sandag.org_ws_abm2_f4[[#This Row],[hwycov_id]],[2]flow_freeway!$A$2:$E$1643,5,FALSE),0)</f>
        <v>28981</v>
      </c>
      <c r="K570">
        <f>Table_socioeca8.sandag.org_ws_abm2_f4[[#This Row],[hwycov_id]]</f>
        <v>12593</v>
      </c>
      <c r="L570">
        <f>Table_socioeca8.sandag.org_ws_abm2_f4[[#This Row],[scenario_id]]</f>
        <v>259</v>
      </c>
      <c r="M570">
        <f>Table_socioeca8.sandag.org_ws_abm2_f4[[#This Row],[flow_day]]</f>
        <v>101656</v>
      </c>
      <c r="N570">
        <f>Table_socioeca8.sandag.org_ws_abm2_f4[[#This Row],[flow_am]]</f>
        <v>15772</v>
      </c>
      <c r="O570">
        <f>Table_socioeca8.sandag.org_ws_abm2_f4[[#This Row],[flow_pm]]</f>
        <v>28981</v>
      </c>
    </row>
    <row r="571" spans="5:15" x14ac:dyDescent="0.25">
      <c r="E571">
        <v>12749</v>
      </c>
      <c r="F571">
        <f t="shared" si="8"/>
        <v>259</v>
      </c>
      <c r="G571">
        <f>IFERROR(VLOOKUP(Table_socioeca8.sandag.org_ws_abm2_f4[[#This Row],[hwycov_id]],[2]flow_freeway!$A$2:$E$1643,3,FALSE),0)</f>
        <v>100412</v>
      </c>
      <c r="H571">
        <f>IFERROR(VLOOKUP(Table_socioeca8.sandag.org_ws_abm2_f4[[#This Row],[hwycov_id]],[2]flow_freeway!$A$2:$E$1643,4,FALSE),0)</f>
        <v>16915</v>
      </c>
      <c r="I571">
        <f>IFERROR(VLOOKUP(Table_socioeca8.sandag.org_ws_abm2_f4[[#This Row],[hwycov_id]],[2]flow_freeway!$A$2:$E$1643,5,FALSE),0)</f>
        <v>27283</v>
      </c>
      <c r="K571">
        <f>Table_socioeca8.sandag.org_ws_abm2_f4[[#This Row],[hwycov_id]]</f>
        <v>12749</v>
      </c>
      <c r="L571">
        <f>Table_socioeca8.sandag.org_ws_abm2_f4[[#This Row],[scenario_id]]</f>
        <v>259</v>
      </c>
      <c r="M571">
        <f>Table_socioeca8.sandag.org_ws_abm2_f4[[#This Row],[flow_day]]</f>
        <v>100412</v>
      </c>
      <c r="N571">
        <f>Table_socioeca8.sandag.org_ws_abm2_f4[[#This Row],[flow_am]]</f>
        <v>16915</v>
      </c>
      <c r="O571">
        <f>Table_socioeca8.sandag.org_ws_abm2_f4[[#This Row],[flow_pm]]</f>
        <v>27283</v>
      </c>
    </row>
    <row r="572" spans="5:15" x14ac:dyDescent="0.25">
      <c r="E572">
        <v>12750</v>
      </c>
      <c r="F572">
        <f t="shared" si="8"/>
        <v>259</v>
      </c>
      <c r="G572">
        <f>IFERROR(VLOOKUP(Table_socioeca8.sandag.org_ws_abm2_f4[[#This Row],[hwycov_id]],[2]flow_freeway!$A$2:$E$1643,3,FALSE),0)</f>
        <v>60777</v>
      </c>
      <c r="H572">
        <f>IFERROR(VLOOKUP(Table_socioeca8.sandag.org_ws_abm2_f4[[#This Row],[hwycov_id]],[2]flow_freeway!$A$2:$E$1643,4,FALSE),0)</f>
        <v>11898</v>
      </c>
      <c r="I572">
        <f>IFERROR(VLOOKUP(Table_socioeca8.sandag.org_ws_abm2_f4[[#This Row],[hwycov_id]],[2]flow_freeway!$A$2:$E$1643,5,FALSE),0)</f>
        <v>12771</v>
      </c>
      <c r="K572">
        <f>Table_socioeca8.sandag.org_ws_abm2_f4[[#This Row],[hwycov_id]]</f>
        <v>12750</v>
      </c>
      <c r="L572">
        <f>Table_socioeca8.sandag.org_ws_abm2_f4[[#This Row],[scenario_id]]</f>
        <v>259</v>
      </c>
      <c r="M572">
        <f>Table_socioeca8.sandag.org_ws_abm2_f4[[#This Row],[flow_day]]</f>
        <v>60777</v>
      </c>
      <c r="N572">
        <f>Table_socioeca8.sandag.org_ws_abm2_f4[[#This Row],[flow_am]]</f>
        <v>11898</v>
      </c>
      <c r="O572">
        <f>Table_socioeca8.sandag.org_ws_abm2_f4[[#This Row],[flow_pm]]</f>
        <v>12771</v>
      </c>
    </row>
    <row r="573" spans="5:15" x14ac:dyDescent="0.25">
      <c r="E573">
        <v>12753</v>
      </c>
      <c r="F573">
        <f t="shared" si="8"/>
        <v>259</v>
      </c>
      <c r="G573">
        <f>IFERROR(VLOOKUP(Table_socioeca8.sandag.org_ws_abm2_f4[[#This Row],[hwycov_id]],[2]flow_freeway!$A$2:$E$1643,3,FALSE),0)</f>
        <v>60375</v>
      </c>
      <c r="H573">
        <f>IFERROR(VLOOKUP(Table_socioeca8.sandag.org_ws_abm2_f4[[#This Row],[hwycov_id]],[2]flow_freeway!$A$2:$E$1643,4,FALSE),0)</f>
        <v>11849</v>
      </c>
      <c r="I573">
        <f>IFERROR(VLOOKUP(Table_socioeca8.sandag.org_ws_abm2_f4[[#This Row],[hwycov_id]],[2]flow_freeway!$A$2:$E$1643,5,FALSE),0)</f>
        <v>12554</v>
      </c>
      <c r="K573">
        <f>Table_socioeca8.sandag.org_ws_abm2_f4[[#This Row],[hwycov_id]]</f>
        <v>12753</v>
      </c>
      <c r="L573">
        <f>Table_socioeca8.sandag.org_ws_abm2_f4[[#This Row],[scenario_id]]</f>
        <v>259</v>
      </c>
      <c r="M573">
        <f>Table_socioeca8.sandag.org_ws_abm2_f4[[#This Row],[flow_day]]</f>
        <v>60375</v>
      </c>
      <c r="N573">
        <f>Table_socioeca8.sandag.org_ws_abm2_f4[[#This Row],[flow_am]]</f>
        <v>11849</v>
      </c>
      <c r="O573">
        <f>Table_socioeca8.sandag.org_ws_abm2_f4[[#This Row],[flow_pm]]</f>
        <v>12554</v>
      </c>
    </row>
    <row r="574" spans="5:15" x14ac:dyDescent="0.25">
      <c r="E574">
        <v>12758</v>
      </c>
      <c r="F574">
        <f t="shared" si="8"/>
        <v>259</v>
      </c>
      <c r="G574">
        <f>IFERROR(VLOOKUP(Table_socioeca8.sandag.org_ws_abm2_f4[[#This Row],[hwycov_id]],[2]flow_freeway!$A$2:$E$1643,3,FALSE),0)</f>
        <v>60336</v>
      </c>
      <c r="H574">
        <f>IFERROR(VLOOKUP(Table_socioeca8.sandag.org_ws_abm2_f4[[#This Row],[hwycov_id]],[2]flow_freeway!$A$2:$E$1643,4,FALSE),0)</f>
        <v>11837</v>
      </c>
      <c r="I574">
        <f>IFERROR(VLOOKUP(Table_socioeca8.sandag.org_ws_abm2_f4[[#This Row],[hwycov_id]],[2]flow_freeway!$A$2:$E$1643,5,FALSE),0)</f>
        <v>12549</v>
      </c>
      <c r="K574">
        <f>Table_socioeca8.sandag.org_ws_abm2_f4[[#This Row],[hwycov_id]]</f>
        <v>12758</v>
      </c>
      <c r="L574">
        <f>Table_socioeca8.sandag.org_ws_abm2_f4[[#This Row],[scenario_id]]</f>
        <v>259</v>
      </c>
      <c r="M574">
        <f>Table_socioeca8.sandag.org_ws_abm2_f4[[#This Row],[flow_day]]</f>
        <v>60336</v>
      </c>
      <c r="N574">
        <f>Table_socioeca8.sandag.org_ws_abm2_f4[[#This Row],[flow_am]]</f>
        <v>11837</v>
      </c>
      <c r="O574">
        <f>Table_socioeca8.sandag.org_ws_abm2_f4[[#This Row],[flow_pm]]</f>
        <v>12549</v>
      </c>
    </row>
    <row r="575" spans="5:15" x14ac:dyDescent="0.25">
      <c r="E575">
        <v>12759</v>
      </c>
      <c r="F575">
        <f t="shared" si="8"/>
        <v>259</v>
      </c>
      <c r="G575">
        <f>IFERROR(VLOOKUP(Table_socioeca8.sandag.org_ws_abm2_f4[[#This Row],[hwycov_id]],[2]flow_freeway!$A$2:$E$1643,3,FALSE),0)</f>
        <v>58952</v>
      </c>
      <c r="H575">
        <f>IFERROR(VLOOKUP(Table_socioeca8.sandag.org_ws_abm2_f4[[#This Row],[hwycov_id]],[2]flow_freeway!$A$2:$E$1643,4,FALSE),0)</f>
        <v>12601</v>
      </c>
      <c r="I575">
        <f>IFERROR(VLOOKUP(Table_socioeca8.sandag.org_ws_abm2_f4[[#This Row],[hwycov_id]],[2]flow_freeway!$A$2:$E$1643,5,FALSE),0)</f>
        <v>14241</v>
      </c>
      <c r="K575">
        <f>Table_socioeca8.sandag.org_ws_abm2_f4[[#This Row],[hwycov_id]]</f>
        <v>12759</v>
      </c>
      <c r="L575">
        <f>Table_socioeca8.sandag.org_ws_abm2_f4[[#This Row],[scenario_id]]</f>
        <v>259</v>
      </c>
      <c r="M575">
        <f>Table_socioeca8.sandag.org_ws_abm2_f4[[#This Row],[flow_day]]</f>
        <v>58952</v>
      </c>
      <c r="N575">
        <f>Table_socioeca8.sandag.org_ws_abm2_f4[[#This Row],[flow_am]]</f>
        <v>12601</v>
      </c>
      <c r="O575">
        <f>Table_socioeca8.sandag.org_ws_abm2_f4[[#This Row],[flow_pm]]</f>
        <v>14241</v>
      </c>
    </row>
    <row r="576" spans="5:15" x14ac:dyDescent="0.25">
      <c r="E576">
        <v>12761</v>
      </c>
      <c r="F576">
        <f t="shared" si="8"/>
        <v>259</v>
      </c>
      <c r="G576">
        <f>IFERROR(VLOOKUP(Table_socioeca8.sandag.org_ws_abm2_f4[[#This Row],[hwycov_id]],[2]flow_freeway!$A$2:$E$1643,3,FALSE),0)</f>
        <v>58995</v>
      </c>
      <c r="H576">
        <f>IFERROR(VLOOKUP(Table_socioeca8.sandag.org_ws_abm2_f4[[#This Row],[hwycov_id]],[2]flow_freeway!$A$2:$E$1643,4,FALSE),0)</f>
        <v>12603</v>
      </c>
      <c r="I576">
        <f>IFERROR(VLOOKUP(Table_socioeca8.sandag.org_ws_abm2_f4[[#This Row],[hwycov_id]],[2]flow_freeway!$A$2:$E$1643,5,FALSE),0)</f>
        <v>14256</v>
      </c>
      <c r="K576">
        <f>Table_socioeca8.sandag.org_ws_abm2_f4[[#This Row],[hwycov_id]]</f>
        <v>12761</v>
      </c>
      <c r="L576">
        <f>Table_socioeca8.sandag.org_ws_abm2_f4[[#This Row],[scenario_id]]</f>
        <v>259</v>
      </c>
      <c r="M576">
        <f>Table_socioeca8.sandag.org_ws_abm2_f4[[#This Row],[flow_day]]</f>
        <v>58995</v>
      </c>
      <c r="N576">
        <f>Table_socioeca8.sandag.org_ws_abm2_f4[[#This Row],[flow_am]]</f>
        <v>12603</v>
      </c>
      <c r="O576">
        <f>Table_socioeca8.sandag.org_ws_abm2_f4[[#This Row],[flow_pm]]</f>
        <v>14256</v>
      </c>
    </row>
    <row r="577" spans="5:15" x14ac:dyDescent="0.25">
      <c r="E577">
        <v>12767</v>
      </c>
      <c r="F577">
        <f t="shared" si="8"/>
        <v>259</v>
      </c>
      <c r="G577">
        <f>IFERROR(VLOOKUP(Table_socioeca8.sandag.org_ws_abm2_f4[[#This Row],[hwycov_id]],[2]flow_freeway!$A$2:$E$1643,3,FALSE),0)</f>
        <v>66205</v>
      </c>
      <c r="H577">
        <f>IFERROR(VLOOKUP(Table_socioeca8.sandag.org_ws_abm2_f4[[#This Row],[hwycov_id]],[2]flow_freeway!$A$2:$E$1643,4,FALSE),0)</f>
        <v>13907</v>
      </c>
      <c r="I577">
        <f>IFERROR(VLOOKUP(Table_socioeca8.sandag.org_ws_abm2_f4[[#This Row],[hwycov_id]],[2]flow_freeway!$A$2:$E$1643,5,FALSE),0)</f>
        <v>17538</v>
      </c>
      <c r="K577">
        <f>Table_socioeca8.sandag.org_ws_abm2_f4[[#This Row],[hwycov_id]]</f>
        <v>12767</v>
      </c>
      <c r="L577">
        <f>Table_socioeca8.sandag.org_ws_abm2_f4[[#This Row],[scenario_id]]</f>
        <v>259</v>
      </c>
      <c r="M577">
        <f>Table_socioeca8.sandag.org_ws_abm2_f4[[#This Row],[flow_day]]</f>
        <v>66205</v>
      </c>
      <c r="N577">
        <f>Table_socioeca8.sandag.org_ws_abm2_f4[[#This Row],[flow_am]]</f>
        <v>13907</v>
      </c>
      <c r="O577">
        <f>Table_socioeca8.sandag.org_ws_abm2_f4[[#This Row],[flow_pm]]</f>
        <v>17538</v>
      </c>
    </row>
    <row r="578" spans="5:15" x14ac:dyDescent="0.25">
      <c r="E578">
        <v>12768</v>
      </c>
      <c r="F578">
        <f t="shared" si="8"/>
        <v>259</v>
      </c>
      <c r="G578">
        <f>IFERROR(VLOOKUP(Table_socioeca8.sandag.org_ws_abm2_f4[[#This Row],[hwycov_id]],[2]flow_freeway!$A$2:$E$1643,3,FALSE),0)</f>
        <v>66891</v>
      </c>
      <c r="H578">
        <f>IFERROR(VLOOKUP(Table_socioeca8.sandag.org_ws_abm2_f4[[#This Row],[hwycov_id]],[2]flow_freeway!$A$2:$E$1643,4,FALSE),0)</f>
        <v>12917</v>
      </c>
      <c r="I578">
        <f>IFERROR(VLOOKUP(Table_socioeca8.sandag.org_ws_abm2_f4[[#This Row],[hwycov_id]],[2]flow_freeway!$A$2:$E$1643,5,FALSE),0)</f>
        <v>14033</v>
      </c>
      <c r="K578">
        <f>Table_socioeca8.sandag.org_ws_abm2_f4[[#This Row],[hwycov_id]]</f>
        <v>12768</v>
      </c>
      <c r="L578">
        <f>Table_socioeca8.sandag.org_ws_abm2_f4[[#This Row],[scenario_id]]</f>
        <v>259</v>
      </c>
      <c r="M578">
        <f>Table_socioeca8.sandag.org_ws_abm2_f4[[#This Row],[flow_day]]</f>
        <v>66891</v>
      </c>
      <c r="N578">
        <f>Table_socioeca8.sandag.org_ws_abm2_f4[[#This Row],[flow_am]]</f>
        <v>12917</v>
      </c>
      <c r="O578">
        <f>Table_socioeca8.sandag.org_ws_abm2_f4[[#This Row],[flow_pm]]</f>
        <v>14033</v>
      </c>
    </row>
    <row r="579" spans="5:15" x14ac:dyDescent="0.25">
      <c r="E579">
        <v>12823</v>
      </c>
      <c r="F579">
        <f t="shared" si="8"/>
        <v>259</v>
      </c>
      <c r="G579">
        <f>IFERROR(VLOOKUP(Table_socioeca8.sandag.org_ws_abm2_f4[[#This Row],[hwycov_id]],[2]flow_freeway!$A$2:$E$1643,3,FALSE),0)</f>
        <v>40594</v>
      </c>
      <c r="H579">
        <f>IFERROR(VLOOKUP(Table_socioeca8.sandag.org_ws_abm2_f4[[#This Row],[hwycov_id]],[2]flow_freeway!$A$2:$E$1643,4,FALSE),0)</f>
        <v>10540</v>
      </c>
      <c r="I579">
        <f>IFERROR(VLOOKUP(Table_socioeca8.sandag.org_ws_abm2_f4[[#This Row],[hwycov_id]],[2]flow_freeway!$A$2:$E$1643,5,FALSE),0)</f>
        <v>9563</v>
      </c>
      <c r="K579">
        <f>Table_socioeca8.sandag.org_ws_abm2_f4[[#This Row],[hwycov_id]]</f>
        <v>12823</v>
      </c>
      <c r="L579">
        <f>Table_socioeca8.sandag.org_ws_abm2_f4[[#This Row],[scenario_id]]</f>
        <v>259</v>
      </c>
      <c r="M579">
        <f>Table_socioeca8.sandag.org_ws_abm2_f4[[#This Row],[flow_day]]</f>
        <v>40594</v>
      </c>
      <c r="N579">
        <f>Table_socioeca8.sandag.org_ws_abm2_f4[[#This Row],[flow_am]]</f>
        <v>10540</v>
      </c>
      <c r="O579">
        <f>Table_socioeca8.sandag.org_ws_abm2_f4[[#This Row],[flow_pm]]</f>
        <v>9563</v>
      </c>
    </row>
    <row r="580" spans="5:15" x14ac:dyDescent="0.25">
      <c r="E580">
        <v>12830</v>
      </c>
      <c r="F580">
        <f t="shared" ref="F580:F643" si="9">F579</f>
        <v>259</v>
      </c>
      <c r="G580">
        <f>IFERROR(VLOOKUP(Table_socioeca8.sandag.org_ws_abm2_f4[[#This Row],[hwycov_id]],[2]flow_freeway!$A$2:$E$1643,3,FALSE),0)</f>
        <v>35862</v>
      </c>
      <c r="H580">
        <f>IFERROR(VLOOKUP(Table_socioeca8.sandag.org_ws_abm2_f4[[#This Row],[hwycov_id]],[2]flow_freeway!$A$2:$E$1643,4,FALSE),0)</f>
        <v>9491</v>
      </c>
      <c r="I580">
        <f>IFERROR(VLOOKUP(Table_socioeca8.sandag.org_ws_abm2_f4[[#This Row],[hwycov_id]],[2]flow_freeway!$A$2:$E$1643,5,FALSE),0)</f>
        <v>8019</v>
      </c>
      <c r="K580">
        <f>Table_socioeca8.sandag.org_ws_abm2_f4[[#This Row],[hwycov_id]]</f>
        <v>12830</v>
      </c>
      <c r="L580">
        <f>Table_socioeca8.sandag.org_ws_abm2_f4[[#This Row],[scenario_id]]</f>
        <v>259</v>
      </c>
      <c r="M580">
        <f>Table_socioeca8.sandag.org_ws_abm2_f4[[#This Row],[flow_day]]</f>
        <v>35862</v>
      </c>
      <c r="N580">
        <f>Table_socioeca8.sandag.org_ws_abm2_f4[[#This Row],[flow_am]]</f>
        <v>9491</v>
      </c>
      <c r="O580">
        <f>Table_socioeca8.sandag.org_ws_abm2_f4[[#This Row],[flow_pm]]</f>
        <v>8019</v>
      </c>
    </row>
    <row r="581" spans="5:15" x14ac:dyDescent="0.25">
      <c r="E581">
        <v>12833</v>
      </c>
      <c r="F581">
        <f t="shared" si="9"/>
        <v>259</v>
      </c>
      <c r="G581">
        <f>IFERROR(VLOOKUP(Table_socioeca8.sandag.org_ws_abm2_f4[[#This Row],[hwycov_id]],[2]flow_freeway!$A$2:$E$1643,3,FALSE),0)</f>
        <v>48453</v>
      </c>
      <c r="H581">
        <f>IFERROR(VLOOKUP(Table_socioeca8.sandag.org_ws_abm2_f4[[#This Row],[hwycov_id]],[2]flow_freeway!$A$2:$E$1643,4,FALSE),0)</f>
        <v>7349</v>
      </c>
      <c r="I581">
        <f>IFERROR(VLOOKUP(Table_socioeca8.sandag.org_ws_abm2_f4[[#This Row],[hwycov_id]],[2]flow_freeway!$A$2:$E$1643,5,FALSE),0)</f>
        <v>12578</v>
      </c>
      <c r="K581">
        <f>Table_socioeca8.sandag.org_ws_abm2_f4[[#This Row],[hwycov_id]]</f>
        <v>12833</v>
      </c>
      <c r="L581">
        <f>Table_socioeca8.sandag.org_ws_abm2_f4[[#This Row],[scenario_id]]</f>
        <v>259</v>
      </c>
      <c r="M581">
        <f>Table_socioeca8.sandag.org_ws_abm2_f4[[#This Row],[flow_day]]</f>
        <v>48453</v>
      </c>
      <c r="N581">
        <f>Table_socioeca8.sandag.org_ws_abm2_f4[[#This Row],[flow_am]]</f>
        <v>7349</v>
      </c>
      <c r="O581">
        <f>Table_socioeca8.sandag.org_ws_abm2_f4[[#This Row],[flow_pm]]</f>
        <v>12578</v>
      </c>
    </row>
    <row r="582" spans="5:15" x14ac:dyDescent="0.25">
      <c r="E582">
        <v>12834</v>
      </c>
      <c r="F582">
        <f t="shared" si="9"/>
        <v>259</v>
      </c>
      <c r="G582">
        <f>IFERROR(VLOOKUP(Table_socioeca8.sandag.org_ws_abm2_f4[[#This Row],[hwycov_id]],[2]flow_freeway!$A$2:$E$1643,3,FALSE),0)</f>
        <v>45072</v>
      </c>
      <c r="H582">
        <f>IFERROR(VLOOKUP(Table_socioeca8.sandag.org_ws_abm2_f4[[#This Row],[hwycov_id]],[2]flow_freeway!$A$2:$E$1643,4,FALSE),0)</f>
        <v>11654</v>
      </c>
      <c r="I582">
        <f>IFERROR(VLOOKUP(Table_socioeca8.sandag.org_ws_abm2_f4[[#This Row],[hwycov_id]],[2]flow_freeway!$A$2:$E$1643,5,FALSE),0)</f>
        <v>10422</v>
      </c>
      <c r="K582">
        <f>Table_socioeca8.sandag.org_ws_abm2_f4[[#This Row],[hwycov_id]]</f>
        <v>12834</v>
      </c>
      <c r="L582">
        <f>Table_socioeca8.sandag.org_ws_abm2_f4[[#This Row],[scenario_id]]</f>
        <v>259</v>
      </c>
      <c r="M582">
        <f>Table_socioeca8.sandag.org_ws_abm2_f4[[#This Row],[flow_day]]</f>
        <v>45072</v>
      </c>
      <c r="N582">
        <f>Table_socioeca8.sandag.org_ws_abm2_f4[[#This Row],[flow_am]]</f>
        <v>11654</v>
      </c>
      <c r="O582">
        <f>Table_socioeca8.sandag.org_ws_abm2_f4[[#This Row],[flow_pm]]</f>
        <v>10422</v>
      </c>
    </row>
    <row r="583" spans="5:15" x14ac:dyDescent="0.25">
      <c r="E583">
        <v>12836</v>
      </c>
      <c r="F583">
        <f t="shared" si="9"/>
        <v>259</v>
      </c>
      <c r="G583">
        <f>IFERROR(VLOOKUP(Table_socioeca8.sandag.org_ws_abm2_f4[[#This Row],[hwycov_id]],[2]flow_freeway!$A$2:$E$1643,3,FALSE),0)</f>
        <v>33086</v>
      </c>
      <c r="H583">
        <f>IFERROR(VLOOKUP(Table_socioeca8.sandag.org_ws_abm2_f4[[#This Row],[hwycov_id]],[2]flow_freeway!$A$2:$E$1643,4,FALSE),0)</f>
        <v>5378</v>
      </c>
      <c r="I583">
        <f>IFERROR(VLOOKUP(Table_socioeca8.sandag.org_ws_abm2_f4[[#This Row],[hwycov_id]],[2]flow_freeway!$A$2:$E$1643,5,FALSE),0)</f>
        <v>8143</v>
      </c>
      <c r="K583">
        <f>Table_socioeca8.sandag.org_ws_abm2_f4[[#This Row],[hwycov_id]]</f>
        <v>12836</v>
      </c>
      <c r="L583">
        <f>Table_socioeca8.sandag.org_ws_abm2_f4[[#This Row],[scenario_id]]</f>
        <v>259</v>
      </c>
      <c r="M583">
        <f>Table_socioeca8.sandag.org_ws_abm2_f4[[#This Row],[flow_day]]</f>
        <v>33086</v>
      </c>
      <c r="N583">
        <f>Table_socioeca8.sandag.org_ws_abm2_f4[[#This Row],[flow_am]]</f>
        <v>5378</v>
      </c>
      <c r="O583">
        <f>Table_socioeca8.sandag.org_ws_abm2_f4[[#This Row],[flow_pm]]</f>
        <v>8143</v>
      </c>
    </row>
    <row r="584" spans="5:15" x14ac:dyDescent="0.25">
      <c r="E584">
        <v>12837</v>
      </c>
      <c r="F584">
        <f t="shared" si="9"/>
        <v>259</v>
      </c>
      <c r="G584">
        <f>IFERROR(VLOOKUP(Table_socioeca8.sandag.org_ws_abm2_f4[[#This Row],[hwycov_id]],[2]flow_freeway!$A$2:$E$1643,3,FALSE),0)</f>
        <v>90856</v>
      </c>
      <c r="H584">
        <f>IFERROR(VLOOKUP(Table_socioeca8.sandag.org_ws_abm2_f4[[#This Row],[hwycov_id]],[2]flow_freeway!$A$2:$E$1643,4,FALSE),0)</f>
        <v>18513</v>
      </c>
      <c r="I584">
        <f>IFERROR(VLOOKUP(Table_socioeca8.sandag.org_ws_abm2_f4[[#This Row],[hwycov_id]],[2]flow_freeway!$A$2:$E$1643,5,FALSE),0)</f>
        <v>21919</v>
      </c>
      <c r="K584">
        <f>Table_socioeca8.sandag.org_ws_abm2_f4[[#This Row],[hwycov_id]]</f>
        <v>12837</v>
      </c>
      <c r="L584">
        <f>Table_socioeca8.sandag.org_ws_abm2_f4[[#This Row],[scenario_id]]</f>
        <v>259</v>
      </c>
      <c r="M584">
        <f>Table_socioeca8.sandag.org_ws_abm2_f4[[#This Row],[flow_day]]</f>
        <v>90856</v>
      </c>
      <c r="N584">
        <f>Table_socioeca8.sandag.org_ws_abm2_f4[[#This Row],[flow_am]]</f>
        <v>18513</v>
      </c>
      <c r="O584">
        <f>Table_socioeca8.sandag.org_ws_abm2_f4[[#This Row],[flow_pm]]</f>
        <v>21919</v>
      </c>
    </row>
    <row r="585" spans="5:15" x14ac:dyDescent="0.25">
      <c r="E585">
        <v>12838</v>
      </c>
      <c r="F585">
        <f t="shared" si="9"/>
        <v>259</v>
      </c>
      <c r="G585">
        <f>IFERROR(VLOOKUP(Table_socioeca8.sandag.org_ws_abm2_f4[[#This Row],[hwycov_id]],[2]flow_freeway!$A$2:$E$1643,3,FALSE),0)</f>
        <v>92691</v>
      </c>
      <c r="H585">
        <f>IFERROR(VLOOKUP(Table_socioeca8.sandag.org_ws_abm2_f4[[#This Row],[hwycov_id]],[2]flow_freeway!$A$2:$E$1643,4,FALSE),0)</f>
        <v>17371</v>
      </c>
      <c r="I585">
        <f>IFERROR(VLOOKUP(Table_socioeca8.sandag.org_ws_abm2_f4[[#This Row],[hwycov_id]],[2]flow_freeway!$A$2:$E$1643,5,FALSE),0)</f>
        <v>21981</v>
      </c>
      <c r="K585">
        <f>Table_socioeca8.sandag.org_ws_abm2_f4[[#This Row],[hwycov_id]]</f>
        <v>12838</v>
      </c>
      <c r="L585">
        <f>Table_socioeca8.sandag.org_ws_abm2_f4[[#This Row],[scenario_id]]</f>
        <v>259</v>
      </c>
      <c r="M585">
        <f>Table_socioeca8.sandag.org_ws_abm2_f4[[#This Row],[flow_day]]</f>
        <v>92691</v>
      </c>
      <c r="N585">
        <f>Table_socioeca8.sandag.org_ws_abm2_f4[[#This Row],[flow_am]]</f>
        <v>17371</v>
      </c>
      <c r="O585">
        <f>Table_socioeca8.sandag.org_ws_abm2_f4[[#This Row],[flow_pm]]</f>
        <v>21981</v>
      </c>
    </row>
    <row r="586" spans="5:15" x14ac:dyDescent="0.25">
      <c r="E586">
        <v>12841</v>
      </c>
      <c r="F586">
        <f t="shared" si="9"/>
        <v>259</v>
      </c>
      <c r="G586">
        <f>IFERROR(VLOOKUP(Table_socioeca8.sandag.org_ws_abm2_f4[[#This Row],[hwycov_id]],[2]flow_freeway!$A$2:$E$1643,3,FALSE),0)</f>
        <v>38028</v>
      </c>
      <c r="H586">
        <f>IFERROR(VLOOKUP(Table_socioeca8.sandag.org_ws_abm2_f4[[#This Row],[hwycov_id]],[2]flow_freeway!$A$2:$E$1643,4,FALSE),0)</f>
        <v>6054</v>
      </c>
      <c r="I586">
        <f>IFERROR(VLOOKUP(Table_socioeca8.sandag.org_ws_abm2_f4[[#This Row],[hwycov_id]],[2]flow_freeway!$A$2:$E$1643,5,FALSE),0)</f>
        <v>9874</v>
      </c>
      <c r="K586">
        <f>Table_socioeca8.sandag.org_ws_abm2_f4[[#This Row],[hwycov_id]]</f>
        <v>12841</v>
      </c>
      <c r="L586">
        <f>Table_socioeca8.sandag.org_ws_abm2_f4[[#This Row],[scenario_id]]</f>
        <v>259</v>
      </c>
      <c r="M586">
        <f>Table_socioeca8.sandag.org_ws_abm2_f4[[#This Row],[flow_day]]</f>
        <v>38028</v>
      </c>
      <c r="N586">
        <f>Table_socioeca8.sandag.org_ws_abm2_f4[[#This Row],[flow_am]]</f>
        <v>6054</v>
      </c>
      <c r="O586">
        <f>Table_socioeca8.sandag.org_ws_abm2_f4[[#This Row],[flow_pm]]</f>
        <v>9874</v>
      </c>
    </row>
    <row r="587" spans="5:15" x14ac:dyDescent="0.25">
      <c r="E587">
        <v>12929</v>
      </c>
      <c r="F587">
        <f t="shared" si="9"/>
        <v>259</v>
      </c>
      <c r="G587">
        <f>IFERROR(VLOOKUP(Table_socioeca8.sandag.org_ws_abm2_f4[[#This Row],[hwycov_id]],[2]flow_freeway!$A$2:$E$1643,3,FALSE),0)</f>
        <v>106463</v>
      </c>
      <c r="H587">
        <f>IFERROR(VLOOKUP(Table_socioeca8.sandag.org_ws_abm2_f4[[#This Row],[hwycov_id]],[2]flow_freeway!$A$2:$E$1643,4,FALSE),0)</f>
        <v>17628</v>
      </c>
      <c r="I587">
        <f>IFERROR(VLOOKUP(Table_socioeca8.sandag.org_ws_abm2_f4[[#This Row],[hwycov_id]],[2]flow_freeway!$A$2:$E$1643,5,FALSE),0)</f>
        <v>29865</v>
      </c>
      <c r="K587">
        <f>Table_socioeca8.sandag.org_ws_abm2_f4[[#This Row],[hwycov_id]]</f>
        <v>12929</v>
      </c>
      <c r="L587">
        <f>Table_socioeca8.sandag.org_ws_abm2_f4[[#This Row],[scenario_id]]</f>
        <v>259</v>
      </c>
      <c r="M587">
        <f>Table_socioeca8.sandag.org_ws_abm2_f4[[#This Row],[flow_day]]</f>
        <v>106463</v>
      </c>
      <c r="N587">
        <f>Table_socioeca8.sandag.org_ws_abm2_f4[[#This Row],[flow_am]]</f>
        <v>17628</v>
      </c>
      <c r="O587">
        <f>Table_socioeca8.sandag.org_ws_abm2_f4[[#This Row],[flow_pm]]</f>
        <v>29865</v>
      </c>
    </row>
    <row r="588" spans="5:15" x14ac:dyDescent="0.25">
      <c r="E588">
        <v>12932</v>
      </c>
      <c r="F588">
        <f t="shared" si="9"/>
        <v>259</v>
      </c>
      <c r="G588">
        <f>IFERROR(VLOOKUP(Table_socioeca8.sandag.org_ws_abm2_f4[[#This Row],[hwycov_id]],[2]flow_freeway!$A$2:$E$1643,3,FALSE),0)</f>
        <v>116937</v>
      </c>
      <c r="H588">
        <f>IFERROR(VLOOKUP(Table_socioeca8.sandag.org_ws_abm2_f4[[#This Row],[hwycov_id]],[2]flow_freeway!$A$2:$E$1643,4,FALSE),0)</f>
        <v>26081</v>
      </c>
      <c r="I588">
        <f>IFERROR(VLOOKUP(Table_socioeca8.sandag.org_ws_abm2_f4[[#This Row],[hwycov_id]],[2]flow_freeway!$A$2:$E$1643,5,FALSE),0)</f>
        <v>23616</v>
      </c>
      <c r="K588">
        <f>Table_socioeca8.sandag.org_ws_abm2_f4[[#This Row],[hwycov_id]]</f>
        <v>12932</v>
      </c>
      <c r="L588">
        <f>Table_socioeca8.sandag.org_ws_abm2_f4[[#This Row],[scenario_id]]</f>
        <v>259</v>
      </c>
      <c r="M588">
        <f>Table_socioeca8.sandag.org_ws_abm2_f4[[#This Row],[flow_day]]</f>
        <v>116937</v>
      </c>
      <c r="N588">
        <f>Table_socioeca8.sandag.org_ws_abm2_f4[[#This Row],[flow_am]]</f>
        <v>26081</v>
      </c>
      <c r="O588">
        <f>Table_socioeca8.sandag.org_ws_abm2_f4[[#This Row],[flow_pm]]</f>
        <v>23616</v>
      </c>
    </row>
    <row r="589" spans="5:15" x14ac:dyDescent="0.25">
      <c r="E589">
        <v>12935</v>
      </c>
      <c r="F589">
        <f t="shared" si="9"/>
        <v>259</v>
      </c>
      <c r="G589">
        <f>IFERROR(VLOOKUP(Table_socioeca8.sandag.org_ws_abm2_f4[[#This Row],[hwycov_id]],[2]flow_freeway!$A$2:$E$1643,3,FALSE),0)</f>
        <v>111841</v>
      </c>
      <c r="H589">
        <f>IFERROR(VLOOKUP(Table_socioeca8.sandag.org_ws_abm2_f4[[#This Row],[hwycov_id]],[2]flow_freeway!$A$2:$E$1643,4,FALSE),0)</f>
        <v>17555</v>
      </c>
      <c r="I589">
        <f>IFERROR(VLOOKUP(Table_socioeca8.sandag.org_ws_abm2_f4[[#This Row],[hwycov_id]],[2]flow_freeway!$A$2:$E$1643,5,FALSE),0)</f>
        <v>30180</v>
      </c>
      <c r="K589">
        <f>Table_socioeca8.sandag.org_ws_abm2_f4[[#This Row],[hwycov_id]]</f>
        <v>12935</v>
      </c>
      <c r="L589">
        <f>Table_socioeca8.sandag.org_ws_abm2_f4[[#This Row],[scenario_id]]</f>
        <v>259</v>
      </c>
      <c r="M589">
        <f>Table_socioeca8.sandag.org_ws_abm2_f4[[#This Row],[flow_day]]</f>
        <v>111841</v>
      </c>
      <c r="N589">
        <f>Table_socioeca8.sandag.org_ws_abm2_f4[[#This Row],[flow_am]]</f>
        <v>17555</v>
      </c>
      <c r="O589">
        <f>Table_socioeca8.sandag.org_ws_abm2_f4[[#This Row],[flow_pm]]</f>
        <v>30180</v>
      </c>
    </row>
    <row r="590" spans="5:15" x14ac:dyDescent="0.25">
      <c r="E590">
        <v>12943</v>
      </c>
      <c r="F590">
        <f t="shared" si="9"/>
        <v>259</v>
      </c>
      <c r="G590">
        <f>IFERROR(VLOOKUP(Table_socioeca8.sandag.org_ws_abm2_f4[[#This Row],[hwycov_id]],[2]flow_freeway!$A$2:$E$1643,3,FALSE),0)</f>
        <v>112226</v>
      </c>
      <c r="H590">
        <f>IFERROR(VLOOKUP(Table_socioeca8.sandag.org_ws_abm2_f4[[#This Row],[hwycov_id]],[2]flow_freeway!$A$2:$E$1643,4,FALSE),0)</f>
        <v>25176</v>
      </c>
      <c r="I590">
        <f>IFERROR(VLOOKUP(Table_socioeca8.sandag.org_ws_abm2_f4[[#This Row],[hwycov_id]],[2]flow_freeway!$A$2:$E$1643,5,FALSE),0)</f>
        <v>22543</v>
      </c>
      <c r="K590">
        <f>Table_socioeca8.sandag.org_ws_abm2_f4[[#This Row],[hwycov_id]]</f>
        <v>12943</v>
      </c>
      <c r="L590">
        <f>Table_socioeca8.sandag.org_ws_abm2_f4[[#This Row],[scenario_id]]</f>
        <v>259</v>
      </c>
      <c r="M590">
        <f>Table_socioeca8.sandag.org_ws_abm2_f4[[#This Row],[flow_day]]</f>
        <v>112226</v>
      </c>
      <c r="N590">
        <f>Table_socioeca8.sandag.org_ws_abm2_f4[[#This Row],[flow_am]]</f>
        <v>25176</v>
      </c>
      <c r="O590">
        <f>Table_socioeca8.sandag.org_ws_abm2_f4[[#This Row],[flow_pm]]</f>
        <v>22543</v>
      </c>
    </row>
    <row r="591" spans="5:15" x14ac:dyDescent="0.25">
      <c r="E591">
        <v>12944</v>
      </c>
      <c r="F591">
        <f t="shared" si="9"/>
        <v>259</v>
      </c>
      <c r="G591">
        <f>IFERROR(VLOOKUP(Table_socioeca8.sandag.org_ws_abm2_f4[[#This Row],[hwycov_id]],[2]flow_freeway!$A$2:$E$1643,3,FALSE),0)</f>
        <v>107709</v>
      </c>
      <c r="H591">
        <f>IFERROR(VLOOKUP(Table_socioeca8.sandag.org_ws_abm2_f4[[#This Row],[hwycov_id]],[2]flow_freeway!$A$2:$E$1643,4,FALSE),0)</f>
        <v>24492</v>
      </c>
      <c r="I591">
        <f>IFERROR(VLOOKUP(Table_socioeca8.sandag.org_ws_abm2_f4[[#This Row],[hwycov_id]],[2]flow_freeway!$A$2:$E$1643,5,FALSE),0)</f>
        <v>21479</v>
      </c>
      <c r="K591">
        <f>Table_socioeca8.sandag.org_ws_abm2_f4[[#This Row],[hwycov_id]]</f>
        <v>12944</v>
      </c>
      <c r="L591">
        <f>Table_socioeca8.sandag.org_ws_abm2_f4[[#This Row],[scenario_id]]</f>
        <v>259</v>
      </c>
      <c r="M591">
        <f>Table_socioeca8.sandag.org_ws_abm2_f4[[#This Row],[flow_day]]</f>
        <v>107709</v>
      </c>
      <c r="N591">
        <f>Table_socioeca8.sandag.org_ws_abm2_f4[[#This Row],[flow_am]]</f>
        <v>24492</v>
      </c>
      <c r="O591">
        <f>Table_socioeca8.sandag.org_ws_abm2_f4[[#This Row],[flow_pm]]</f>
        <v>21479</v>
      </c>
    </row>
    <row r="592" spans="5:15" x14ac:dyDescent="0.25">
      <c r="E592">
        <v>12945</v>
      </c>
      <c r="F592">
        <f t="shared" si="9"/>
        <v>259</v>
      </c>
      <c r="G592">
        <f>IFERROR(VLOOKUP(Table_socioeca8.sandag.org_ws_abm2_f4[[#This Row],[hwycov_id]],[2]flow_freeway!$A$2:$E$1643,3,FALSE),0)</f>
        <v>110358</v>
      </c>
      <c r="H592">
        <f>IFERROR(VLOOKUP(Table_socioeca8.sandag.org_ws_abm2_f4[[#This Row],[hwycov_id]],[2]flow_freeway!$A$2:$E$1643,4,FALSE),0)</f>
        <v>25003</v>
      </c>
      <c r="I592">
        <f>IFERROR(VLOOKUP(Table_socioeca8.sandag.org_ws_abm2_f4[[#This Row],[hwycov_id]],[2]flow_freeway!$A$2:$E$1643,5,FALSE),0)</f>
        <v>21373</v>
      </c>
      <c r="K592">
        <f>Table_socioeca8.sandag.org_ws_abm2_f4[[#This Row],[hwycov_id]]</f>
        <v>12945</v>
      </c>
      <c r="L592">
        <f>Table_socioeca8.sandag.org_ws_abm2_f4[[#This Row],[scenario_id]]</f>
        <v>259</v>
      </c>
      <c r="M592">
        <f>Table_socioeca8.sandag.org_ws_abm2_f4[[#This Row],[flow_day]]</f>
        <v>110358</v>
      </c>
      <c r="N592">
        <f>Table_socioeca8.sandag.org_ws_abm2_f4[[#This Row],[flow_am]]</f>
        <v>25003</v>
      </c>
      <c r="O592">
        <f>Table_socioeca8.sandag.org_ws_abm2_f4[[#This Row],[flow_pm]]</f>
        <v>21373</v>
      </c>
    </row>
    <row r="593" spans="5:15" x14ac:dyDescent="0.25">
      <c r="E593">
        <v>12946</v>
      </c>
      <c r="F593">
        <f t="shared" si="9"/>
        <v>259</v>
      </c>
      <c r="G593">
        <f>IFERROR(VLOOKUP(Table_socioeca8.sandag.org_ws_abm2_f4[[#This Row],[hwycov_id]],[2]flow_freeway!$A$2:$E$1643,3,FALSE),0)</f>
        <v>108213</v>
      </c>
      <c r="H593">
        <f>IFERROR(VLOOKUP(Table_socioeca8.sandag.org_ws_abm2_f4[[#This Row],[hwycov_id]],[2]flow_freeway!$A$2:$E$1643,4,FALSE),0)</f>
        <v>24083</v>
      </c>
      <c r="I593">
        <f>IFERROR(VLOOKUP(Table_socioeca8.sandag.org_ws_abm2_f4[[#This Row],[hwycov_id]],[2]flow_freeway!$A$2:$E$1643,5,FALSE),0)</f>
        <v>21518</v>
      </c>
      <c r="K593">
        <f>Table_socioeca8.sandag.org_ws_abm2_f4[[#This Row],[hwycov_id]]</f>
        <v>12946</v>
      </c>
      <c r="L593">
        <f>Table_socioeca8.sandag.org_ws_abm2_f4[[#This Row],[scenario_id]]</f>
        <v>259</v>
      </c>
      <c r="M593">
        <f>Table_socioeca8.sandag.org_ws_abm2_f4[[#This Row],[flow_day]]</f>
        <v>108213</v>
      </c>
      <c r="N593">
        <f>Table_socioeca8.sandag.org_ws_abm2_f4[[#This Row],[flow_am]]</f>
        <v>24083</v>
      </c>
      <c r="O593">
        <f>Table_socioeca8.sandag.org_ws_abm2_f4[[#This Row],[flow_pm]]</f>
        <v>21518</v>
      </c>
    </row>
    <row r="594" spans="5:15" x14ac:dyDescent="0.25">
      <c r="E594">
        <v>12949</v>
      </c>
      <c r="F594">
        <f t="shared" si="9"/>
        <v>259</v>
      </c>
      <c r="G594">
        <f>IFERROR(VLOOKUP(Table_socioeca8.sandag.org_ws_abm2_f4[[#This Row],[hwycov_id]],[2]flow_freeway!$A$2:$E$1643,3,FALSE),0)</f>
        <v>120388</v>
      </c>
      <c r="H594">
        <f>IFERROR(VLOOKUP(Table_socioeca8.sandag.org_ws_abm2_f4[[#This Row],[hwycov_id]],[2]flow_freeway!$A$2:$E$1643,4,FALSE),0)</f>
        <v>19550</v>
      </c>
      <c r="I594">
        <f>IFERROR(VLOOKUP(Table_socioeca8.sandag.org_ws_abm2_f4[[#This Row],[hwycov_id]],[2]flow_freeway!$A$2:$E$1643,5,FALSE),0)</f>
        <v>33695</v>
      </c>
      <c r="K594">
        <f>Table_socioeca8.sandag.org_ws_abm2_f4[[#This Row],[hwycov_id]]</f>
        <v>12949</v>
      </c>
      <c r="L594">
        <f>Table_socioeca8.sandag.org_ws_abm2_f4[[#This Row],[scenario_id]]</f>
        <v>259</v>
      </c>
      <c r="M594">
        <f>Table_socioeca8.sandag.org_ws_abm2_f4[[#This Row],[flow_day]]</f>
        <v>120388</v>
      </c>
      <c r="N594">
        <f>Table_socioeca8.sandag.org_ws_abm2_f4[[#This Row],[flow_am]]</f>
        <v>19550</v>
      </c>
      <c r="O594">
        <f>Table_socioeca8.sandag.org_ws_abm2_f4[[#This Row],[flow_pm]]</f>
        <v>33695</v>
      </c>
    </row>
    <row r="595" spans="5:15" x14ac:dyDescent="0.25">
      <c r="E595">
        <v>12950</v>
      </c>
      <c r="F595">
        <f t="shared" si="9"/>
        <v>259</v>
      </c>
      <c r="G595">
        <f>IFERROR(VLOOKUP(Table_socioeca8.sandag.org_ws_abm2_f4[[#This Row],[hwycov_id]],[2]flow_freeway!$A$2:$E$1643,3,FALSE),0)</f>
        <v>127273</v>
      </c>
      <c r="H595">
        <f>IFERROR(VLOOKUP(Table_socioeca8.sandag.org_ws_abm2_f4[[#This Row],[hwycov_id]],[2]flow_freeway!$A$2:$E$1643,4,FALSE),0)</f>
        <v>28484</v>
      </c>
      <c r="I595">
        <f>IFERROR(VLOOKUP(Table_socioeca8.sandag.org_ws_abm2_f4[[#This Row],[hwycov_id]],[2]flow_freeway!$A$2:$E$1643,5,FALSE),0)</f>
        <v>25171</v>
      </c>
      <c r="K595">
        <f>Table_socioeca8.sandag.org_ws_abm2_f4[[#This Row],[hwycov_id]]</f>
        <v>12950</v>
      </c>
      <c r="L595">
        <f>Table_socioeca8.sandag.org_ws_abm2_f4[[#This Row],[scenario_id]]</f>
        <v>259</v>
      </c>
      <c r="M595">
        <f>Table_socioeca8.sandag.org_ws_abm2_f4[[#This Row],[flow_day]]</f>
        <v>127273</v>
      </c>
      <c r="N595">
        <f>Table_socioeca8.sandag.org_ws_abm2_f4[[#This Row],[flow_am]]</f>
        <v>28484</v>
      </c>
      <c r="O595">
        <f>Table_socioeca8.sandag.org_ws_abm2_f4[[#This Row],[flow_pm]]</f>
        <v>25171</v>
      </c>
    </row>
    <row r="596" spans="5:15" x14ac:dyDescent="0.25">
      <c r="E596">
        <v>12952</v>
      </c>
      <c r="F596">
        <f t="shared" si="9"/>
        <v>259</v>
      </c>
      <c r="G596">
        <f>IFERROR(VLOOKUP(Table_socioeca8.sandag.org_ws_abm2_f4[[#This Row],[hwycov_id]],[2]flow_freeway!$A$2:$E$1643,3,FALSE),0)</f>
        <v>110132</v>
      </c>
      <c r="H596">
        <f>IFERROR(VLOOKUP(Table_socioeca8.sandag.org_ws_abm2_f4[[#This Row],[hwycov_id]],[2]flow_freeway!$A$2:$E$1643,4,FALSE),0)</f>
        <v>24575</v>
      </c>
      <c r="I596">
        <f>IFERROR(VLOOKUP(Table_socioeca8.sandag.org_ws_abm2_f4[[#This Row],[hwycov_id]],[2]flow_freeway!$A$2:$E$1643,5,FALSE),0)</f>
        <v>21925</v>
      </c>
      <c r="K596">
        <f>Table_socioeca8.sandag.org_ws_abm2_f4[[#This Row],[hwycov_id]]</f>
        <v>12952</v>
      </c>
      <c r="L596">
        <f>Table_socioeca8.sandag.org_ws_abm2_f4[[#This Row],[scenario_id]]</f>
        <v>259</v>
      </c>
      <c r="M596">
        <f>Table_socioeca8.sandag.org_ws_abm2_f4[[#This Row],[flow_day]]</f>
        <v>110132</v>
      </c>
      <c r="N596">
        <f>Table_socioeca8.sandag.org_ws_abm2_f4[[#This Row],[flow_am]]</f>
        <v>24575</v>
      </c>
      <c r="O596">
        <f>Table_socioeca8.sandag.org_ws_abm2_f4[[#This Row],[flow_pm]]</f>
        <v>21925</v>
      </c>
    </row>
    <row r="597" spans="5:15" x14ac:dyDescent="0.25">
      <c r="E597">
        <v>12955</v>
      </c>
      <c r="F597">
        <f t="shared" si="9"/>
        <v>259</v>
      </c>
      <c r="G597">
        <f>IFERROR(VLOOKUP(Table_socioeca8.sandag.org_ws_abm2_f4[[#This Row],[hwycov_id]],[2]flow_freeway!$A$2:$E$1643,3,FALSE),0)</f>
        <v>100412</v>
      </c>
      <c r="H597">
        <f>IFERROR(VLOOKUP(Table_socioeca8.sandag.org_ws_abm2_f4[[#This Row],[hwycov_id]],[2]flow_freeway!$A$2:$E$1643,4,FALSE),0)</f>
        <v>16915</v>
      </c>
      <c r="I597">
        <f>IFERROR(VLOOKUP(Table_socioeca8.sandag.org_ws_abm2_f4[[#This Row],[hwycov_id]],[2]flow_freeway!$A$2:$E$1643,5,FALSE),0)</f>
        <v>27283</v>
      </c>
      <c r="K597">
        <f>Table_socioeca8.sandag.org_ws_abm2_f4[[#This Row],[hwycov_id]]</f>
        <v>12955</v>
      </c>
      <c r="L597">
        <f>Table_socioeca8.sandag.org_ws_abm2_f4[[#This Row],[scenario_id]]</f>
        <v>259</v>
      </c>
      <c r="M597">
        <f>Table_socioeca8.sandag.org_ws_abm2_f4[[#This Row],[flow_day]]</f>
        <v>100412</v>
      </c>
      <c r="N597">
        <f>Table_socioeca8.sandag.org_ws_abm2_f4[[#This Row],[flow_am]]</f>
        <v>16915</v>
      </c>
      <c r="O597">
        <f>Table_socioeca8.sandag.org_ws_abm2_f4[[#This Row],[flow_pm]]</f>
        <v>27283</v>
      </c>
    </row>
    <row r="598" spans="5:15" x14ac:dyDescent="0.25">
      <c r="E598">
        <v>12957</v>
      </c>
      <c r="F598">
        <f t="shared" si="9"/>
        <v>259</v>
      </c>
      <c r="G598">
        <f>IFERROR(VLOOKUP(Table_socioeca8.sandag.org_ws_abm2_f4[[#This Row],[hwycov_id]],[2]flow_freeway!$A$2:$E$1643,3,FALSE),0)</f>
        <v>105593</v>
      </c>
      <c r="H598">
        <f>IFERROR(VLOOKUP(Table_socioeca8.sandag.org_ws_abm2_f4[[#This Row],[hwycov_id]],[2]flow_freeway!$A$2:$E$1643,4,FALSE),0)</f>
        <v>17704</v>
      </c>
      <c r="I598">
        <f>IFERROR(VLOOKUP(Table_socioeca8.sandag.org_ws_abm2_f4[[#This Row],[hwycov_id]],[2]flow_freeway!$A$2:$E$1643,5,FALSE),0)</f>
        <v>30509</v>
      </c>
      <c r="K598">
        <f>Table_socioeca8.sandag.org_ws_abm2_f4[[#This Row],[hwycov_id]]</f>
        <v>12957</v>
      </c>
      <c r="L598">
        <f>Table_socioeca8.sandag.org_ws_abm2_f4[[#This Row],[scenario_id]]</f>
        <v>259</v>
      </c>
      <c r="M598">
        <f>Table_socioeca8.sandag.org_ws_abm2_f4[[#This Row],[flow_day]]</f>
        <v>105593</v>
      </c>
      <c r="N598">
        <f>Table_socioeca8.sandag.org_ws_abm2_f4[[#This Row],[flow_am]]</f>
        <v>17704</v>
      </c>
      <c r="O598">
        <f>Table_socioeca8.sandag.org_ws_abm2_f4[[#This Row],[flow_pm]]</f>
        <v>30509</v>
      </c>
    </row>
    <row r="599" spans="5:15" x14ac:dyDescent="0.25">
      <c r="E599">
        <v>13034</v>
      </c>
      <c r="F599">
        <f t="shared" si="9"/>
        <v>259</v>
      </c>
      <c r="G599">
        <f>IFERROR(VLOOKUP(Table_socioeca8.sandag.org_ws_abm2_f4[[#This Row],[hwycov_id]],[2]flow_freeway!$A$2:$E$1643,3,FALSE),0)</f>
        <v>37858</v>
      </c>
      <c r="H599">
        <f>IFERROR(VLOOKUP(Table_socioeca8.sandag.org_ws_abm2_f4[[#This Row],[hwycov_id]],[2]flow_freeway!$A$2:$E$1643,4,FALSE),0)</f>
        <v>9304</v>
      </c>
      <c r="I599">
        <f>IFERROR(VLOOKUP(Table_socioeca8.sandag.org_ws_abm2_f4[[#This Row],[hwycov_id]],[2]flow_freeway!$A$2:$E$1643,5,FALSE),0)</f>
        <v>9037</v>
      </c>
      <c r="K599">
        <f>Table_socioeca8.sandag.org_ws_abm2_f4[[#This Row],[hwycov_id]]</f>
        <v>13034</v>
      </c>
      <c r="L599">
        <f>Table_socioeca8.sandag.org_ws_abm2_f4[[#This Row],[scenario_id]]</f>
        <v>259</v>
      </c>
      <c r="M599">
        <f>Table_socioeca8.sandag.org_ws_abm2_f4[[#This Row],[flow_day]]</f>
        <v>37858</v>
      </c>
      <c r="N599">
        <f>Table_socioeca8.sandag.org_ws_abm2_f4[[#This Row],[flow_am]]</f>
        <v>9304</v>
      </c>
      <c r="O599">
        <f>Table_socioeca8.sandag.org_ws_abm2_f4[[#This Row],[flow_pm]]</f>
        <v>9037</v>
      </c>
    </row>
    <row r="600" spans="5:15" x14ac:dyDescent="0.25">
      <c r="E600">
        <v>13035</v>
      </c>
      <c r="F600">
        <f t="shared" si="9"/>
        <v>259</v>
      </c>
      <c r="G600">
        <f>IFERROR(VLOOKUP(Table_socioeca8.sandag.org_ws_abm2_f4[[#This Row],[hwycov_id]],[2]flow_freeway!$A$2:$E$1643,3,FALSE),0)</f>
        <v>65516</v>
      </c>
      <c r="H600">
        <f>IFERROR(VLOOKUP(Table_socioeca8.sandag.org_ws_abm2_f4[[#This Row],[hwycov_id]],[2]flow_freeway!$A$2:$E$1643,4,FALSE),0)</f>
        <v>13603</v>
      </c>
      <c r="I600">
        <f>IFERROR(VLOOKUP(Table_socioeca8.sandag.org_ws_abm2_f4[[#This Row],[hwycov_id]],[2]flow_freeway!$A$2:$E$1643,5,FALSE),0)</f>
        <v>17355</v>
      </c>
      <c r="K600">
        <f>Table_socioeca8.sandag.org_ws_abm2_f4[[#This Row],[hwycov_id]]</f>
        <v>13035</v>
      </c>
      <c r="L600">
        <f>Table_socioeca8.sandag.org_ws_abm2_f4[[#This Row],[scenario_id]]</f>
        <v>259</v>
      </c>
      <c r="M600">
        <f>Table_socioeca8.sandag.org_ws_abm2_f4[[#This Row],[flow_day]]</f>
        <v>65516</v>
      </c>
      <c r="N600">
        <f>Table_socioeca8.sandag.org_ws_abm2_f4[[#This Row],[flow_am]]</f>
        <v>13603</v>
      </c>
      <c r="O600">
        <f>Table_socioeca8.sandag.org_ws_abm2_f4[[#This Row],[flow_pm]]</f>
        <v>17355</v>
      </c>
    </row>
    <row r="601" spans="5:15" x14ac:dyDescent="0.25">
      <c r="E601">
        <v>13036</v>
      </c>
      <c r="F601">
        <f t="shared" si="9"/>
        <v>259</v>
      </c>
      <c r="G601">
        <f>IFERROR(VLOOKUP(Table_socioeca8.sandag.org_ws_abm2_f4[[#This Row],[hwycov_id]],[2]flow_freeway!$A$2:$E$1643,3,FALSE),0)</f>
        <v>58227</v>
      </c>
      <c r="H601">
        <f>IFERROR(VLOOKUP(Table_socioeca8.sandag.org_ws_abm2_f4[[#This Row],[hwycov_id]],[2]flow_freeway!$A$2:$E$1643,4,FALSE),0)</f>
        <v>12308</v>
      </c>
      <c r="I601">
        <f>IFERROR(VLOOKUP(Table_socioeca8.sandag.org_ws_abm2_f4[[#This Row],[hwycov_id]],[2]flow_freeway!$A$2:$E$1643,5,FALSE),0)</f>
        <v>15522</v>
      </c>
      <c r="K601">
        <f>Table_socioeca8.sandag.org_ws_abm2_f4[[#This Row],[hwycov_id]]</f>
        <v>13036</v>
      </c>
      <c r="L601">
        <f>Table_socioeca8.sandag.org_ws_abm2_f4[[#This Row],[scenario_id]]</f>
        <v>259</v>
      </c>
      <c r="M601">
        <f>Table_socioeca8.sandag.org_ws_abm2_f4[[#This Row],[flow_day]]</f>
        <v>58227</v>
      </c>
      <c r="N601">
        <f>Table_socioeca8.sandag.org_ws_abm2_f4[[#This Row],[flow_am]]</f>
        <v>12308</v>
      </c>
      <c r="O601">
        <f>Table_socioeca8.sandag.org_ws_abm2_f4[[#This Row],[flow_pm]]</f>
        <v>15522</v>
      </c>
    </row>
    <row r="602" spans="5:15" x14ac:dyDescent="0.25">
      <c r="E602">
        <v>13037</v>
      </c>
      <c r="F602">
        <f t="shared" si="9"/>
        <v>259</v>
      </c>
      <c r="G602">
        <f>IFERROR(VLOOKUP(Table_socioeca8.sandag.org_ws_abm2_f4[[#This Row],[hwycov_id]],[2]flow_freeway!$A$2:$E$1643,3,FALSE),0)</f>
        <v>63914</v>
      </c>
      <c r="H602">
        <f>IFERROR(VLOOKUP(Table_socioeca8.sandag.org_ws_abm2_f4[[#This Row],[hwycov_id]],[2]flow_freeway!$A$2:$E$1643,4,FALSE),0)</f>
        <v>13432</v>
      </c>
      <c r="I602">
        <f>IFERROR(VLOOKUP(Table_socioeca8.sandag.org_ws_abm2_f4[[#This Row],[hwycov_id]],[2]flow_freeway!$A$2:$E$1643,5,FALSE),0)</f>
        <v>15155</v>
      </c>
      <c r="K602">
        <f>Table_socioeca8.sandag.org_ws_abm2_f4[[#This Row],[hwycov_id]]</f>
        <v>13037</v>
      </c>
      <c r="L602">
        <f>Table_socioeca8.sandag.org_ws_abm2_f4[[#This Row],[scenario_id]]</f>
        <v>259</v>
      </c>
      <c r="M602">
        <f>Table_socioeca8.sandag.org_ws_abm2_f4[[#This Row],[flow_day]]</f>
        <v>63914</v>
      </c>
      <c r="N602">
        <f>Table_socioeca8.sandag.org_ws_abm2_f4[[#This Row],[flow_am]]</f>
        <v>13432</v>
      </c>
      <c r="O602">
        <f>Table_socioeca8.sandag.org_ws_abm2_f4[[#This Row],[flow_pm]]</f>
        <v>15155</v>
      </c>
    </row>
    <row r="603" spans="5:15" x14ac:dyDescent="0.25">
      <c r="E603">
        <v>13046</v>
      </c>
      <c r="F603">
        <f t="shared" si="9"/>
        <v>259</v>
      </c>
      <c r="G603">
        <f>IFERROR(VLOOKUP(Table_socioeca8.sandag.org_ws_abm2_f4[[#This Row],[hwycov_id]],[2]flow_freeway!$A$2:$E$1643,3,FALSE),0)</f>
        <v>53612</v>
      </c>
      <c r="H603">
        <f>IFERROR(VLOOKUP(Table_socioeca8.sandag.org_ws_abm2_f4[[#This Row],[hwycov_id]],[2]flow_freeway!$A$2:$E$1643,4,FALSE),0)</f>
        <v>10978</v>
      </c>
      <c r="I603">
        <f>IFERROR(VLOOKUP(Table_socioeca8.sandag.org_ws_abm2_f4[[#This Row],[hwycov_id]],[2]flow_freeway!$A$2:$E$1643,5,FALSE),0)</f>
        <v>12794</v>
      </c>
      <c r="K603">
        <f>Table_socioeca8.sandag.org_ws_abm2_f4[[#This Row],[hwycov_id]]</f>
        <v>13046</v>
      </c>
      <c r="L603">
        <f>Table_socioeca8.sandag.org_ws_abm2_f4[[#This Row],[scenario_id]]</f>
        <v>259</v>
      </c>
      <c r="M603">
        <f>Table_socioeca8.sandag.org_ws_abm2_f4[[#This Row],[flow_day]]</f>
        <v>53612</v>
      </c>
      <c r="N603">
        <f>Table_socioeca8.sandag.org_ws_abm2_f4[[#This Row],[flow_am]]</f>
        <v>10978</v>
      </c>
      <c r="O603">
        <f>Table_socioeca8.sandag.org_ws_abm2_f4[[#This Row],[flow_pm]]</f>
        <v>12794</v>
      </c>
    </row>
    <row r="604" spans="5:15" x14ac:dyDescent="0.25">
      <c r="E604">
        <v>13051</v>
      </c>
      <c r="F604">
        <f t="shared" si="9"/>
        <v>259</v>
      </c>
      <c r="G604">
        <f>IFERROR(VLOOKUP(Table_socioeca8.sandag.org_ws_abm2_f4[[#This Row],[hwycov_id]],[2]flow_freeway!$A$2:$E$1643,3,FALSE),0)</f>
        <v>60139</v>
      </c>
      <c r="H604">
        <f>IFERROR(VLOOKUP(Table_socioeca8.sandag.org_ws_abm2_f4[[#This Row],[hwycov_id]],[2]flow_freeway!$A$2:$E$1643,4,FALSE),0)</f>
        <v>12210</v>
      </c>
      <c r="I604">
        <f>IFERROR(VLOOKUP(Table_socioeca8.sandag.org_ws_abm2_f4[[#This Row],[hwycov_id]],[2]flow_freeway!$A$2:$E$1643,5,FALSE),0)</f>
        <v>14205</v>
      </c>
      <c r="K604">
        <f>Table_socioeca8.sandag.org_ws_abm2_f4[[#This Row],[hwycov_id]]</f>
        <v>13051</v>
      </c>
      <c r="L604">
        <f>Table_socioeca8.sandag.org_ws_abm2_f4[[#This Row],[scenario_id]]</f>
        <v>259</v>
      </c>
      <c r="M604">
        <f>Table_socioeca8.sandag.org_ws_abm2_f4[[#This Row],[flow_day]]</f>
        <v>60139</v>
      </c>
      <c r="N604">
        <f>Table_socioeca8.sandag.org_ws_abm2_f4[[#This Row],[flow_am]]</f>
        <v>12210</v>
      </c>
      <c r="O604">
        <f>Table_socioeca8.sandag.org_ws_abm2_f4[[#This Row],[flow_pm]]</f>
        <v>14205</v>
      </c>
    </row>
    <row r="605" spans="5:15" x14ac:dyDescent="0.25">
      <c r="E605">
        <v>13052</v>
      </c>
      <c r="F605">
        <f t="shared" si="9"/>
        <v>259</v>
      </c>
      <c r="G605">
        <f>IFERROR(VLOOKUP(Table_socioeca8.sandag.org_ws_abm2_f4[[#This Row],[hwycov_id]],[2]flow_freeway!$A$2:$E$1643,3,FALSE),0)</f>
        <v>65387</v>
      </c>
      <c r="H605">
        <f>IFERROR(VLOOKUP(Table_socioeca8.sandag.org_ws_abm2_f4[[#This Row],[hwycov_id]],[2]flow_freeway!$A$2:$E$1643,4,FALSE),0)</f>
        <v>14007</v>
      </c>
      <c r="I605">
        <f>IFERROR(VLOOKUP(Table_socioeca8.sandag.org_ws_abm2_f4[[#This Row],[hwycov_id]],[2]flow_freeway!$A$2:$E$1643,5,FALSE),0)</f>
        <v>17435</v>
      </c>
      <c r="K605">
        <f>Table_socioeca8.sandag.org_ws_abm2_f4[[#This Row],[hwycov_id]]</f>
        <v>13052</v>
      </c>
      <c r="L605">
        <f>Table_socioeca8.sandag.org_ws_abm2_f4[[#This Row],[scenario_id]]</f>
        <v>259</v>
      </c>
      <c r="M605">
        <f>Table_socioeca8.sandag.org_ws_abm2_f4[[#This Row],[flow_day]]</f>
        <v>65387</v>
      </c>
      <c r="N605">
        <f>Table_socioeca8.sandag.org_ws_abm2_f4[[#This Row],[flow_am]]</f>
        <v>14007</v>
      </c>
      <c r="O605">
        <f>Table_socioeca8.sandag.org_ws_abm2_f4[[#This Row],[flow_pm]]</f>
        <v>17435</v>
      </c>
    </row>
    <row r="606" spans="5:15" x14ac:dyDescent="0.25">
      <c r="E606">
        <v>13053</v>
      </c>
      <c r="F606">
        <f t="shared" si="9"/>
        <v>259</v>
      </c>
      <c r="G606">
        <f>IFERROR(VLOOKUP(Table_socioeca8.sandag.org_ws_abm2_f4[[#This Row],[hwycov_id]],[2]flow_freeway!$A$2:$E$1643,3,FALSE),0)</f>
        <v>27628</v>
      </c>
      <c r="H606">
        <f>IFERROR(VLOOKUP(Table_socioeca8.sandag.org_ws_abm2_f4[[#This Row],[hwycov_id]],[2]flow_freeway!$A$2:$E$1643,4,FALSE),0)</f>
        <v>7085</v>
      </c>
      <c r="I606">
        <f>IFERROR(VLOOKUP(Table_socioeca8.sandag.org_ws_abm2_f4[[#This Row],[hwycov_id]],[2]flow_freeway!$A$2:$E$1643,5,FALSE),0)</f>
        <v>6853</v>
      </c>
      <c r="K606">
        <f>Table_socioeca8.sandag.org_ws_abm2_f4[[#This Row],[hwycov_id]]</f>
        <v>13053</v>
      </c>
      <c r="L606">
        <f>Table_socioeca8.sandag.org_ws_abm2_f4[[#This Row],[scenario_id]]</f>
        <v>259</v>
      </c>
      <c r="M606">
        <f>Table_socioeca8.sandag.org_ws_abm2_f4[[#This Row],[flow_day]]</f>
        <v>27628</v>
      </c>
      <c r="N606">
        <f>Table_socioeca8.sandag.org_ws_abm2_f4[[#This Row],[flow_am]]</f>
        <v>7085</v>
      </c>
      <c r="O606">
        <f>Table_socioeca8.sandag.org_ws_abm2_f4[[#This Row],[flow_pm]]</f>
        <v>6853</v>
      </c>
    </row>
    <row r="607" spans="5:15" x14ac:dyDescent="0.25">
      <c r="E607">
        <v>13056</v>
      </c>
      <c r="F607">
        <f t="shared" si="9"/>
        <v>259</v>
      </c>
      <c r="G607">
        <f>IFERROR(VLOOKUP(Table_socioeca8.sandag.org_ws_abm2_f4[[#This Row],[hwycov_id]],[2]flow_freeway!$A$2:$E$1643,3,FALSE),0)</f>
        <v>53033</v>
      </c>
      <c r="H607">
        <f>IFERROR(VLOOKUP(Table_socioeca8.sandag.org_ws_abm2_f4[[#This Row],[hwycov_id]],[2]flow_freeway!$A$2:$E$1643,4,FALSE),0)</f>
        <v>11633</v>
      </c>
      <c r="I607">
        <f>IFERROR(VLOOKUP(Table_socioeca8.sandag.org_ws_abm2_f4[[#This Row],[hwycov_id]],[2]flow_freeway!$A$2:$E$1643,5,FALSE),0)</f>
        <v>13925</v>
      </c>
      <c r="K607">
        <f>Table_socioeca8.sandag.org_ws_abm2_f4[[#This Row],[hwycov_id]]</f>
        <v>13056</v>
      </c>
      <c r="L607">
        <f>Table_socioeca8.sandag.org_ws_abm2_f4[[#This Row],[scenario_id]]</f>
        <v>259</v>
      </c>
      <c r="M607">
        <f>Table_socioeca8.sandag.org_ws_abm2_f4[[#This Row],[flow_day]]</f>
        <v>53033</v>
      </c>
      <c r="N607">
        <f>Table_socioeca8.sandag.org_ws_abm2_f4[[#This Row],[flow_am]]</f>
        <v>11633</v>
      </c>
      <c r="O607">
        <f>Table_socioeca8.sandag.org_ws_abm2_f4[[#This Row],[flow_pm]]</f>
        <v>13925</v>
      </c>
    </row>
    <row r="608" spans="5:15" x14ac:dyDescent="0.25">
      <c r="E608">
        <v>13099</v>
      </c>
      <c r="F608">
        <f t="shared" si="9"/>
        <v>259</v>
      </c>
      <c r="G608">
        <f>IFERROR(VLOOKUP(Table_socioeca8.sandag.org_ws_abm2_f4[[#This Row],[hwycov_id]],[2]flow_freeway!$A$2:$E$1643,3,FALSE),0)</f>
        <v>88510</v>
      </c>
      <c r="H608">
        <f>IFERROR(VLOOKUP(Table_socioeca8.sandag.org_ws_abm2_f4[[#This Row],[hwycov_id]],[2]flow_freeway!$A$2:$E$1643,4,FALSE),0)</f>
        <v>17017</v>
      </c>
      <c r="I608">
        <f>IFERROR(VLOOKUP(Table_socioeca8.sandag.org_ws_abm2_f4[[#This Row],[hwycov_id]],[2]flow_freeway!$A$2:$E$1643,5,FALSE),0)</f>
        <v>22236</v>
      </c>
      <c r="K608">
        <f>Table_socioeca8.sandag.org_ws_abm2_f4[[#This Row],[hwycov_id]]</f>
        <v>13099</v>
      </c>
      <c r="L608">
        <f>Table_socioeca8.sandag.org_ws_abm2_f4[[#This Row],[scenario_id]]</f>
        <v>259</v>
      </c>
      <c r="M608">
        <f>Table_socioeca8.sandag.org_ws_abm2_f4[[#This Row],[flow_day]]</f>
        <v>88510</v>
      </c>
      <c r="N608">
        <f>Table_socioeca8.sandag.org_ws_abm2_f4[[#This Row],[flow_am]]</f>
        <v>17017</v>
      </c>
      <c r="O608">
        <f>Table_socioeca8.sandag.org_ws_abm2_f4[[#This Row],[flow_pm]]</f>
        <v>22236</v>
      </c>
    </row>
    <row r="609" spans="5:15" x14ac:dyDescent="0.25">
      <c r="E609">
        <v>13100</v>
      </c>
      <c r="F609">
        <f t="shared" si="9"/>
        <v>259</v>
      </c>
      <c r="G609">
        <f>IFERROR(VLOOKUP(Table_socioeca8.sandag.org_ws_abm2_f4[[#This Row],[hwycov_id]],[2]flow_freeway!$A$2:$E$1643,3,FALSE),0)</f>
        <v>95122</v>
      </c>
      <c r="H609">
        <f>IFERROR(VLOOKUP(Table_socioeca8.sandag.org_ws_abm2_f4[[#This Row],[hwycov_id]],[2]flow_freeway!$A$2:$E$1643,4,FALSE),0)</f>
        <v>20520</v>
      </c>
      <c r="I609">
        <f>IFERROR(VLOOKUP(Table_socioeca8.sandag.org_ws_abm2_f4[[#This Row],[hwycov_id]],[2]flow_freeway!$A$2:$E$1643,5,FALSE),0)</f>
        <v>22379</v>
      </c>
      <c r="K609">
        <f>Table_socioeca8.sandag.org_ws_abm2_f4[[#This Row],[hwycov_id]]</f>
        <v>13100</v>
      </c>
      <c r="L609">
        <f>Table_socioeca8.sandag.org_ws_abm2_f4[[#This Row],[scenario_id]]</f>
        <v>259</v>
      </c>
      <c r="M609">
        <f>Table_socioeca8.sandag.org_ws_abm2_f4[[#This Row],[flow_day]]</f>
        <v>95122</v>
      </c>
      <c r="N609">
        <f>Table_socioeca8.sandag.org_ws_abm2_f4[[#This Row],[flow_am]]</f>
        <v>20520</v>
      </c>
      <c r="O609">
        <f>Table_socioeca8.sandag.org_ws_abm2_f4[[#This Row],[flow_pm]]</f>
        <v>22379</v>
      </c>
    </row>
    <row r="610" spans="5:15" x14ac:dyDescent="0.25">
      <c r="E610">
        <v>13115</v>
      </c>
      <c r="F610">
        <f t="shared" si="9"/>
        <v>259</v>
      </c>
      <c r="G610">
        <f>IFERROR(VLOOKUP(Table_socioeca8.sandag.org_ws_abm2_f4[[#This Row],[hwycov_id]],[2]flow_freeway!$A$2:$E$1643,3,FALSE),0)</f>
        <v>39507</v>
      </c>
      <c r="H610">
        <f>IFERROR(VLOOKUP(Table_socioeca8.sandag.org_ws_abm2_f4[[#This Row],[hwycov_id]],[2]flow_freeway!$A$2:$E$1643,4,FALSE),0)</f>
        <v>5793</v>
      </c>
      <c r="I610">
        <f>IFERROR(VLOOKUP(Table_socioeca8.sandag.org_ws_abm2_f4[[#This Row],[hwycov_id]],[2]flow_freeway!$A$2:$E$1643,5,FALSE),0)</f>
        <v>11944</v>
      </c>
      <c r="K610">
        <f>Table_socioeca8.sandag.org_ws_abm2_f4[[#This Row],[hwycov_id]]</f>
        <v>13115</v>
      </c>
      <c r="L610">
        <f>Table_socioeca8.sandag.org_ws_abm2_f4[[#This Row],[scenario_id]]</f>
        <v>259</v>
      </c>
      <c r="M610">
        <f>Table_socioeca8.sandag.org_ws_abm2_f4[[#This Row],[flow_day]]</f>
        <v>39507</v>
      </c>
      <c r="N610">
        <f>Table_socioeca8.sandag.org_ws_abm2_f4[[#This Row],[flow_am]]</f>
        <v>5793</v>
      </c>
      <c r="O610">
        <f>Table_socioeca8.sandag.org_ws_abm2_f4[[#This Row],[flow_pm]]</f>
        <v>11944</v>
      </c>
    </row>
    <row r="611" spans="5:15" x14ac:dyDescent="0.25">
      <c r="E611">
        <v>13116</v>
      </c>
      <c r="F611">
        <f t="shared" si="9"/>
        <v>259</v>
      </c>
      <c r="G611">
        <f>IFERROR(VLOOKUP(Table_socioeca8.sandag.org_ws_abm2_f4[[#This Row],[hwycov_id]],[2]flow_freeway!$A$2:$E$1643,3,FALSE),0)</f>
        <v>36560</v>
      </c>
      <c r="H611">
        <f>IFERROR(VLOOKUP(Table_socioeca8.sandag.org_ws_abm2_f4[[#This Row],[hwycov_id]],[2]flow_freeway!$A$2:$E$1643,4,FALSE),0)</f>
        <v>5344</v>
      </c>
      <c r="I611">
        <f>IFERROR(VLOOKUP(Table_socioeca8.sandag.org_ws_abm2_f4[[#This Row],[hwycov_id]],[2]flow_freeway!$A$2:$E$1643,5,FALSE),0)</f>
        <v>11048</v>
      </c>
      <c r="K611">
        <f>Table_socioeca8.sandag.org_ws_abm2_f4[[#This Row],[hwycov_id]]</f>
        <v>13116</v>
      </c>
      <c r="L611">
        <f>Table_socioeca8.sandag.org_ws_abm2_f4[[#This Row],[scenario_id]]</f>
        <v>259</v>
      </c>
      <c r="M611">
        <f>Table_socioeca8.sandag.org_ws_abm2_f4[[#This Row],[flow_day]]</f>
        <v>36560</v>
      </c>
      <c r="N611">
        <f>Table_socioeca8.sandag.org_ws_abm2_f4[[#This Row],[flow_am]]</f>
        <v>5344</v>
      </c>
      <c r="O611">
        <f>Table_socioeca8.sandag.org_ws_abm2_f4[[#This Row],[flow_pm]]</f>
        <v>11048</v>
      </c>
    </row>
    <row r="612" spans="5:15" x14ac:dyDescent="0.25">
      <c r="E612">
        <v>13117</v>
      </c>
      <c r="F612">
        <f t="shared" si="9"/>
        <v>259</v>
      </c>
      <c r="G612">
        <f>IFERROR(VLOOKUP(Table_socioeca8.sandag.org_ws_abm2_f4[[#This Row],[hwycov_id]],[2]flow_freeway!$A$2:$E$1643,3,FALSE),0)</f>
        <v>47452</v>
      </c>
      <c r="H612">
        <f>IFERROR(VLOOKUP(Table_socioeca8.sandag.org_ws_abm2_f4[[#This Row],[hwycov_id]],[2]flow_freeway!$A$2:$E$1643,4,FALSE),0)</f>
        <v>11546</v>
      </c>
      <c r="I612">
        <f>IFERROR(VLOOKUP(Table_socioeca8.sandag.org_ws_abm2_f4[[#This Row],[hwycov_id]],[2]flow_freeway!$A$2:$E$1643,5,FALSE),0)</f>
        <v>9265</v>
      </c>
      <c r="K612">
        <f>Table_socioeca8.sandag.org_ws_abm2_f4[[#This Row],[hwycov_id]]</f>
        <v>13117</v>
      </c>
      <c r="L612">
        <f>Table_socioeca8.sandag.org_ws_abm2_f4[[#This Row],[scenario_id]]</f>
        <v>259</v>
      </c>
      <c r="M612">
        <f>Table_socioeca8.sandag.org_ws_abm2_f4[[#This Row],[flow_day]]</f>
        <v>47452</v>
      </c>
      <c r="N612">
        <f>Table_socioeca8.sandag.org_ws_abm2_f4[[#This Row],[flow_am]]</f>
        <v>11546</v>
      </c>
      <c r="O612">
        <f>Table_socioeca8.sandag.org_ws_abm2_f4[[#This Row],[flow_pm]]</f>
        <v>9265</v>
      </c>
    </row>
    <row r="613" spans="5:15" x14ac:dyDescent="0.25">
      <c r="E613">
        <v>13118</v>
      </c>
      <c r="F613">
        <f t="shared" si="9"/>
        <v>259</v>
      </c>
      <c r="G613">
        <f>IFERROR(VLOOKUP(Table_socioeca8.sandag.org_ws_abm2_f4[[#This Row],[hwycov_id]],[2]flow_freeway!$A$2:$E$1643,3,FALSE),0)</f>
        <v>41573</v>
      </c>
      <c r="H613">
        <f>IFERROR(VLOOKUP(Table_socioeca8.sandag.org_ws_abm2_f4[[#This Row],[hwycov_id]],[2]flow_freeway!$A$2:$E$1643,4,FALSE),0)</f>
        <v>10188</v>
      </c>
      <c r="I613">
        <f>IFERROR(VLOOKUP(Table_socioeca8.sandag.org_ws_abm2_f4[[#This Row],[hwycov_id]],[2]flow_freeway!$A$2:$E$1643,5,FALSE),0)</f>
        <v>8298</v>
      </c>
      <c r="K613">
        <f>Table_socioeca8.sandag.org_ws_abm2_f4[[#This Row],[hwycov_id]]</f>
        <v>13118</v>
      </c>
      <c r="L613">
        <f>Table_socioeca8.sandag.org_ws_abm2_f4[[#This Row],[scenario_id]]</f>
        <v>259</v>
      </c>
      <c r="M613">
        <f>Table_socioeca8.sandag.org_ws_abm2_f4[[#This Row],[flow_day]]</f>
        <v>41573</v>
      </c>
      <c r="N613">
        <f>Table_socioeca8.sandag.org_ws_abm2_f4[[#This Row],[flow_am]]</f>
        <v>10188</v>
      </c>
      <c r="O613">
        <f>Table_socioeca8.sandag.org_ws_abm2_f4[[#This Row],[flow_pm]]</f>
        <v>8298</v>
      </c>
    </row>
    <row r="614" spans="5:15" x14ac:dyDescent="0.25">
      <c r="E614">
        <v>13123</v>
      </c>
      <c r="F614">
        <f t="shared" si="9"/>
        <v>259</v>
      </c>
      <c r="G614">
        <f>IFERROR(VLOOKUP(Table_socioeca8.sandag.org_ws_abm2_f4[[#This Row],[hwycov_id]],[2]flow_freeway!$A$2:$E$1643,3,FALSE),0)</f>
        <v>39513</v>
      </c>
      <c r="H614">
        <f>IFERROR(VLOOKUP(Table_socioeca8.sandag.org_ws_abm2_f4[[#This Row],[hwycov_id]],[2]flow_freeway!$A$2:$E$1643,4,FALSE),0)</f>
        <v>5943</v>
      </c>
      <c r="I614">
        <f>IFERROR(VLOOKUP(Table_socioeca8.sandag.org_ws_abm2_f4[[#This Row],[hwycov_id]],[2]flow_freeway!$A$2:$E$1643,5,FALSE),0)</f>
        <v>11775</v>
      </c>
      <c r="K614">
        <f>Table_socioeca8.sandag.org_ws_abm2_f4[[#This Row],[hwycov_id]]</f>
        <v>13123</v>
      </c>
      <c r="L614">
        <f>Table_socioeca8.sandag.org_ws_abm2_f4[[#This Row],[scenario_id]]</f>
        <v>259</v>
      </c>
      <c r="M614">
        <f>Table_socioeca8.sandag.org_ws_abm2_f4[[#This Row],[flow_day]]</f>
        <v>39513</v>
      </c>
      <c r="N614">
        <f>Table_socioeca8.sandag.org_ws_abm2_f4[[#This Row],[flow_am]]</f>
        <v>5943</v>
      </c>
      <c r="O614">
        <f>Table_socioeca8.sandag.org_ws_abm2_f4[[#This Row],[flow_pm]]</f>
        <v>11775</v>
      </c>
    </row>
    <row r="615" spans="5:15" x14ac:dyDescent="0.25">
      <c r="E615">
        <v>13124</v>
      </c>
      <c r="F615">
        <f t="shared" si="9"/>
        <v>259</v>
      </c>
      <c r="G615">
        <f>IFERROR(VLOOKUP(Table_socioeca8.sandag.org_ws_abm2_f4[[#This Row],[hwycov_id]],[2]flow_freeway!$A$2:$E$1643,3,FALSE),0)</f>
        <v>43167</v>
      </c>
      <c r="H615">
        <f>IFERROR(VLOOKUP(Table_socioeca8.sandag.org_ws_abm2_f4[[#This Row],[hwycov_id]],[2]flow_freeway!$A$2:$E$1643,4,FALSE),0)</f>
        <v>10687</v>
      </c>
      <c r="I615">
        <f>IFERROR(VLOOKUP(Table_socioeca8.sandag.org_ws_abm2_f4[[#This Row],[hwycov_id]],[2]flow_freeway!$A$2:$E$1643,5,FALSE),0)</f>
        <v>8738</v>
      </c>
      <c r="K615">
        <f>Table_socioeca8.sandag.org_ws_abm2_f4[[#This Row],[hwycov_id]]</f>
        <v>13124</v>
      </c>
      <c r="L615">
        <f>Table_socioeca8.sandag.org_ws_abm2_f4[[#This Row],[scenario_id]]</f>
        <v>259</v>
      </c>
      <c r="M615">
        <f>Table_socioeca8.sandag.org_ws_abm2_f4[[#This Row],[flow_day]]</f>
        <v>43167</v>
      </c>
      <c r="N615">
        <f>Table_socioeca8.sandag.org_ws_abm2_f4[[#This Row],[flow_am]]</f>
        <v>10687</v>
      </c>
      <c r="O615">
        <f>Table_socioeca8.sandag.org_ws_abm2_f4[[#This Row],[flow_pm]]</f>
        <v>8738</v>
      </c>
    </row>
    <row r="616" spans="5:15" x14ac:dyDescent="0.25">
      <c r="E616">
        <v>13128</v>
      </c>
      <c r="F616">
        <f t="shared" si="9"/>
        <v>259</v>
      </c>
      <c r="G616">
        <f>IFERROR(VLOOKUP(Table_socioeca8.sandag.org_ws_abm2_f4[[#This Row],[hwycov_id]],[2]flow_freeway!$A$2:$E$1643,3,FALSE),0)</f>
        <v>36971</v>
      </c>
      <c r="H616">
        <f>IFERROR(VLOOKUP(Table_socioeca8.sandag.org_ws_abm2_f4[[#This Row],[hwycov_id]],[2]flow_freeway!$A$2:$E$1643,4,FALSE),0)</f>
        <v>9404</v>
      </c>
      <c r="I616">
        <f>IFERROR(VLOOKUP(Table_socioeca8.sandag.org_ws_abm2_f4[[#This Row],[hwycov_id]],[2]flow_freeway!$A$2:$E$1643,5,FALSE),0)</f>
        <v>7600</v>
      </c>
      <c r="K616">
        <f>Table_socioeca8.sandag.org_ws_abm2_f4[[#This Row],[hwycov_id]]</f>
        <v>13128</v>
      </c>
      <c r="L616">
        <f>Table_socioeca8.sandag.org_ws_abm2_f4[[#This Row],[scenario_id]]</f>
        <v>259</v>
      </c>
      <c r="M616">
        <f>Table_socioeca8.sandag.org_ws_abm2_f4[[#This Row],[flow_day]]</f>
        <v>36971</v>
      </c>
      <c r="N616">
        <f>Table_socioeca8.sandag.org_ws_abm2_f4[[#This Row],[flow_am]]</f>
        <v>9404</v>
      </c>
      <c r="O616">
        <f>Table_socioeca8.sandag.org_ws_abm2_f4[[#This Row],[flow_pm]]</f>
        <v>7600</v>
      </c>
    </row>
    <row r="617" spans="5:15" x14ac:dyDescent="0.25">
      <c r="E617">
        <v>13135</v>
      </c>
      <c r="F617">
        <f t="shared" si="9"/>
        <v>259</v>
      </c>
      <c r="G617">
        <f>IFERROR(VLOOKUP(Table_socioeca8.sandag.org_ws_abm2_f4[[#This Row],[hwycov_id]],[2]flow_freeway!$A$2:$E$1643,3,FALSE),0)</f>
        <v>39823</v>
      </c>
      <c r="H617">
        <f>IFERROR(VLOOKUP(Table_socioeca8.sandag.org_ws_abm2_f4[[#This Row],[hwycov_id]],[2]flow_freeway!$A$2:$E$1643,4,FALSE),0)</f>
        <v>10083</v>
      </c>
      <c r="I617">
        <f>IFERROR(VLOOKUP(Table_socioeca8.sandag.org_ws_abm2_f4[[#This Row],[hwycov_id]],[2]flow_freeway!$A$2:$E$1643,5,FALSE),0)</f>
        <v>8387</v>
      </c>
      <c r="K617">
        <f>Table_socioeca8.sandag.org_ws_abm2_f4[[#This Row],[hwycov_id]]</f>
        <v>13135</v>
      </c>
      <c r="L617">
        <f>Table_socioeca8.sandag.org_ws_abm2_f4[[#This Row],[scenario_id]]</f>
        <v>259</v>
      </c>
      <c r="M617">
        <f>Table_socioeca8.sandag.org_ws_abm2_f4[[#This Row],[flow_day]]</f>
        <v>39823</v>
      </c>
      <c r="N617">
        <f>Table_socioeca8.sandag.org_ws_abm2_f4[[#This Row],[flow_am]]</f>
        <v>10083</v>
      </c>
      <c r="O617">
        <f>Table_socioeca8.sandag.org_ws_abm2_f4[[#This Row],[flow_pm]]</f>
        <v>8387</v>
      </c>
    </row>
    <row r="618" spans="5:15" x14ac:dyDescent="0.25">
      <c r="E618">
        <v>13141</v>
      </c>
      <c r="F618">
        <f t="shared" si="9"/>
        <v>259</v>
      </c>
      <c r="G618">
        <f>IFERROR(VLOOKUP(Table_socioeca8.sandag.org_ws_abm2_f4[[#This Row],[hwycov_id]],[2]flow_freeway!$A$2:$E$1643,3,FALSE),0)</f>
        <v>29518</v>
      </c>
      <c r="H618">
        <f>IFERROR(VLOOKUP(Table_socioeca8.sandag.org_ws_abm2_f4[[#This Row],[hwycov_id]],[2]flow_freeway!$A$2:$E$1643,4,FALSE),0)</f>
        <v>7415</v>
      </c>
      <c r="I618">
        <f>IFERROR(VLOOKUP(Table_socioeca8.sandag.org_ws_abm2_f4[[#This Row],[hwycov_id]],[2]flow_freeway!$A$2:$E$1643,5,FALSE),0)</f>
        <v>6305</v>
      </c>
      <c r="K618">
        <f>Table_socioeca8.sandag.org_ws_abm2_f4[[#This Row],[hwycov_id]]</f>
        <v>13141</v>
      </c>
      <c r="L618">
        <f>Table_socioeca8.sandag.org_ws_abm2_f4[[#This Row],[scenario_id]]</f>
        <v>259</v>
      </c>
      <c r="M618">
        <f>Table_socioeca8.sandag.org_ws_abm2_f4[[#This Row],[flow_day]]</f>
        <v>29518</v>
      </c>
      <c r="N618">
        <f>Table_socioeca8.sandag.org_ws_abm2_f4[[#This Row],[flow_am]]</f>
        <v>7415</v>
      </c>
      <c r="O618">
        <f>Table_socioeca8.sandag.org_ws_abm2_f4[[#This Row],[flow_pm]]</f>
        <v>6305</v>
      </c>
    </row>
    <row r="619" spans="5:15" x14ac:dyDescent="0.25">
      <c r="E619">
        <v>13149</v>
      </c>
      <c r="F619">
        <f t="shared" si="9"/>
        <v>259</v>
      </c>
      <c r="G619">
        <f>IFERROR(VLOOKUP(Table_socioeca8.sandag.org_ws_abm2_f4[[#This Row],[hwycov_id]],[2]flow_freeway!$A$2:$E$1643,3,FALSE),0)</f>
        <v>29795</v>
      </c>
      <c r="H619">
        <f>IFERROR(VLOOKUP(Table_socioeca8.sandag.org_ws_abm2_f4[[#This Row],[hwycov_id]],[2]flow_freeway!$A$2:$E$1643,4,FALSE),0)</f>
        <v>7457</v>
      </c>
      <c r="I619">
        <f>IFERROR(VLOOKUP(Table_socioeca8.sandag.org_ws_abm2_f4[[#This Row],[hwycov_id]],[2]flow_freeway!$A$2:$E$1643,5,FALSE),0)</f>
        <v>6375</v>
      </c>
      <c r="K619">
        <f>Table_socioeca8.sandag.org_ws_abm2_f4[[#This Row],[hwycov_id]]</f>
        <v>13149</v>
      </c>
      <c r="L619">
        <f>Table_socioeca8.sandag.org_ws_abm2_f4[[#This Row],[scenario_id]]</f>
        <v>259</v>
      </c>
      <c r="M619">
        <f>Table_socioeca8.sandag.org_ws_abm2_f4[[#This Row],[flow_day]]</f>
        <v>29795</v>
      </c>
      <c r="N619">
        <f>Table_socioeca8.sandag.org_ws_abm2_f4[[#This Row],[flow_am]]</f>
        <v>7457</v>
      </c>
      <c r="O619">
        <f>Table_socioeca8.sandag.org_ws_abm2_f4[[#This Row],[flow_pm]]</f>
        <v>6375</v>
      </c>
    </row>
    <row r="620" spans="5:15" x14ac:dyDescent="0.25">
      <c r="E620">
        <v>13153</v>
      </c>
      <c r="F620">
        <f t="shared" si="9"/>
        <v>259</v>
      </c>
      <c r="G620">
        <f>IFERROR(VLOOKUP(Table_socioeca8.sandag.org_ws_abm2_f4[[#This Row],[hwycov_id]],[2]flow_freeway!$A$2:$E$1643,3,FALSE),0)</f>
        <v>24065</v>
      </c>
      <c r="H620">
        <f>IFERROR(VLOOKUP(Table_socioeca8.sandag.org_ws_abm2_f4[[#This Row],[hwycov_id]],[2]flow_freeway!$A$2:$E$1643,4,FALSE),0)</f>
        <v>5829</v>
      </c>
      <c r="I620">
        <f>IFERROR(VLOOKUP(Table_socioeca8.sandag.org_ws_abm2_f4[[#This Row],[hwycov_id]],[2]flow_freeway!$A$2:$E$1643,5,FALSE),0)</f>
        <v>4968</v>
      </c>
      <c r="K620">
        <f>Table_socioeca8.sandag.org_ws_abm2_f4[[#This Row],[hwycov_id]]</f>
        <v>13153</v>
      </c>
      <c r="L620">
        <f>Table_socioeca8.sandag.org_ws_abm2_f4[[#This Row],[scenario_id]]</f>
        <v>259</v>
      </c>
      <c r="M620">
        <f>Table_socioeca8.sandag.org_ws_abm2_f4[[#This Row],[flow_day]]</f>
        <v>24065</v>
      </c>
      <c r="N620">
        <f>Table_socioeca8.sandag.org_ws_abm2_f4[[#This Row],[flow_am]]</f>
        <v>5829</v>
      </c>
      <c r="O620">
        <f>Table_socioeca8.sandag.org_ws_abm2_f4[[#This Row],[flow_pm]]</f>
        <v>4968</v>
      </c>
    </row>
    <row r="621" spans="5:15" x14ac:dyDescent="0.25">
      <c r="E621">
        <v>13263</v>
      </c>
      <c r="F621">
        <f t="shared" si="9"/>
        <v>259</v>
      </c>
      <c r="G621">
        <f>IFERROR(VLOOKUP(Table_socioeca8.sandag.org_ws_abm2_f4[[#This Row],[hwycov_id]],[2]flow_freeway!$A$2:$E$1643,3,FALSE),0)</f>
        <v>61562</v>
      </c>
      <c r="H621">
        <f>IFERROR(VLOOKUP(Table_socioeca8.sandag.org_ws_abm2_f4[[#This Row],[hwycov_id]],[2]flow_freeway!$A$2:$E$1643,4,FALSE),0)</f>
        <v>13361</v>
      </c>
      <c r="I621">
        <f>IFERROR(VLOOKUP(Table_socioeca8.sandag.org_ws_abm2_f4[[#This Row],[hwycov_id]],[2]flow_freeway!$A$2:$E$1643,5,FALSE),0)</f>
        <v>14927</v>
      </c>
      <c r="K621">
        <f>Table_socioeca8.sandag.org_ws_abm2_f4[[#This Row],[hwycov_id]]</f>
        <v>13263</v>
      </c>
      <c r="L621">
        <f>Table_socioeca8.sandag.org_ws_abm2_f4[[#This Row],[scenario_id]]</f>
        <v>259</v>
      </c>
      <c r="M621">
        <f>Table_socioeca8.sandag.org_ws_abm2_f4[[#This Row],[flow_day]]</f>
        <v>61562</v>
      </c>
      <c r="N621">
        <f>Table_socioeca8.sandag.org_ws_abm2_f4[[#This Row],[flow_am]]</f>
        <v>13361</v>
      </c>
      <c r="O621">
        <f>Table_socioeca8.sandag.org_ws_abm2_f4[[#This Row],[flow_pm]]</f>
        <v>14927</v>
      </c>
    </row>
    <row r="622" spans="5:15" x14ac:dyDescent="0.25">
      <c r="E622">
        <v>13273</v>
      </c>
      <c r="F622">
        <f t="shared" si="9"/>
        <v>259</v>
      </c>
      <c r="G622">
        <f>IFERROR(VLOOKUP(Table_socioeca8.sandag.org_ws_abm2_f4[[#This Row],[hwycov_id]],[2]flow_freeway!$A$2:$E$1643,3,FALSE),0)</f>
        <v>88789</v>
      </c>
      <c r="H622">
        <f>IFERROR(VLOOKUP(Table_socioeca8.sandag.org_ws_abm2_f4[[#This Row],[hwycov_id]],[2]flow_freeway!$A$2:$E$1643,4,FALSE),0)</f>
        <v>20817</v>
      </c>
      <c r="I622">
        <f>IFERROR(VLOOKUP(Table_socioeca8.sandag.org_ws_abm2_f4[[#This Row],[hwycov_id]],[2]flow_freeway!$A$2:$E$1643,5,FALSE),0)</f>
        <v>16283</v>
      </c>
      <c r="K622">
        <f>Table_socioeca8.sandag.org_ws_abm2_f4[[#This Row],[hwycov_id]]</f>
        <v>13273</v>
      </c>
      <c r="L622">
        <f>Table_socioeca8.sandag.org_ws_abm2_f4[[#This Row],[scenario_id]]</f>
        <v>259</v>
      </c>
      <c r="M622">
        <f>Table_socioeca8.sandag.org_ws_abm2_f4[[#This Row],[flow_day]]</f>
        <v>88789</v>
      </c>
      <c r="N622">
        <f>Table_socioeca8.sandag.org_ws_abm2_f4[[#This Row],[flow_am]]</f>
        <v>20817</v>
      </c>
      <c r="O622">
        <f>Table_socioeca8.sandag.org_ws_abm2_f4[[#This Row],[flow_pm]]</f>
        <v>16283</v>
      </c>
    </row>
    <row r="623" spans="5:15" x14ac:dyDescent="0.25">
      <c r="E623">
        <v>13274</v>
      </c>
      <c r="F623">
        <f t="shared" si="9"/>
        <v>259</v>
      </c>
      <c r="G623">
        <f>IFERROR(VLOOKUP(Table_socioeca8.sandag.org_ws_abm2_f4[[#This Row],[hwycov_id]],[2]flow_freeway!$A$2:$E$1643,3,FALSE),0)</f>
        <v>96507</v>
      </c>
      <c r="H623">
        <f>IFERROR(VLOOKUP(Table_socioeca8.sandag.org_ws_abm2_f4[[#This Row],[hwycov_id]],[2]flow_freeway!$A$2:$E$1643,4,FALSE),0)</f>
        <v>22483</v>
      </c>
      <c r="I623">
        <f>IFERROR(VLOOKUP(Table_socioeca8.sandag.org_ws_abm2_f4[[#This Row],[hwycov_id]],[2]flow_freeway!$A$2:$E$1643,5,FALSE),0)</f>
        <v>17770</v>
      </c>
      <c r="K623">
        <f>Table_socioeca8.sandag.org_ws_abm2_f4[[#This Row],[hwycov_id]]</f>
        <v>13274</v>
      </c>
      <c r="L623">
        <f>Table_socioeca8.sandag.org_ws_abm2_f4[[#This Row],[scenario_id]]</f>
        <v>259</v>
      </c>
      <c r="M623">
        <f>Table_socioeca8.sandag.org_ws_abm2_f4[[#This Row],[flow_day]]</f>
        <v>96507</v>
      </c>
      <c r="N623">
        <f>Table_socioeca8.sandag.org_ws_abm2_f4[[#This Row],[flow_am]]</f>
        <v>22483</v>
      </c>
      <c r="O623">
        <f>Table_socioeca8.sandag.org_ws_abm2_f4[[#This Row],[flow_pm]]</f>
        <v>17770</v>
      </c>
    </row>
    <row r="624" spans="5:15" x14ac:dyDescent="0.25">
      <c r="E624">
        <v>13275</v>
      </c>
      <c r="F624">
        <f t="shared" si="9"/>
        <v>259</v>
      </c>
      <c r="G624">
        <f>IFERROR(VLOOKUP(Table_socioeca8.sandag.org_ws_abm2_f4[[#This Row],[hwycov_id]],[2]flow_freeway!$A$2:$E$1643,3,FALSE),0)</f>
        <v>95447</v>
      </c>
      <c r="H624">
        <f>IFERROR(VLOOKUP(Table_socioeca8.sandag.org_ws_abm2_f4[[#This Row],[hwycov_id]],[2]flow_freeway!$A$2:$E$1643,4,FALSE),0)</f>
        <v>15421</v>
      </c>
      <c r="I624">
        <f>IFERROR(VLOOKUP(Table_socioeca8.sandag.org_ws_abm2_f4[[#This Row],[hwycov_id]],[2]flow_freeway!$A$2:$E$1643,5,FALSE),0)</f>
        <v>27752</v>
      </c>
      <c r="K624">
        <f>Table_socioeca8.sandag.org_ws_abm2_f4[[#This Row],[hwycov_id]]</f>
        <v>13275</v>
      </c>
      <c r="L624">
        <f>Table_socioeca8.sandag.org_ws_abm2_f4[[#This Row],[scenario_id]]</f>
        <v>259</v>
      </c>
      <c r="M624">
        <f>Table_socioeca8.sandag.org_ws_abm2_f4[[#This Row],[flow_day]]</f>
        <v>95447</v>
      </c>
      <c r="N624">
        <f>Table_socioeca8.sandag.org_ws_abm2_f4[[#This Row],[flow_am]]</f>
        <v>15421</v>
      </c>
      <c r="O624">
        <f>Table_socioeca8.sandag.org_ws_abm2_f4[[#This Row],[flow_pm]]</f>
        <v>27752</v>
      </c>
    </row>
    <row r="625" spans="5:15" x14ac:dyDescent="0.25">
      <c r="E625">
        <v>13277</v>
      </c>
      <c r="F625">
        <f t="shared" si="9"/>
        <v>259</v>
      </c>
      <c r="G625">
        <f>IFERROR(VLOOKUP(Table_socioeca8.sandag.org_ws_abm2_f4[[#This Row],[hwycov_id]],[2]flow_freeway!$A$2:$E$1643,3,FALSE),0)</f>
        <v>87809</v>
      </c>
      <c r="H625">
        <f>IFERROR(VLOOKUP(Table_socioeca8.sandag.org_ws_abm2_f4[[#This Row],[hwycov_id]],[2]flow_freeway!$A$2:$E$1643,4,FALSE),0)</f>
        <v>14399</v>
      </c>
      <c r="I625">
        <f>IFERROR(VLOOKUP(Table_socioeca8.sandag.org_ws_abm2_f4[[#This Row],[hwycov_id]],[2]flow_freeway!$A$2:$E$1643,5,FALSE),0)</f>
        <v>25538</v>
      </c>
      <c r="K625">
        <f>Table_socioeca8.sandag.org_ws_abm2_f4[[#This Row],[hwycov_id]]</f>
        <v>13277</v>
      </c>
      <c r="L625">
        <f>Table_socioeca8.sandag.org_ws_abm2_f4[[#This Row],[scenario_id]]</f>
        <v>259</v>
      </c>
      <c r="M625">
        <f>Table_socioeca8.sandag.org_ws_abm2_f4[[#This Row],[flow_day]]</f>
        <v>87809</v>
      </c>
      <c r="N625">
        <f>Table_socioeca8.sandag.org_ws_abm2_f4[[#This Row],[flow_am]]</f>
        <v>14399</v>
      </c>
      <c r="O625">
        <f>Table_socioeca8.sandag.org_ws_abm2_f4[[#This Row],[flow_pm]]</f>
        <v>25538</v>
      </c>
    </row>
    <row r="626" spans="5:15" x14ac:dyDescent="0.25">
      <c r="E626">
        <v>13279</v>
      </c>
      <c r="F626">
        <f t="shared" si="9"/>
        <v>259</v>
      </c>
      <c r="G626">
        <f>IFERROR(VLOOKUP(Table_socioeca8.sandag.org_ws_abm2_f4[[#This Row],[hwycov_id]],[2]flow_freeway!$A$2:$E$1643,3,FALSE),0)</f>
        <v>99423</v>
      </c>
      <c r="H626">
        <f>IFERROR(VLOOKUP(Table_socioeca8.sandag.org_ws_abm2_f4[[#This Row],[hwycov_id]],[2]flow_freeway!$A$2:$E$1643,4,FALSE),0)</f>
        <v>16414</v>
      </c>
      <c r="I626">
        <f>IFERROR(VLOOKUP(Table_socioeca8.sandag.org_ws_abm2_f4[[#This Row],[hwycov_id]],[2]flow_freeway!$A$2:$E$1643,5,FALSE),0)</f>
        <v>28062</v>
      </c>
      <c r="K626">
        <f>Table_socioeca8.sandag.org_ws_abm2_f4[[#This Row],[hwycov_id]]</f>
        <v>13279</v>
      </c>
      <c r="L626">
        <f>Table_socioeca8.sandag.org_ws_abm2_f4[[#This Row],[scenario_id]]</f>
        <v>259</v>
      </c>
      <c r="M626">
        <f>Table_socioeca8.sandag.org_ws_abm2_f4[[#This Row],[flow_day]]</f>
        <v>99423</v>
      </c>
      <c r="N626">
        <f>Table_socioeca8.sandag.org_ws_abm2_f4[[#This Row],[flow_am]]</f>
        <v>16414</v>
      </c>
      <c r="O626">
        <f>Table_socioeca8.sandag.org_ws_abm2_f4[[#This Row],[flow_pm]]</f>
        <v>28062</v>
      </c>
    </row>
    <row r="627" spans="5:15" x14ac:dyDescent="0.25">
      <c r="E627">
        <v>13281</v>
      </c>
      <c r="F627">
        <f t="shared" si="9"/>
        <v>259</v>
      </c>
      <c r="G627">
        <f>IFERROR(VLOOKUP(Table_socioeca8.sandag.org_ws_abm2_f4[[#This Row],[hwycov_id]],[2]flow_freeway!$A$2:$E$1643,3,FALSE),0)</f>
        <v>96382</v>
      </c>
      <c r="H627">
        <f>IFERROR(VLOOKUP(Table_socioeca8.sandag.org_ws_abm2_f4[[#This Row],[hwycov_id]],[2]flow_freeway!$A$2:$E$1643,4,FALSE),0)</f>
        <v>21669</v>
      </c>
      <c r="I627">
        <f>IFERROR(VLOOKUP(Table_socioeca8.sandag.org_ws_abm2_f4[[#This Row],[hwycov_id]],[2]flow_freeway!$A$2:$E$1643,5,FALSE),0)</f>
        <v>17850</v>
      </c>
      <c r="K627">
        <f>Table_socioeca8.sandag.org_ws_abm2_f4[[#This Row],[hwycov_id]]</f>
        <v>13281</v>
      </c>
      <c r="L627">
        <f>Table_socioeca8.sandag.org_ws_abm2_f4[[#This Row],[scenario_id]]</f>
        <v>259</v>
      </c>
      <c r="M627">
        <f>Table_socioeca8.sandag.org_ws_abm2_f4[[#This Row],[flow_day]]</f>
        <v>96382</v>
      </c>
      <c r="N627">
        <f>Table_socioeca8.sandag.org_ws_abm2_f4[[#This Row],[flow_am]]</f>
        <v>21669</v>
      </c>
      <c r="O627">
        <f>Table_socioeca8.sandag.org_ws_abm2_f4[[#This Row],[flow_pm]]</f>
        <v>17850</v>
      </c>
    </row>
    <row r="628" spans="5:15" x14ac:dyDescent="0.25">
      <c r="E628">
        <v>13282</v>
      </c>
      <c r="F628">
        <f t="shared" si="9"/>
        <v>259</v>
      </c>
      <c r="G628">
        <f>IFERROR(VLOOKUP(Table_socioeca8.sandag.org_ws_abm2_f4[[#This Row],[hwycov_id]],[2]flow_freeway!$A$2:$E$1643,3,FALSE),0)</f>
        <v>99002</v>
      </c>
      <c r="H628">
        <f>IFERROR(VLOOKUP(Table_socioeca8.sandag.org_ws_abm2_f4[[#This Row],[hwycov_id]],[2]flow_freeway!$A$2:$E$1643,4,FALSE),0)</f>
        <v>22508</v>
      </c>
      <c r="I628">
        <f>IFERROR(VLOOKUP(Table_socioeca8.sandag.org_ws_abm2_f4[[#This Row],[hwycov_id]],[2]flow_freeway!$A$2:$E$1643,5,FALSE),0)</f>
        <v>19283</v>
      </c>
      <c r="K628">
        <f>Table_socioeca8.sandag.org_ws_abm2_f4[[#This Row],[hwycov_id]]</f>
        <v>13282</v>
      </c>
      <c r="L628">
        <f>Table_socioeca8.sandag.org_ws_abm2_f4[[#This Row],[scenario_id]]</f>
        <v>259</v>
      </c>
      <c r="M628">
        <f>Table_socioeca8.sandag.org_ws_abm2_f4[[#This Row],[flow_day]]</f>
        <v>99002</v>
      </c>
      <c r="N628">
        <f>Table_socioeca8.sandag.org_ws_abm2_f4[[#This Row],[flow_am]]</f>
        <v>22508</v>
      </c>
      <c r="O628">
        <f>Table_socioeca8.sandag.org_ws_abm2_f4[[#This Row],[flow_pm]]</f>
        <v>19283</v>
      </c>
    </row>
    <row r="629" spans="5:15" x14ac:dyDescent="0.25">
      <c r="E629">
        <v>13438</v>
      </c>
      <c r="F629">
        <f t="shared" si="9"/>
        <v>259</v>
      </c>
      <c r="G629">
        <f>IFERROR(VLOOKUP(Table_socioeca8.sandag.org_ws_abm2_f4[[#This Row],[hwycov_id]],[2]flow_freeway!$A$2:$E$1643,3,FALSE),0)</f>
        <v>57689</v>
      </c>
      <c r="H629">
        <f>IFERROR(VLOOKUP(Table_socioeca8.sandag.org_ws_abm2_f4[[#This Row],[hwycov_id]],[2]flow_freeway!$A$2:$E$1643,4,FALSE),0)</f>
        <v>10025</v>
      </c>
      <c r="I629">
        <f>IFERROR(VLOOKUP(Table_socioeca8.sandag.org_ws_abm2_f4[[#This Row],[hwycov_id]],[2]flow_freeway!$A$2:$E$1643,5,FALSE),0)</f>
        <v>13904</v>
      </c>
      <c r="K629">
        <f>Table_socioeca8.sandag.org_ws_abm2_f4[[#This Row],[hwycov_id]]</f>
        <v>13438</v>
      </c>
      <c r="L629">
        <f>Table_socioeca8.sandag.org_ws_abm2_f4[[#This Row],[scenario_id]]</f>
        <v>259</v>
      </c>
      <c r="M629">
        <f>Table_socioeca8.sandag.org_ws_abm2_f4[[#This Row],[flow_day]]</f>
        <v>57689</v>
      </c>
      <c r="N629">
        <f>Table_socioeca8.sandag.org_ws_abm2_f4[[#This Row],[flow_am]]</f>
        <v>10025</v>
      </c>
      <c r="O629">
        <f>Table_socioeca8.sandag.org_ws_abm2_f4[[#This Row],[flow_pm]]</f>
        <v>13904</v>
      </c>
    </row>
    <row r="630" spans="5:15" x14ac:dyDescent="0.25">
      <c r="E630">
        <v>13527</v>
      </c>
      <c r="F630">
        <f t="shared" si="9"/>
        <v>259</v>
      </c>
      <c r="G630">
        <f>IFERROR(VLOOKUP(Table_socioeca8.sandag.org_ws_abm2_f4[[#This Row],[hwycov_id]],[2]flow_freeway!$A$2:$E$1643,3,FALSE),0)</f>
        <v>114879</v>
      </c>
      <c r="H630">
        <f>IFERROR(VLOOKUP(Table_socioeca8.sandag.org_ws_abm2_f4[[#This Row],[hwycov_id]],[2]flow_freeway!$A$2:$E$1643,4,FALSE),0)</f>
        <v>18143</v>
      </c>
      <c r="I630">
        <f>IFERROR(VLOOKUP(Table_socioeca8.sandag.org_ws_abm2_f4[[#This Row],[hwycov_id]],[2]flow_freeway!$A$2:$E$1643,5,FALSE),0)</f>
        <v>33266</v>
      </c>
      <c r="K630">
        <f>Table_socioeca8.sandag.org_ws_abm2_f4[[#This Row],[hwycov_id]]</f>
        <v>13527</v>
      </c>
      <c r="L630">
        <f>Table_socioeca8.sandag.org_ws_abm2_f4[[#This Row],[scenario_id]]</f>
        <v>259</v>
      </c>
      <c r="M630">
        <f>Table_socioeca8.sandag.org_ws_abm2_f4[[#This Row],[flow_day]]</f>
        <v>114879</v>
      </c>
      <c r="N630">
        <f>Table_socioeca8.sandag.org_ws_abm2_f4[[#This Row],[flow_am]]</f>
        <v>18143</v>
      </c>
      <c r="O630">
        <f>Table_socioeca8.sandag.org_ws_abm2_f4[[#This Row],[flow_pm]]</f>
        <v>33266</v>
      </c>
    </row>
    <row r="631" spans="5:15" x14ac:dyDescent="0.25">
      <c r="E631">
        <v>13579</v>
      </c>
      <c r="F631">
        <f t="shared" si="9"/>
        <v>259</v>
      </c>
      <c r="G631">
        <f>IFERROR(VLOOKUP(Table_socioeca8.sandag.org_ws_abm2_f4[[#This Row],[hwycov_id]],[2]flow_freeway!$A$2:$E$1643,3,FALSE),0)</f>
        <v>108992</v>
      </c>
      <c r="H631">
        <f>IFERROR(VLOOKUP(Table_socioeca8.sandag.org_ws_abm2_f4[[#This Row],[hwycov_id]],[2]flow_freeway!$A$2:$E$1643,4,FALSE),0)</f>
        <v>17321</v>
      </c>
      <c r="I631">
        <f>IFERROR(VLOOKUP(Table_socioeca8.sandag.org_ws_abm2_f4[[#This Row],[hwycov_id]],[2]flow_freeway!$A$2:$E$1643,5,FALSE),0)</f>
        <v>31178</v>
      </c>
      <c r="K631">
        <f>Table_socioeca8.sandag.org_ws_abm2_f4[[#This Row],[hwycov_id]]</f>
        <v>13579</v>
      </c>
      <c r="L631">
        <f>Table_socioeca8.sandag.org_ws_abm2_f4[[#This Row],[scenario_id]]</f>
        <v>259</v>
      </c>
      <c r="M631">
        <f>Table_socioeca8.sandag.org_ws_abm2_f4[[#This Row],[flow_day]]</f>
        <v>108992</v>
      </c>
      <c r="N631">
        <f>Table_socioeca8.sandag.org_ws_abm2_f4[[#This Row],[flow_am]]</f>
        <v>17321</v>
      </c>
      <c r="O631">
        <f>Table_socioeca8.sandag.org_ws_abm2_f4[[#This Row],[flow_pm]]</f>
        <v>31178</v>
      </c>
    </row>
    <row r="632" spans="5:15" x14ac:dyDescent="0.25">
      <c r="E632">
        <v>13580</v>
      </c>
      <c r="F632">
        <f t="shared" si="9"/>
        <v>259</v>
      </c>
      <c r="G632">
        <f>IFERROR(VLOOKUP(Table_socioeca8.sandag.org_ws_abm2_f4[[#This Row],[hwycov_id]],[2]flow_freeway!$A$2:$E$1643,3,FALSE),0)</f>
        <v>108864</v>
      </c>
      <c r="H632">
        <f>IFERROR(VLOOKUP(Table_socioeca8.sandag.org_ws_abm2_f4[[#This Row],[hwycov_id]],[2]flow_freeway!$A$2:$E$1643,4,FALSE),0)</f>
        <v>25534</v>
      </c>
      <c r="I632">
        <f>IFERROR(VLOOKUP(Table_socioeca8.sandag.org_ws_abm2_f4[[#This Row],[hwycov_id]],[2]flow_freeway!$A$2:$E$1643,5,FALSE),0)</f>
        <v>20423</v>
      </c>
      <c r="K632">
        <f>Table_socioeca8.sandag.org_ws_abm2_f4[[#This Row],[hwycov_id]]</f>
        <v>13580</v>
      </c>
      <c r="L632">
        <f>Table_socioeca8.sandag.org_ws_abm2_f4[[#This Row],[scenario_id]]</f>
        <v>259</v>
      </c>
      <c r="M632">
        <f>Table_socioeca8.sandag.org_ws_abm2_f4[[#This Row],[flow_day]]</f>
        <v>108864</v>
      </c>
      <c r="N632">
        <f>Table_socioeca8.sandag.org_ws_abm2_f4[[#This Row],[flow_am]]</f>
        <v>25534</v>
      </c>
      <c r="O632">
        <f>Table_socioeca8.sandag.org_ws_abm2_f4[[#This Row],[flow_pm]]</f>
        <v>20423</v>
      </c>
    </row>
    <row r="633" spans="5:15" x14ac:dyDescent="0.25">
      <c r="E633">
        <v>13581</v>
      </c>
      <c r="F633">
        <f t="shared" si="9"/>
        <v>259</v>
      </c>
      <c r="G633">
        <f>IFERROR(VLOOKUP(Table_socioeca8.sandag.org_ws_abm2_f4[[#This Row],[hwycov_id]],[2]flow_freeway!$A$2:$E$1643,3,FALSE),0)</f>
        <v>104258</v>
      </c>
      <c r="H633">
        <f>IFERROR(VLOOKUP(Table_socioeca8.sandag.org_ws_abm2_f4[[#This Row],[hwycov_id]],[2]flow_freeway!$A$2:$E$1643,4,FALSE),0)</f>
        <v>16417</v>
      </c>
      <c r="I633">
        <f>IFERROR(VLOOKUP(Table_socioeca8.sandag.org_ws_abm2_f4[[#This Row],[hwycov_id]],[2]flow_freeway!$A$2:$E$1643,5,FALSE),0)</f>
        <v>29806</v>
      </c>
      <c r="K633">
        <f>Table_socioeca8.sandag.org_ws_abm2_f4[[#This Row],[hwycov_id]]</f>
        <v>13581</v>
      </c>
      <c r="L633">
        <f>Table_socioeca8.sandag.org_ws_abm2_f4[[#This Row],[scenario_id]]</f>
        <v>259</v>
      </c>
      <c r="M633">
        <f>Table_socioeca8.sandag.org_ws_abm2_f4[[#This Row],[flow_day]]</f>
        <v>104258</v>
      </c>
      <c r="N633">
        <f>Table_socioeca8.sandag.org_ws_abm2_f4[[#This Row],[flow_am]]</f>
        <v>16417</v>
      </c>
      <c r="O633">
        <f>Table_socioeca8.sandag.org_ws_abm2_f4[[#This Row],[flow_pm]]</f>
        <v>29806</v>
      </c>
    </row>
    <row r="634" spans="5:15" x14ac:dyDescent="0.25">
      <c r="E634">
        <v>13582</v>
      </c>
      <c r="F634">
        <f t="shared" si="9"/>
        <v>259</v>
      </c>
      <c r="G634">
        <f>IFERROR(VLOOKUP(Table_socioeca8.sandag.org_ws_abm2_f4[[#This Row],[hwycov_id]],[2]flow_freeway!$A$2:$E$1643,3,FALSE),0)</f>
        <v>104300</v>
      </c>
      <c r="H634">
        <f>IFERROR(VLOOKUP(Table_socioeca8.sandag.org_ws_abm2_f4[[#This Row],[hwycov_id]],[2]flow_freeway!$A$2:$E$1643,4,FALSE),0)</f>
        <v>24721</v>
      </c>
      <c r="I634">
        <f>IFERROR(VLOOKUP(Table_socioeca8.sandag.org_ws_abm2_f4[[#This Row],[hwycov_id]],[2]flow_freeway!$A$2:$E$1643,5,FALSE),0)</f>
        <v>19406</v>
      </c>
      <c r="K634">
        <f>Table_socioeca8.sandag.org_ws_abm2_f4[[#This Row],[hwycov_id]]</f>
        <v>13582</v>
      </c>
      <c r="L634">
        <f>Table_socioeca8.sandag.org_ws_abm2_f4[[#This Row],[scenario_id]]</f>
        <v>259</v>
      </c>
      <c r="M634">
        <f>Table_socioeca8.sandag.org_ws_abm2_f4[[#This Row],[flow_day]]</f>
        <v>104300</v>
      </c>
      <c r="N634">
        <f>Table_socioeca8.sandag.org_ws_abm2_f4[[#This Row],[flow_am]]</f>
        <v>24721</v>
      </c>
      <c r="O634">
        <f>Table_socioeca8.sandag.org_ws_abm2_f4[[#This Row],[flow_pm]]</f>
        <v>19406</v>
      </c>
    </row>
    <row r="635" spans="5:15" x14ac:dyDescent="0.25">
      <c r="E635">
        <v>13585</v>
      </c>
      <c r="F635">
        <f t="shared" si="9"/>
        <v>259</v>
      </c>
      <c r="G635">
        <f>IFERROR(VLOOKUP(Table_socioeca8.sandag.org_ws_abm2_f4[[#This Row],[hwycov_id]],[2]flow_freeway!$A$2:$E$1643,3,FALSE),0)</f>
        <v>111107</v>
      </c>
      <c r="H635">
        <f>IFERROR(VLOOKUP(Table_socioeca8.sandag.org_ws_abm2_f4[[#This Row],[hwycov_id]],[2]flow_freeway!$A$2:$E$1643,4,FALSE),0)</f>
        <v>26154</v>
      </c>
      <c r="I635">
        <f>IFERROR(VLOOKUP(Table_socioeca8.sandag.org_ws_abm2_f4[[#This Row],[hwycov_id]],[2]flow_freeway!$A$2:$E$1643,5,FALSE),0)</f>
        <v>20995</v>
      </c>
      <c r="K635">
        <f>Table_socioeca8.sandag.org_ws_abm2_f4[[#This Row],[hwycov_id]]</f>
        <v>13585</v>
      </c>
      <c r="L635">
        <f>Table_socioeca8.sandag.org_ws_abm2_f4[[#This Row],[scenario_id]]</f>
        <v>259</v>
      </c>
      <c r="M635">
        <f>Table_socioeca8.sandag.org_ws_abm2_f4[[#This Row],[flow_day]]</f>
        <v>111107</v>
      </c>
      <c r="N635">
        <f>Table_socioeca8.sandag.org_ws_abm2_f4[[#This Row],[flow_am]]</f>
        <v>26154</v>
      </c>
      <c r="O635">
        <f>Table_socioeca8.sandag.org_ws_abm2_f4[[#This Row],[flow_pm]]</f>
        <v>20995</v>
      </c>
    </row>
    <row r="636" spans="5:15" x14ac:dyDescent="0.25">
      <c r="E636">
        <v>13586</v>
      </c>
      <c r="F636">
        <f t="shared" si="9"/>
        <v>259</v>
      </c>
      <c r="G636">
        <f>IFERROR(VLOOKUP(Table_socioeca8.sandag.org_ws_abm2_f4[[#This Row],[hwycov_id]],[2]flow_freeway!$A$2:$E$1643,3,FALSE),0)</f>
        <v>111231</v>
      </c>
      <c r="H636">
        <f>IFERROR(VLOOKUP(Table_socioeca8.sandag.org_ws_abm2_f4[[#This Row],[hwycov_id]],[2]flow_freeway!$A$2:$E$1643,4,FALSE),0)</f>
        <v>17763</v>
      </c>
      <c r="I636">
        <f>IFERROR(VLOOKUP(Table_socioeca8.sandag.org_ws_abm2_f4[[#This Row],[hwycov_id]],[2]flow_freeway!$A$2:$E$1643,5,FALSE),0)</f>
        <v>31610</v>
      </c>
      <c r="K636">
        <f>Table_socioeca8.sandag.org_ws_abm2_f4[[#This Row],[hwycov_id]]</f>
        <v>13586</v>
      </c>
      <c r="L636">
        <f>Table_socioeca8.sandag.org_ws_abm2_f4[[#This Row],[scenario_id]]</f>
        <v>259</v>
      </c>
      <c r="M636">
        <f>Table_socioeca8.sandag.org_ws_abm2_f4[[#This Row],[flow_day]]</f>
        <v>111231</v>
      </c>
      <c r="N636">
        <f>Table_socioeca8.sandag.org_ws_abm2_f4[[#This Row],[flow_am]]</f>
        <v>17763</v>
      </c>
      <c r="O636">
        <f>Table_socioeca8.sandag.org_ws_abm2_f4[[#This Row],[flow_pm]]</f>
        <v>31610</v>
      </c>
    </row>
    <row r="637" spans="5:15" x14ac:dyDescent="0.25">
      <c r="E637">
        <v>13588</v>
      </c>
      <c r="F637">
        <f t="shared" si="9"/>
        <v>259</v>
      </c>
      <c r="G637">
        <f>IFERROR(VLOOKUP(Table_socioeca8.sandag.org_ws_abm2_f4[[#This Row],[hwycov_id]],[2]flow_freeway!$A$2:$E$1643,3,FALSE),0)</f>
        <v>107368</v>
      </c>
      <c r="H637">
        <f>IFERROR(VLOOKUP(Table_socioeca8.sandag.org_ws_abm2_f4[[#This Row],[hwycov_id]],[2]flow_freeway!$A$2:$E$1643,4,FALSE),0)</f>
        <v>17032</v>
      </c>
      <c r="I637">
        <f>IFERROR(VLOOKUP(Table_socioeca8.sandag.org_ws_abm2_f4[[#This Row],[hwycov_id]],[2]flow_freeway!$A$2:$E$1643,5,FALSE),0)</f>
        <v>30620</v>
      </c>
      <c r="K637">
        <f>Table_socioeca8.sandag.org_ws_abm2_f4[[#This Row],[hwycov_id]]</f>
        <v>13588</v>
      </c>
      <c r="L637">
        <f>Table_socioeca8.sandag.org_ws_abm2_f4[[#This Row],[scenario_id]]</f>
        <v>259</v>
      </c>
      <c r="M637">
        <f>Table_socioeca8.sandag.org_ws_abm2_f4[[#This Row],[flow_day]]</f>
        <v>107368</v>
      </c>
      <c r="N637">
        <f>Table_socioeca8.sandag.org_ws_abm2_f4[[#This Row],[flow_am]]</f>
        <v>17032</v>
      </c>
      <c r="O637">
        <f>Table_socioeca8.sandag.org_ws_abm2_f4[[#This Row],[flow_pm]]</f>
        <v>30620</v>
      </c>
    </row>
    <row r="638" spans="5:15" x14ac:dyDescent="0.25">
      <c r="E638">
        <v>13589</v>
      </c>
      <c r="F638">
        <f t="shared" si="9"/>
        <v>259</v>
      </c>
      <c r="G638">
        <f>IFERROR(VLOOKUP(Table_socioeca8.sandag.org_ws_abm2_f4[[#This Row],[hwycov_id]],[2]flow_freeway!$A$2:$E$1643,3,FALSE),0)</f>
        <v>106837</v>
      </c>
      <c r="H638">
        <f>IFERROR(VLOOKUP(Table_socioeca8.sandag.org_ws_abm2_f4[[#This Row],[hwycov_id]],[2]flow_freeway!$A$2:$E$1643,4,FALSE),0)</f>
        <v>25627</v>
      </c>
      <c r="I638">
        <f>IFERROR(VLOOKUP(Table_socioeca8.sandag.org_ws_abm2_f4[[#This Row],[hwycov_id]],[2]flow_freeway!$A$2:$E$1643,5,FALSE),0)</f>
        <v>19956</v>
      </c>
      <c r="K638">
        <f>Table_socioeca8.sandag.org_ws_abm2_f4[[#This Row],[hwycov_id]]</f>
        <v>13589</v>
      </c>
      <c r="L638">
        <f>Table_socioeca8.sandag.org_ws_abm2_f4[[#This Row],[scenario_id]]</f>
        <v>259</v>
      </c>
      <c r="M638">
        <f>Table_socioeca8.sandag.org_ws_abm2_f4[[#This Row],[flow_day]]</f>
        <v>106837</v>
      </c>
      <c r="N638">
        <f>Table_socioeca8.sandag.org_ws_abm2_f4[[#This Row],[flow_am]]</f>
        <v>25627</v>
      </c>
      <c r="O638">
        <f>Table_socioeca8.sandag.org_ws_abm2_f4[[#This Row],[flow_pm]]</f>
        <v>19956</v>
      </c>
    </row>
    <row r="639" spans="5:15" x14ac:dyDescent="0.25">
      <c r="E639">
        <v>13590</v>
      </c>
      <c r="F639">
        <f t="shared" si="9"/>
        <v>259</v>
      </c>
      <c r="G639">
        <f>IFERROR(VLOOKUP(Table_socioeca8.sandag.org_ws_abm2_f4[[#This Row],[hwycov_id]],[2]flow_freeway!$A$2:$E$1643,3,FALSE),0)</f>
        <v>112268</v>
      </c>
      <c r="H639">
        <f>IFERROR(VLOOKUP(Table_socioeca8.sandag.org_ws_abm2_f4[[#This Row],[hwycov_id]],[2]flow_freeway!$A$2:$E$1643,4,FALSE),0)</f>
        <v>27312</v>
      </c>
      <c r="I639">
        <f>IFERROR(VLOOKUP(Table_socioeca8.sandag.org_ws_abm2_f4[[#This Row],[hwycov_id]],[2]flow_freeway!$A$2:$E$1643,5,FALSE),0)</f>
        <v>21142</v>
      </c>
      <c r="K639">
        <f>Table_socioeca8.sandag.org_ws_abm2_f4[[#This Row],[hwycov_id]]</f>
        <v>13590</v>
      </c>
      <c r="L639">
        <f>Table_socioeca8.sandag.org_ws_abm2_f4[[#This Row],[scenario_id]]</f>
        <v>259</v>
      </c>
      <c r="M639">
        <f>Table_socioeca8.sandag.org_ws_abm2_f4[[#This Row],[flow_day]]</f>
        <v>112268</v>
      </c>
      <c r="N639">
        <f>Table_socioeca8.sandag.org_ws_abm2_f4[[#This Row],[flow_am]]</f>
        <v>27312</v>
      </c>
      <c r="O639">
        <f>Table_socioeca8.sandag.org_ws_abm2_f4[[#This Row],[flow_pm]]</f>
        <v>21142</v>
      </c>
    </row>
    <row r="640" spans="5:15" x14ac:dyDescent="0.25">
      <c r="E640">
        <v>13593</v>
      </c>
      <c r="F640">
        <f t="shared" si="9"/>
        <v>259</v>
      </c>
      <c r="G640">
        <f>IFERROR(VLOOKUP(Table_socioeca8.sandag.org_ws_abm2_f4[[#This Row],[hwycov_id]],[2]flow_freeway!$A$2:$E$1643,3,FALSE),0)</f>
        <v>114989</v>
      </c>
      <c r="H640">
        <f>IFERROR(VLOOKUP(Table_socioeca8.sandag.org_ws_abm2_f4[[#This Row],[hwycov_id]],[2]flow_freeway!$A$2:$E$1643,4,FALSE),0)</f>
        <v>18176</v>
      </c>
      <c r="I640">
        <f>IFERROR(VLOOKUP(Table_socioeca8.sandag.org_ws_abm2_f4[[#This Row],[hwycov_id]],[2]flow_freeway!$A$2:$E$1643,5,FALSE),0)</f>
        <v>33268</v>
      </c>
      <c r="K640">
        <f>Table_socioeca8.sandag.org_ws_abm2_f4[[#This Row],[hwycov_id]]</f>
        <v>13593</v>
      </c>
      <c r="L640">
        <f>Table_socioeca8.sandag.org_ws_abm2_f4[[#This Row],[scenario_id]]</f>
        <v>259</v>
      </c>
      <c r="M640">
        <f>Table_socioeca8.sandag.org_ws_abm2_f4[[#This Row],[flow_day]]</f>
        <v>114989</v>
      </c>
      <c r="N640">
        <f>Table_socioeca8.sandag.org_ws_abm2_f4[[#This Row],[flow_am]]</f>
        <v>18176</v>
      </c>
      <c r="O640">
        <f>Table_socioeca8.sandag.org_ws_abm2_f4[[#This Row],[flow_pm]]</f>
        <v>33268</v>
      </c>
    </row>
    <row r="641" spans="5:15" x14ac:dyDescent="0.25">
      <c r="E641">
        <v>13594</v>
      </c>
      <c r="F641">
        <f t="shared" si="9"/>
        <v>259</v>
      </c>
      <c r="G641">
        <f>IFERROR(VLOOKUP(Table_socioeca8.sandag.org_ws_abm2_f4[[#This Row],[hwycov_id]],[2]flow_freeway!$A$2:$E$1643,3,FALSE),0)</f>
        <v>127380</v>
      </c>
      <c r="H641">
        <f>IFERROR(VLOOKUP(Table_socioeca8.sandag.org_ws_abm2_f4[[#This Row],[hwycov_id]],[2]flow_freeway!$A$2:$E$1643,4,FALSE),0)</f>
        <v>30512</v>
      </c>
      <c r="I641">
        <f>IFERROR(VLOOKUP(Table_socioeca8.sandag.org_ws_abm2_f4[[#This Row],[hwycov_id]],[2]flow_freeway!$A$2:$E$1643,5,FALSE),0)</f>
        <v>23685</v>
      </c>
      <c r="K641">
        <f>Table_socioeca8.sandag.org_ws_abm2_f4[[#This Row],[hwycov_id]]</f>
        <v>13594</v>
      </c>
      <c r="L641">
        <f>Table_socioeca8.sandag.org_ws_abm2_f4[[#This Row],[scenario_id]]</f>
        <v>259</v>
      </c>
      <c r="M641">
        <f>Table_socioeca8.sandag.org_ws_abm2_f4[[#This Row],[flow_day]]</f>
        <v>127380</v>
      </c>
      <c r="N641">
        <f>Table_socioeca8.sandag.org_ws_abm2_f4[[#This Row],[flow_am]]</f>
        <v>30512</v>
      </c>
      <c r="O641">
        <f>Table_socioeca8.sandag.org_ws_abm2_f4[[#This Row],[flow_pm]]</f>
        <v>23685</v>
      </c>
    </row>
    <row r="642" spans="5:15" x14ac:dyDescent="0.25">
      <c r="E642">
        <v>13595</v>
      </c>
      <c r="F642">
        <f t="shared" si="9"/>
        <v>259</v>
      </c>
      <c r="G642">
        <f>IFERROR(VLOOKUP(Table_socioeca8.sandag.org_ws_abm2_f4[[#This Row],[hwycov_id]],[2]flow_freeway!$A$2:$E$1643,3,FALSE),0)</f>
        <v>129663</v>
      </c>
      <c r="H642">
        <f>IFERROR(VLOOKUP(Table_socioeca8.sandag.org_ws_abm2_f4[[#This Row],[hwycov_id]],[2]flow_freeway!$A$2:$E$1643,4,FALSE),0)</f>
        <v>20270</v>
      </c>
      <c r="I642">
        <f>IFERROR(VLOOKUP(Table_socioeca8.sandag.org_ws_abm2_f4[[#This Row],[hwycov_id]],[2]flow_freeway!$A$2:$E$1643,5,FALSE),0)</f>
        <v>37746</v>
      </c>
      <c r="K642">
        <f>Table_socioeca8.sandag.org_ws_abm2_f4[[#This Row],[hwycov_id]]</f>
        <v>13595</v>
      </c>
      <c r="L642">
        <f>Table_socioeca8.sandag.org_ws_abm2_f4[[#This Row],[scenario_id]]</f>
        <v>259</v>
      </c>
      <c r="M642">
        <f>Table_socioeca8.sandag.org_ws_abm2_f4[[#This Row],[flow_day]]</f>
        <v>129663</v>
      </c>
      <c r="N642">
        <f>Table_socioeca8.sandag.org_ws_abm2_f4[[#This Row],[flow_am]]</f>
        <v>20270</v>
      </c>
      <c r="O642">
        <f>Table_socioeca8.sandag.org_ws_abm2_f4[[#This Row],[flow_pm]]</f>
        <v>37746</v>
      </c>
    </row>
    <row r="643" spans="5:15" x14ac:dyDescent="0.25">
      <c r="E643">
        <v>13597</v>
      </c>
      <c r="F643">
        <f t="shared" si="9"/>
        <v>259</v>
      </c>
      <c r="G643">
        <f>IFERROR(VLOOKUP(Table_socioeca8.sandag.org_ws_abm2_f4[[#This Row],[hwycov_id]],[2]flow_freeway!$A$2:$E$1643,3,FALSE),0)</f>
        <v>110841</v>
      </c>
      <c r="H643">
        <f>IFERROR(VLOOKUP(Table_socioeca8.sandag.org_ws_abm2_f4[[#This Row],[hwycov_id]],[2]flow_freeway!$A$2:$E$1643,4,FALSE),0)</f>
        <v>26106</v>
      </c>
      <c r="I643">
        <f>IFERROR(VLOOKUP(Table_socioeca8.sandag.org_ws_abm2_f4[[#This Row],[hwycov_id]],[2]flow_freeway!$A$2:$E$1643,5,FALSE),0)</f>
        <v>20836</v>
      </c>
      <c r="K643">
        <f>Table_socioeca8.sandag.org_ws_abm2_f4[[#This Row],[hwycov_id]]</f>
        <v>13597</v>
      </c>
      <c r="L643">
        <f>Table_socioeca8.sandag.org_ws_abm2_f4[[#This Row],[scenario_id]]</f>
        <v>259</v>
      </c>
      <c r="M643">
        <f>Table_socioeca8.sandag.org_ws_abm2_f4[[#This Row],[flow_day]]</f>
        <v>110841</v>
      </c>
      <c r="N643">
        <f>Table_socioeca8.sandag.org_ws_abm2_f4[[#This Row],[flow_am]]</f>
        <v>26106</v>
      </c>
      <c r="O643">
        <f>Table_socioeca8.sandag.org_ws_abm2_f4[[#This Row],[flow_pm]]</f>
        <v>20836</v>
      </c>
    </row>
    <row r="644" spans="5:15" x14ac:dyDescent="0.25">
      <c r="E644">
        <v>13598</v>
      </c>
      <c r="F644">
        <f t="shared" ref="F644:F707" si="10">F643</f>
        <v>259</v>
      </c>
      <c r="G644">
        <f>IFERROR(VLOOKUP(Table_socioeca8.sandag.org_ws_abm2_f4[[#This Row],[hwycov_id]],[2]flow_freeway!$A$2:$E$1643,3,FALSE),0)</f>
        <v>103967</v>
      </c>
      <c r="H644">
        <f>IFERROR(VLOOKUP(Table_socioeca8.sandag.org_ws_abm2_f4[[#This Row],[hwycov_id]],[2]flow_freeway!$A$2:$E$1643,4,FALSE),0)</f>
        <v>24039</v>
      </c>
      <c r="I644">
        <f>IFERROR(VLOOKUP(Table_socioeca8.sandag.org_ws_abm2_f4[[#This Row],[hwycov_id]],[2]flow_freeway!$A$2:$E$1643,5,FALSE),0)</f>
        <v>19055</v>
      </c>
      <c r="K644">
        <f>Table_socioeca8.sandag.org_ws_abm2_f4[[#This Row],[hwycov_id]]</f>
        <v>13598</v>
      </c>
      <c r="L644">
        <f>Table_socioeca8.sandag.org_ws_abm2_f4[[#This Row],[scenario_id]]</f>
        <v>259</v>
      </c>
      <c r="M644">
        <f>Table_socioeca8.sandag.org_ws_abm2_f4[[#This Row],[flow_day]]</f>
        <v>103967</v>
      </c>
      <c r="N644">
        <f>Table_socioeca8.sandag.org_ws_abm2_f4[[#This Row],[flow_am]]</f>
        <v>24039</v>
      </c>
      <c r="O644">
        <f>Table_socioeca8.sandag.org_ws_abm2_f4[[#This Row],[flow_pm]]</f>
        <v>19055</v>
      </c>
    </row>
    <row r="645" spans="5:15" x14ac:dyDescent="0.25">
      <c r="E645">
        <v>13599</v>
      </c>
      <c r="F645">
        <f t="shared" si="10"/>
        <v>259</v>
      </c>
      <c r="G645">
        <f>IFERROR(VLOOKUP(Table_socioeca8.sandag.org_ws_abm2_f4[[#This Row],[hwycov_id]],[2]flow_freeway!$A$2:$E$1643,3,FALSE),0)</f>
        <v>122343</v>
      </c>
      <c r="H645">
        <f>IFERROR(VLOOKUP(Table_socioeca8.sandag.org_ws_abm2_f4[[#This Row],[hwycov_id]],[2]flow_freeway!$A$2:$E$1643,4,FALSE),0)</f>
        <v>18919</v>
      </c>
      <c r="I645">
        <f>IFERROR(VLOOKUP(Table_socioeca8.sandag.org_ws_abm2_f4[[#This Row],[hwycov_id]],[2]flow_freeway!$A$2:$E$1643,5,FALSE),0)</f>
        <v>36304</v>
      </c>
      <c r="K645">
        <f>Table_socioeca8.sandag.org_ws_abm2_f4[[#This Row],[hwycov_id]]</f>
        <v>13599</v>
      </c>
      <c r="L645">
        <f>Table_socioeca8.sandag.org_ws_abm2_f4[[#This Row],[scenario_id]]</f>
        <v>259</v>
      </c>
      <c r="M645">
        <f>Table_socioeca8.sandag.org_ws_abm2_f4[[#This Row],[flow_day]]</f>
        <v>122343</v>
      </c>
      <c r="N645">
        <f>Table_socioeca8.sandag.org_ws_abm2_f4[[#This Row],[flow_am]]</f>
        <v>18919</v>
      </c>
      <c r="O645">
        <f>Table_socioeca8.sandag.org_ws_abm2_f4[[#This Row],[flow_pm]]</f>
        <v>36304</v>
      </c>
    </row>
    <row r="646" spans="5:15" x14ac:dyDescent="0.25">
      <c r="E646">
        <v>13600</v>
      </c>
      <c r="F646">
        <f t="shared" si="10"/>
        <v>259</v>
      </c>
      <c r="G646">
        <f>IFERROR(VLOOKUP(Table_socioeca8.sandag.org_ws_abm2_f4[[#This Row],[hwycov_id]],[2]flow_freeway!$A$2:$E$1643,3,FALSE),0)</f>
        <v>114410</v>
      </c>
      <c r="H646">
        <f>IFERROR(VLOOKUP(Table_socioeca8.sandag.org_ws_abm2_f4[[#This Row],[hwycov_id]],[2]flow_freeway!$A$2:$E$1643,4,FALSE),0)</f>
        <v>17703</v>
      </c>
      <c r="I646">
        <f>IFERROR(VLOOKUP(Table_socioeca8.sandag.org_ws_abm2_f4[[#This Row],[hwycov_id]],[2]flow_freeway!$A$2:$E$1643,5,FALSE),0)</f>
        <v>32064</v>
      </c>
      <c r="K646">
        <f>Table_socioeca8.sandag.org_ws_abm2_f4[[#This Row],[hwycov_id]]</f>
        <v>13600</v>
      </c>
      <c r="L646">
        <f>Table_socioeca8.sandag.org_ws_abm2_f4[[#This Row],[scenario_id]]</f>
        <v>259</v>
      </c>
      <c r="M646">
        <f>Table_socioeca8.sandag.org_ws_abm2_f4[[#This Row],[flow_day]]</f>
        <v>114410</v>
      </c>
      <c r="N646">
        <f>Table_socioeca8.sandag.org_ws_abm2_f4[[#This Row],[flow_am]]</f>
        <v>17703</v>
      </c>
      <c r="O646">
        <f>Table_socioeca8.sandag.org_ws_abm2_f4[[#This Row],[flow_pm]]</f>
        <v>32064</v>
      </c>
    </row>
    <row r="647" spans="5:15" x14ac:dyDescent="0.25">
      <c r="E647">
        <v>13637</v>
      </c>
      <c r="F647">
        <f t="shared" si="10"/>
        <v>259</v>
      </c>
      <c r="G647">
        <f>IFERROR(VLOOKUP(Table_socioeca8.sandag.org_ws_abm2_f4[[#This Row],[hwycov_id]],[2]flow_freeway!$A$2:$E$1643,3,FALSE),0)</f>
        <v>114435</v>
      </c>
      <c r="H647">
        <f>IFERROR(VLOOKUP(Table_socioeca8.sandag.org_ws_abm2_f4[[#This Row],[hwycov_id]],[2]flow_freeway!$A$2:$E$1643,4,FALSE),0)</f>
        <v>17631</v>
      </c>
      <c r="I647">
        <f>IFERROR(VLOOKUP(Table_socioeca8.sandag.org_ws_abm2_f4[[#This Row],[hwycov_id]],[2]flow_freeway!$A$2:$E$1643,5,FALSE),0)</f>
        <v>32834</v>
      </c>
      <c r="K647">
        <f>Table_socioeca8.sandag.org_ws_abm2_f4[[#This Row],[hwycov_id]]</f>
        <v>13637</v>
      </c>
      <c r="L647">
        <f>Table_socioeca8.sandag.org_ws_abm2_f4[[#This Row],[scenario_id]]</f>
        <v>259</v>
      </c>
      <c r="M647">
        <f>Table_socioeca8.sandag.org_ws_abm2_f4[[#This Row],[flow_day]]</f>
        <v>114435</v>
      </c>
      <c r="N647">
        <f>Table_socioeca8.sandag.org_ws_abm2_f4[[#This Row],[flow_am]]</f>
        <v>17631</v>
      </c>
      <c r="O647">
        <f>Table_socioeca8.sandag.org_ws_abm2_f4[[#This Row],[flow_pm]]</f>
        <v>32834</v>
      </c>
    </row>
    <row r="648" spans="5:15" x14ac:dyDescent="0.25">
      <c r="E648">
        <v>13639</v>
      </c>
      <c r="F648">
        <f t="shared" si="10"/>
        <v>259</v>
      </c>
      <c r="G648">
        <f>IFERROR(VLOOKUP(Table_socioeca8.sandag.org_ws_abm2_f4[[#This Row],[hwycov_id]],[2]flow_freeway!$A$2:$E$1643,3,FALSE),0)</f>
        <v>103994</v>
      </c>
      <c r="H648">
        <f>IFERROR(VLOOKUP(Table_socioeca8.sandag.org_ws_abm2_f4[[#This Row],[hwycov_id]],[2]flow_freeway!$A$2:$E$1643,4,FALSE),0)</f>
        <v>16168</v>
      </c>
      <c r="I648">
        <f>IFERROR(VLOOKUP(Table_socioeca8.sandag.org_ws_abm2_f4[[#This Row],[hwycov_id]],[2]flow_freeway!$A$2:$E$1643,5,FALSE),0)</f>
        <v>30083</v>
      </c>
      <c r="K648">
        <f>Table_socioeca8.sandag.org_ws_abm2_f4[[#This Row],[hwycov_id]]</f>
        <v>13639</v>
      </c>
      <c r="L648">
        <f>Table_socioeca8.sandag.org_ws_abm2_f4[[#This Row],[scenario_id]]</f>
        <v>259</v>
      </c>
      <c r="M648">
        <f>Table_socioeca8.sandag.org_ws_abm2_f4[[#This Row],[flow_day]]</f>
        <v>103994</v>
      </c>
      <c r="N648">
        <f>Table_socioeca8.sandag.org_ws_abm2_f4[[#This Row],[flow_am]]</f>
        <v>16168</v>
      </c>
      <c r="O648">
        <f>Table_socioeca8.sandag.org_ws_abm2_f4[[#This Row],[flow_pm]]</f>
        <v>30083</v>
      </c>
    </row>
    <row r="649" spans="5:15" x14ac:dyDescent="0.25">
      <c r="E649">
        <v>13640</v>
      </c>
      <c r="F649">
        <f t="shared" si="10"/>
        <v>259</v>
      </c>
      <c r="G649">
        <f>IFERROR(VLOOKUP(Table_socioeca8.sandag.org_ws_abm2_f4[[#This Row],[hwycov_id]],[2]flow_freeway!$A$2:$E$1643,3,FALSE),0)</f>
        <v>113974</v>
      </c>
      <c r="H649">
        <f>IFERROR(VLOOKUP(Table_socioeca8.sandag.org_ws_abm2_f4[[#This Row],[hwycov_id]],[2]flow_freeway!$A$2:$E$1643,4,FALSE),0)</f>
        <v>17542</v>
      </c>
      <c r="I649">
        <f>IFERROR(VLOOKUP(Table_socioeca8.sandag.org_ws_abm2_f4[[#This Row],[hwycov_id]],[2]flow_freeway!$A$2:$E$1643,5,FALSE),0)</f>
        <v>32351</v>
      </c>
      <c r="K649">
        <f>Table_socioeca8.sandag.org_ws_abm2_f4[[#This Row],[hwycov_id]]</f>
        <v>13640</v>
      </c>
      <c r="L649">
        <f>Table_socioeca8.sandag.org_ws_abm2_f4[[#This Row],[scenario_id]]</f>
        <v>259</v>
      </c>
      <c r="M649">
        <f>Table_socioeca8.sandag.org_ws_abm2_f4[[#This Row],[flow_day]]</f>
        <v>113974</v>
      </c>
      <c r="N649">
        <f>Table_socioeca8.sandag.org_ws_abm2_f4[[#This Row],[flow_am]]</f>
        <v>17542</v>
      </c>
      <c r="O649">
        <f>Table_socioeca8.sandag.org_ws_abm2_f4[[#This Row],[flow_pm]]</f>
        <v>32351</v>
      </c>
    </row>
    <row r="650" spans="5:15" x14ac:dyDescent="0.25">
      <c r="E650">
        <v>13642</v>
      </c>
      <c r="F650">
        <f t="shared" si="10"/>
        <v>259</v>
      </c>
      <c r="G650">
        <f>IFERROR(VLOOKUP(Table_socioeca8.sandag.org_ws_abm2_f4[[#This Row],[hwycov_id]],[2]flow_freeway!$A$2:$E$1643,3,FALSE),0)</f>
        <v>120456</v>
      </c>
      <c r="H650">
        <f>IFERROR(VLOOKUP(Table_socioeca8.sandag.org_ws_abm2_f4[[#This Row],[hwycov_id]],[2]flow_freeway!$A$2:$E$1643,4,FALSE),0)</f>
        <v>18627</v>
      </c>
      <c r="I650">
        <f>IFERROR(VLOOKUP(Table_socioeca8.sandag.org_ws_abm2_f4[[#This Row],[hwycov_id]],[2]flow_freeway!$A$2:$E$1643,5,FALSE),0)</f>
        <v>33907</v>
      </c>
      <c r="K650">
        <f>Table_socioeca8.sandag.org_ws_abm2_f4[[#This Row],[hwycov_id]]</f>
        <v>13642</v>
      </c>
      <c r="L650">
        <f>Table_socioeca8.sandag.org_ws_abm2_f4[[#This Row],[scenario_id]]</f>
        <v>259</v>
      </c>
      <c r="M650">
        <f>Table_socioeca8.sandag.org_ws_abm2_f4[[#This Row],[flow_day]]</f>
        <v>120456</v>
      </c>
      <c r="N650">
        <f>Table_socioeca8.sandag.org_ws_abm2_f4[[#This Row],[flow_am]]</f>
        <v>18627</v>
      </c>
      <c r="O650">
        <f>Table_socioeca8.sandag.org_ws_abm2_f4[[#This Row],[flow_pm]]</f>
        <v>33907</v>
      </c>
    </row>
    <row r="651" spans="5:15" x14ac:dyDescent="0.25">
      <c r="E651">
        <v>13646</v>
      </c>
      <c r="F651">
        <f t="shared" si="10"/>
        <v>259</v>
      </c>
      <c r="G651">
        <f>IFERROR(VLOOKUP(Table_socioeca8.sandag.org_ws_abm2_f4[[#This Row],[hwycov_id]],[2]flow_freeway!$A$2:$E$1643,3,FALSE),0)</f>
        <v>121374</v>
      </c>
      <c r="H651">
        <f>IFERROR(VLOOKUP(Table_socioeca8.sandag.org_ws_abm2_f4[[#This Row],[hwycov_id]],[2]flow_freeway!$A$2:$E$1643,4,FALSE),0)</f>
        <v>28555</v>
      </c>
      <c r="I651">
        <f>IFERROR(VLOOKUP(Table_socioeca8.sandag.org_ws_abm2_f4[[#This Row],[hwycov_id]],[2]flow_freeway!$A$2:$E$1643,5,FALSE),0)</f>
        <v>22170</v>
      </c>
      <c r="K651">
        <f>Table_socioeca8.sandag.org_ws_abm2_f4[[#This Row],[hwycov_id]]</f>
        <v>13646</v>
      </c>
      <c r="L651">
        <f>Table_socioeca8.sandag.org_ws_abm2_f4[[#This Row],[scenario_id]]</f>
        <v>259</v>
      </c>
      <c r="M651">
        <f>Table_socioeca8.sandag.org_ws_abm2_f4[[#This Row],[flow_day]]</f>
        <v>121374</v>
      </c>
      <c r="N651">
        <f>Table_socioeca8.sandag.org_ws_abm2_f4[[#This Row],[flow_am]]</f>
        <v>28555</v>
      </c>
      <c r="O651">
        <f>Table_socioeca8.sandag.org_ws_abm2_f4[[#This Row],[flow_pm]]</f>
        <v>22170</v>
      </c>
    </row>
    <row r="652" spans="5:15" x14ac:dyDescent="0.25">
      <c r="E652">
        <v>13648</v>
      </c>
      <c r="F652">
        <f t="shared" si="10"/>
        <v>259</v>
      </c>
      <c r="G652">
        <f>IFERROR(VLOOKUP(Table_socioeca8.sandag.org_ws_abm2_f4[[#This Row],[hwycov_id]],[2]flow_freeway!$A$2:$E$1643,3,FALSE),0)</f>
        <v>107257</v>
      </c>
      <c r="H652">
        <f>IFERROR(VLOOKUP(Table_socioeca8.sandag.org_ws_abm2_f4[[#This Row],[hwycov_id]],[2]flow_freeway!$A$2:$E$1643,4,FALSE),0)</f>
        <v>16582</v>
      </c>
      <c r="I652">
        <f>IFERROR(VLOOKUP(Table_socioeca8.sandag.org_ws_abm2_f4[[#This Row],[hwycov_id]],[2]flow_freeway!$A$2:$E$1643,5,FALSE),0)</f>
        <v>31297</v>
      </c>
      <c r="K652">
        <f>Table_socioeca8.sandag.org_ws_abm2_f4[[#This Row],[hwycov_id]]</f>
        <v>13648</v>
      </c>
      <c r="L652">
        <f>Table_socioeca8.sandag.org_ws_abm2_f4[[#This Row],[scenario_id]]</f>
        <v>259</v>
      </c>
      <c r="M652">
        <f>Table_socioeca8.sandag.org_ws_abm2_f4[[#This Row],[flow_day]]</f>
        <v>107257</v>
      </c>
      <c r="N652">
        <f>Table_socioeca8.sandag.org_ws_abm2_f4[[#This Row],[flow_am]]</f>
        <v>16582</v>
      </c>
      <c r="O652">
        <f>Table_socioeca8.sandag.org_ws_abm2_f4[[#This Row],[flow_pm]]</f>
        <v>31297</v>
      </c>
    </row>
    <row r="653" spans="5:15" x14ac:dyDescent="0.25">
      <c r="E653">
        <v>13649</v>
      </c>
      <c r="F653">
        <f t="shared" si="10"/>
        <v>259</v>
      </c>
      <c r="G653">
        <f>IFERROR(VLOOKUP(Table_socioeca8.sandag.org_ws_abm2_f4[[#This Row],[hwycov_id]],[2]flow_freeway!$A$2:$E$1643,3,FALSE),0)</f>
        <v>112171</v>
      </c>
      <c r="H653">
        <f>IFERROR(VLOOKUP(Table_socioeca8.sandag.org_ws_abm2_f4[[#This Row],[hwycov_id]],[2]flow_freeway!$A$2:$E$1643,4,FALSE),0)</f>
        <v>26514</v>
      </c>
      <c r="I653">
        <f>IFERROR(VLOOKUP(Table_socioeca8.sandag.org_ws_abm2_f4[[#This Row],[hwycov_id]],[2]flow_freeway!$A$2:$E$1643,5,FALSE),0)</f>
        <v>20307</v>
      </c>
      <c r="K653">
        <f>Table_socioeca8.sandag.org_ws_abm2_f4[[#This Row],[hwycov_id]]</f>
        <v>13649</v>
      </c>
      <c r="L653">
        <f>Table_socioeca8.sandag.org_ws_abm2_f4[[#This Row],[scenario_id]]</f>
        <v>259</v>
      </c>
      <c r="M653">
        <f>Table_socioeca8.sandag.org_ws_abm2_f4[[#This Row],[flow_day]]</f>
        <v>112171</v>
      </c>
      <c r="N653">
        <f>Table_socioeca8.sandag.org_ws_abm2_f4[[#This Row],[flow_am]]</f>
        <v>26514</v>
      </c>
      <c r="O653">
        <f>Table_socioeca8.sandag.org_ws_abm2_f4[[#This Row],[flow_pm]]</f>
        <v>20307</v>
      </c>
    </row>
    <row r="654" spans="5:15" x14ac:dyDescent="0.25">
      <c r="E654">
        <v>13652</v>
      </c>
      <c r="F654">
        <f t="shared" si="10"/>
        <v>259</v>
      </c>
      <c r="G654">
        <f>IFERROR(VLOOKUP(Table_socioeca8.sandag.org_ws_abm2_f4[[#This Row],[hwycov_id]],[2]flow_freeway!$A$2:$E$1643,3,FALSE),0)</f>
        <v>108983</v>
      </c>
      <c r="H654">
        <f>IFERROR(VLOOKUP(Table_socioeca8.sandag.org_ws_abm2_f4[[#This Row],[hwycov_id]],[2]flow_freeway!$A$2:$E$1643,4,FALSE),0)</f>
        <v>25957</v>
      </c>
      <c r="I654">
        <f>IFERROR(VLOOKUP(Table_socioeca8.sandag.org_ws_abm2_f4[[#This Row],[hwycov_id]],[2]flow_freeway!$A$2:$E$1643,5,FALSE),0)</f>
        <v>20296</v>
      </c>
      <c r="K654">
        <f>Table_socioeca8.sandag.org_ws_abm2_f4[[#This Row],[hwycov_id]]</f>
        <v>13652</v>
      </c>
      <c r="L654">
        <f>Table_socioeca8.sandag.org_ws_abm2_f4[[#This Row],[scenario_id]]</f>
        <v>259</v>
      </c>
      <c r="M654">
        <f>Table_socioeca8.sandag.org_ws_abm2_f4[[#This Row],[flow_day]]</f>
        <v>108983</v>
      </c>
      <c r="N654">
        <f>Table_socioeca8.sandag.org_ws_abm2_f4[[#This Row],[flow_am]]</f>
        <v>25957</v>
      </c>
      <c r="O654">
        <f>Table_socioeca8.sandag.org_ws_abm2_f4[[#This Row],[flow_pm]]</f>
        <v>20296</v>
      </c>
    </row>
    <row r="655" spans="5:15" x14ac:dyDescent="0.25">
      <c r="E655">
        <v>13653</v>
      </c>
      <c r="F655">
        <f t="shared" si="10"/>
        <v>259</v>
      </c>
      <c r="G655">
        <f>IFERROR(VLOOKUP(Table_socioeca8.sandag.org_ws_abm2_f4[[#This Row],[hwycov_id]],[2]flow_freeway!$A$2:$E$1643,3,FALSE),0)</f>
        <v>119706</v>
      </c>
      <c r="H655">
        <f>IFERROR(VLOOKUP(Table_socioeca8.sandag.org_ws_abm2_f4[[#This Row],[hwycov_id]],[2]flow_freeway!$A$2:$E$1643,4,FALSE),0)</f>
        <v>27726</v>
      </c>
      <c r="I655">
        <f>IFERROR(VLOOKUP(Table_socioeca8.sandag.org_ws_abm2_f4[[#This Row],[hwycov_id]],[2]flow_freeway!$A$2:$E$1643,5,FALSE),0)</f>
        <v>21593</v>
      </c>
      <c r="K655">
        <f>Table_socioeca8.sandag.org_ws_abm2_f4[[#This Row],[hwycov_id]]</f>
        <v>13653</v>
      </c>
      <c r="L655">
        <f>Table_socioeca8.sandag.org_ws_abm2_f4[[#This Row],[scenario_id]]</f>
        <v>259</v>
      </c>
      <c r="M655">
        <f>Table_socioeca8.sandag.org_ws_abm2_f4[[#This Row],[flow_day]]</f>
        <v>119706</v>
      </c>
      <c r="N655">
        <f>Table_socioeca8.sandag.org_ws_abm2_f4[[#This Row],[flow_am]]</f>
        <v>27726</v>
      </c>
      <c r="O655">
        <f>Table_socioeca8.sandag.org_ws_abm2_f4[[#This Row],[flow_pm]]</f>
        <v>21593</v>
      </c>
    </row>
    <row r="656" spans="5:15" x14ac:dyDescent="0.25">
      <c r="E656">
        <v>13658</v>
      </c>
      <c r="F656">
        <f t="shared" si="10"/>
        <v>259</v>
      </c>
      <c r="G656">
        <f>IFERROR(VLOOKUP(Table_socioeca8.sandag.org_ws_abm2_f4[[#This Row],[hwycov_id]],[2]flow_freeway!$A$2:$E$1643,3,FALSE),0)</f>
        <v>104792</v>
      </c>
      <c r="H656">
        <f>IFERROR(VLOOKUP(Table_socioeca8.sandag.org_ws_abm2_f4[[#This Row],[hwycov_id]],[2]flow_freeway!$A$2:$E$1643,4,FALSE),0)</f>
        <v>16712</v>
      </c>
      <c r="I656">
        <f>IFERROR(VLOOKUP(Table_socioeca8.sandag.org_ws_abm2_f4[[#This Row],[hwycov_id]],[2]flow_freeway!$A$2:$E$1643,5,FALSE),0)</f>
        <v>31721</v>
      </c>
      <c r="K656">
        <f>Table_socioeca8.sandag.org_ws_abm2_f4[[#This Row],[hwycov_id]]</f>
        <v>13658</v>
      </c>
      <c r="L656">
        <f>Table_socioeca8.sandag.org_ws_abm2_f4[[#This Row],[scenario_id]]</f>
        <v>259</v>
      </c>
      <c r="M656">
        <f>Table_socioeca8.sandag.org_ws_abm2_f4[[#This Row],[flow_day]]</f>
        <v>104792</v>
      </c>
      <c r="N656">
        <f>Table_socioeca8.sandag.org_ws_abm2_f4[[#This Row],[flow_am]]</f>
        <v>16712</v>
      </c>
      <c r="O656">
        <f>Table_socioeca8.sandag.org_ws_abm2_f4[[#This Row],[flow_pm]]</f>
        <v>31721</v>
      </c>
    </row>
    <row r="657" spans="5:15" x14ac:dyDescent="0.25">
      <c r="E657">
        <v>13661</v>
      </c>
      <c r="F657">
        <f t="shared" si="10"/>
        <v>259</v>
      </c>
      <c r="G657">
        <f>IFERROR(VLOOKUP(Table_socioeca8.sandag.org_ws_abm2_f4[[#This Row],[hwycov_id]],[2]flow_freeway!$A$2:$E$1643,3,FALSE),0)</f>
        <v>111249</v>
      </c>
      <c r="H657">
        <f>IFERROR(VLOOKUP(Table_socioeca8.sandag.org_ws_abm2_f4[[#This Row],[hwycov_id]],[2]flow_freeway!$A$2:$E$1643,4,FALSE),0)</f>
        <v>27375</v>
      </c>
      <c r="I657">
        <f>IFERROR(VLOOKUP(Table_socioeca8.sandag.org_ws_abm2_f4[[#This Row],[hwycov_id]],[2]flow_freeway!$A$2:$E$1643,5,FALSE),0)</f>
        <v>20564</v>
      </c>
      <c r="K657">
        <f>Table_socioeca8.sandag.org_ws_abm2_f4[[#This Row],[hwycov_id]]</f>
        <v>13661</v>
      </c>
      <c r="L657">
        <f>Table_socioeca8.sandag.org_ws_abm2_f4[[#This Row],[scenario_id]]</f>
        <v>259</v>
      </c>
      <c r="M657">
        <f>Table_socioeca8.sandag.org_ws_abm2_f4[[#This Row],[flow_day]]</f>
        <v>111249</v>
      </c>
      <c r="N657">
        <f>Table_socioeca8.sandag.org_ws_abm2_f4[[#This Row],[flow_am]]</f>
        <v>27375</v>
      </c>
      <c r="O657">
        <f>Table_socioeca8.sandag.org_ws_abm2_f4[[#This Row],[flow_pm]]</f>
        <v>20564</v>
      </c>
    </row>
    <row r="658" spans="5:15" x14ac:dyDescent="0.25">
      <c r="E658">
        <v>13662</v>
      </c>
      <c r="F658">
        <f t="shared" si="10"/>
        <v>259</v>
      </c>
      <c r="G658">
        <f>IFERROR(VLOOKUP(Table_socioeca8.sandag.org_ws_abm2_f4[[#This Row],[hwycov_id]],[2]flow_freeway!$A$2:$E$1643,3,FALSE),0)</f>
        <v>119680</v>
      </c>
      <c r="H658">
        <f>IFERROR(VLOOKUP(Table_socioeca8.sandag.org_ws_abm2_f4[[#This Row],[hwycov_id]],[2]flow_freeway!$A$2:$E$1643,4,FALSE),0)</f>
        <v>18733</v>
      </c>
      <c r="I658">
        <f>IFERROR(VLOOKUP(Table_socioeca8.sandag.org_ws_abm2_f4[[#This Row],[hwycov_id]],[2]flow_freeway!$A$2:$E$1643,5,FALSE),0)</f>
        <v>34900</v>
      </c>
      <c r="K658">
        <f>Table_socioeca8.sandag.org_ws_abm2_f4[[#This Row],[hwycov_id]]</f>
        <v>13662</v>
      </c>
      <c r="L658">
        <f>Table_socioeca8.sandag.org_ws_abm2_f4[[#This Row],[scenario_id]]</f>
        <v>259</v>
      </c>
      <c r="M658">
        <f>Table_socioeca8.sandag.org_ws_abm2_f4[[#This Row],[flow_day]]</f>
        <v>119680</v>
      </c>
      <c r="N658">
        <f>Table_socioeca8.sandag.org_ws_abm2_f4[[#This Row],[flow_am]]</f>
        <v>18733</v>
      </c>
      <c r="O658">
        <f>Table_socioeca8.sandag.org_ws_abm2_f4[[#This Row],[flow_pm]]</f>
        <v>34900</v>
      </c>
    </row>
    <row r="659" spans="5:15" x14ac:dyDescent="0.25">
      <c r="E659">
        <v>13664</v>
      </c>
      <c r="F659">
        <f t="shared" si="10"/>
        <v>259</v>
      </c>
      <c r="G659">
        <f>IFERROR(VLOOKUP(Table_socioeca8.sandag.org_ws_abm2_f4[[#This Row],[hwycov_id]],[2]flow_freeway!$A$2:$E$1643,3,FALSE),0)</f>
        <v>125240</v>
      </c>
      <c r="H659">
        <f>IFERROR(VLOOKUP(Table_socioeca8.sandag.org_ws_abm2_f4[[#This Row],[hwycov_id]],[2]flow_freeway!$A$2:$E$1643,4,FALSE),0)</f>
        <v>29600</v>
      </c>
      <c r="I659">
        <f>IFERROR(VLOOKUP(Table_socioeca8.sandag.org_ws_abm2_f4[[#This Row],[hwycov_id]],[2]flow_freeway!$A$2:$E$1643,5,FALSE),0)</f>
        <v>22837</v>
      </c>
      <c r="K659">
        <f>Table_socioeca8.sandag.org_ws_abm2_f4[[#This Row],[hwycov_id]]</f>
        <v>13664</v>
      </c>
      <c r="L659">
        <f>Table_socioeca8.sandag.org_ws_abm2_f4[[#This Row],[scenario_id]]</f>
        <v>259</v>
      </c>
      <c r="M659">
        <f>Table_socioeca8.sandag.org_ws_abm2_f4[[#This Row],[flow_day]]</f>
        <v>125240</v>
      </c>
      <c r="N659">
        <f>Table_socioeca8.sandag.org_ws_abm2_f4[[#This Row],[flow_am]]</f>
        <v>29600</v>
      </c>
      <c r="O659">
        <f>Table_socioeca8.sandag.org_ws_abm2_f4[[#This Row],[flow_pm]]</f>
        <v>22837</v>
      </c>
    </row>
    <row r="660" spans="5:15" x14ac:dyDescent="0.25">
      <c r="E660">
        <v>13672</v>
      </c>
      <c r="F660">
        <f t="shared" si="10"/>
        <v>259</v>
      </c>
      <c r="G660">
        <f>IFERROR(VLOOKUP(Table_socioeca8.sandag.org_ws_abm2_f4[[#This Row],[hwycov_id]],[2]flow_freeway!$A$2:$E$1643,3,FALSE),0)</f>
        <v>111624</v>
      </c>
      <c r="H660">
        <f>IFERROR(VLOOKUP(Table_socioeca8.sandag.org_ws_abm2_f4[[#This Row],[hwycov_id]],[2]flow_freeway!$A$2:$E$1643,4,FALSE),0)</f>
        <v>17577</v>
      </c>
      <c r="I660">
        <f>IFERROR(VLOOKUP(Table_socioeca8.sandag.org_ws_abm2_f4[[#This Row],[hwycov_id]],[2]flow_freeway!$A$2:$E$1643,5,FALSE),0)</f>
        <v>33065</v>
      </c>
      <c r="K660">
        <f>Table_socioeca8.sandag.org_ws_abm2_f4[[#This Row],[hwycov_id]]</f>
        <v>13672</v>
      </c>
      <c r="L660">
        <f>Table_socioeca8.sandag.org_ws_abm2_f4[[#This Row],[scenario_id]]</f>
        <v>259</v>
      </c>
      <c r="M660">
        <f>Table_socioeca8.sandag.org_ws_abm2_f4[[#This Row],[flow_day]]</f>
        <v>111624</v>
      </c>
      <c r="N660">
        <f>Table_socioeca8.sandag.org_ws_abm2_f4[[#This Row],[flow_am]]</f>
        <v>17577</v>
      </c>
      <c r="O660">
        <f>Table_socioeca8.sandag.org_ws_abm2_f4[[#This Row],[flow_pm]]</f>
        <v>33065</v>
      </c>
    </row>
    <row r="661" spans="5:15" x14ac:dyDescent="0.25">
      <c r="E661">
        <v>13673</v>
      </c>
      <c r="F661">
        <f t="shared" si="10"/>
        <v>259</v>
      </c>
      <c r="G661">
        <f>IFERROR(VLOOKUP(Table_socioeca8.sandag.org_ws_abm2_f4[[#This Row],[hwycov_id]],[2]flow_freeway!$A$2:$E$1643,3,FALSE),0)</f>
        <v>117605</v>
      </c>
      <c r="H661">
        <f>IFERROR(VLOOKUP(Table_socioeca8.sandag.org_ws_abm2_f4[[#This Row],[hwycov_id]],[2]flow_freeway!$A$2:$E$1643,4,FALSE),0)</f>
        <v>28055</v>
      </c>
      <c r="I661">
        <f>IFERROR(VLOOKUP(Table_socioeca8.sandag.org_ws_abm2_f4[[#This Row],[hwycov_id]],[2]flow_freeway!$A$2:$E$1643,5,FALSE),0)</f>
        <v>21143</v>
      </c>
      <c r="K661">
        <f>Table_socioeca8.sandag.org_ws_abm2_f4[[#This Row],[hwycov_id]]</f>
        <v>13673</v>
      </c>
      <c r="L661">
        <f>Table_socioeca8.sandag.org_ws_abm2_f4[[#This Row],[scenario_id]]</f>
        <v>259</v>
      </c>
      <c r="M661">
        <f>Table_socioeca8.sandag.org_ws_abm2_f4[[#This Row],[flow_day]]</f>
        <v>117605</v>
      </c>
      <c r="N661">
        <f>Table_socioeca8.sandag.org_ws_abm2_f4[[#This Row],[flow_am]]</f>
        <v>28055</v>
      </c>
      <c r="O661">
        <f>Table_socioeca8.sandag.org_ws_abm2_f4[[#This Row],[flow_pm]]</f>
        <v>21143</v>
      </c>
    </row>
    <row r="662" spans="5:15" x14ac:dyDescent="0.25">
      <c r="E662">
        <v>13861</v>
      </c>
      <c r="F662">
        <f t="shared" si="10"/>
        <v>259</v>
      </c>
      <c r="G662">
        <f>IFERROR(VLOOKUP(Table_socioeca8.sandag.org_ws_abm2_f4[[#This Row],[hwycov_id]],[2]flow_freeway!$A$2:$E$1643,3,FALSE),0)</f>
        <v>108700</v>
      </c>
      <c r="H662">
        <f>IFERROR(VLOOKUP(Table_socioeca8.sandag.org_ws_abm2_f4[[#This Row],[hwycov_id]],[2]flow_freeway!$A$2:$E$1643,4,FALSE),0)</f>
        <v>16715</v>
      </c>
      <c r="I662">
        <f>IFERROR(VLOOKUP(Table_socioeca8.sandag.org_ws_abm2_f4[[#This Row],[hwycov_id]],[2]flow_freeway!$A$2:$E$1643,5,FALSE),0)</f>
        <v>31028</v>
      </c>
      <c r="K662">
        <f>Table_socioeca8.sandag.org_ws_abm2_f4[[#This Row],[hwycov_id]]</f>
        <v>13861</v>
      </c>
      <c r="L662">
        <f>Table_socioeca8.sandag.org_ws_abm2_f4[[#This Row],[scenario_id]]</f>
        <v>259</v>
      </c>
      <c r="M662">
        <f>Table_socioeca8.sandag.org_ws_abm2_f4[[#This Row],[flow_day]]</f>
        <v>108700</v>
      </c>
      <c r="N662">
        <f>Table_socioeca8.sandag.org_ws_abm2_f4[[#This Row],[flow_am]]</f>
        <v>16715</v>
      </c>
      <c r="O662">
        <f>Table_socioeca8.sandag.org_ws_abm2_f4[[#This Row],[flow_pm]]</f>
        <v>31028</v>
      </c>
    </row>
    <row r="663" spans="5:15" x14ac:dyDescent="0.25">
      <c r="E663">
        <v>13869</v>
      </c>
      <c r="F663">
        <f t="shared" si="10"/>
        <v>259</v>
      </c>
      <c r="G663">
        <f>IFERROR(VLOOKUP(Table_socioeca8.sandag.org_ws_abm2_f4[[#This Row],[hwycov_id]],[2]flow_freeway!$A$2:$E$1643,3,FALSE),0)</f>
        <v>106753</v>
      </c>
      <c r="H663">
        <f>IFERROR(VLOOKUP(Table_socioeca8.sandag.org_ws_abm2_f4[[#This Row],[hwycov_id]],[2]flow_freeway!$A$2:$E$1643,4,FALSE),0)</f>
        <v>16516</v>
      </c>
      <c r="I663">
        <f>IFERROR(VLOOKUP(Table_socioeca8.sandag.org_ws_abm2_f4[[#This Row],[hwycov_id]],[2]flow_freeway!$A$2:$E$1643,5,FALSE),0)</f>
        <v>30076</v>
      </c>
      <c r="K663">
        <f>Table_socioeca8.sandag.org_ws_abm2_f4[[#This Row],[hwycov_id]]</f>
        <v>13869</v>
      </c>
      <c r="L663">
        <f>Table_socioeca8.sandag.org_ws_abm2_f4[[#This Row],[scenario_id]]</f>
        <v>259</v>
      </c>
      <c r="M663">
        <f>Table_socioeca8.sandag.org_ws_abm2_f4[[#This Row],[flow_day]]</f>
        <v>106753</v>
      </c>
      <c r="N663">
        <f>Table_socioeca8.sandag.org_ws_abm2_f4[[#This Row],[flow_am]]</f>
        <v>16516</v>
      </c>
      <c r="O663">
        <f>Table_socioeca8.sandag.org_ws_abm2_f4[[#This Row],[flow_pm]]</f>
        <v>30076</v>
      </c>
    </row>
    <row r="664" spans="5:15" x14ac:dyDescent="0.25">
      <c r="E664">
        <v>13870</v>
      </c>
      <c r="F664">
        <f t="shared" si="10"/>
        <v>259</v>
      </c>
      <c r="G664">
        <f>IFERROR(VLOOKUP(Table_socioeca8.sandag.org_ws_abm2_f4[[#This Row],[hwycov_id]],[2]flow_freeway!$A$2:$E$1643,3,FALSE),0)</f>
        <v>109713</v>
      </c>
      <c r="H664">
        <f>IFERROR(VLOOKUP(Table_socioeca8.sandag.org_ws_abm2_f4[[#This Row],[hwycov_id]],[2]flow_freeway!$A$2:$E$1643,4,FALSE),0)</f>
        <v>16972</v>
      </c>
      <c r="I664">
        <f>IFERROR(VLOOKUP(Table_socioeca8.sandag.org_ws_abm2_f4[[#This Row],[hwycov_id]],[2]flow_freeway!$A$2:$E$1643,5,FALSE),0)</f>
        <v>30733</v>
      </c>
      <c r="K664">
        <f>Table_socioeca8.sandag.org_ws_abm2_f4[[#This Row],[hwycov_id]]</f>
        <v>13870</v>
      </c>
      <c r="L664">
        <f>Table_socioeca8.sandag.org_ws_abm2_f4[[#This Row],[scenario_id]]</f>
        <v>259</v>
      </c>
      <c r="M664">
        <f>Table_socioeca8.sandag.org_ws_abm2_f4[[#This Row],[flow_day]]</f>
        <v>109713</v>
      </c>
      <c r="N664">
        <f>Table_socioeca8.sandag.org_ws_abm2_f4[[#This Row],[flow_am]]</f>
        <v>16972</v>
      </c>
      <c r="O664">
        <f>Table_socioeca8.sandag.org_ws_abm2_f4[[#This Row],[flow_pm]]</f>
        <v>30733</v>
      </c>
    </row>
    <row r="665" spans="5:15" x14ac:dyDescent="0.25">
      <c r="E665">
        <v>13974</v>
      </c>
      <c r="F665">
        <f t="shared" si="10"/>
        <v>259</v>
      </c>
      <c r="G665">
        <f>IFERROR(VLOOKUP(Table_socioeca8.sandag.org_ws_abm2_f4[[#This Row],[hwycov_id]],[2]flow_freeway!$A$2:$E$1643,3,FALSE),0)</f>
        <v>31204</v>
      </c>
      <c r="H665">
        <f>IFERROR(VLOOKUP(Table_socioeca8.sandag.org_ws_abm2_f4[[#This Row],[hwycov_id]],[2]flow_freeway!$A$2:$E$1643,4,FALSE),0)</f>
        <v>6721</v>
      </c>
      <c r="I665">
        <f>IFERROR(VLOOKUP(Table_socioeca8.sandag.org_ws_abm2_f4[[#This Row],[hwycov_id]],[2]flow_freeway!$A$2:$E$1643,5,FALSE),0)</f>
        <v>6966</v>
      </c>
      <c r="K665">
        <f>Table_socioeca8.sandag.org_ws_abm2_f4[[#This Row],[hwycov_id]]</f>
        <v>13974</v>
      </c>
      <c r="L665">
        <f>Table_socioeca8.sandag.org_ws_abm2_f4[[#This Row],[scenario_id]]</f>
        <v>259</v>
      </c>
      <c r="M665">
        <f>Table_socioeca8.sandag.org_ws_abm2_f4[[#This Row],[flow_day]]</f>
        <v>31204</v>
      </c>
      <c r="N665">
        <f>Table_socioeca8.sandag.org_ws_abm2_f4[[#This Row],[flow_am]]</f>
        <v>6721</v>
      </c>
      <c r="O665">
        <f>Table_socioeca8.sandag.org_ws_abm2_f4[[#This Row],[flow_pm]]</f>
        <v>6966</v>
      </c>
    </row>
    <row r="666" spans="5:15" x14ac:dyDescent="0.25">
      <c r="E666">
        <v>13975</v>
      </c>
      <c r="F666">
        <f t="shared" si="10"/>
        <v>259</v>
      </c>
      <c r="G666">
        <f>IFERROR(VLOOKUP(Table_socioeca8.sandag.org_ws_abm2_f4[[#This Row],[hwycov_id]],[2]flow_freeway!$A$2:$E$1643,3,FALSE),0)</f>
        <v>26424</v>
      </c>
      <c r="H666">
        <f>IFERROR(VLOOKUP(Table_socioeca8.sandag.org_ws_abm2_f4[[#This Row],[hwycov_id]],[2]flow_freeway!$A$2:$E$1643,4,FALSE),0)</f>
        <v>5281</v>
      </c>
      <c r="I666">
        <f>IFERROR(VLOOKUP(Table_socioeca8.sandag.org_ws_abm2_f4[[#This Row],[hwycov_id]],[2]flow_freeway!$A$2:$E$1643,5,FALSE),0)</f>
        <v>6536</v>
      </c>
      <c r="K666">
        <f>Table_socioeca8.sandag.org_ws_abm2_f4[[#This Row],[hwycov_id]]</f>
        <v>13975</v>
      </c>
      <c r="L666">
        <f>Table_socioeca8.sandag.org_ws_abm2_f4[[#This Row],[scenario_id]]</f>
        <v>259</v>
      </c>
      <c r="M666">
        <f>Table_socioeca8.sandag.org_ws_abm2_f4[[#This Row],[flow_day]]</f>
        <v>26424</v>
      </c>
      <c r="N666">
        <f>Table_socioeca8.sandag.org_ws_abm2_f4[[#This Row],[flow_am]]</f>
        <v>5281</v>
      </c>
      <c r="O666">
        <f>Table_socioeca8.sandag.org_ws_abm2_f4[[#This Row],[flow_pm]]</f>
        <v>6536</v>
      </c>
    </row>
    <row r="667" spans="5:15" x14ac:dyDescent="0.25">
      <c r="E667">
        <v>13991</v>
      </c>
      <c r="F667">
        <f t="shared" si="10"/>
        <v>259</v>
      </c>
      <c r="G667">
        <f>IFERROR(VLOOKUP(Table_socioeca8.sandag.org_ws_abm2_f4[[#This Row],[hwycov_id]],[2]flow_freeway!$A$2:$E$1643,3,FALSE),0)</f>
        <v>22335</v>
      </c>
      <c r="H667">
        <f>IFERROR(VLOOKUP(Table_socioeca8.sandag.org_ws_abm2_f4[[#This Row],[hwycov_id]],[2]flow_freeway!$A$2:$E$1643,4,FALSE),0)</f>
        <v>4649</v>
      </c>
      <c r="I667">
        <f>IFERROR(VLOOKUP(Table_socioeca8.sandag.org_ws_abm2_f4[[#This Row],[hwycov_id]],[2]flow_freeway!$A$2:$E$1643,5,FALSE),0)</f>
        <v>4926</v>
      </c>
      <c r="K667">
        <f>Table_socioeca8.sandag.org_ws_abm2_f4[[#This Row],[hwycov_id]]</f>
        <v>13991</v>
      </c>
      <c r="L667">
        <f>Table_socioeca8.sandag.org_ws_abm2_f4[[#This Row],[scenario_id]]</f>
        <v>259</v>
      </c>
      <c r="M667">
        <f>Table_socioeca8.sandag.org_ws_abm2_f4[[#This Row],[flow_day]]</f>
        <v>22335</v>
      </c>
      <c r="N667">
        <f>Table_socioeca8.sandag.org_ws_abm2_f4[[#This Row],[flow_am]]</f>
        <v>4649</v>
      </c>
      <c r="O667">
        <f>Table_socioeca8.sandag.org_ws_abm2_f4[[#This Row],[flow_pm]]</f>
        <v>4926</v>
      </c>
    </row>
    <row r="668" spans="5:15" x14ac:dyDescent="0.25">
      <c r="E668">
        <v>13992</v>
      </c>
      <c r="F668">
        <f t="shared" si="10"/>
        <v>259</v>
      </c>
      <c r="G668">
        <f>IFERROR(VLOOKUP(Table_socioeca8.sandag.org_ws_abm2_f4[[#This Row],[hwycov_id]],[2]flow_freeway!$A$2:$E$1643,3,FALSE),0)</f>
        <v>27389</v>
      </c>
      <c r="H668">
        <f>IFERROR(VLOOKUP(Table_socioeca8.sandag.org_ws_abm2_f4[[#This Row],[hwycov_id]],[2]flow_freeway!$A$2:$E$1643,4,FALSE),0)</f>
        <v>6064</v>
      </c>
      <c r="I668">
        <f>IFERROR(VLOOKUP(Table_socioeca8.sandag.org_ws_abm2_f4[[#This Row],[hwycov_id]],[2]flow_freeway!$A$2:$E$1643,5,FALSE),0)</f>
        <v>6035</v>
      </c>
      <c r="K668">
        <f>Table_socioeca8.sandag.org_ws_abm2_f4[[#This Row],[hwycov_id]]</f>
        <v>13992</v>
      </c>
      <c r="L668">
        <f>Table_socioeca8.sandag.org_ws_abm2_f4[[#This Row],[scenario_id]]</f>
        <v>259</v>
      </c>
      <c r="M668">
        <f>Table_socioeca8.sandag.org_ws_abm2_f4[[#This Row],[flow_day]]</f>
        <v>27389</v>
      </c>
      <c r="N668">
        <f>Table_socioeca8.sandag.org_ws_abm2_f4[[#This Row],[flow_am]]</f>
        <v>6064</v>
      </c>
      <c r="O668">
        <f>Table_socioeca8.sandag.org_ws_abm2_f4[[#This Row],[flow_pm]]</f>
        <v>6035</v>
      </c>
    </row>
    <row r="669" spans="5:15" x14ac:dyDescent="0.25">
      <c r="E669">
        <v>13993</v>
      </c>
      <c r="F669">
        <f t="shared" si="10"/>
        <v>259</v>
      </c>
      <c r="G669">
        <f>IFERROR(VLOOKUP(Table_socioeca8.sandag.org_ws_abm2_f4[[#This Row],[hwycov_id]],[2]flow_freeway!$A$2:$E$1643,3,FALSE),0)</f>
        <v>26229</v>
      </c>
      <c r="H669">
        <f>IFERROR(VLOOKUP(Table_socioeca8.sandag.org_ws_abm2_f4[[#This Row],[hwycov_id]],[2]flow_freeway!$A$2:$E$1643,4,FALSE),0)</f>
        <v>5216</v>
      </c>
      <c r="I669">
        <f>IFERROR(VLOOKUP(Table_socioeca8.sandag.org_ws_abm2_f4[[#This Row],[hwycov_id]],[2]flow_freeway!$A$2:$E$1643,5,FALSE),0)</f>
        <v>6147</v>
      </c>
      <c r="K669">
        <f>Table_socioeca8.sandag.org_ws_abm2_f4[[#This Row],[hwycov_id]]</f>
        <v>13993</v>
      </c>
      <c r="L669">
        <f>Table_socioeca8.sandag.org_ws_abm2_f4[[#This Row],[scenario_id]]</f>
        <v>259</v>
      </c>
      <c r="M669">
        <f>Table_socioeca8.sandag.org_ws_abm2_f4[[#This Row],[flow_day]]</f>
        <v>26229</v>
      </c>
      <c r="N669">
        <f>Table_socioeca8.sandag.org_ws_abm2_f4[[#This Row],[flow_am]]</f>
        <v>5216</v>
      </c>
      <c r="O669">
        <f>Table_socioeca8.sandag.org_ws_abm2_f4[[#This Row],[flow_pm]]</f>
        <v>6147</v>
      </c>
    </row>
    <row r="670" spans="5:15" x14ac:dyDescent="0.25">
      <c r="E670">
        <v>13994</v>
      </c>
      <c r="F670">
        <f t="shared" si="10"/>
        <v>259</v>
      </c>
      <c r="G670">
        <f>IFERROR(VLOOKUP(Table_socioeca8.sandag.org_ws_abm2_f4[[#This Row],[hwycov_id]],[2]flow_freeway!$A$2:$E$1643,3,FALSE),0)</f>
        <v>32139</v>
      </c>
      <c r="H670">
        <f>IFERROR(VLOOKUP(Table_socioeca8.sandag.org_ws_abm2_f4[[#This Row],[hwycov_id]],[2]flow_freeway!$A$2:$E$1643,4,FALSE),0)</f>
        <v>6235</v>
      </c>
      <c r="I670">
        <f>IFERROR(VLOOKUP(Table_socioeca8.sandag.org_ws_abm2_f4[[#This Row],[hwycov_id]],[2]flow_freeway!$A$2:$E$1643,5,FALSE),0)</f>
        <v>7689</v>
      </c>
      <c r="K670">
        <f>Table_socioeca8.sandag.org_ws_abm2_f4[[#This Row],[hwycov_id]]</f>
        <v>13994</v>
      </c>
      <c r="L670">
        <f>Table_socioeca8.sandag.org_ws_abm2_f4[[#This Row],[scenario_id]]</f>
        <v>259</v>
      </c>
      <c r="M670">
        <f>Table_socioeca8.sandag.org_ws_abm2_f4[[#This Row],[flow_day]]</f>
        <v>32139</v>
      </c>
      <c r="N670">
        <f>Table_socioeca8.sandag.org_ws_abm2_f4[[#This Row],[flow_am]]</f>
        <v>6235</v>
      </c>
      <c r="O670">
        <f>Table_socioeca8.sandag.org_ws_abm2_f4[[#This Row],[flow_pm]]</f>
        <v>7689</v>
      </c>
    </row>
    <row r="671" spans="5:15" x14ac:dyDescent="0.25">
      <c r="E671">
        <v>14022</v>
      </c>
      <c r="F671">
        <f t="shared" si="10"/>
        <v>259</v>
      </c>
      <c r="G671">
        <f>IFERROR(VLOOKUP(Table_socioeca8.sandag.org_ws_abm2_f4[[#This Row],[hwycov_id]],[2]flow_freeway!$A$2:$E$1643,3,FALSE),0)</f>
        <v>4702</v>
      </c>
      <c r="H671">
        <f>IFERROR(VLOOKUP(Table_socioeca8.sandag.org_ws_abm2_f4[[#This Row],[hwycov_id]],[2]flow_freeway!$A$2:$E$1643,4,FALSE),0)</f>
        <v>716</v>
      </c>
      <c r="I671">
        <f>IFERROR(VLOOKUP(Table_socioeca8.sandag.org_ws_abm2_f4[[#This Row],[hwycov_id]],[2]flow_freeway!$A$2:$E$1643,5,FALSE),0)</f>
        <v>1295</v>
      </c>
      <c r="K671">
        <f>Table_socioeca8.sandag.org_ws_abm2_f4[[#This Row],[hwycov_id]]</f>
        <v>14022</v>
      </c>
      <c r="L671">
        <f>Table_socioeca8.sandag.org_ws_abm2_f4[[#This Row],[scenario_id]]</f>
        <v>259</v>
      </c>
      <c r="M671">
        <f>Table_socioeca8.sandag.org_ws_abm2_f4[[#This Row],[flow_day]]</f>
        <v>4702</v>
      </c>
      <c r="N671">
        <f>Table_socioeca8.sandag.org_ws_abm2_f4[[#This Row],[flow_am]]</f>
        <v>716</v>
      </c>
      <c r="O671">
        <f>Table_socioeca8.sandag.org_ws_abm2_f4[[#This Row],[flow_pm]]</f>
        <v>1295</v>
      </c>
    </row>
    <row r="672" spans="5:15" x14ac:dyDescent="0.25">
      <c r="E672">
        <v>14024</v>
      </c>
      <c r="F672">
        <f t="shared" si="10"/>
        <v>259</v>
      </c>
      <c r="G672">
        <f>IFERROR(VLOOKUP(Table_socioeca8.sandag.org_ws_abm2_f4[[#This Row],[hwycov_id]],[2]flow_freeway!$A$2:$E$1643,3,FALSE),0)</f>
        <v>4702</v>
      </c>
      <c r="H672">
        <f>IFERROR(VLOOKUP(Table_socioeca8.sandag.org_ws_abm2_f4[[#This Row],[hwycov_id]],[2]flow_freeway!$A$2:$E$1643,4,FALSE),0)</f>
        <v>716</v>
      </c>
      <c r="I672">
        <f>IFERROR(VLOOKUP(Table_socioeca8.sandag.org_ws_abm2_f4[[#This Row],[hwycov_id]],[2]flow_freeway!$A$2:$E$1643,5,FALSE),0)</f>
        <v>1295</v>
      </c>
      <c r="K672">
        <f>Table_socioeca8.sandag.org_ws_abm2_f4[[#This Row],[hwycov_id]]</f>
        <v>14024</v>
      </c>
      <c r="L672">
        <f>Table_socioeca8.sandag.org_ws_abm2_f4[[#This Row],[scenario_id]]</f>
        <v>259</v>
      </c>
      <c r="M672">
        <f>Table_socioeca8.sandag.org_ws_abm2_f4[[#This Row],[flow_day]]</f>
        <v>4702</v>
      </c>
      <c r="N672">
        <f>Table_socioeca8.sandag.org_ws_abm2_f4[[#This Row],[flow_am]]</f>
        <v>716</v>
      </c>
      <c r="O672">
        <f>Table_socioeca8.sandag.org_ws_abm2_f4[[#This Row],[flow_pm]]</f>
        <v>1295</v>
      </c>
    </row>
    <row r="673" spans="5:15" x14ac:dyDescent="0.25">
      <c r="E673">
        <v>14025</v>
      </c>
      <c r="F673">
        <f t="shared" si="10"/>
        <v>259</v>
      </c>
      <c r="G673">
        <f>IFERROR(VLOOKUP(Table_socioeca8.sandag.org_ws_abm2_f4[[#This Row],[hwycov_id]],[2]flow_freeway!$A$2:$E$1643,3,FALSE),0)</f>
        <v>4057</v>
      </c>
      <c r="H673">
        <f>IFERROR(VLOOKUP(Table_socioeca8.sandag.org_ws_abm2_f4[[#This Row],[hwycov_id]],[2]flow_freeway!$A$2:$E$1643,4,FALSE),0)</f>
        <v>1056</v>
      </c>
      <c r="I673">
        <f>IFERROR(VLOOKUP(Table_socioeca8.sandag.org_ws_abm2_f4[[#This Row],[hwycov_id]],[2]flow_freeway!$A$2:$E$1643,5,FALSE),0)</f>
        <v>896</v>
      </c>
      <c r="K673">
        <f>Table_socioeca8.sandag.org_ws_abm2_f4[[#This Row],[hwycov_id]]</f>
        <v>14025</v>
      </c>
      <c r="L673">
        <f>Table_socioeca8.sandag.org_ws_abm2_f4[[#This Row],[scenario_id]]</f>
        <v>259</v>
      </c>
      <c r="M673">
        <f>Table_socioeca8.sandag.org_ws_abm2_f4[[#This Row],[flow_day]]</f>
        <v>4057</v>
      </c>
      <c r="N673">
        <f>Table_socioeca8.sandag.org_ws_abm2_f4[[#This Row],[flow_am]]</f>
        <v>1056</v>
      </c>
      <c r="O673">
        <f>Table_socioeca8.sandag.org_ws_abm2_f4[[#This Row],[flow_pm]]</f>
        <v>896</v>
      </c>
    </row>
    <row r="674" spans="5:15" x14ac:dyDescent="0.25">
      <c r="E674">
        <v>14026</v>
      </c>
      <c r="F674">
        <f t="shared" si="10"/>
        <v>259</v>
      </c>
      <c r="G674">
        <f>IFERROR(VLOOKUP(Table_socioeca8.sandag.org_ws_abm2_f4[[#This Row],[hwycov_id]],[2]flow_freeway!$A$2:$E$1643,3,FALSE),0)</f>
        <v>4057</v>
      </c>
      <c r="H674">
        <f>IFERROR(VLOOKUP(Table_socioeca8.sandag.org_ws_abm2_f4[[#This Row],[hwycov_id]],[2]flow_freeway!$A$2:$E$1643,4,FALSE),0)</f>
        <v>1056</v>
      </c>
      <c r="I674">
        <f>IFERROR(VLOOKUP(Table_socioeca8.sandag.org_ws_abm2_f4[[#This Row],[hwycov_id]],[2]flow_freeway!$A$2:$E$1643,5,FALSE),0)</f>
        <v>896</v>
      </c>
      <c r="K674">
        <f>Table_socioeca8.sandag.org_ws_abm2_f4[[#This Row],[hwycov_id]]</f>
        <v>14026</v>
      </c>
      <c r="L674">
        <f>Table_socioeca8.sandag.org_ws_abm2_f4[[#This Row],[scenario_id]]</f>
        <v>259</v>
      </c>
      <c r="M674">
        <f>Table_socioeca8.sandag.org_ws_abm2_f4[[#This Row],[flow_day]]</f>
        <v>4057</v>
      </c>
      <c r="N674">
        <f>Table_socioeca8.sandag.org_ws_abm2_f4[[#This Row],[flow_am]]</f>
        <v>1056</v>
      </c>
      <c r="O674">
        <f>Table_socioeca8.sandag.org_ws_abm2_f4[[#This Row],[flow_pm]]</f>
        <v>896</v>
      </c>
    </row>
    <row r="675" spans="5:15" x14ac:dyDescent="0.25">
      <c r="E675">
        <v>14142</v>
      </c>
      <c r="F675">
        <f t="shared" si="10"/>
        <v>259</v>
      </c>
      <c r="G675">
        <f>IFERROR(VLOOKUP(Table_socioeca8.sandag.org_ws_abm2_f4[[#This Row],[hwycov_id]],[2]flow_freeway!$A$2:$E$1643,3,FALSE),0)</f>
        <v>58371</v>
      </c>
      <c r="H675">
        <f>IFERROR(VLOOKUP(Table_socioeca8.sandag.org_ws_abm2_f4[[#This Row],[hwycov_id]],[2]flow_freeway!$A$2:$E$1643,4,FALSE),0)</f>
        <v>15711</v>
      </c>
      <c r="I675">
        <f>IFERROR(VLOOKUP(Table_socioeca8.sandag.org_ws_abm2_f4[[#This Row],[hwycov_id]],[2]flow_freeway!$A$2:$E$1643,5,FALSE),0)</f>
        <v>11979</v>
      </c>
      <c r="K675">
        <f>Table_socioeca8.sandag.org_ws_abm2_f4[[#This Row],[hwycov_id]]</f>
        <v>14142</v>
      </c>
      <c r="L675">
        <f>Table_socioeca8.sandag.org_ws_abm2_f4[[#This Row],[scenario_id]]</f>
        <v>259</v>
      </c>
      <c r="M675">
        <f>Table_socioeca8.sandag.org_ws_abm2_f4[[#This Row],[flow_day]]</f>
        <v>58371</v>
      </c>
      <c r="N675">
        <f>Table_socioeca8.sandag.org_ws_abm2_f4[[#This Row],[flow_am]]</f>
        <v>15711</v>
      </c>
      <c r="O675">
        <f>Table_socioeca8.sandag.org_ws_abm2_f4[[#This Row],[flow_pm]]</f>
        <v>11979</v>
      </c>
    </row>
    <row r="676" spans="5:15" x14ac:dyDescent="0.25">
      <c r="E676">
        <v>14143</v>
      </c>
      <c r="F676">
        <f t="shared" si="10"/>
        <v>259</v>
      </c>
      <c r="G676">
        <f>IFERROR(VLOOKUP(Table_socioeca8.sandag.org_ws_abm2_f4[[#This Row],[hwycov_id]],[2]flow_freeway!$A$2:$E$1643,3,FALSE),0)</f>
        <v>56912</v>
      </c>
      <c r="H676">
        <f>IFERROR(VLOOKUP(Table_socioeca8.sandag.org_ws_abm2_f4[[#This Row],[hwycov_id]],[2]flow_freeway!$A$2:$E$1643,4,FALSE),0)</f>
        <v>9300</v>
      </c>
      <c r="I676">
        <f>IFERROR(VLOOKUP(Table_socioeca8.sandag.org_ws_abm2_f4[[#This Row],[hwycov_id]],[2]flow_freeway!$A$2:$E$1643,5,FALSE),0)</f>
        <v>17246</v>
      </c>
      <c r="K676">
        <f>Table_socioeca8.sandag.org_ws_abm2_f4[[#This Row],[hwycov_id]]</f>
        <v>14143</v>
      </c>
      <c r="L676">
        <f>Table_socioeca8.sandag.org_ws_abm2_f4[[#This Row],[scenario_id]]</f>
        <v>259</v>
      </c>
      <c r="M676">
        <f>Table_socioeca8.sandag.org_ws_abm2_f4[[#This Row],[flow_day]]</f>
        <v>56912</v>
      </c>
      <c r="N676">
        <f>Table_socioeca8.sandag.org_ws_abm2_f4[[#This Row],[flow_am]]</f>
        <v>9300</v>
      </c>
      <c r="O676">
        <f>Table_socioeca8.sandag.org_ws_abm2_f4[[#This Row],[flow_pm]]</f>
        <v>17246</v>
      </c>
    </row>
    <row r="677" spans="5:15" x14ac:dyDescent="0.25">
      <c r="E677">
        <v>14144</v>
      </c>
      <c r="F677">
        <f t="shared" si="10"/>
        <v>259</v>
      </c>
      <c r="G677">
        <f>IFERROR(VLOOKUP(Table_socioeca8.sandag.org_ws_abm2_f4[[#This Row],[hwycov_id]],[2]flow_freeway!$A$2:$E$1643,3,FALSE),0)</f>
        <v>50474</v>
      </c>
      <c r="H677">
        <f>IFERROR(VLOOKUP(Table_socioeca8.sandag.org_ws_abm2_f4[[#This Row],[hwycov_id]],[2]flow_freeway!$A$2:$E$1643,4,FALSE),0)</f>
        <v>13770</v>
      </c>
      <c r="I677">
        <f>IFERROR(VLOOKUP(Table_socioeca8.sandag.org_ws_abm2_f4[[#This Row],[hwycov_id]],[2]flow_freeway!$A$2:$E$1643,5,FALSE),0)</f>
        <v>10539</v>
      </c>
      <c r="K677">
        <f>Table_socioeca8.sandag.org_ws_abm2_f4[[#This Row],[hwycov_id]]</f>
        <v>14144</v>
      </c>
      <c r="L677">
        <f>Table_socioeca8.sandag.org_ws_abm2_f4[[#This Row],[scenario_id]]</f>
        <v>259</v>
      </c>
      <c r="M677">
        <f>Table_socioeca8.sandag.org_ws_abm2_f4[[#This Row],[flow_day]]</f>
        <v>50474</v>
      </c>
      <c r="N677">
        <f>Table_socioeca8.sandag.org_ws_abm2_f4[[#This Row],[flow_am]]</f>
        <v>13770</v>
      </c>
      <c r="O677">
        <f>Table_socioeca8.sandag.org_ws_abm2_f4[[#This Row],[flow_pm]]</f>
        <v>10539</v>
      </c>
    </row>
    <row r="678" spans="5:15" x14ac:dyDescent="0.25">
      <c r="E678">
        <v>14151</v>
      </c>
      <c r="F678">
        <f t="shared" si="10"/>
        <v>259</v>
      </c>
      <c r="G678">
        <f>IFERROR(VLOOKUP(Table_socioeca8.sandag.org_ws_abm2_f4[[#This Row],[hwycov_id]],[2]flow_freeway!$A$2:$E$1643,3,FALSE),0)</f>
        <v>49611</v>
      </c>
      <c r="H678">
        <f>IFERROR(VLOOKUP(Table_socioeca8.sandag.org_ws_abm2_f4[[#This Row],[hwycov_id]],[2]flow_freeway!$A$2:$E$1643,4,FALSE),0)</f>
        <v>8167</v>
      </c>
      <c r="I678">
        <f>IFERROR(VLOOKUP(Table_socioeca8.sandag.org_ws_abm2_f4[[#This Row],[hwycov_id]],[2]flow_freeway!$A$2:$E$1643,5,FALSE),0)</f>
        <v>15183</v>
      </c>
      <c r="K678">
        <f>Table_socioeca8.sandag.org_ws_abm2_f4[[#This Row],[hwycov_id]]</f>
        <v>14151</v>
      </c>
      <c r="L678">
        <f>Table_socioeca8.sandag.org_ws_abm2_f4[[#This Row],[scenario_id]]</f>
        <v>259</v>
      </c>
      <c r="M678">
        <f>Table_socioeca8.sandag.org_ws_abm2_f4[[#This Row],[flow_day]]</f>
        <v>49611</v>
      </c>
      <c r="N678">
        <f>Table_socioeca8.sandag.org_ws_abm2_f4[[#This Row],[flow_am]]</f>
        <v>8167</v>
      </c>
      <c r="O678">
        <f>Table_socioeca8.sandag.org_ws_abm2_f4[[#This Row],[flow_pm]]</f>
        <v>15183</v>
      </c>
    </row>
    <row r="679" spans="5:15" x14ac:dyDescent="0.25">
      <c r="E679">
        <v>14153</v>
      </c>
      <c r="F679">
        <f t="shared" si="10"/>
        <v>259</v>
      </c>
      <c r="G679">
        <f>IFERROR(VLOOKUP(Table_socioeca8.sandag.org_ws_abm2_f4[[#This Row],[hwycov_id]],[2]flow_freeway!$A$2:$E$1643,3,FALSE),0)</f>
        <v>51889</v>
      </c>
      <c r="H679">
        <f>IFERROR(VLOOKUP(Table_socioeca8.sandag.org_ws_abm2_f4[[#This Row],[hwycov_id]],[2]flow_freeway!$A$2:$E$1643,4,FALSE),0)</f>
        <v>8947</v>
      </c>
      <c r="I679">
        <f>IFERROR(VLOOKUP(Table_socioeca8.sandag.org_ws_abm2_f4[[#This Row],[hwycov_id]],[2]flow_freeway!$A$2:$E$1643,5,FALSE),0)</f>
        <v>15788</v>
      </c>
      <c r="K679">
        <f>Table_socioeca8.sandag.org_ws_abm2_f4[[#This Row],[hwycov_id]]</f>
        <v>14153</v>
      </c>
      <c r="L679">
        <f>Table_socioeca8.sandag.org_ws_abm2_f4[[#This Row],[scenario_id]]</f>
        <v>259</v>
      </c>
      <c r="M679">
        <f>Table_socioeca8.sandag.org_ws_abm2_f4[[#This Row],[flow_day]]</f>
        <v>51889</v>
      </c>
      <c r="N679">
        <f>Table_socioeca8.sandag.org_ws_abm2_f4[[#This Row],[flow_am]]</f>
        <v>8947</v>
      </c>
      <c r="O679">
        <f>Table_socioeca8.sandag.org_ws_abm2_f4[[#This Row],[flow_pm]]</f>
        <v>15788</v>
      </c>
    </row>
    <row r="680" spans="5:15" x14ac:dyDescent="0.25">
      <c r="E680">
        <v>14154</v>
      </c>
      <c r="F680">
        <f t="shared" si="10"/>
        <v>259</v>
      </c>
      <c r="G680">
        <f>IFERROR(VLOOKUP(Table_socioeca8.sandag.org_ws_abm2_f4[[#This Row],[hwycov_id]],[2]flow_freeway!$A$2:$E$1643,3,FALSE),0)</f>
        <v>52847</v>
      </c>
      <c r="H680">
        <f>IFERROR(VLOOKUP(Table_socioeca8.sandag.org_ws_abm2_f4[[#This Row],[hwycov_id]],[2]flow_freeway!$A$2:$E$1643,4,FALSE),0)</f>
        <v>14171</v>
      </c>
      <c r="I680">
        <f>IFERROR(VLOOKUP(Table_socioeca8.sandag.org_ws_abm2_f4[[#This Row],[hwycov_id]],[2]flow_freeway!$A$2:$E$1643,5,FALSE),0)</f>
        <v>11332</v>
      </c>
      <c r="K680">
        <f>Table_socioeca8.sandag.org_ws_abm2_f4[[#This Row],[hwycov_id]]</f>
        <v>14154</v>
      </c>
      <c r="L680">
        <f>Table_socioeca8.sandag.org_ws_abm2_f4[[#This Row],[scenario_id]]</f>
        <v>259</v>
      </c>
      <c r="M680">
        <f>Table_socioeca8.sandag.org_ws_abm2_f4[[#This Row],[flow_day]]</f>
        <v>52847</v>
      </c>
      <c r="N680">
        <f>Table_socioeca8.sandag.org_ws_abm2_f4[[#This Row],[flow_am]]</f>
        <v>14171</v>
      </c>
      <c r="O680">
        <f>Table_socioeca8.sandag.org_ws_abm2_f4[[#This Row],[flow_pm]]</f>
        <v>11332</v>
      </c>
    </row>
    <row r="681" spans="5:15" x14ac:dyDescent="0.25">
      <c r="E681">
        <v>14155</v>
      </c>
      <c r="F681">
        <f t="shared" si="10"/>
        <v>259</v>
      </c>
      <c r="G681">
        <f>IFERROR(VLOOKUP(Table_socioeca8.sandag.org_ws_abm2_f4[[#This Row],[hwycov_id]],[2]flow_freeway!$A$2:$E$1643,3,FALSE),0)</f>
        <v>44907</v>
      </c>
      <c r="H681">
        <f>IFERROR(VLOOKUP(Table_socioeca8.sandag.org_ws_abm2_f4[[#This Row],[hwycov_id]],[2]flow_freeway!$A$2:$E$1643,4,FALSE),0)</f>
        <v>12134</v>
      </c>
      <c r="I681">
        <f>IFERROR(VLOOKUP(Table_socioeca8.sandag.org_ws_abm2_f4[[#This Row],[hwycov_id]],[2]flow_freeway!$A$2:$E$1643,5,FALSE),0)</f>
        <v>9980</v>
      </c>
      <c r="K681">
        <f>Table_socioeca8.sandag.org_ws_abm2_f4[[#This Row],[hwycov_id]]</f>
        <v>14155</v>
      </c>
      <c r="L681">
        <f>Table_socioeca8.sandag.org_ws_abm2_f4[[#This Row],[scenario_id]]</f>
        <v>259</v>
      </c>
      <c r="M681">
        <f>Table_socioeca8.sandag.org_ws_abm2_f4[[#This Row],[flow_day]]</f>
        <v>44907</v>
      </c>
      <c r="N681">
        <f>Table_socioeca8.sandag.org_ws_abm2_f4[[#This Row],[flow_am]]</f>
        <v>12134</v>
      </c>
      <c r="O681">
        <f>Table_socioeca8.sandag.org_ws_abm2_f4[[#This Row],[flow_pm]]</f>
        <v>9980</v>
      </c>
    </row>
    <row r="682" spans="5:15" x14ac:dyDescent="0.25">
      <c r="E682">
        <v>14176</v>
      </c>
      <c r="F682">
        <f t="shared" si="10"/>
        <v>259</v>
      </c>
      <c r="G682">
        <f>IFERROR(VLOOKUP(Table_socioeca8.sandag.org_ws_abm2_f4[[#This Row],[hwycov_id]],[2]flow_freeway!$A$2:$E$1643,3,FALSE),0)</f>
        <v>53234</v>
      </c>
      <c r="H682">
        <f>IFERROR(VLOOKUP(Table_socioeca8.sandag.org_ws_abm2_f4[[#This Row],[hwycov_id]],[2]flow_freeway!$A$2:$E$1643,4,FALSE),0)</f>
        <v>13557</v>
      </c>
      <c r="I682">
        <f>IFERROR(VLOOKUP(Table_socioeca8.sandag.org_ws_abm2_f4[[#This Row],[hwycov_id]],[2]flow_freeway!$A$2:$E$1643,5,FALSE),0)</f>
        <v>12431</v>
      </c>
      <c r="K682">
        <f>Table_socioeca8.sandag.org_ws_abm2_f4[[#This Row],[hwycov_id]]</f>
        <v>14176</v>
      </c>
      <c r="L682">
        <f>Table_socioeca8.sandag.org_ws_abm2_f4[[#This Row],[scenario_id]]</f>
        <v>259</v>
      </c>
      <c r="M682">
        <f>Table_socioeca8.sandag.org_ws_abm2_f4[[#This Row],[flow_day]]</f>
        <v>53234</v>
      </c>
      <c r="N682">
        <f>Table_socioeca8.sandag.org_ws_abm2_f4[[#This Row],[flow_am]]</f>
        <v>13557</v>
      </c>
      <c r="O682">
        <f>Table_socioeca8.sandag.org_ws_abm2_f4[[#This Row],[flow_pm]]</f>
        <v>12431</v>
      </c>
    </row>
    <row r="683" spans="5:15" x14ac:dyDescent="0.25">
      <c r="E683">
        <v>14192</v>
      </c>
      <c r="F683">
        <f t="shared" si="10"/>
        <v>259</v>
      </c>
      <c r="G683">
        <f>IFERROR(VLOOKUP(Table_socioeca8.sandag.org_ws_abm2_f4[[#This Row],[hwycov_id]],[2]flow_freeway!$A$2:$E$1643,3,FALSE),0)</f>
        <v>2132</v>
      </c>
      <c r="H683">
        <f>IFERROR(VLOOKUP(Table_socioeca8.sandag.org_ws_abm2_f4[[#This Row],[hwycov_id]],[2]flow_freeway!$A$2:$E$1643,4,FALSE),0)</f>
        <v>0</v>
      </c>
      <c r="I683">
        <f>IFERROR(VLOOKUP(Table_socioeca8.sandag.org_ws_abm2_f4[[#This Row],[hwycov_id]],[2]flow_freeway!$A$2:$E$1643,5,FALSE),0)</f>
        <v>2132</v>
      </c>
      <c r="K683">
        <f>Table_socioeca8.sandag.org_ws_abm2_f4[[#This Row],[hwycov_id]]</f>
        <v>14192</v>
      </c>
      <c r="L683">
        <f>Table_socioeca8.sandag.org_ws_abm2_f4[[#This Row],[scenario_id]]</f>
        <v>259</v>
      </c>
      <c r="M683">
        <f>Table_socioeca8.sandag.org_ws_abm2_f4[[#This Row],[flow_day]]</f>
        <v>2132</v>
      </c>
      <c r="N683">
        <f>Table_socioeca8.sandag.org_ws_abm2_f4[[#This Row],[flow_am]]</f>
        <v>0</v>
      </c>
      <c r="O683">
        <f>Table_socioeca8.sandag.org_ws_abm2_f4[[#This Row],[flow_pm]]</f>
        <v>2132</v>
      </c>
    </row>
    <row r="684" spans="5:15" x14ac:dyDescent="0.25">
      <c r="E684">
        <v>14193</v>
      </c>
      <c r="F684">
        <f t="shared" si="10"/>
        <v>259</v>
      </c>
      <c r="G684">
        <f>IFERROR(VLOOKUP(Table_socioeca8.sandag.org_ws_abm2_f4[[#This Row],[hwycov_id]],[2]flow_freeway!$A$2:$E$1643,3,FALSE),0)</f>
        <v>67293</v>
      </c>
      <c r="H684">
        <f>IFERROR(VLOOKUP(Table_socioeca8.sandag.org_ws_abm2_f4[[#This Row],[hwycov_id]],[2]flow_freeway!$A$2:$E$1643,4,FALSE),0)</f>
        <v>11179</v>
      </c>
      <c r="I684">
        <f>IFERROR(VLOOKUP(Table_socioeca8.sandag.org_ws_abm2_f4[[#This Row],[hwycov_id]],[2]flow_freeway!$A$2:$E$1643,5,FALSE),0)</f>
        <v>20624</v>
      </c>
      <c r="K684">
        <f>Table_socioeca8.sandag.org_ws_abm2_f4[[#This Row],[hwycov_id]]</f>
        <v>14193</v>
      </c>
      <c r="L684">
        <f>Table_socioeca8.sandag.org_ws_abm2_f4[[#This Row],[scenario_id]]</f>
        <v>259</v>
      </c>
      <c r="M684">
        <f>Table_socioeca8.sandag.org_ws_abm2_f4[[#This Row],[flow_day]]</f>
        <v>67293</v>
      </c>
      <c r="N684">
        <f>Table_socioeca8.sandag.org_ws_abm2_f4[[#This Row],[flow_am]]</f>
        <v>11179</v>
      </c>
      <c r="O684">
        <f>Table_socioeca8.sandag.org_ws_abm2_f4[[#This Row],[flow_pm]]</f>
        <v>20624</v>
      </c>
    </row>
    <row r="685" spans="5:15" x14ac:dyDescent="0.25">
      <c r="E685">
        <v>14194</v>
      </c>
      <c r="F685">
        <f t="shared" si="10"/>
        <v>259</v>
      </c>
      <c r="G685">
        <f>IFERROR(VLOOKUP(Table_socioeca8.sandag.org_ws_abm2_f4[[#This Row],[hwycov_id]],[2]flow_freeway!$A$2:$E$1643,3,FALSE),0)</f>
        <v>2386</v>
      </c>
      <c r="H685">
        <f>IFERROR(VLOOKUP(Table_socioeca8.sandag.org_ws_abm2_f4[[#This Row],[hwycov_id]],[2]flow_freeway!$A$2:$E$1643,4,FALSE),0)</f>
        <v>2386</v>
      </c>
      <c r="I685">
        <f>IFERROR(VLOOKUP(Table_socioeca8.sandag.org_ws_abm2_f4[[#This Row],[hwycov_id]],[2]flow_freeway!$A$2:$E$1643,5,FALSE),0)</f>
        <v>0</v>
      </c>
      <c r="K685">
        <f>Table_socioeca8.sandag.org_ws_abm2_f4[[#This Row],[hwycov_id]]</f>
        <v>14194</v>
      </c>
      <c r="L685">
        <f>Table_socioeca8.sandag.org_ws_abm2_f4[[#This Row],[scenario_id]]</f>
        <v>259</v>
      </c>
      <c r="M685">
        <f>Table_socioeca8.sandag.org_ws_abm2_f4[[#This Row],[flow_day]]</f>
        <v>2386</v>
      </c>
      <c r="N685">
        <f>Table_socioeca8.sandag.org_ws_abm2_f4[[#This Row],[flow_am]]</f>
        <v>2386</v>
      </c>
      <c r="O685">
        <f>Table_socioeca8.sandag.org_ws_abm2_f4[[#This Row],[flow_pm]]</f>
        <v>0</v>
      </c>
    </row>
    <row r="686" spans="5:15" x14ac:dyDescent="0.25">
      <c r="E686">
        <v>14199</v>
      </c>
      <c r="F686">
        <f t="shared" si="10"/>
        <v>259</v>
      </c>
      <c r="G686">
        <f>IFERROR(VLOOKUP(Table_socioeca8.sandag.org_ws_abm2_f4[[#This Row],[hwycov_id]],[2]flow_freeway!$A$2:$E$1643,3,FALSE),0)</f>
        <v>3532</v>
      </c>
      <c r="H686">
        <f>IFERROR(VLOOKUP(Table_socioeca8.sandag.org_ws_abm2_f4[[#This Row],[hwycov_id]],[2]flow_freeway!$A$2:$E$1643,4,FALSE),0)</f>
        <v>0</v>
      </c>
      <c r="I686">
        <f>IFERROR(VLOOKUP(Table_socioeca8.sandag.org_ws_abm2_f4[[#This Row],[hwycov_id]],[2]flow_freeway!$A$2:$E$1643,5,FALSE),0)</f>
        <v>3532</v>
      </c>
      <c r="K686">
        <f>Table_socioeca8.sandag.org_ws_abm2_f4[[#This Row],[hwycov_id]]</f>
        <v>14199</v>
      </c>
      <c r="L686">
        <f>Table_socioeca8.sandag.org_ws_abm2_f4[[#This Row],[scenario_id]]</f>
        <v>259</v>
      </c>
      <c r="M686">
        <f>Table_socioeca8.sandag.org_ws_abm2_f4[[#This Row],[flow_day]]</f>
        <v>3532</v>
      </c>
      <c r="N686">
        <f>Table_socioeca8.sandag.org_ws_abm2_f4[[#This Row],[flow_am]]</f>
        <v>0</v>
      </c>
      <c r="O686">
        <f>Table_socioeca8.sandag.org_ws_abm2_f4[[#This Row],[flow_pm]]</f>
        <v>3532</v>
      </c>
    </row>
    <row r="687" spans="5:15" x14ac:dyDescent="0.25">
      <c r="E687">
        <v>14202</v>
      </c>
      <c r="F687">
        <f t="shared" si="10"/>
        <v>259</v>
      </c>
      <c r="G687">
        <f>IFERROR(VLOOKUP(Table_socioeca8.sandag.org_ws_abm2_f4[[#This Row],[hwycov_id]],[2]flow_freeway!$A$2:$E$1643,3,FALSE),0)</f>
        <v>3532</v>
      </c>
      <c r="H687">
        <f>IFERROR(VLOOKUP(Table_socioeca8.sandag.org_ws_abm2_f4[[#This Row],[hwycov_id]],[2]flow_freeway!$A$2:$E$1643,4,FALSE),0)</f>
        <v>0</v>
      </c>
      <c r="I687">
        <f>IFERROR(VLOOKUP(Table_socioeca8.sandag.org_ws_abm2_f4[[#This Row],[hwycov_id]],[2]flow_freeway!$A$2:$E$1643,5,FALSE),0)</f>
        <v>3532</v>
      </c>
      <c r="K687">
        <f>Table_socioeca8.sandag.org_ws_abm2_f4[[#This Row],[hwycov_id]]</f>
        <v>14202</v>
      </c>
      <c r="L687">
        <f>Table_socioeca8.sandag.org_ws_abm2_f4[[#This Row],[scenario_id]]</f>
        <v>259</v>
      </c>
      <c r="M687">
        <f>Table_socioeca8.sandag.org_ws_abm2_f4[[#This Row],[flow_day]]</f>
        <v>3532</v>
      </c>
      <c r="N687">
        <f>Table_socioeca8.sandag.org_ws_abm2_f4[[#This Row],[flow_am]]</f>
        <v>0</v>
      </c>
      <c r="O687">
        <f>Table_socioeca8.sandag.org_ws_abm2_f4[[#This Row],[flow_pm]]</f>
        <v>3532</v>
      </c>
    </row>
    <row r="688" spans="5:15" x14ac:dyDescent="0.25">
      <c r="E688">
        <v>14203</v>
      </c>
      <c r="F688">
        <f t="shared" si="10"/>
        <v>259</v>
      </c>
      <c r="G688">
        <f>IFERROR(VLOOKUP(Table_socioeca8.sandag.org_ws_abm2_f4[[#This Row],[hwycov_id]],[2]flow_freeway!$A$2:$E$1643,3,FALSE),0)</f>
        <v>2386</v>
      </c>
      <c r="H688">
        <f>IFERROR(VLOOKUP(Table_socioeca8.sandag.org_ws_abm2_f4[[#This Row],[hwycov_id]],[2]flow_freeway!$A$2:$E$1643,4,FALSE),0)</f>
        <v>2386</v>
      </c>
      <c r="I688">
        <f>IFERROR(VLOOKUP(Table_socioeca8.sandag.org_ws_abm2_f4[[#This Row],[hwycov_id]],[2]flow_freeway!$A$2:$E$1643,5,FALSE),0)</f>
        <v>0</v>
      </c>
      <c r="K688">
        <f>Table_socioeca8.sandag.org_ws_abm2_f4[[#This Row],[hwycov_id]]</f>
        <v>14203</v>
      </c>
      <c r="L688">
        <f>Table_socioeca8.sandag.org_ws_abm2_f4[[#This Row],[scenario_id]]</f>
        <v>259</v>
      </c>
      <c r="M688">
        <f>Table_socioeca8.sandag.org_ws_abm2_f4[[#This Row],[flow_day]]</f>
        <v>2386</v>
      </c>
      <c r="N688">
        <f>Table_socioeca8.sandag.org_ws_abm2_f4[[#This Row],[flow_am]]</f>
        <v>2386</v>
      </c>
      <c r="O688">
        <f>Table_socioeca8.sandag.org_ws_abm2_f4[[#This Row],[flow_pm]]</f>
        <v>0</v>
      </c>
    </row>
    <row r="689" spans="5:15" x14ac:dyDescent="0.25">
      <c r="E689">
        <v>14205</v>
      </c>
      <c r="F689">
        <f t="shared" si="10"/>
        <v>259</v>
      </c>
      <c r="G689">
        <f>IFERROR(VLOOKUP(Table_socioeca8.sandag.org_ws_abm2_f4[[#This Row],[hwycov_id]],[2]flow_freeway!$A$2:$E$1643,3,FALSE),0)</f>
        <v>2348</v>
      </c>
      <c r="H689">
        <f>IFERROR(VLOOKUP(Table_socioeca8.sandag.org_ws_abm2_f4[[#This Row],[hwycov_id]],[2]flow_freeway!$A$2:$E$1643,4,FALSE),0)</f>
        <v>2348</v>
      </c>
      <c r="I689">
        <f>IFERROR(VLOOKUP(Table_socioeca8.sandag.org_ws_abm2_f4[[#This Row],[hwycov_id]],[2]flow_freeway!$A$2:$E$1643,5,FALSE),0)</f>
        <v>0</v>
      </c>
      <c r="K689">
        <f>Table_socioeca8.sandag.org_ws_abm2_f4[[#This Row],[hwycov_id]]</f>
        <v>14205</v>
      </c>
      <c r="L689">
        <f>Table_socioeca8.sandag.org_ws_abm2_f4[[#This Row],[scenario_id]]</f>
        <v>259</v>
      </c>
      <c r="M689">
        <f>Table_socioeca8.sandag.org_ws_abm2_f4[[#This Row],[flow_day]]</f>
        <v>2348</v>
      </c>
      <c r="N689">
        <f>Table_socioeca8.sandag.org_ws_abm2_f4[[#This Row],[flow_am]]</f>
        <v>2348</v>
      </c>
      <c r="O689">
        <f>Table_socioeca8.sandag.org_ws_abm2_f4[[#This Row],[flow_pm]]</f>
        <v>0</v>
      </c>
    </row>
    <row r="690" spans="5:15" x14ac:dyDescent="0.25">
      <c r="E690">
        <v>14211</v>
      </c>
      <c r="F690">
        <f t="shared" si="10"/>
        <v>259</v>
      </c>
      <c r="G690">
        <f>IFERROR(VLOOKUP(Table_socioeca8.sandag.org_ws_abm2_f4[[#This Row],[hwycov_id]],[2]flow_freeway!$A$2:$E$1643,3,FALSE),0)</f>
        <v>3532</v>
      </c>
      <c r="H690">
        <f>IFERROR(VLOOKUP(Table_socioeca8.sandag.org_ws_abm2_f4[[#This Row],[hwycov_id]],[2]flow_freeway!$A$2:$E$1643,4,FALSE),0)</f>
        <v>0</v>
      </c>
      <c r="I690">
        <f>IFERROR(VLOOKUP(Table_socioeca8.sandag.org_ws_abm2_f4[[#This Row],[hwycov_id]],[2]flow_freeway!$A$2:$E$1643,5,FALSE),0)</f>
        <v>3532</v>
      </c>
      <c r="K690">
        <f>Table_socioeca8.sandag.org_ws_abm2_f4[[#This Row],[hwycov_id]]</f>
        <v>14211</v>
      </c>
      <c r="L690">
        <f>Table_socioeca8.sandag.org_ws_abm2_f4[[#This Row],[scenario_id]]</f>
        <v>259</v>
      </c>
      <c r="M690">
        <f>Table_socioeca8.sandag.org_ws_abm2_f4[[#This Row],[flow_day]]</f>
        <v>3532</v>
      </c>
      <c r="N690">
        <f>Table_socioeca8.sandag.org_ws_abm2_f4[[#This Row],[flow_am]]</f>
        <v>0</v>
      </c>
      <c r="O690">
        <f>Table_socioeca8.sandag.org_ws_abm2_f4[[#This Row],[flow_pm]]</f>
        <v>3532</v>
      </c>
    </row>
    <row r="691" spans="5:15" x14ac:dyDescent="0.25">
      <c r="E691">
        <v>14213</v>
      </c>
      <c r="F691">
        <f t="shared" si="10"/>
        <v>259</v>
      </c>
      <c r="G691">
        <f>IFERROR(VLOOKUP(Table_socioeca8.sandag.org_ws_abm2_f4[[#This Row],[hwycov_id]],[2]flow_freeway!$A$2:$E$1643,3,FALSE),0)</f>
        <v>67293</v>
      </c>
      <c r="H691">
        <f>IFERROR(VLOOKUP(Table_socioeca8.sandag.org_ws_abm2_f4[[#This Row],[hwycov_id]],[2]flow_freeway!$A$2:$E$1643,4,FALSE),0)</f>
        <v>11179</v>
      </c>
      <c r="I691">
        <f>IFERROR(VLOOKUP(Table_socioeca8.sandag.org_ws_abm2_f4[[#This Row],[hwycov_id]],[2]flow_freeway!$A$2:$E$1643,5,FALSE),0)</f>
        <v>20624</v>
      </c>
      <c r="K691">
        <f>Table_socioeca8.sandag.org_ws_abm2_f4[[#This Row],[hwycov_id]]</f>
        <v>14213</v>
      </c>
      <c r="L691">
        <f>Table_socioeca8.sandag.org_ws_abm2_f4[[#This Row],[scenario_id]]</f>
        <v>259</v>
      </c>
      <c r="M691">
        <f>Table_socioeca8.sandag.org_ws_abm2_f4[[#This Row],[flow_day]]</f>
        <v>67293</v>
      </c>
      <c r="N691">
        <f>Table_socioeca8.sandag.org_ws_abm2_f4[[#This Row],[flow_am]]</f>
        <v>11179</v>
      </c>
      <c r="O691">
        <f>Table_socioeca8.sandag.org_ws_abm2_f4[[#This Row],[flow_pm]]</f>
        <v>20624</v>
      </c>
    </row>
    <row r="692" spans="5:15" x14ac:dyDescent="0.25">
      <c r="E692">
        <v>14232</v>
      </c>
      <c r="F692">
        <f t="shared" si="10"/>
        <v>259</v>
      </c>
      <c r="G692">
        <f>IFERROR(VLOOKUP(Table_socioeca8.sandag.org_ws_abm2_f4[[#This Row],[hwycov_id]],[2]flow_freeway!$A$2:$E$1643,3,FALSE),0)</f>
        <v>43456</v>
      </c>
      <c r="H692">
        <f>IFERROR(VLOOKUP(Table_socioeca8.sandag.org_ws_abm2_f4[[#This Row],[hwycov_id]],[2]flow_freeway!$A$2:$E$1643,4,FALSE),0)</f>
        <v>8032</v>
      </c>
      <c r="I692">
        <f>IFERROR(VLOOKUP(Table_socioeca8.sandag.org_ws_abm2_f4[[#This Row],[hwycov_id]],[2]flow_freeway!$A$2:$E$1643,5,FALSE),0)</f>
        <v>11908</v>
      </c>
      <c r="K692">
        <f>Table_socioeca8.sandag.org_ws_abm2_f4[[#This Row],[hwycov_id]]</f>
        <v>14232</v>
      </c>
      <c r="L692">
        <f>Table_socioeca8.sandag.org_ws_abm2_f4[[#This Row],[scenario_id]]</f>
        <v>259</v>
      </c>
      <c r="M692">
        <f>Table_socioeca8.sandag.org_ws_abm2_f4[[#This Row],[flow_day]]</f>
        <v>43456</v>
      </c>
      <c r="N692">
        <f>Table_socioeca8.sandag.org_ws_abm2_f4[[#This Row],[flow_am]]</f>
        <v>8032</v>
      </c>
      <c r="O692">
        <f>Table_socioeca8.sandag.org_ws_abm2_f4[[#This Row],[flow_pm]]</f>
        <v>11908</v>
      </c>
    </row>
    <row r="693" spans="5:15" x14ac:dyDescent="0.25">
      <c r="E693">
        <v>14246</v>
      </c>
      <c r="F693">
        <f t="shared" si="10"/>
        <v>259</v>
      </c>
      <c r="G693">
        <f>IFERROR(VLOOKUP(Table_socioeca8.sandag.org_ws_abm2_f4[[#This Row],[hwycov_id]],[2]flow_freeway!$A$2:$E$1643,3,FALSE),0)</f>
        <v>120836</v>
      </c>
      <c r="H693">
        <f>IFERROR(VLOOKUP(Table_socioeca8.sandag.org_ws_abm2_f4[[#This Row],[hwycov_id]],[2]flow_freeway!$A$2:$E$1643,4,FALSE),0)</f>
        <v>28644</v>
      </c>
      <c r="I693">
        <f>IFERROR(VLOOKUP(Table_socioeca8.sandag.org_ws_abm2_f4[[#This Row],[hwycov_id]],[2]flow_freeway!$A$2:$E$1643,5,FALSE),0)</f>
        <v>23062</v>
      </c>
      <c r="K693">
        <f>Table_socioeca8.sandag.org_ws_abm2_f4[[#This Row],[hwycov_id]]</f>
        <v>14246</v>
      </c>
      <c r="L693">
        <f>Table_socioeca8.sandag.org_ws_abm2_f4[[#This Row],[scenario_id]]</f>
        <v>259</v>
      </c>
      <c r="M693">
        <f>Table_socioeca8.sandag.org_ws_abm2_f4[[#This Row],[flow_day]]</f>
        <v>120836</v>
      </c>
      <c r="N693">
        <f>Table_socioeca8.sandag.org_ws_abm2_f4[[#This Row],[flow_am]]</f>
        <v>28644</v>
      </c>
      <c r="O693">
        <f>Table_socioeca8.sandag.org_ws_abm2_f4[[#This Row],[flow_pm]]</f>
        <v>23062</v>
      </c>
    </row>
    <row r="694" spans="5:15" x14ac:dyDescent="0.25">
      <c r="E694">
        <v>14247</v>
      </c>
      <c r="F694">
        <f t="shared" si="10"/>
        <v>259</v>
      </c>
      <c r="G694">
        <f>IFERROR(VLOOKUP(Table_socioeca8.sandag.org_ws_abm2_f4[[#This Row],[hwycov_id]],[2]flow_freeway!$A$2:$E$1643,3,FALSE),0)</f>
        <v>111171</v>
      </c>
      <c r="H694">
        <f>IFERROR(VLOOKUP(Table_socioeca8.sandag.org_ws_abm2_f4[[#This Row],[hwycov_id]],[2]flow_freeway!$A$2:$E$1643,4,FALSE),0)</f>
        <v>26713</v>
      </c>
      <c r="I694">
        <f>IFERROR(VLOOKUP(Table_socioeca8.sandag.org_ws_abm2_f4[[#This Row],[hwycov_id]],[2]flow_freeway!$A$2:$E$1643,5,FALSE),0)</f>
        <v>21078</v>
      </c>
      <c r="K694">
        <f>Table_socioeca8.sandag.org_ws_abm2_f4[[#This Row],[hwycov_id]]</f>
        <v>14247</v>
      </c>
      <c r="L694">
        <f>Table_socioeca8.sandag.org_ws_abm2_f4[[#This Row],[scenario_id]]</f>
        <v>259</v>
      </c>
      <c r="M694">
        <f>Table_socioeca8.sandag.org_ws_abm2_f4[[#This Row],[flow_day]]</f>
        <v>111171</v>
      </c>
      <c r="N694">
        <f>Table_socioeca8.sandag.org_ws_abm2_f4[[#This Row],[flow_am]]</f>
        <v>26713</v>
      </c>
      <c r="O694">
        <f>Table_socioeca8.sandag.org_ws_abm2_f4[[#This Row],[flow_pm]]</f>
        <v>21078</v>
      </c>
    </row>
    <row r="695" spans="5:15" x14ac:dyDescent="0.25">
      <c r="E695">
        <v>14248</v>
      </c>
      <c r="F695">
        <f t="shared" si="10"/>
        <v>259</v>
      </c>
      <c r="G695">
        <f>IFERROR(VLOOKUP(Table_socioeca8.sandag.org_ws_abm2_f4[[#This Row],[hwycov_id]],[2]flow_freeway!$A$2:$E$1643,3,FALSE),0)</f>
        <v>122533</v>
      </c>
      <c r="H695">
        <f>IFERROR(VLOOKUP(Table_socioeca8.sandag.org_ws_abm2_f4[[#This Row],[hwycov_id]],[2]flow_freeway!$A$2:$E$1643,4,FALSE),0)</f>
        <v>19125</v>
      </c>
      <c r="I695">
        <f>IFERROR(VLOOKUP(Table_socioeca8.sandag.org_ws_abm2_f4[[#This Row],[hwycov_id]],[2]flow_freeway!$A$2:$E$1643,5,FALSE),0)</f>
        <v>34598</v>
      </c>
      <c r="K695">
        <f>Table_socioeca8.sandag.org_ws_abm2_f4[[#This Row],[hwycov_id]]</f>
        <v>14248</v>
      </c>
      <c r="L695">
        <f>Table_socioeca8.sandag.org_ws_abm2_f4[[#This Row],[scenario_id]]</f>
        <v>259</v>
      </c>
      <c r="M695">
        <f>Table_socioeca8.sandag.org_ws_abm2_f4[[#This Row],[flow_day]]</f>
        <v>122533</v>
      </c>
      <c r="N695">
        <f>Table_socioeca8.sandag.org_ws_abm2_f4[[#This Row],[flow_am]]</f>
        <v>19125</v>
      </c>
      <c r="O695">
        <f>Table_socioeca8.sandag.org_ws_abm2_f4[[#This Row],[flow_pm]]</f>
        <v>34598</v>
      </c>
    </row>
    <row r="696" spans="5:15" x14ac:dyDescent="0.25">
      <c r="E696">
        <v>14252</v>
      </c>
      <c r="F696">
        <f t="shared" si="10"/>
        <v>259</v>
      </c>
      <c r="G696">
        <f>IFERROR(VLOOKUP(Table_socioeca8.sandag.org_ws_abm2_f4[[#This Row],[hwycov_id]],[2]flow_freeway!$A$2:$E$1643,3,FALSE),0)</f>
        <v>114565</v>
      </c>
      <c r="H696">
        <f>IFERROR(VLOOKUP(Table_socioeca8.sandag.org_ws_abm2_f4[[#This Row],[hwycov_id]],[2]flow_freeway!$A$2:$E$1643,4,FALSE),0)</f>
        <v>17636</v>
      </c>
      <c r="I696">
        <f>IFERROR(VLOOKUP(Table_socioeca8.sandag.org_ws_abm2_f4[[#This Row],[hwycov_id]],[2]flow_freeway!$A$2:$E$1643,5,FALSE),0)</f>
        <v>32520</v>
      </c>
      <c r="K696">
        <f>Table_socioeca8.sandag.org_ws_abm2_f4[[#This Row],[hwycov_id]]</f>
        <v>14252</v>
      </c>
      <c r="L696">
        <f>Table_socioeca8.sandag.org_ws_abm2_f4[[#This Row],[scenario_id]]</f>
        <v>259</v>
      </c>
      <c r="M696">
        <f>Table_socioeca8.sandag.org_ws_abm2_f4[[#This Row],[flow_day]]</f>
        <v>114565</v>
      </c>
      <c r="N696">
        <f>Table_socioeca8.sandag.org_ws_abm2_f4[[#This Row],[flow_am]]</f>
        <v>17636</v>
      </c>
      <c r="O696">
        <f>Table_socioeca8.sandag.org_ws_abm2_f4[[#This Row],[flow_pm]]</f>
        <v>32520</v>
      </c>
    </row>
    <row r="697" spans="5:15" x14ac:dyDescent="0.25">
      <c r="E697">
        <v>14255</v>
      </c>
      <c r="F697">
        <f t="shared" si="10"/>
        <v>259</v>
      </c>
      <c r="G697">
        <f>IFERROR(VLOOKUP(Table_socioeca8.sandag.org_ws_abm2_f4[[#This Row],[hwycov_id]],[2]flow_freeway!$A$2:$E$1643,3,FALSE),0)</f>
        <v>101570</v>
      </c>
      <c r="H697">
        <f>IFERROR(VLOOKUP(Table_socioeca8.sandag.org_ws_abm2_f4[[#This Row],[hwycov_id]],[2]flow_freeway!$A$2:$E$1643,4,FALSE),0)</f>
        <v>21019</v>
      </c>
      <c r="I697">
        <f>IFERROR(VLOOKUP(Table_socioeca8.sandag.org_ws_abm2_f4[[#This Row],[hwycov_id]],[2]flow_freeway!$A$2:$E$1643,5,FALSE),0)</f>
        <v>20180</v>
      </c>
      <c r="K697">
        <f>Table_socioeca8.sandag.org_ws_abm2_f4[[#This Row],[hwycov_id]]</f>
        <v>14255</v>
      </c>
      <c r="L697">
        <f>Table_socioeca8.sandag.org_ws_abm2_f4[[#This Row],[scenario_id]]</f>
        <v>259</v>
      </c>
      <c r="M697">
        <f>Table_socioeca8.sandag.org_ws_abm2_f4[[#This Row],[flow_day]]</f>
        <v>101570</v>
      </c>
      <c r="N697">
        <f>Table_socioeca8.sandag.org_ws_abm2_f4[[#This Row],[flow_am]]</f>
        <v>21019</v>
      </c>
      <c r="O697">
        <f>Table_socioeca8.sandag.org_ws_abm2_f4[[#This Row],[flow_pm]]</f>
        <v>20180</v>
      </c>
    </row>
    <row r="698" spans="5:15" x14ac:dyDescent="0.25">
      <c r="E698">
        <v>14256</v>
      </c>
      <c r="F698">
        <f t="shared" si="10"/>
        <v>259</v>
      </c>
      <c r="G698">
        <f>IFERROR(VLOOKUP(Table_socioeca8.sandag.org_ws_abm2_f4[[#This Row],[hwycov_id]],[2]flow_freeway!$A$2:$E$1643,3,FALSE),0)</f>
        <v>107002</v>
      </c>
      <c r="H698">
        <f>IFERROR(VLOOKUP(Table_socioeca8.sandag.org_ws_abm2_f4[[#This Row],[hwycov_id]],[2]flow_freeway!$A$2:$E$1643,4,FALSE),0)</f>
        <v>16328</v>
      </c>
      <c r="I698">
        <f>IFERROR(VLOOKUP(Table_socioeca8.sandag.org_ws_abm2_f4[[#This Row],[hwycov_id]],[2]flow_freeway!$A$2:$E$1643,5,FALSE),0)</f>
        <v>30134</v>
      </c>
      <c r="K698">
        <f>Table_socioeca8.sandag.org_ws_abm2_f4[[#This Row],[hwycov_id]]</f>
        <v>14256</v>
      </c>
      <c r="L698">
        <f>Table_socioeca8.sandag.org_ws_abm2_f4[[#This Row],[scenario_id]]</f>
        <v>259</v>
      </c>
      <c r="M698">
        <f>Table_socioeca8.sandag.org_ws_abm2_f4[[#This Row],[flow_day]]</f>
        <v>107002</v>
      </c>
      <c r="N698">
        <f>Table_socioeca8.sandag.org_ws_abm2_f4[[#This Row],[flow_am]]</f>
        <v>16328</v>
      </c>
      <c r="O698">
        <f>Table_socioeca8.sandag.org_ws_abm2_f4[[#This Row],[flow_pm]]</f>
        <v>30134</v>
      </c>
    </row>
    <row r="699" spans="5:15" x14ac:dyDescent="0.25">
      <c r="E699">
        <v>14262</v>
      </c>
      <c r="F699">
        <f t="shared" si="10"/>
        <v>259</v>
      </c>
      <c r="G699">
        <f>IFERROR(VLOOKUP(Table_socioeca8.sandag.org_ws_abm2_f4[[#This Row],[hwycov_id]],[2]flow_freeway!$A$2:$E$1643,3,FALSE),0)</f>
        <v>112551</v>
      </c>
      <c r="H699">
        <f>IFERROR(VLOOKUP(Table_socioeca8.sandag.org_ws_abm2_f4[[#This Row],[hwycov_id]],[2]flow_freeway!$A$2:$E$1643,4,FALSE),0)</f>
        <v>17672</v>
      </c>
      <c r="I699">
        <f>IFERROR(VLOOKUP(Table_socioeca8.sandag.org_ws_abm2_f4[[#This Row],[hwycov_id]],[2]flow_freeway!$A$2:$E$1643,5,FALSE),0)</f>
        <v>31597</v>
      </c>
      <c r="K699">
        <f>Table_socioeca8.sandag.org_ws_abm2_f4[[#This Row],[hwycov_id]]</f>
        <v>14262</v>
      </c>
      <c r="L699">
        <f>Table_socioeca8.sandag.org_ws_abm2_f4[[#This Row],[scenario_id]]</f>
        <v>259</v>
      </c>
      <c r="M699">
        <f>Table_socioeca8.sandag.org_ws_abm2_f4[[#This Row],[flow_day]]</f>
        <v>112551</v>
      </c>
      <c r="N699">
        <f>Table_socioeca8.sandag.org_ws_abm2_f4[[#This Row],[flow_am]]</f>
        <v>17672</v>
      </c>
      <c r="O699">
        <f>Table_socioeca8.sandag.org_ws_abm2_f4[[#This Row],[flow_pm]]</f>
        <v>31597</v>
      </c>
    </row>
    <row r="700" spans="5:15" x14ac:dyDescent="0.25">
      <c r="E700">
        <v>14263</v>
      </c>
      <c r="F700">
        <f t="shared" si="10"/>
        <v>259</v>
      </c>
      <c r="G700">
        <f>IFERROR(VLOOKUP(Table_socioeca8.sandag.org_ws_abm2_f4[[#This Row],[hwycov_id]],[2]flow_freeway!$A$2:$E$1643,3,FALSE),0)</f>
        <v>73800</v>
      </c>
      <c r="H700">
        <f>IFERROR(VLOOKUP(Table_socioeca8.sandag.org_ws_abm2_f4[[#This Row],[hwycov_id]],[2]flow_freeway!$A$2:$E$1643,4,FALSE),0)</f>
        <v>19458</v>
      </c>
      <c r="I700">
        <f>IFERROR(VLOOKUP(Table_socioeca8.sandag.org_ws_abm2_f4[[#This Row],[hwycov_id]],[2]flow_freeway!$A$2:$E$1643,5,FALSE),0)</f>
        <v>13870</v>
      </c>
      <c r="K700">
        <f>Table_socioeca8.sandag.org_ws_abm2_f4[[#This Row],[hwycov_id]]</f>
        <v>14263</v>
      </c>
      <c r="L700">
        <f>Table_socioeca8.sandag.org_ws_abm2_f4[[#This Row],[scenario_id]]</f>
        <v>259</v>
      </c>
      <c r="M700">
        <f>Table_socioeca8.sandag.org_ws_abm2_f4[[#This Row],[flow_day]]</f>
        <v>73800</v>
      </c>
      <c r="N700">
        <f>Table_socioeca8.sandag.org_ws_abm2_f4[[#This Row],[flow_am]]</f>
        <v>19458</v>
      </c>
      <c r="O700">
        <f>Table_socioeca8.sandag.org_ws_abm2_f4[[#This Row],[flow_pm]]</f>
        <v>13870</v>
      </c>
    </row>
    <row r="701" spans="5:15" x14ac:dyDescent="0.25">
      <c r="E701">
        <v>14265</v>
      </c>
      <c r="F701">
        <f t="shared" si="10"/>
        <v>259</v>
      </c>
      <c r="G701">
        <f>IFERROR(VLOOKUP(Table_socioeca8.sandag.org_ws_abm2_f4[[#This Row],[hwycov_id]],[2]flow_freeway!$A$2:$E$1643,3,FALSE),0)</f>
        <v>52673</v>
      </c>
      <c r="H701">
        <f>IFERROR(VLOOKUP(Table_socioeca8.sandag.org_ws_abm2_f4[[#This Row],[hwycov_id]],[2]flow_freeway!$A$2:$E$1643,4,FALSE),0)</f>
        <v>8007</v>
      </c>
      <c r="I701">
        <f>IFERROR(VLOOKUP(Table_socioeca8.sandag.org_ws_abm2_f4[[#This Row],[hwycov_id]],[2]flow_freeway!$A$2:$E$1643,5,FALSE),0)</f>
        <v>15961</v>
      </c>
      <c r="K701">
        <f>Table_socioeca8.sandag.org_ws_abm2_f4[[#This Row],[hwycov_id]]</f>
        <v>14265</v>
      </c>
      <c r="L701">
        <f>Table_socioeca8.sandag.org_ws_abm2_f4[[#This Row],[scenario_id]]</f>
        <v>259</v>
      </c>
      <c r="M701">
        <f>Table_socioeca8.sandag.org_ws_abm2_f4[[#This Row],[flow_day]]</f>
        <v>52673</v>
      </c>
      <c r="N701">
        <f>Table_socioeca8.sandag.org_ws_abm2_f4[[#This Row],[flow_am]]</f>
        <v>8007</v>
      </c>
      <c r="O701">
        <f>Table_socioeca8.sandag.org_ws_abm2_f4[[#This Row],[flow_pm]]</f>
        <v>15961</v>
      </c>
    </row>
    <row r="702" spans="5:15" x14ac:dyDescent="0.25">
      <c r="E702">
        <v>14269</v>
      </c>
      <c r="F702">
        <f t="shared" si="10"/>
        <v>259</v>
      </c>
      <c r="G702">
        <f>IFERROR(VLOOKUP(Table_socioeca8.sandag.org_ws_abm2_f4[[#This Row],[hwycov_id]],[2]flow_freeway!$A$2:$E$1643,3,FALSE),0)</f>
        <v>99801</v>
      </c>
      <c r="H702">
        <f>IFERROR(VLOOKUP(Table_socioeca8.sandag.org_ws_abm2_f4[[#This Row],[hwycov_id]],[2]flow_freeway!$A$2:$E$1643,4,FALSE),0)</f>
        <v>20534</v>
      </c>
      <c r="I702">
        <f>IFERROR(VLOOKUP(Table_socioeca8.sandag.org_ws_abm2_f4[[#This Row],[hwycov_id]],[2]flow_freeway!$A$2:$E$1643,5,FALSE),0)</f>
        <v>23260</v>
      </c>
      <c r="K702">
        <f>Table_socioeca8.sandag.org_ws_abm2_f4[[#This Row],[hwycov_id]]</f>
        <v>14269</v>
      </c>
      <c r="L702">
        <f>Table_socioeca8.sandag.org_ws_abm2_f4[[#This Row],[scenario_id]]</f>
        <v>259</v>
      </c>
      <c r="M702">
        <f>Table_socioeca8.sandag.org_ws_abm2_f4[[#This Row],[flow_day]]</f>
        <v>99801</v>
      </c>
      <c r="N702">
        <f>Table_socioeca8.sandag.org_ws_abm2_f4[[#This Row],[flow_am]]</f>
        <v>20534</v>
      </c>
      <c r="O702">
        <f>Table_socioeca8.sandag.org_ws_abm2_f4[[#This Row],[flow_pm]]</f>
        <v>23260</v>
      </c>
    </row>
    <row r="703" spans="5:15" x14ac:dyDescent="0.25">
      <c r="E703">
        <v>14271</v>
      </c>
      <c r="F703">
        <f t="shared" si="10"/>
        <v>259</v>
      </c>
      <c r="G703">
        <f>IFERROR(VLOOKUP(Table_socioeca8.sandag.org_ws_abm2_f4[[#This Row],[hwycov_id]],[2]flow_freeway!$A$2:$E$1643,3,FALSE),0)</f>
        <v>100531</v>
      </c>
      <c r="H703">
        <f>IFERROR(VLOOKUP(Table_socioeca8.sandag.org_ws_abm2_f4[[#This Row],[hwycov_id]],[2]flow_freeway!$A$2:$E$1643,4,FALSE),0)</f>
        <v>20242</v>
      </c>
      <c r="I703">
        <f>IFERROR(VLOOKUP(Table_socioeca8.sandag.org_ws_abm2_f4[[#This Row],[hwycov_id]],[2]flow_freeway!$A$2:$E$1643,5,FALSE),0)</f>
        <v>23863</v>
      </c>
      <c r="K703">
        <f>Table_socioeca8.sandag.org_ws_abm2_f4[[#This Row],[hwycov_id]]</f>
        <v>14271</v>
      </c>
      <c r="L703">
        <f>Table_socioeca8.sandag.org_ws_abm2_f4[[#This Row],[scenario_id]]</f>
        <v>259</v>
      </c>
      <c r="M703">
        <f>Table_socioeca8.sandag.org_ws_abm2_f4[[#This Row],[flow_day]]</f>
        <v>100531</v>
      </c>
      <c r="N703">
        <f>Table_socioeca8.sandag.org_ws_abm2_f4[[#This Row],[flow_am]]</f>
        <v>20242</v>
      </c>
      <c r="O703">
        <f>Table_socioeca8.sandag.org_ws_abm2_f4[[#This Row],[flow_pm]]</f>
        <v>23863</v>
      </c>
    </row>
    <row r="704" spans="5:15" x14ac:dyDescent="0.25">
      <c r="E704">
        <v>14286</v>
      </c>
      <c r="F704">
        <f t="shared" si="10"/>
        <v>259</v>
      </c>
      <c r="G704">
        <f>IFERROR(VLOOKUP(Table_socioeca8.sandag.org_ws_abm2_f4[[#This Row],[hwycov_id]],[2]flow_freeway!$A$2:$E$1643,3,FALSE),0)</f>
        <v>65214</v>
      </c>
      <c r="H704">
        <f>IFERROR(VLOOKUP(Table_socioeca8.sandag.org_ws_abm2_f4[[#This Row],[hwycov_id]],[2]flow_freeway!$A$2:$E$1643,4,FALSE),0)</f>
        <v>16095</v>
      </c>
      <c r="I704">
        <f>IFERROR(VLOOKUP(Table_socioeca8.sandag.org_ws_abm2_f4[[#This Row],[hwycov_id]],[2]flow_freeway!$A$2:$E$1643,5,FALSE),0)</f>
        <v>14919</v>
      </c>
      <c r="K704">
        <f>Table_socioeca8.sandag.org_ws_abm2_f4[[#This Row],[hwycov_id]]</f>
        <v>14286</v>
      </c>
      <c r="L704">
        <f>Table_socioeca8.sandag.org_ws_abm2_f4[[#This Row],[scenario_id]]</f>
        <v>259</v>
      </c>
      <c r="M704">
        <f>Table_socioeca8.sandag.org_ws_abm2_f4[[#This Row],[flow_day]]</f>
        <v>65214</v>
      </c>
      <c r="N704">
        <f>Table_socioeca8.sandag.org_ws_abm2_f4[[#This Row],[flow_am]]</f>
        <v>16095</v>
      </c>
      <c r="O704">
        <f>Table_socioeca8.sandag.org_ws_abm2_f4[[#This Row],[flow_pm]]</f>
        <v>14919</v>
      </c>
    </row>
    <row r="705" spans="5:15" x14ac:dyDescent="0.25">
      <c r="E705">
        <v>14288</v>
      </c>
      <c r="F705">
        <f t="shared" si="10"/>
        <v>259</v>
      </c>
      <c r="G705">
        <f>IFERROR(VLOOKUP(Table_socioeca8.sandag.org_ws_abm2_f4[[#This Row],[hwycov_id]],[2]flow_freeway!$A$2:$E$1643,3,FALSE),0)</f>
        <v>95857</v>
      </c>
      <c r="H705">
        <f>IFERROR(VLOOKUP(Table_socioeca8.sandag.org_ws_abm2_f4[[#This Row],[hwycov_id]],[2]flow_freeway!$A$2:$E$1643,4,FALSE),0)</f>
        <v>16022</v>
      </c>
      <c r="I705">
        <f>IFERROR(VLOOKUP(Table_socioeca8.sandag.org_ws_abm2_f4[[#This Row],[hwycov_id]],[2]flow_freeway!$A$2:$E$1643,5,FALSE),0)</f>
        <v>28171</v>
      </c>
      <c r="K705">
        <f>Table_socioeca8.sandag.org_ws_abm2_f4[[#This Row],[hwycov_id]]</f>
        <v>14288</v>
      </c>
      <c r="L705">
        <f>Table_socioeca8.sandag.org_ws_abm2_f4[[#This Row],[scenario_id]]</f>
        <v>259</v>
      </c>
      <c r="M705">
        <f>Table_socioeca8.sandag.org_ws_abm2_f4[[#This Row],[flow_day]]</f>
        <v>95857</v>
      </c>
      <c r="N705">
        <f>Table_socioeca8.sandag.org_ws_abm2_f4[[#This Row],[flow_am]]</f>
        <v>16022</v>
      </c>
      <c r="O705">
        <f>Table_socioeca8.sandag.org_ws_abm2_f4[[#This Row],[flow_pm]]</f>
        <v>28171</v>
      </c>
    </row>
    <row r="706" spans="5:15" x14ac:dyDescent="0.25">
      <c r="E706">
        <v>14289</v>
      </c>
      <c r="F706">
        <f t="shared" si="10"/>
        <v>259</v>
      </c>
      <c r="G706">
        <f>IFERROR(VLOOKUP(Table_socioeca8.sandag.org_ws_abm2_f4[[#This Row],[hwycov_id]],[2]flow_freeway!$A$2:$E$1643,3,FALSE),0)</f>
        <v>90918</v>
      </c>
      <c r="H706">
        <f>IFERROR(VLOOKUP(Table_socioeca8.sandag.org_ws_abm2_f4[[#This Row],[hwycov_id]],[2]flow_freeway!$A$2:$E$1643,4,FALSE),0)</f>
        <v>22850</v>
      </c>
      <c r="I706">
        <f>IFERROR(VLOOKUP(Table_socioeca8.sandag.org_ws_abm2_f4[[#This Row],[hwycov_id]],[2]flow_freeway!$A$2:$E$1643,5,FALSE),0)</f>
        <v>19697</v>
      </c>
      <c r="K706">
        <f>Table_socioeca8.sandag.org_ws_abm2_f4[[#This Row],[hwycov_id]]</f>
        <v>14289</v>
      </c>
      <c r="L706">
        <f>Table_socioeca8.sandag.org_ws_abm2_f4[[#This Row],[scenario_id]]</f>
        <v>259</v>
      </c>
      <c r="M706">
        <f>Table_socioeca8.sandag.org_ws_abm2_f4[[#This Row],[flow_day]]</f>
        <v>90918</v>
      </c>
      <c r="N706">
        <f>Table_socioeca8.sandag.org_ws_abm2_f4[[#This Row],[flow_am]]</f>
        <v>22850</v>
      </c>
      <c r="O706">
        <f>Table_socioeca8.sandag.org_ws_abm2_f4[[#This Row],[flow_pm]]</f>
        <v>19697</v>
      </c>
    </row>
    <row r="707" spans="5:15" x14ac:dyDescent="0.25">
      <c r="E707">
        <v>14290</v>
      </c>
      <c r="F707">
        <f t="shared" si="10"/>
        <v>259</v>
      </c>
      <c r="G707">
        <f>IFERROR(VLOOKUP(Table_socioeca8.sandag.org_ws_abm2_f4[[#This Row],[hwycov_id]],[2]flow_freeway!$A$2:$E$1643,3,FALSE),0)</f>
        <v>72457</v>
      </c>
      <c r="H707">
        <f>IFERROR(VLOOKUP(Table_socioeca8.sandag.org_ws_abm2_f4[[#This Row],[hwycov_id]],[2]flow_freeway!$A$2:$E$1643,4,FALSE),0)</f>
        <v>12778</v>
      </c>
      <c r="I707">
        <f>IFERROR(VLOOKUP(Table_socioeca8.sandag.org_ws_abm2_f4[[#This Row],[hwycov_id]],[2]flow_freeway!$A$2:$E$1643,5,FALSE),0)</f>
        <v>20418</v>
      </c>
      <c r="K707">
        <f>Table_socioeca8.sandag.org_ws_abm2_f4[[#This Row],[hwycov_id]]</f>
        <v>14290</v>
      </c>
      <c r="L707">
        <f>Table_socioeca8.sandag.org_ws_abm2_f4[[#This Row],[scenario_id]]</f>
        <v>259</v>
      </c>
      <c r="M707">
        <f>Table_socioeca8.sandag.org_ws_abm2_f4[[#This Row],[flow_day]]</f>
        <v>72457</v>
      </c>
      <c r="N707">
        <f>Table_socioeca8.sandag.org_ws_abm2_f4[[#This Row],[flow_am]]</f>
        <v>12778</v>
      </c>
      <c r="O707">
        <f>Table_socioeca8.sandag.org_ws_abm2_f4[[#This Row],[flow_pm]]</f>
        <v>20418</v>
      </c>
    </row>
    <row r="708" spans="5:15" x14ac:dyDescent="0.25">
      <c r="E708">
        <v>14291</v>
      </c>
      <c r="F708">
        <f t="shared" ref="F708:F771" si="11">F707</f>
        <v>259</v>
      </c>
      <c r="G708">
        <f>IFERROR(VLOOKUP(Table_socioeca8.sandag.org_ws_abm2_f4[[#This Row],[hwycov_id]],[2]flow_freeway!$A$2:$E$1643,3,FALSE),0)</f>
        <v>89785</v>
      </c>
      <c r="H708">
        <f>IFERROR(VLOOKUP(Table_socioeca8.sandag.org_ws_abm2_f4[[#This Row],[hwycov_id]],[2]flow_freeway!$A$2:$E$1643,4,FALSE),0)</f>
        <v>18699</v>
      </c>
      <c r="I708">
        <f>IFERROR(VLOOKUP(Table_socioeca8.sandag.org_ws_abm2_f4[[#This Row],[hwycov_id]],[2]flow_freeway!$A$2:$E$1643,5,FALSE),0)</f>
        <v>22381</v>
      </c>
      <c r="K708">
        <f>Table_socioeca8.sandag.org_ws_abm2_f4[[#This Row],[hwycov_id]]</f>
        <v>14291</v>
      </c>
      <c r="L708">
        <f>Table_socioeca8.sandag.org_ws_abm2_f4[[#This Row],[scenario_id]]</f>
        <v>259</v>
      </c>
      <c r="M708">
        <f>Table_socioeca8.sandag.org_ws_abm2_f4[[#This Row],[flow_day]]</f>
        <v>89785</v>
      </c>
      <c r="N708">
        <f>Table_socioeca8.sandag.org_ws_abm2_f4[[#This Row],[flow_am]]</f>
        <v>18699</v>
      </c>
      <c r="O708">
        <f>Table_socioeca8.sandag.org_ws_abm2_f4[[#This Row],[flow_pm]]</f>
        <v>22381</v>
      </c>
    </row>
    <row r="709" spans="5:15" x14ac:dyDescent="0.25">
      <c r="E709">
        <v>14383</v>
      </c>
      <c r="F709">
        <f t="shared" si="11"/>
        <v>259</v>
      </c>
      <c r="G709">
        <f>IFERROR(VLOOKUP(Table_socioeca8.sandag.org_ws_abm2_f4[[#This Row],[hwycov_id]],[2]flow_freeway!$A$2:$E$1643,3,FALSE),0)</f>
        <v>144684</v>
      </c>
      <c r="H709">
        <f>IFERROR(VLOOKUP(Table_socioeca8.sandag.org_ws_abm2_f4[[#This Row],[hwycov_id]],[2]flow_freeway!$A$2:$E$1643,4,FALSE),0)</f>
        <v>33980</v>
      </c>
      <c r="I709">
        <f>IFERROR(VLOOKUP(Table_socioeca8.sandag.org_ws_abm2_f4[[#This Row],[hwycov_id]],[2]flow_freeway!$A$2:$E$1643,5,FALSE),0)</f>
        <v>26498</v>
      </c>
      <c r="K709">
        <f>Table_socioeca8.sandag.org_ws_abm2_f4[[#This Row],[hwycov_id]]</f>
        <v>14383</v>
      </c>
      <c r="L709">
        <f>Table_socioeca8.sandag.org_ws_abm2_f4[[#This Row],[scenario_id]]</f>
        <v>259</v>
      </c>
      <c r="M709">
        <f>Table_socioeca8.sandag.org_ws_abm2_f4[[#This Row],[flow_day]]</f>
        <v>144684</v>
      </c>
      <c r="N709">
        <f>Table_socioeca8.sandag.org_ws_abm2_f4[[#This Row],[flow_am]]</f>
        <v>33980</v>
      </c>
      <c r="O709">
        <f>Table_socioeca8.sandag.org_ws_abm2_f4[[#This Row],[flow_pm]]</f>
        <v>26498</v>
      </c>
    </row>
    <row r="710" spans="5:15" x14ac:dyDescent="0.25">
      <c r="E710">
        <v>14384</v>
      </c>
      <c r="F710">
        <f t="shared" si="11"/>
        <v>259</v>
      </c>
      <c r="G710">
        <f>IFERROR(VLOOKUP(Table_socioeca8.sandag.org_ws_abm2_f4[[#This Row],[hwycov_id]],[2]flow_freeway!$A$2:$E$1643,3,FALSE),0)</f>
        <v>146590</v>
      </c>
      <c r="H710">
        <f>IFERROR(VLOOKUP(Table_socioeca8.sandag.org_ws_abm2_f4[[#This Row],[hwycov_id]],[2]flow_freeway!$A$2:$E$1643,4,FALSE),0)</f>
        <v>22812</v>
      </c>
      <c r="I710">
        <f>IFERROR(VLOOKUP(Table_socioeca8.sandag.org_ws_abm2_f4[[#This Row],[hwycov_id]],[2]flow_freeway!$A$2:$E$1643,5,FALSE),0)</f>
        <v>42146</v>
      </c>
      <c r="K710">
        <f>Table_socioeca8.sandag.org_ws_abm2_f4[[#This Row],[hwycov_id]]</f>
        <v>14384</v>
      </c>
      <c r="L710">
        <f>Table_socioeca8.sandag.org_ws_abm2_f4[[#This Row],[scenario_id]]</f>
        <v>259</v>
      </c>
      <c r="M710">
        <f>Table_socioeca8.sandag.org_ws_abm2_f4[[#This Row],[flow_day]]</f>
        <v>146590</v>
      </c>
      <c r="N710">
        <f>Table_socioeca8.sandag.org_ws_abm2_f4[[#This Row],[flow_am]]</f>
        <v>22812</v>
      </c>
      <c r="O710">
        <f>Table_socioeca8.sandag.org_ws_abm2_f4[[#This Row],[flow_pm]]</f>
        <v>42146</v>
      </c>
    </row>
    <row r="711" spans="5:15" x14ac:dyDescent="0.25">
      <c r="E711">
        <v>14386</v>
      </c>
      <c r="F711">
        <f t="shared" si="11"/>
        <v>259</v>
      </c>
      <c r="G711">
        <f>IFERROR(VLOOKUP(Table_socioeca8.sandag.org_ws_abm2_f4[[#This Row],[hwycov_id]],[2]flow_freeway!$A$2:$E$1643,3,FALSE),0)</f>
        <v>132677</v>
      </c>
      <c r="H711">
        <f>IFERROR(VLOOKUP(Table_socioeca8.sandag.org_ws_abm2_f4[[#This Row],[hwycov_id]],[2]flow_freeway!$A$2:$E$1643,4,FALSE),0)</f>
        <v>20221</v>
      </c>
      <c r="I711">
        <f>IFERROR(VLOOKUP(Table_socioeca8.sandag.org_ws_abm2_f4[[#This Row],[hwycov_id]],[2]flow_freeway!$A$2:$E$1643,5,FALSE),0)</f>
        <v>38670</v>
      </c>
      <c r="K711">
        <f>Table_socioeca8.sandag.org_ws_abm2_f4[[#This Row],[hwycov_id]]</f>
        <v>14386</v>
      </c>
      <c r="L711">
        <f>Table_socioeca8.sandag.org_ws_abm2_f4[[#This Row],[scenario_id]]</f>
        <v>259</v>
      </c>
      <c r="M711">
        <f>Table_socioeca8.sandag.org_ws_abm2_f4[[#This Row],[flow_day]]</f>
        <v>132677</v>
      </c>
      <c r="N711">
        <f>Table_socioeca8.sandag.org_ws_abm2_f4[[#This Row],[flow_am]]</f>
        <v>20221</v>
      </c>
      <c r="O711">
        <f>Table_socioeca8.sandag.org_ws_abm2_f4[[#This Row],[flow_pm]]</f>
        <v>38670</v>
      </c>
    </row>
    <row r="712" spans="5:15" x14ac:dyDescent="0.25">
      <c r="E712">
        <v>14391</v>
      </c>
      <c r="F712">
        <f t="shared" si="11"/>
        <v>259</v>
      </c>
      <c r="G712">
        <f>IFERROR(VLOOKUP(Table_socioeca8.sandag.org_ws_abm2_f4[[#This Row],[hwycov_id]],[2]flow_freeway!$A$2:$E$1643,3,FALSE),0)</f>
        <v>137490</v>
      </c>
      <c r="H712">
        <f>IFERROR(VLOOKUP(Table_socioeca8.sandag.org_ws_abm2_f4[[#This Row],[hwycov_id]],[2]flow_freeway!$A$2:$E$1643,4,FALSE),0)</f>
        <v>33537</v>
      </c>
      <c r="I712">
        <f>IFERROR(VLOOKUP(Table_socioeca8.sandag.org_ws_abm2_f4[[#This Row],[hwycov_id]],[2]flow_freeway!$A$2:$E$1643,5,FALSE),0)</f>
        <v>26754</v>
      </c>
      <c r="K712">
        <f>Table_socioeca8.sandag.org_ws_abm2_f4[[#This Row],[hwycov_id]]</f>
        <v>14391</v>
      </c>
      <c r="L712">
        <f>Table_socioeca8.sandag.org_ws_abm2_f4[[#This Row],[scenario_id]]</f>
        <v>259</v>
      </c>
      <c r="M712">
        <f>Table_socioeca8.sandag.org_ws_abm2_f4[[#This Row],[flow_day]]</f>
        <v>137490</v>
      </c>
      <c r="N712">
        <f>Table_socioeca8.sandag.org_ws_abm2_f4[[#This Row],[flow_am]]</f>
        <v>33537</v>
      </c>
      <c r="O712">
        <f>Table_socioeca8.sandag.org_ws_abm2_f4[[#This Row],[flow_pm]]</f>
        <v>26754</v>
      </c>
    </row>
    <row r="713" spans="5:15" x14ac:dyDescent="0.25">
      <c r="E713">
        <v>14392</v>
      </c>
      <c r="F713">
        <f t="shared" si="11"/>
        <v>259</v>
      </c>
      <c r="G713">
        <f>IFERROR(VLOOKUP(Table_socioeca8.sandag.org_ws_abm2_f4[[#This Row],[hwycov_id]],[2]flow_freeway!$A$2:$E$1643,3,FALSE),0)</f>
        <v>142643</v>
      </c>
      <c r="H713">
        <f>IFERROR(VLOOKUP(Table_socioeca8.sandag.org_ws_abm2_f4[[#This Row],[hwycov_id]],[2]flow_freeway!$A$2:$E$1643,4,FALSE),0)</f>
        <v>22351</v>
      </c>
      <c r="I713">
        <f>IFERROR(VLOOKUP(Table_socioeca8.sandag.org_ws_abm2_f4[[#This Row],[hwycov_id]],[2]flow_freeway!$A$2:$E$1643,5,FALSE),0)</f>
        <v>41323</v>
      </c>
      <c r="K713">
        <f>Table_socioeca8.sandag.org_ws_abm2_f4[[#This Row],[hwycov_id]]</f>
        <v>14392</v>
      </c>
      <c r="L713">
        <f>Table_socioeca8.sandag.org_ws_abm2_f4[[#This Row],[scenario_id]]</f>
        <v>259</v>
      </c>
      <c r="M713">
        <f>Table_socioeca8.sandag.org_ws_abm2_f4[[#This Row],[flow_day]]</f>
        <v>142643</v>
      </c>
      <c r="N713">
        <f>Table_socioeca8.sandag.org_ws_abm2_f4[[#This Row],[flow_am]]</f>
        <v>22351</v>
      </c>
      <c r="O713">
        <f>Table_socioeca8.sandag.org_ws_abm2_f4[[#This Row],[flow_pm]]</f>
        <v>41323</v>
      </c>
    </row>
    <row r="714" spans="5:15" x14ac:dyDescent="0.25">
      <c r="E714">
        <v>14397</v>
      </c>
      <c r="F714">
        <f t="shared" si="11"/>
        <v>259</v>
      </c>
      <c r="G714">
        <f>IFERROR(VLOOKUP(Table_socioeca8.sandag.org_ws_abm2_f4[[#This Row],[hwycov_id]],[2]flow_freeway!$A$2:$E$1643,3,FALSE),0)</f>
        <v>142478</v>
      </c>
      <c r="H714">
        <f>IFERROR(VLOOKUP(Table_socioeca8.sandag.org_ws_abm2_f4[[#This Row],[hwycov_id]],[2]flow_freeway!$A$2:$E$1643,4,FALSE),0)</f>
        <v>22858</v>
      </c>
      <c r="I714">
        <f>IFERROR(VLOOKUP(Table_socioeca8.sandag.org_ws_abm2_f4[[#This Row],[hwycov_id]],[2]flow_freeway!$A$2:$E$1643,5,FALSE),0)</f>
        <v>41262</v>
      </c>
      <c r="K714">
        <f>Table_socioeca8.sandag.org_ws_abm2_f4[[#This Row],[hwycov_id]]</f>
        <v>14397</v>
      </c>
      <c r="L714">
        <f>Table_socioeca8.sandag.org_ws_abm2_f4[[#This Row],[scenario_id]]</f>
        <v>259</v>
      </c>
      <c r="M714">
        <f>Table_socioeca8.sandag.org_ws_abm2_f4[[#This Row],[flow_day]]</f>
        <v>142478</v>
      </c>
      <c r="N714">
        <f>Table_socioeca8.sandag.org_ws_abm2_f4[[#This Row],[flow_am]]</f>
        <v>22858</v>
      </c>
      <c r="O714">
        <f>Table_socioeca8.sandag.org_ws_abm2_f4[[#This Row],[flow_pm]]</f>
        <v>41262</v>
      </c>
    </row>
    <row r="715" spans="5:15" x14ac:dyDescent="0.25">
      <c r="E715">
        <v>14399</v>
      </c>
      <c r="F715">
        <f t="shared" si="11"/>
        <v>259</v>
      </c>
      <c r="G715">
        <f>IFERROR(VLOOKUP(Table_socioeca8.sandag.org_ws_abm2_f4[[#This Row],[hwycov_id]],[2]flow_freeway!$A$2:$E$1643,3,FALSE),0)</f>
        <v>148736</v>
      </c>
      <c r="H715">
        <f>IFERROR(VLOOKUP(Table_socioeca8.sandag.org_ws_abm2_f4[[#This Row],[hwycov_id]],[2]flow_freeway!$A$2:$E$1643,4,FALSE),0)</f>
        <v>24864</v>
      </c>
      <c r="I715">
        <f>IFERROR(VLOOKUP(Table_socioeca8.sandag.org_ws_abm2_f4[[#This Row],[hwycov_id]],[2]flow_freeway!$A$2:$E$1643,5,FALSE),0)</f>
        <v>42659</v>
      </c>
      <c r="K715">
        <f>Table_socioeca8.sandag.org_ws_abm2_f4[[#This Row],[hwycov_id]]</f>
        <v>14399</v>
      </c>
      <c r="L715">
        <f>Table_socioeca8.sandag.org_ws_abm2_f4[[#This Row],[scenario_id]]</f>
        <v>259</v>
      </c>
      <c r="M715">
        <f>Table_socioeca8.sandag.org_ws_abm2_f4[[#This Row],[flow_day]]</f>
        <v>148736</v>
      </c>
      <c r="N715">
        <f>Table_socioeca8.sandag.org_ws_abm2_f4[[#This Row],[flow_am]]</f>
        <v>24864</v>
      </c>
      <c r="O715">
        <f>Table_socioeca8.sandag.org_ws_abm2_f4[[#This Row],[flow_pm]]</f>
        <v>42659</v>
      </c>
    </row>
    <row r="716" spans="5:15" x14ac:dyDescent="0.25">
      <c r="E716">
        <v>14400</v>
      </c>
      <c r="F716">
        <f t="shared" si="11"/>
        <v>259</v>
      </c>
      <c r="G716">
        <f>IFERROR(VLOOKUP(Table_socioeca8.sandag.org_ws_abm2_f4[[#This Row],[hwycov_id]],[2]flow_freeway!$A$2:$E$1643,3,FALSE),0)</f>
        <v>143797</v>
      </c>
      <c r="H716">
        <f>IFERROR(VLOOKUP(Table_socioeca8.sandag.org_ws_abm2_f4[[#This Row],[hwycov_id]],[2]flow_freeway!$A$2:$E$1643,4,FALSE),0)</f>
        <v>34258</v>
      </c>
      <c r="I716">
        <f>IFERROR(VLOOKUP(Table_socioeca8.sandag.org_ws_abm2_f4[[#This Row],[hwycov_id]],[2]flow_freeway!$A$2:$E$1643,5,FALSE),0)</f>
        <v>28197</v>
      </c>
      <c r="K716">
        <f>Table_socioeca8.sandag.org_ws_abm2_f4[[#This Row],[hwycov_id]]</f>
        <v>14400</v>
      </c>
      <c r="L716">
        <f>Table_socioeca8.sandag.org_ws_abm2_f4[[#This Row],[scenario_id]]</f>
        <v>259</v>
      </c>
      <c r="M716">
        <f>Table_socioeca8.sandag.org_ws_abm2_f4[[#This Row],[flow_day]]</f>
        <v>143797</v>
      </c>
      <c r="N716">
        <f>Table_socioeca8.sandag.org_ws_abm2_f4[[#This Row],[flow_am]]</f>
        <v>34258</v>
      </c>
      <c r="O716">
        <f>Table_socioeca8.sandag.org_ws_abm2_f4[[#This Row],[flow_pm]]</f>
        <v>28197</v>
      </c>
    </row>
    <row r="717" spans="5:15" x14ac:dyDescent="0.25">
      <c r="E717">
        <v>14402</v>
      </c>
      <c r="F717">
        <f t="shared" si="11"/>
        <v>259</v>
      </c>
      <c r="G717">
        <f>IFERROR(VLOOKUP(Table_socioeca8.sandag.org_ws_abm2_f4[[#This Row],[hwycov_id]],[2]flow_freeway!$A$2:$E$1643,3,FALSE),0)</f>
        <v>136612</v>
      </c>
      <c r="H717">
        <f>IFERROR(VLOOKUP(Table_socioeca8.sandag.org_ws_abm2_f4[[#This Row],[hwycov_id]],[2]flow_freeway!$A$2:$E$1643,4,FALSE),0)</f>
        <v>22076</v>
      </c>
      <c r="I717">
        <f>IFERROR(VLOOKUP(Table_socioeca8.sandag.org_ws_abm2_f4[[#This Row],[hwycov_id]],[2]flow_freeway!$A$2:$E$1643,5,FALSE),0)</f>
        <v>39756</v>
      </c>
      <c r="K717">
        <f>Table_socioeca8.sandag.org_ws_abm2_f4[[#This Row],[hwycov_id]]</f>
        <v>14402</v>
      </c>
      <c r="L717">
        <f>Table_socioeca8.sandag.org_ws_abm2_f4[[#This Row],[scenario_id]]</f>
        <v>259</v>
      </c>
      <c r="M717">
        <f>Table_socioeca8.sandag.org_ws_abm2_f4[[#This Row],[flow_day]]</f>
        <v>136612</v>
      </c>
      <c r="N717">
        <f>Table_socioeca8.sandag.org_ws_abm2_f4[[#This Row],[flow_am]]</f>
        <v>22076</v>
      </c>
      <c r="O717">
        <f>Table_socioeca8.sandag.org_ws_abm2_f4[[#This Row],[flow_pm]]</f>
        <v>39756</v>
      </c>
    </row>
    <row r="718" spans="5:15" x14ac:dyDescent="0.25">
      <c r="E718">
        <v>14403</v>
      </c>
      <c r="F718">
        <f t="shared" si="11"/>
        <v>259</v>
      </c>
      <c r="G718">
        <f>IFERROR(VLOOKUP(Table_socioeca8.sandag.org_ws_abm2_f4[[#This Row],[hwycov_id]],[2]flow_freeway!$A$2:$E$1643,3,FALSE),0)</f>
        <v>154393</v>
      </c>
      <c r="H718">
        <f>IFERROR(VLOOKUP(Table_socioeca8.sandag.org_ws_abm2_f4[[#This Row],[hwycov_id]],[2]flow_freeway!$A$2:$E$1643,4,FALSE),0)</f>
        <v>35562</v>
      </c>
      <c r="I718">
        <f>IFERROR(VLOOKUP(Table_socioeca8.sandag.org_ws_abm2_f4[[#This Row],[hwycov_id]],[2]flow_freeway!$A$2:$E$1643,5,FALSE),0)</f>
        <v>29960</v>
      </c>
      <c r="K718">
        <f>Table_socioeca8.sandag.org_ws_abm2_f4[[#This Row],[hwycov_id]]</f>
        <v>14403</v>
      </c>
      <c r="L718">
        <f>Table_socioeca8.sandag.org_ws_abm2_f4[[#This Row],[scenario_id]]</f>
        <v>259</v>
      </c>
      <c r="M718">
        <f>Table_socioeca8.sandag.org_ws_abm2_f4[[#This Row],[flow_day]]</f>
        <v>154393</v>
      </c>
      <c r="N718">
        <f>Table_socioeca8.sandag.org_ws_abm2_f4[[#This Row],[flow_am]]</f>
        <v>35562</v>
      </c>
      <c r="O718">
        <f>Table_socioeca8.sandag.org_ws_abm2_f4[[#This Row],[flow_pm]]</f>
        <v>29960</v>
      </c>
    </row>
    <row r="719" spans="5:15" x14ac:dyDescent="0.25">
      <c r="E719">
        <v>14407</v>
      </c>
      <c r="F719">
        <f t="shared" si="11"/>
        <v>259</v>
      </c>
      <c r="G719">
        <f>IFERROR(VLOOKUP(Table_socioeca8.sandag.org_ws_abm2_f4[[#This Row],[hwycov_id]],[2]flow_freeway!$A$2:$E$1643,3,FALSE),0)</f>
        <v>144853</v>
      </c>
      <c r="H719">
        <f>IFERROR(VLOOKUP(Table_socioeca8.sandag.org_ws_abm2_f4[[#This Row],[hwycov_id]],[2]flow_freeway!$A$2:$E$1643,4,FALSE),0)</f>
        <v>33165</v>
      </c>
      <c r="I719">
        <f>IFERROR(VLOOKUP(Table_socioeca8.sandag.org_ws_abm2_f4[[#This Row],[hwycov_id]],[2]flow_freeway!$A$2:$E$1643,5,FALSE),0)</f>
        <v>28918</v>
      </c>
      <c r="K719">
        <f>Table_socioeca8.sandag.org_ws_abm2_f4[[#This Row],[hwycov_id]]</f>
        <v>14407</v>
      </c>
      <c r="L719">
        <f>Table_socioeca8.sandag.org_ws_abm2_f4[[#This Row],[scenario_id]]</f>
        <v>259</v>
      </c>
      <c r="M719">
        <f>Table_socioeca8.sandag.org_ws_abm2_f4[[#This Row],[flow_day]]</f>
        <v>144853</v>
      </c>
      <c r="N719">
        <f>Table_socioeca8.sandag.org_ws_abm2_f4[[#This Row],[flow_am]]</f>
        <v>33165</v>
      </c>
      <c r="O719">
        <f>Table_socioeca8.sandag.org_ws_abm2_f4[[#This Row],[flow_pm]]</f>
        <v>28918</v>
      </c>
    </row>
    <row r="720" spans="5:15" x14ac:dyDescent="0.25">
      <c r="E720">
        <v>14409</v>
      </c>
      <c r="F720">
        <f t="shared" si="11"/>
        <v>259</v>
      </c>
      <c r="G720">
        <f>IFERROR(VLOOKUP(Table_socioeca8.sandag.org_ws_abm2_f4[[#This Row],[hwycov_id]],[2]flow_freeway!$A$2:$E$1643,3,FALSE),0)</f>
        <v>139844</v>
      </c>
      <c r="H720">
        <f>IFERROR(VLOOKUP(Table_socioeca8.sandag.org_ws_abm2_f4[[#This Row],[hwycov_id]],[2]flow_freeway!$A$2:$E$1643,4,FALSE),0)</f>
        <v>23958</v>
      </c>
      <c r="I720">
        <f>IFERROR(VLOOKUP(Table_socioeca8.sandag.org_ws_abm2_f4[[#This Row],[hwycov_id]],[2]flow_freeway!$A$2:$E$1643,5,FALSE),0)</f>
        <v>39690</v>
      </c>
      <c r="K720">
        <f>Table_socioeca8.sandag.org_ws_abm2_f4[[#This Row],[hwycov_id]]</f>
        <v>14409</v>
      </c>
      <c r="L720">
        <f>Table_socioeca8.sandag.org_ws_abm2_f4[[#This Row],[scenario_id]]</f>
        <v>259</v>
      </c>
      <c r="M720">
        <f>Table_socioeca8.sandag.org_ws_abm2_f4[[#This Row],[flow_day]]</f>
        <v>139844</v>
      </c>
      <c r="N720">
        <f>Table_socioeca8.sandag.org_ws_abm2_f4[[#This Row],[flow_am]]</f>
        <v>23958</v>
      </c>
      <c r="O720">
        <f>Table_socioeca8.sandag.org_ws_abm2_f4[[#This Row],[flow_pm]]</f>
        <v>39690</v>
      </c>
    </row>
    <row r="721" spans="5:15" x14ac:dyDescent="0.25">
      <c r="E721">
        <v>14410</v>
      </c>
      <c r="F721">
        <f t="shared" si="11"/>
        <v>259</v>
      </c>
      <c r="G721">
        <f>IFERROR(VLOOKUP(Table_socioeca8.sandag.org_ws_abm2_f4[[#This Row],[hwycov_id]],[2]flow_freeway!$A$2:$E$1643,3,FALSE),0)</f>
        <v>163128</v>
      </c>
      <c r="H721">
        <f>IFERROR(VLOOKUP(Table_socioeca8.sandag.org_ws_abm2_f4[[#This Row],[hwycov_id]],[2]flow_freeway!$A$2:$E$1643,4,FALSE),0)</f>
        <v>29197</v>
      </c>
      <c r="I721">
        <f>IFERROR(VLOOKUP(Table_socioeca8.sandag.org_ws_abm2_f4[[#This Row],[hwycov_id]],[2]flow_freeway!$A$2:$E$1643,5,FALSE),0)</f>
        <v>44634</v>
      </c>
      <c r="K721">
        <f>Table_socioeca8.sandag.org_ws_abm2_f4[[#This Row],[hwycov_id]]</f>
        <v>14410</v>
      </c>
      <c r="L721">
        <f>Table_socioeca8.sandag.org_ws_abm2_f4[[#This Row],[scenario_id]]</f>
        <v>259</v>
      </c>
      <c r="M721">
        <f>Table_socioeca8.sandag.org_ws_abm2_f4[[#This Row],[flow_day]]</f>
        <v>163128</v>
      </c>
      <c r="N721">
        <f>Table_socioeca8.sandag.org_ws_abm2_f4[[#This Row],[flow_am]]</f>
        <v>29197</v>
      </c>
      <c r="O721">
        <f>Table_socioeca8.sandag.org_ws_abm2_f4[[#This Row],[flow_pm]]</f>
        <v>44634</v>
      </c>
    </row>
    <row r="722" spans="5:15" x14ac:dyDescent="0.25">
      <c r="E722">
        <v>14411</v>
      </c>
      <c r="F722">
        <f t="shared" si="11"/>
        <v>259</v>
      </c>
      <c r="G722">
        <f>IFERROR(VLOOKUP(Table_socioeca8.sandag.org_ws_abm2_f4[[#This Row],[hwycov_id]],[2]flow_freeway!$A$2:$E$1643,3,FALSE),0)</f>
        <v>153760</v>
      </c>
      <c r="H722">
        <f>IFERROR(VLOOKUP(Table_socioeca8.sandag.org_ws_abm2_f4[[#This Row],[hwycov_id]],[2]flow_freeway!$A$2:$E$1643,4,FALSE),0)</f>
        <v>34785</v>
      </c>
      <c r="I722">
        <f>IFERROR(VLOOKUP(Table_socioeca8.sandag.org_ws_abm2_f4[[#This Row],[hwycov_id]],[2]flow_freeway!$A$2:$E$1643,5,FALSE),0)</f>
        <v>31062</v>
      </c>
      <c r="K722">
        <f>Table_socioeca8.sandag.org_ws_abm2_f4[[#This Row],[hwycov_id]]</f>
        <v>14411</v>
      </c>
      <c r="L722">
        <f>Table_socioeca8.sandag.org_ws_abm2_f4[[#This Row],[scenario_id]]</f>
        <v>259</v>
      </c>
      <c r="M722">
        <f>Table_socioeca8.sandag.org_ws_abm2_f4[[#This Row],[flow_day]]</f>
        <v>153760</v>
      </c>
      <c r="N722">
        <f>Table_socioeca8.sandag.org_ws_abm2_f4[[#This Row],[flow_am]]</f>
        <v>34785</v>
      </c>
      <c r="O722">
        <f>Table_socioeca8.sandag.org_ws_abm2_f4[[#This Row],[flow_pm]]</f>
        <v>31062</v>
      </c>
    </row>
    <row r="723" spans="5:15" x14ac:dyDescent="0.25">
      <c r="E723">
        <v>14412</v>
      </c>
      <c r="F723">
        <f t="shared" si="11"/>
        <v>259</v>
      </c>
      <c r="G723">
        <f>IFERROR(VLOOKUP(Table_socioeca8.sandag.org_ws_abm2_f4[[#This Row],[hwycov_id]],[2]flow_freeway!$A$2:$E$1643,3,FALSE),0)</f>
        <v>163948</v>
      </c>
      <c r="H723">
        <f>IFERROR(VLOOKUP(Table_socioeca8.sandag.org_ws_abm2_f4[[#This Row],[hwycov_id]],[2]flow_freeway!$A$2:$E$1643,4,FALSE),0)</f>
        <v>35596</v>
      </c>
      <c r="I723">
        <f>IFERROR(VLOOKUP(Table_socioeca8.sandag.org_ws_abm2_f4[[#This Row],[hwycov_id]],[2]flow_freeway!$A$2:$E$1643,5,FALSE),0)</f>
        <v>32232</v>
      </c>
      <c r="K723">
        <f>Table_socioeca8.sandag.org_ws_abm2_f4[[#This Row],[hwycov_id]]</f>
        <v>14412</v>
      </c>
      <c r="L723">
        <f>Table_socioeca8.sandag.org_ws_abm2_f4[[#This Row],[scenario_id]]</f>
        <v>259</v>
      </c>
      <c r="M723">
        <f>Table_socioeca8.sandag.org_ws_abm2_f4[[#This Row],[flow_day]]</f>
        <v>163948</v>
      </c>
      <c r="N723">
        <f>Table_socioeca8.sandag.org_ws_abm2_f4[[#This Row],[flow_am]]</f>
        <v>35596</v>
      </c>
      <c r="O723">
        <f>Table_socioeca8.sandag.org_ws_abm2_f4[[#This Row],[flow_pm]]</f>
        <v>32232</v>
      </c>
    </row>
    <row r="724" spans="5:15" x14ac:dyDescent="0.25">
      <c r="E724">
        <v>14413</v>
      </c>
      <c r="F724">
        <f t="shared" si="11"/>
        <v>259</v>
      </c>
      <c r="G724">
        <f>IFERROR(VLOOKUP(Table_socioeca8.sandag.org_ws_abm2_f4[[#This Row],[hwycov_id]],[2]flow_freeway!$A$2:$E$1643,3,FALSE),0)</f>
        <v>147602</v>
      </c>
      <c r="H724">
        <f>IFERROR(VLOOKUP(Table_socioeca8.sandag.org_ws_abm2_f4[[#This Row],[hwycov_id]],[2]flow_freeway!$A$2:$E$1643,4,FALSE),0)</f>
        <v>24760</v>
      </c>
      <c r="I724">
        <f>IFERROR(VLOOKUP(Table_socioeca8.sandag.org_ws_abm2_f4[[#This Row],[hwycov_id]],[2]flow_freeway!$A$2:$E$1643,5,FALSE),0)</f>
        <v>42331</v>
      </c>
      <c r="K724">
        <f>Table_socioeca8.sandag.org_ws_abm2_f4[[#This Row],[hwycov_id]]</f>
        <v>14413</v>
      </c>
      <c r="L724">
        <f>Table_socioeca8.sandag.org_ws_abm2_f4[[#This Row],[scenario_id]]</f>
        <v>259</v>
      </c>
      <c r="M724">
        <f>Table_socioeca8.sandag.org_ws_abm2_f4[[#This Row],[flow_day]]</f>
        <v>147602</v>
      </c>
      <c r="N724">
        <f>Table_socioeca8.sandag.org_ws_abm2_f4[[#This Row],[flow_am]]</f>
        <v>24760</v>
      </c>
      <c r="O724">
        <f>Table_socioeca8.sandag.org_ws_abm2_f4[[#This Row],[flow_pm]]</f>
        <v>42331</v>
      </c>
    </row>
    <row r="725" spans="5:15" x14ac:dyDescent="0.25">
      <c r="E725">
        <v>14418</v>
      </c>
      <c r="F725">
        <f t="shared" si="11"/>
        <v>259</v>
      </c>
      <c r="G725">
        <f>IFERROR(VLOOKUP(Table_socioeca8.sandag.org_ws_abm2_f4[[#This Row],[hwycov_id]],[2]flow_freeway!$A$2:$E$1643,3,FALSE),0)</f>
        <v>163979</v>
      </c>
      <c r="H725">
        <f>IFERROR(VLOOKUP(Table_socioeca8.sandag.org_ws_abm2_f4[[#This Row],[hwycov_id]],[2]flow_freeway!$A$2:$E$1643,4,FALSE),0)</f>
        <v>35373</v>
      </c>
      <c r="I725">
        <f>IFERROR(VLOOKUP(Table_socioeca8.sandag.org_ws_abm2_f4[[#This Row],[hwycov_id]],[2]flow_freeway!$A$2:$E$1643,5,FALSE),0)</f>
        <v>33570</v>
      </c>
      <c r="K725">
        <f>Table_socioeca8.sandag.org_ws_abm2_f4[[#This Row],[hwycov_id]]</f>
        <v>14418</v>
      </c>
      <c r="L725">
        <f>Table_socioeca8.sandag.org_ws_abm2_f4[[#This Row],[scenario_id]]</f>
        <v>259</v>
      </c>
      <c r="M725">
        <f>Table_socioeca8.sandag.org_ws_abm2_f4[[#This Row],[flow_day]]</f>
        <v>163979</v>
      </c>
      <c r="N725">
        <f>Table_socioeca8.sandag.org_ws_abm2_f4[[#This Row],[flow_am]]</f>
        <v>35373</v>
      </c>
      <c r="O725">
        <f>Table_socioeca8.sandag.org_ws_abm2_f4[[#This Row],[flow_pm]]</f>
        <v>33570</v>
      </c>
    </row>
    <row r="726" spans="5:15" x14ac:dyDescent="0.25">
      <c r="E726">
        <v>14419</v>
      </c>
      <c r="F726">
        <f t="shared" si="11"/>
        <v>259</v>
      </c>
      <c r="G726">
        <f>IFERROR(VLOOKUP(Table_socioeca8.sandag.org_ws_abm2_f4[[#This Row],[hwycov_id]],[2]flow_freeway!$A$2:$E$1643,3,FALSE),0)</f>
        <v>165582</v>
      </c>
      <c r="H726">
        <f>IFERROR(VLOOKUP(Table_socioeca8.sandag.org_ws_abm2_f4[[#This Row],[hwycov_id]],[2]flow_freeway!$A$2:$E$1643,4,FALSE),0)</f>
        <v>35616</v>
      </c>
      <c r="I726">
        <f>IFERROR(VLOOKUP(Table_socioeca8.sandag.org_ws_abm2_f4[[#This Row],[hwycov_id]],[2]flow_freeway!$A$2:$E$1643,5,FALSE),0)</f>
        <v>33941</v>
      </c>
      <c r="K726">
        <f>Table_socioeca8.sandag.org_ws_abm2_f4[[#This Row],[hwycov_id]]</f>
        <v>14419</v>
      </c>
      <c r="L726">
        <f>Table_socioeca8.sandag.org_ws_abm2_f4[[#This Row],[scenario_id]]</f>
        <v>259</v>
      </c>
      <c r="M726">
        <f>Table_socioeca8.sandag.org_ws_abm2_f4[[#This Row],[flow_day]]</f>
        <v>165582</v>
      </c>
      <c r="N726">
        <f>Table_socioeca8.sandag.org_ws_abm2_f4[[#This Row],[flow_am]]</f>
        <v>35616</v>
      </c>
      <c r="O726">
        <f>Table_socioeca8.sandag.org_ws_abm2_f4[[#This Row],[flow_pm]]</f>
        <v>33941</v>
      </c>
    </row>
    <row r="727" spans="5:15" x14ac:dyDescent="0.25">
      <c r="E727">
        <v>14429</v>
      </c>
      <c r="F727">
        <f t="shared" si="11"/>
        <v>259</v>
      </c>
      <c r="G727">
        <f>IFERROR(VLOOKUP(Table_socioeca8.sandag.org_ws_abm2_f4[[#This Row],[hwycov_id]],[2]flow_freeway!$A$2:$E$1643,3,FALSE),0)</f>
        <v>7140</v>
      </c>
      <c r="H727">
        <f>IFERROR(VLOOKUP(Table_socioeca8.sandag.org_ws_abm2_f4[[#This Row],[hwycov_id]],[2]flow_freeway!$A$2:$E$1643,4,FALSE),0)</f>
        <v>3353</v>
      </c>
      <c r="I727">
        <f>IFERROR(VLOOKUP(Table_socioeca8.sandag.org_ws_abm2_f4[[#This Row],[hwycov_id]],[2]flow_freeway!$A$2:$E$1643,5,FALSE),0)</f>
        <v>1473</v>
      </c>
      <c r="K727">
        <f>Table_socioeca8.sandag.org_ws_abm2_f4[[#This Row],[hwycov_id]]</f>
        <v>14429</v>
      </c>
      <c r="L727">
        <f>Table_socioeca8.sandag.org_ws_abm2_f4[[#This Row],[scenario_id]]</f>
        <v>259</v>
      </c>
      <c r="M727">
        <f>Table_socioeca8.sandag.org_ws_abm2_f4[[#This Row],[flow_day]]</f>
        <v>7140</v>
      </c>
      <c r="N727">
        <f>Table_socioeca8.sandag.org_ws_abm2_f4[[#This Row],[flow_am]]</f>
        <v>3353</v>
      </c>
      <c r="O727">
        <f>Table_socioeca8.sandag.org_ws_abm2_f4[[#This Row],[flow_pm]]</f>
        <v>1473</v>
      </c>
    </row>
    <row r="728" spans="5:15" x14ac:dyDescent="0.25">
      <c r="E728">
        <v>14515</v>
      </c>
      <c r="F728">
        <f t="shared" si="11"/>
        <v>259</v>
      </c>
      <c r="G728">
        <f>IFERROR(VLOOKUP(Table_socioeca8.sandag.org_ws_abm2_f4[[#This Row],[hwycov_id]],[2]flow_freeway!$A$2:$E$1643,3,FALSE),0)</f>
        <v>120475</v>
      </c>
      <c r="H728">
        <f>IFERROR(VLOOKUP(Table_socioeca8.sandag.org_ws_abm2_f4[[#This Row],[hwycov_id]],[2]flow_freeway!$A$2:$E$1643,4,FALSE),0)</f>
        <v>19700</v>
      </c>
      <c r="I728">
        <f>IFERROR(VLOOKUP(Table_socioeca8.sandag.org_ws_abm2_f4[[#This Row],[hwycov_id]],[2]flow_freeway!$A$2:$E$1643,5,FALSE),0)</f>
        <v>35577</v>
      </c>
      <c r="K728">
        <f>Table_socioeca8.sandag.org_ws_abm2_f4[[#This Row],[hwycov_id]]</f>
        <v>14515</v>
      </c>
      <c r="L728">
        <f>Table_socioeca8.sandag.org_ws_abm2_f4[[#This Row],[scenario_id]]</f>
        <v>259</v>
      </c>
      <c r="M728">
        <f>Table_socioeca8.sandag.org_ws_abm2_f4[[#This Row],[flow_day]]</f>
        <v>120475</v>
      </c>
      <c r="N728">
        <f>Table_socioeca8.sandag.org_ws_abm2_f4[[#This Row],[flow_am]]</f>
        <v>19700</v>
      </c>
      <c r="O728">
        <f>Table_socioeca8.sandag.org_ws_abm2_f4[[#This Row],[flow_pm]]</f>
        <v>35577</v>
      </c>
    </row>
    <row r="729" spans="5:15" x14ac:dyDescent="0.25">
      <c r="E729">
        <v>14635</v>
      </c>
      <c r="F729">
        <f t="shared" si="11"/>
        <v>259</v>
      </c>
      <c r="G729">
        <f>IFERROR(VLOOKUP(Table_socioeca8.sandag.org_ws_abm2_f4[[#This Row],[hwycov_id]],[2]flow_freeway!$A$2:$E$1643,3,FALSE),0)</f>
        <v>108983</v>
      </c>
      <c r="H729">
        <f>IFERROR(VLOOKUP(Table_socioeca8.sandag.org_ws_abm2_f4[[#This Row],[hwycov_id]],[2]flow_freeway!$A$2:$E$1643,4,FALSE),0)</f>
        <v>25957</v>
      </c>
      <c r="I729">
        <f>IFERROR(VLOOKUP(Table_socioeca8.sandag.org_ws_abm2_f4[[#This Row],[hwycov_id]],[2]flow_freeway!$A$2:$E$1643,5,FALSE),0)</f>
        <v>20296</v>
      </c>
      <c r="K729">
        <f>Table_socioeca8.sandag.org_ws_abm2_f4[[#This Row],[hwycov_id]]</f>
        <v>14635</v>
      </c>
      <c r="L729">
        <f>Table_socioeca8.sandag.org_ws_abm2_f4[[#This Row],[scenario_id]]</f>
        <v>259</v>
      </c>
      <c r="M729">
        <f>Table_socioeca8.sandag.org_ws_abm2_f4[[#This Row],[flow_day]]</f>
        <v>108983</v>
      </c>
      <c r="N729">
        <f>Table_socioeca8.sandag.org_ws_abm2_f4[[#This Row],[flow_am]]</f>
        <v>25957</v>
      </c>
      <c r="O729">
        <f>Table_socioeca8.sandag.org_ws_abm2_f4[[#This Row],[flow_pm]]</f>
        <v>20296</v>
      </c>
    </row>
    <row r="730" spans="5:15" x14ac:dyDescent="0.25">
      <c r="E730">
        <v>14637</v>
      </c>
      <c r="F730">
        <f t="shared" si="11"/>
        <v>259</v>
      </c>
      <c r="G730">
        <f>IFERROR(VLOOKUP(Table_socioeca8.sandag.org_ws_abm2_f4[[#This Row],[hwycov_id]],[2]flow_freeway!$A$2:$E$1643,3,FALSE),0)</f>
        <v>119082</v>
      </c>
      <c r="H730">
        <f>IFERROR(VLOOKUP(Table_socioeca8.sandag.org_ws_abm2_f4[[#This Row],[hwycov_id]],[2]flow_freeway!$A$2:$E$1643,4,FALSE),0)</f>
        <v>27039</v>
      </c>
      <c r="I730">
        <f>IFERROR(VLOOKUP(Table_socioeca8.sandag.org_ws_abm2_f4[[#This Row],[hwycov_id]],[2]flow_freeway!$A$2:$E$1643,5,FALSE),0)</f>
        <v>21394</v>
      </c>
      <c r="K730">
        <f>Table_socioeca8.sandag.org_ws_abm2_f4[[#This Row],[hwycov_id]]</f>
        <v>14637</v>
      </c>
      <c r="L730">
        <f>Table_socioeca8.sandag.org_ws_abm2_f4[[#This Row],[scenario_id]]</f>
        <v>259</v>
      </c>
      <c r="M730">
        <f>Table_socioeca8.sandag.org_ws_abm2_f4[[#This Row],[flow_day]]</f>
        <v>119082</v>
      </c>
      <c r="N730">
        <f>Table_socioeca8.sandag.org_ws_abm2_f4[[#This Row],[flow_am]]</f>
        <v>27039</v>
      </c>
      <c r="O730">
        <f>Table_socioeca8.sandag.org_ws_abm2_f4[[#This Row],[flow_pm]]</f>
        <v>21394</v>
      </c>
    </row>
    <row r="731" spans="5:15" x14ac:dyDescent="0.25">
      <c r="E731">
        <v>14639</v>
      </c>
      <c r="F731">
        <f t="shared" si="11"/>
        <v>259</v>
      </c>
      <c r="G731">
        <f>IFERROR(VLOOKUP(Table_socioeca8.sandag.org_ws_abm2_f4[[#This Row],[hwycov_id]],[2]flow_freeway!$A$2:$E$1643,3,FALSE),0)</f>
        <v>116122</v>
      </c>
      <c r="H731">
        <f>IFERROR(VLOOKUP(Table_socioeca8.sandag.org_ws_abm2_f4[[#This Row],[hwycov_id]],[2]flow_freeway!$A$2:$E$1643,4,FALSE),0)</f>
        <v>17635</v>
      </c>
      <c r="I731">
        <f>IFERROR(VLOOKUP(Table_socioeca8.sandag.org_ws_abm2_f4[[#This Row],[hwycov_id]],[2]flow_freeway!$A$2:$E$1643,5,FALSE),0)</f>
        <v>33170</v>
      </c>
      <c r="K731">
        <f>Table_socioeca8.sandag.org_ws_abm2_f4[[#This Row],[hwycov_id]]</f>
        <v>14639</v>
      </c>
      <c r="L731">
        <f>Table_socioeca8.sandag.org_ws_abm2_f4[[#This Row],[scenario_id]]</f>
        <v>259</v>
      </c>
      <c r="M731">
        <f>Table_socioeca8.sandag.org_ws_abm2_f4[[#This Row],[flow_day]]</f>
        <v>116122</v>
      </c>
      <c r="N731">
        <f>Table_socioeca8.sandag.org_ws_abm2_f4[[#This Row],[flow_am]]</f>
        <v>17635</v>
      </c>
      <c r="O731">
        <f>Table_socioeca8.sandag.org_ws_abm2_f4[[#This Row],[flow_pm]]</f>
        <v>33170</v>
      </c>
    </row>
    <row r="732" spans="5:15" x14ac:dyDescent="0.25">
      <c r="E732">
        <v>14644</v>
      </c>
      <c r="F732">
        <f t="shared" si="11"/>
        <v>259</v>
      </c>
      <c r="G732">
        <f>IFERROR(VLOOKUP(Table_socioeca8.sandag.org_ws_abm2_f4[[#This Row],[hwycov_id]],[2]flow_freeway!$A$2:$E$1643,3,FALSE),0)</f>
        <v>129752</v>
      </c>
      <c r="H732">
        <f>IFERROR(VLOOKUP(Table_socioeca8.sandag.org_ws_abm2_f4[[#This Row],[hwycov_id]],[2]flow_freeway!$A$2:$E$1643,4,FALSE),0)</f>
        <v>30576</v>
      </c>
      <c r="I732">
        <f>IFERROR(VLOOKUP(Table_socioeca8.sandag.org_ws_abm2_f4[[#This Row],[hwycov_id]],[2]flow_freeway!$A$2:$E$1643,5,FALSE),0)</f>
        <v>23653</v>
      </c>
      <c r="K732">
        <f>Table_socioeca8.sandag.org_ws_abm2_f4[[#This Row],[hwycov_id]]</f>
        <v>14644</v>
      </c>
      <c r="L732">
        <f>Table_socioeca8.sandag.org_ws_abm2_f4[[#This Row],[scenario_id]]</f>
        <v>259</v>
      </c>
      <c r="M732">
        <f>Table_socioeca8.sandag.org_ws_abm2_f4[[#This Row],[flow_day]]</f>
        <v>129752</v>
      </c>
      <c r="N732">
        <f>Table_socioeca8.sandag.org_ws_abm2_f4[[#This Row],[flow_am]]</f>
        <v>30576</v>
      </c>
      <c r="O732">
        <f>Table_socioeca8.sandag.org_ws_abm2_f4[[#This Row],[flow_pm]]</f>
        <v>23653</v>
      </c>
    </row>
    <row r="733" spans="5:15" x14ac:dyDescent="0.25">
      <c r="E733">
        <v>14645</v>
      </c>
      <c r="F733">
        <f t="shared" si="11"/>
        <v>259</v>
      </c>
      <c r="G733">
        <f>IFERROR(VLOOKUP(Table_socioeca8.sandag.org_ws_abm2_f4[[#This Row],[hwycov_id]],[2]flow_freeway!$A$2:$E$1643,3,FALSE),0)</f>
        <v>108983</v>
      </c>
      <c r="H733">
        <f>IFERROR(VLOOKUP(Table_socioeca8.sandag.org_ws_abm2_f4[[#This Row],[hwycov_id]],[2]flow_freeway!$A$2:$E$1643,4,FALSE),0)</f>
        <v>25957</v>
      </c>
      <c r="I733">
        <f>IFERROR(VLOOKUP(Table_socioeca8.sandag.org_ws_abm2_f4[[#This Row],[hwycov_id]],[2]flow_freeway!$A$2:$E$1643,5,FALSE),0)</f>
        <v>20296</v>
      </c>
      <c r="K733">
        <f>Table_socioeca8.sandag.org_ws_abm2_f4[[#This Row],[hwycov_id]]</f>
        <v>14645</v>
      </c>
      <c r="L733">
        <f>Table_socioeca8.sandag.org_ws_abm2_f4[[#This Row],[scenario_id]]</f>
        <v>259</v>
      </c>
      <c r="M733">
        <f>Table_socioeca8.sandag.org_ws_abm2_f4[[#This Row],[flow_day]]</f>
        <v>108983</v>
      </c>
      <c r="N733">
        <f>Table_socioeca8.sandag.org_ws_abm2_f4[[#This Row],[flow_am]]</f>
        <v>25957</v>
      </c>
      <c r="O733">
        <f>Table_socioeca8.sandag.org_ws_abm2_f4[[#This Row],[flow_pm]]</f>
        <v>20296</v>
      </c>
    </row>
    <row r="734" spans="5:15" x14ac:dyDescent="0.25">
      <c r="E734">
        <v>14647</v>
      </c>
      <c r="F734">
        <f t="shared" si="11"/>
        <v>259</v>
      </c>
      <c r="G734">
        <f>IFERROR(VLOOKUP(Table_socioeca8.sandag.org_ws_abm2_f4[[#This Row],[hwycov_id]],[2]flow_freeway!$A$2:$E$1643,3,FALSE),0)</f>
        <v>123411</v>
      </c>
      <c r="H734">
        <f>IFERROR(VLOOKUP(Table_socioeca8.sandag.org_ws_abm2_f4[[#This Row],[hwycov_id]],[2]flow_freeway!$A$2:$E$1643,4,FALSE),0)</f>
        <v>19512</v>
      </c>
      <c r="I734">
        <f>IFERROR(VLOOKUP(Table_socioeca8.sandag.org_ws_abm2_f4[[#This Row],[hwycov_id]],[2]flow_freeway!$A$2:$E$1643,5,FALSE),0)</f>
        <v>36079</v>
      </c>
      <c r="K734">
        <f>Table_socioeca8.sandag.org_ws_abm2_f4[[#This Row],[hwycov_id]]</f>
        <v>14647</v>
      </c>
      <c r="L734">
        <f>Table_socioeca8.sandag.org_ws_abm2_f4[[#This Row],[scenario_id]]</f>
        <v>259</v>
      </c>
      <c r="M734">
        <f>Table_socioeca8.sandag.org_ws_abm2_f4[[#This Row],[flow_day]]</f>
        <v>123411</v>
      </c>
      <c r="N734">
        <f>Table_socioeca8.sandag.org_ws_abm2_f4[[#This Row],[flow_am]]</f>
        <v>19512</v>
      </c>
      <c r="O734">
        <f>Table_socioeca8.sandag.org_ws_abm2_f4[[#This Row],[flow_pm]]</f>
        <v>36079</v>
      </c>
    </row>
    <row r="735" spans="5:15" x14ac:dyDescent="0.25">
      <c r="E735">
        <v>14650</v>
      </c>
      <c r="F735">
        <f t="shared" si="11"/>
        <v>259</v>
      </c>
      <c r="G735">
        <f>IFERROR(VLOOKUP(Table_socioeca8.sandag.org_ws_abm2_f4[[#This Row],[hwycov_id]],[2]flow_freeway!$A$2:$E$1643,3,FALSE),0)</f>
        <v>105962</v>
      </c>
      <c r="H735">
        <f>IFERROR(VLOOKUP(Table_socioeca8.sandag.org_ws_abm2_f4[[#This Row],[hwycov_id]],[2]flow_freeway!$A$2:$E$1643,4,FALSE),0)</f>
        <v>16203</v>
      </c>
      <c r="I735">
        <f>IFERROR(VLOOKUP(Table_socioeca8.sandag.org_ws_abm2_f4[[#This Row],[hwycov_id]],[2]flow_freeway!$A$2:$E$1643,5,FALSE),0)</f>
        <v>30445</v>
      </c>
      <c r="K735">
        <f>Table_socioeca8.sandag.org_ws_abm2_f4[[#This Row],[hwycov_id]]</f>
        <v>14650</v>
      </c>
      <c r="L735">
        <f>Table_socioeca8.sandag.org_ws_abm2_f4[[#This Row],[scenario_id]]</f>
        <v>259</v>
      </c>
      <c r="M735">
        <f>Table_socioeca8.sandag.org_ws_abm2_f4[[#This Row],[flow_day]]</f>
        <v>105962</v>
      </c>
      <c r="N735">
        <f>Table_socioeca8.sandag.org_ws_abm2_f4[[#This Row],[flow_am]]</f>
        <v>16203</v>
      </c>
      <c r="O735">
        <f>Table_socioeca8.sandag.org_ws_abm2_f4[[#This Row],[flow_pm]]</f>
        <v>30445</v>
      </c>
    </row>
    <row r="736" spans="5:15" x14ac:dyDescent="0.25">
      <c r="E736">
        <v>14652</v>
      </c>
      <c r="F736">
        <f t="shared" si="11"/>
        <v>259</v>
      </c>
      <c r="G736">
        <f>IFERROR(VLOOKUP(Table_socioeca8.sandag.org_ws_abm2_f4[[#This Row],[hwycov_id]],[2]flow_freeway!$A$2:$E$1643,3,FALSE),0)</f>
        <v>112185</v>
      </c>
      <c r="H736">
        <f>IFERROR(VLOOKUP(Table_socioeca8.sandag.org_ws_abm2_f4[[#This Row],[hwycov_id]],[2]flow_freeway!$A$2:$E$1643,4,FALSE),0)</f>
        <v>18613</v>
      </c>
      <c r="I736">
        <f>IFERROR(VLOOKUP(Table_socioeca8.sandag.org_ws_abm2_f4[[#This Row],[hwycov_id]],[2]flow_freeway!$A$2:$E$1643,5,FALSE),0)</f>
        <v>34560</v>
      </c>
      <c r="K736">
        <f>Table_socioeca8.sandag.org_ws_abm2_f4[[#This Row],[hwycov_id]]</f>
        <v>14652</v>
      </c>
      <c r="L736">
        <f>Table_socioeca8.sandag.org_ws_abm2_f4[[#This Row],[scenario_id]]</f>
        <v>259</v>
      </c>
      <c r="M736">
        <f>Table_socioeca8.sandag.org_ws_abm2_f4[[#This Row],[flow_day]]</f>
        <v>112185</v>
      </c>
      <c r="N736">
        <f>Table_socioeca8.sandag.org_ws_abm2_f4[[#This Row],[flow_am]]</f>
        <v>18613</v>
      </c>
      <c r="O736">
        <f>Table_socioeca8.sandag.org_ws_abm2_f4[[#This Row],[flow_pm]]</f>
        <v>34560</v>
      </c>
    </row>
    <row r="737" spans="5:15" x14ac:dyDescent="0.25">
      <c r="E737">
        <v>14658</v>
      </c>
      <c r="F737">
        <f t="shared" si="11"/>
        <v>259</v>
      </c>
      <c r="G737">
        <f>IFERROR(VLOOKUP(Table_socioeca8.sandag.org_ws_abm2_f4[[#This Row],[hwycov_id]],[2]flow_freeway!$A$2:$E$1643,3,FALSE),0)</f>
        <v>129010</v>
      </c>
      <c r="H737">
        <f>IFERROR(VLOOKUP(Table_socioeca8.sandag.org_ws_abm2_f4[[#This Row],[hwycov_id]],[2]flow_freeway!$A$2:$E$1643,4,FALSE),0)</f>
        <v>29690</v>
      </c>
      <c r="I737">
        <f>IFERROR(VLOOKUP(Table_socioeca8.sandag.org_ws_abm2_f4[[#This Row],[hwycov_id]],[2]flow_freeway!$A$2:$E$1643,5,FALSE),0)</f>
        <v>23544</v>
      </c>
      <c r="K737">
        <f>Table_socioeca8.sandag.org_ws_abm2_f4[[#This Row],[hwycov_id]]</f>
        <v>14658</v>
      </c>
      <c r="L737">
        <f>Table_socioeca8.sandag.org_ws_abm2_f4[[#This Row],[scenario_id]]</f>
        <v>259</v>
      </c>
      <c r="M737">
        <f>Table_socioeca8.sandag.org_ws_abm2_f4[[#This Row],[flow_day]]</f>
        <v>129010</v>
      </c>
      <c r="N737">
        <f>Table_socioeca8.sandag.org_ws_abm2_f4[[#This Row],[flow_am]]</f>
        <v>29690</v>
      </c>
      <c r="O737">
        <f>Table_socioeca8.sandag.org_ws_abm2_f4[[#This Row],[flow_pm]]</f>
        <v>23544</v>
      </c>
    </row>
    <row r="738" spans="5:15" x14ac:dyDescent="0.25">
      <c r="E738">
        <v>14660</v>
      </c>
      <c r="F738">
        <f t="shared" si="11"/>
        <v>259</v>
      </c>
      <c r="G738">
        <f>IFERROR(VLOOKUP(Table_socioeca8.sandag.org_ws_abm2_f4[[#This Row],[hwycov_id]],[2]flow_freeway!$A$2:$E$1643,3,FALSE),0)</f>
        <v>116566</v>
      </c>
      <c r="H738">
        <f>IFERROR(VLOOKUP(Table_socioeca8.sandag.org_ws_abm2_f4[[#This Row],[hwycov_id]],[2]flow_freeway!$A$2:$E$1643,4,FALSE),0)</f>
        <v>26801</v>
      </c>
      <c r="I738">
        <f>IFERROR(VLOOKUP(Table_socioeca8.sandag.org_ws_abm2_f4[[#This Row],[hwycov_id]],[2]flow_freeway!$A$2:$E$1643,5,FALSE),0)</f>
        <v>20797</v>
      </c>
      <c r="K738">
        <f>Table_socioeca8.sandag.org_ws_abm2_f4[[#This Row],[hwycov_id]]</f>
        <v>14660</v>
      </c>
      <c r="L738">
        <f>Table_socioeca8.sandag.org_ws_abm2_f4[[#This Row],[scenario_id]]</f>
        <v>259</v>
      </c>
      <c r="M738">
        <f>Table_socioeca8.sandag.org_ws_abm2_f4[[#This Row],[flow_day]]</f>
        <v>116566</v>
      </c>
      <c r="N738">
        <f>Table_socioeca8.sandag.org_ws_abm2_f4[[#This Row],[flow_am]]</f>
        <v>26801</v>
      </c>
      <c r="O738">
        <f>Table_socioeca8.sandag.org_ws_abm2_f4[[#This Row],[flow_pm]]</f>
        <v>20797</v>
      </c>
    </row>
    <row r="739" spans="5:15" x14ac:dyDescent="0.25">
      <c r="E739">
        <v>14666</v>
      </c>
      <c r="F739">
        <f t="shared" si="11"/>
        <v>259</v>
      </c>
      <c r="G739">
        <f>IFERROR(VLOOKUP(Table_socioeca8.sandag.org_ws_abm2_f4[[#This Row],[hwycov_id]],[2]flow_freeway!$A$2:$E$1643,3,FALSE),0)</f>
        <v>140129</v>
      </c>
      <c r="H739">
        <f>IFERROR(VLOOKUP(Table_socioeca8.sandag.org_ws_abm2_f4[[#This Row],[hwycov_id]],[2]flow_freeway!$A$2:$E$1643,4,FALSE),0)</f>
        <v>32321</v>
      </c>
      <c r="I739">
        <f>IFERROR(VLOOKUP(Table_socioeca8.sandag.org_ws_abm2_f4[[#This Row],[hwycov_id]],[2]flow_freeway!$A$2:$E$1643,5,FALSE),0)</f>
        <v>25678</v>
      </c>
      <c r="K739">
        <f>Table_socioeca8.sandag.org_ws_abm2_f4[[#This Row],[hwycov_id]]</f>
        <v>14666</v>
      </c>
      <c r="L739">
        <f>Table_socioeca8.sandag.org_ws_abm2_f4[[#This Row],[scenario_id]]</f>
        <v>259</v>
      </c>
      <c r="M739">
        <f>Table_socioeca8.sandag.org_ws_abm2_f4[[#This Row],[flow_day]]</f>
        <v>140129</v>
      </c>
      <c r="N739">
        <f>Table_socioeca8.sandag.org_ws_abm2_f4[[#This Row],[flow_am]]</f>
        <v>32321</v>
      </c>
      <c r="O739">
        <f>Table_socioeca8.sandag.org_ws_abm2_f4[[#This Row],[flow_pm]]</f>
        <v>25678</v>
      </c>
    </row>
    <row r="740" spans="5:15" x14ac:dyDescent="0.25">
      <c r="E740">
        <v>14682</v>
      </c>
      <c r="F740">
        <f t="shared" si="11"/>
        <v>259</v>
      </c>
      <c r="G740">
        <f>IFERROR(VLOOKUP(Table_socioeca8.sandag.org_ws_abm2_f4[[#This Row],[hwycov_id]],[2]flow_freeway!$A$2:$E$1643,3,FALSE),0)</f>
        <v>161241</v>
      </c>
      <c r="H740">
        <f>IFERROR(VLOOKUP(Table_socioeca8.sandag.org_ws_abm2_f4[[#This Row],[hwycov_id]],[2]flow_freeway!$A$2:$E$1643,4,FALSE),0)</f>
        <v>28926</v>
      </c>
      <c r="I740">
        <f>IFERROR(VLOOKUP(Table_socioeca8.sandag.org_ws_abm2_f4[[#This Row],[hwycov_id]],[2]flow_freeway!$A$2:$E$1643,5,FALSE),0)</f>
        <v>44064</v>
      </c>
      <c r="K740">
        <f>Table_socioeca8.sandag.org_ws_abm2_f4[[#This Row],[hwycov_id]]</f>
        <v>14682</v>
      </c>
      <c r="L740">
        <f>Table_socioeca8.sandag.org_ws_abm2_f4[[#This Row],[scenario_id]]</f>
        <v>259</v>
      </c>
      <c r="M740">
        <f>Table_socioeca8.sandag.org_ws_abm2_f4[[#This Row],[flow_day]]</f>
        <v>161241</v>
      </c>
      <c r="N740">
        <f>Table_socioeca8.sandag.org_ws_abm2_f4[[#This Row],[flow_am]]</f>
        <v>28926</v>
      </c>
      <c r="O740">
        <f>Table_socioeca8.sandag.org_ws_abm2_f4[[#This Row],[flow_pm]]</f>
        <v>44064</v>
      </c>
    </row>
    <row r="741" spans="5:15" x14ac:dyDescent="0.25">
      <c r="E741">
        <v>14715</v>
      </c>
      <c r="F741">
        <f t="shared" si="11"/>
        <v>259</v>
      </c>
      <c r="G741">
        <f>IFERROR(VLOOKUP(Table_socioeca8.sandag.org_ws_abm2_f4[[#This Row],[hwycov_id]],[2]flow_freeway!$A$2:$E$1643,3,FALSE),0)</f>
        <v>63818</v>
      </c>
      <c r="H741">
        <f>IFERROR(VLOOKUP(Table_socioeca8.sandag.org_ws_abm2_f4[[#This Row],[hwycov_id]],[2]flow_freeway!$A$2:$E$1643,4,FALSE),0)</f>
        <v>12455</v>
      </c>
      <c r="I741">
        <f>IFERROR(VLOOKUP(Table_socioeca8.sandag.org_ws_abm2_f4[[#This Row],[hwycov_id]],[2]flow_freeway!$A$2:$E$1643,5,FALSE),0)</f>
        <v>16394</v>
      </c>
      <c r="K741">
        <f>Table_socioeca8.sandag.org_ws_abm2_f4[[#This Row],[hwycov_id]]</f>
        <v>14715</v>
      </c>
      <c r="L741">
        <f>Table_socioeca8.sandag.org_ws_abm2_f4[[#This Row],[scenario_id]]</f>
        <v>259</v>
      </c>
      <c r="M741">
        <f>Table_socioeca8.sandag.org_ws_abm2_f4[[#This Row],[flow_day]]</f>
        <v>63818</v>
      </c>
      <c r="N741">
        <f>Table_socioeca8.sandag.org_ws_abm2_f4[[#This Row],[flow_am]]</f>
        <v>12455</v>
      </c>
      <c r="O741">
        <f>Table_socioeca8.sandag.org_ws_abm2_f4[[#This Row],[flow_pm]]</f>
        <v>16394</v>
      </c>
    </row>
    <row r="742" spans="5:15" x14ac:dyDescent="0.25">
      <c r="E742">
        <v>14782</v>
      </c>
      <c r="F742">
        <f t="shared" si="11"/>
        <v>259</v>
      </c>
      <c r="G742">
        <f>IFERROR(VLOOKUP(Table_socioeca8.sandag.org_ws_abm2_f4[[#This Row],[hwycov_id]],[2]flow_freeway!$A$2:$E$1643,3,FALSE),0)</f>
        <v>69557</v>
      </c>
      <c r="H742">
        <f>IFERROR(VLOOKUP(Table_socioeca8.sandag.org_ws_abm2_f4[[#This Row],[hwycov_id]],[2]flow_freeway!$A$2:$E$1643,4,FALSE),0)</f>
        <v>16820</v>
      </c>
      <c r="I742">
        <f>IFERROR(VLOOKUP(Table_socioeca8.sandag.org_ws_abm2_f4[[#This Row],[hwycov_id]],[2]flow_freeway!$A$2:$E$1643,5,FALSE),0)</f>
        <v>12751</v>
      </c>
      <c r="K742">
        <f>Table_socioeca8.sandag.org_ws_abm2_f4[[#This Row],[hwycov_id]]</f>
        <v>14782</v>
      </c>
      <c r="L742">
        <f>Table_socioeca8.sandag.org_ws_abm2_f4[[#This Row],[scenario_id]]</f>
        <v>259</v>
      </c>
      <c r="M742">
        <f>Table_socioeca8.sandag.org_ws_abm2_f4[[#This Row],[flow_day]]</f>
        <v>69557</v>
      </c>
      <c r="N742">
        <f>Table_socioeca8.sandag.org_ws_abm2_f4[[#This Row],[flow_am]]</f>
        <v>16820</v>
      </c>
      <c r="O742">
        <f>Table_socioeca8.sandag.org_ws_abm2_f4[[#This Row],[flow_pm]]</f>
        <v>12751</v>
      </c>
    </row>
    <row r="743" spans="5:15" x14ac:dyDescent="0.25">
      <c r="E743">
        <v>14949</v>
      </c>
      <c r="F743">
        <f t="shared" si="11"/>
        <v>259</v>
      </c>
      <c r="G743">
        <f>IFERROR(VLOOKUP(Table_socioeca8.sandag.org_ws_abm2_f4[[#This Row],[hwycov_id]],[2]flow_freeway!$A$2:$E$1643,3,FALSE),0)</f>
        <v>72869</v>
      </c>
      <c r="H743">
        <f>IFERROR(VLOOKUP(Table_socioeca8.sandag.org_ws_abm2_f4[[#This Row],[hwycov_id]],[2]flow_freeway!$A$2:$E$1643,4,FALSE),0)</f>
        <v>11927</v>
      </c>
      <c r="I743">
        <f>IFERROR(VLOOKUP(Table_socioeca8.sandag.org_ws_abm2_f4[[#This Row],[hwycov_id]],[2]flow_freeway!$A$2:$E$1643,5,FALSE),0)</f>
        <v>21265</v>
      </c>
      <c r="K743">
        <f>Table_socioeca8.sandag.org_ws_abm2_f4[[#This Row],[hwycov_id]]</f>
        <v>14949</v>
      </c>
      <c r="L743">
        <f>Table_socioeca8.sandag.org_ws_abm2_f4[[#This Row],[scenario_id]]</f>
        <v>259</v>
      </c>
      <c r="M743">
        <f>Table_socioeca8.sandag.org_ws_abm2_f4[[#This Row],[flow_day]]</f>
        <v>72869</v>
      </c>
      <c r="N743">
        <f>Table_socioeca8.sandag.org_ws_abm2_f4[[#This Row],[flow_am]]</f>
        <v>11927</v>
      </c>
      <c r="O743">
        <f>Table_socioeca8.sandag.org_ws_abm2_f4[[#This Row],[flow_pm]]</f>
        <v>21265</v>
      </c>
    </row>
    <row r="744" spans="5:15" x14ac:dyDescent="0.25">
      <c r="E744">
        <v>14953</v>
      </c>
      <c r="F744">
        <f t="shared" si="11"/>
        <v>259</v>
      </c>
      <c r="G744">
        <f>IFERROR(VLOOKUP(Table_socioeca8.sandag.org_ws_abm2_f4[[#This Row],[hwycov_id]],[2]flow_freeway!$A$2:$E$1643,3,FALSE),0)</f>
        <v>124304</v>
      </c>
      <c r="H744">
        <f>IFERROR(VLOOKUP(Table_socioeca8.sandag.org_ws_abm2_f4[[#This Row],[hwycov_id]],[2]flow_freeway!$A$2:$E$1643,4,FALSE),0)</f>
        <v>19981</v>
      </c>
      <c r="I744">
        <f>IFERROR(VLOOKUP(Table_socioeca8.sandag.org_ws_abm2_f4[[#This Row],[hwycov_id]],[2]flow_freeway!$A$2:$E$1643,5,FALSE),0)</f>
        <v>36163</v>
      </c>
      <c r="K744">
        <f>Table_socioeca8.sandag.org_ws_abm2_f4[[#This Row],[hwycov_id]]</f>
        <v>14953</v>
      </c>
      <c r="L744">
        <f>Table_socioeca8.sandag.org_ws_abm2_f4[[#This Row],[scenario_id]]</f>
        <v>259</v>
      </c>
      <c r="M744">
        <f>Table_socioeca8.sandag.org_ws_abm2_f4[[#This Row],[flow_day]]</f>
        <v>124304</v>
      </c>
      <c r="N744">
        <f>Table_socioeca8.sandag.org_ws_abm2_f4[[#This Row],[flow_am]]</f>
        <v>19981</v>
      </c>
      <c r="O744">
        <f>Table_socioeca8.sandag.org_ws_abm2_f4[[#This Row],[flow_pm]]</f>
        <v>36163</v>
      </c>
    </row>
    <row r="745" spans="5:15" x14ac:dyDescent="0.25">
      <c r="E745">
        <v>15010</v>
      </c>
      <c r="F745">
        <f t="shared" si="11"/>
        <v>259</v>
      </c>
      <c r="G745">
        <f>IFERROR(VLOOKUP(Table_socioeca8.sandag.org_ws_abm2_f4[[#This Row],[hwycov_id]],[2]flow_freeway!$A$2:$E$1643,3,FALSE),0)</f>
        <v>95084</v>
      </c>
      <c r="H745">
        <f>IFERROR(VLOOKUP(Table_socioeca8.sandag.org_ws_abm2_f4[[#This Row],[hwycov_id]],[2]flow_freeway!$A$2:$E$1643,4,FALSE),0)</f>
        <v>22115</v>
      </c>
      <c r="I745">
        <f>IFERROR(VLOOKUP(Table_socioeca8.sandag.org_ws_abm2_f4[[#This Row],[hwycov_id]],[2]flow_freeway!$A$2:$E$1643,5,FALSE),0)</f>
        <v>22273</v>
      </c>
      <c r="K745">
        <f>Table_socioeca8.sandag.org_ws_abm2_f4[[#This Row],[hwycov_id]]</f>
        <v>15010</v>
      </c>
      <c r="L745">
        <f>Table_socioeca8.sandag.org_ws_abm2_f4[[#This Row],[scenario_id]]</f>
        <v>259</v>
      </c>
      <c r="M745">
        <f>Table_socioeca8.sandag.org_ws_abm2_f4[[#This Row],[flow_day]]</f>
        <v>95084</v>
      </c>
      <c r="N745">
        <f>Table_socioeca8.sandag.org_ws_abm2_f4[[#This Row],[flow_am]]</f>
        <v>22115</v>
      </c>
      <c r="O745">
        <f>Table_socioeca8.sandag.org_ws_abm2_f4[[#This Row],[flow_pm]]</f>
        <v>22273</v>
      </c>
    </row>
    <row r="746" spans="5:15" x14ac:dyDescent="0.25">
      <c r="E746">
        <v>15020</v>
      </c>
      <c r="F746">
        <f t="shared" si="11"/>
        <v>259</v>
      </c>
      <c r="G746">
        <f>IFERROR(VLOOKUP(Table_socioeca8.sandag.org_ws_abm2_f4[[#This Row],[hwycov_id]],[2]flow_freeway!$A$2:$E$1643,3,FALSE),0)</f>
        <v>84360</v>
      </c>
      <c r="H746">
        <f>IFERROR(VLOOKUP(Table_socioeca8.sandag.org_ws_abm2_f4[[#This Row],[hwycov_id]],[2]flow_freeway!$A$2:$E$1643,4,FALSE),0)</f>
        <v>19616</v>
      </c>
      <c r="I746">
        <f>IFERROR(VLOOKUP(Table_socioeca8.sandag.org_ws_abm2_f4[[#This Row],[hwycov_id]],[2]flow_freeway!$A$2:$E$1643,5,FALSE),0)</f>
        <v>19651</v>
      </c>
      <c r="K746">
        <f>Table_socioeca8.sandag.org_ws_abm2_f4[[#This Row],[hwycov_id]]</f>
        <v>15020</v>
      </c>
      <c r="L746">
        <f>Table_socioeca8.sandag.org_ws_abm2_f4[[#This Row],[scenario_id]]</f>
        <v>259</v>
      </c>
      <c r="M746">
        <f>Table_socioeca8.sandag.org_ws_abm2_f4[[#This Row],[flow_day]]</f>
        <v>84360</v>
      </c>
      <c r="N746">
        <f>Table_socioeca8.sandag.org_ws_abm2_f4[[#This Row],[flow_am]]</f>
        <v>19616</v>
      </c>
      <c r="O746">
        <f>Table_socioeca8.sandag.org_ws_abm2_f4[[#This Row],[flow_pm]]</f>
        <v>19651</v>
      </c>
    </row>
    <row r="747" spans="5:15" x14ac:dyDescent="0.25">
      <c r="E747">
        <v>15035</v>
      </c>
      <c r="F747">
        <f t="shared" si="11"/>
        <v>259</v>
      </c>
      <c r="G747">
        <f>IFERROR(VLOOKUP(Table_socioeca8.sandag.org_ws_abm2_f4[[#This Row],[hwycov_id]],[2]flow_freeway!$A$2:$E$1643,3,FALSE),0)</f>
        <v>84088</v>
      </c>
      <c r="H747">
        <f>IFERROR(VLOOKUP(Table_socioeca8.sandag.org_ws_abm2_f4[[#This Row],[hwycov_id]],[2]flow_freeway!$A$2:$E$1643,4,FALSE),0)</f>
        <v>17271</v>
      </c>
      <c r="I747">
        <f>IFERROR(VLOOKUP(Table_socioeca8.sandag.org_ws_abm2_f4[[#This Row],[hwycov_id]],[2]flow_freeway!$A$2:$E$1643,5,FALSE),0)</f>
        <v>25208</v>
      </c>
      <c r="K747">
        <f>Table_socioeca8.sandag.org_ws_abm2_f4[[#This Row],[hwycov_id]]</f>
        <v>15035</v>
      </c>
      <c r="L747">
        <f>Table_socioeca8.sandag.org_ws_abm2_f4[[#This Row],[scenario_id]]</f>
        <v>259</v>
      </c>
      <c r="M747">
        <f>Table_socioeca8.sandag.org_ws_abm2_f4[[#This Row],[flow_day]]</f>
        <v>84088</v>
      </c>
      <c r="N747">
        <f>Table_socioeca8.sandag.org_ws_abm2_f4[[#This Row],[flow_am]]</f>
        <v>17271</v>
      </c>
      <c r="O747">
        <f>Table_socioeca8.sandag.org_ws_abm2_f4[[#This Row],[flow_pm]]</f>
        <v>25208</v>
      </c>
    </row>
    <row r="748" spans="5:15" x14ac:dyDescent="0.25">
      <c r="E748">
        <v>15036</v>
      </c>
      <c r="F748">
        <f t="shared" si="11"/>
        <v>259</v>
      </c>
      <c r="G748">
        <f>IFERROR(VLOOKUP(Table_socioeca8.sandag.org_ws_abm2_f4[[#This Row],[hwycov_id]],[2]flow_freeway!$A$2:$E$1643,3,FALSE),0)</f>
        <v>85891</v>
      </c>
      <c r="H748">
        <f>IFERROR(VLOOKUP(Table_socioeca8.sandag.org_ws_abm2_f4[[#This Row],[hwycov_id]],[2]flow_freeway!$A$2:$E$1643,4,FALSE),0)</f>
        <v>19870</v>
      </c>
      <c r="I748">
        <f>IFERROR(VLOOKUP(Table_socioeca8.sandag.org_ws_abm2_f4[[#This Row],[hwycov_id]],[2]flow_freeway!$A$2:$E$1643,5,FALSE),0)</f>
        <v>20675</v>
      </c>
      <c r="K748">
        <f>Table_socioeca8.sandag.org_ws_abm2_f4[[#This Row],[hwycov_id]]</f>
        <v>15036</v>
      </c>
      <c r="L748">
        <f>Table_socioeca8.sandag.org_ws_abm2_f4[[#This Row],[scenario_id]]</f>
        <v>259</v>
      </c>
      <c r="M748">
        <f>Table_socioeca8.sandag.org_ws_abm2_f4[[#This Row],[flow_day]]</f>
        <v>85891</v>
      </c>
      <c r="N748">
        <f>Table_socioeca8.sandag.org_ws_abm2_f4[[#This Row],[flow_am]]</f>
        <v>19870</v>
      </c>
      <c r="O748">
        <f>Table_socioeca8.sandag.org_ws_abm2_f4[[#This Row],[flow_pm]]</f>
        <v>20675</v>
      </c>
    </row>
    <row r="749" spans="5:15" x14ac:dyDescent="0.25">
      <c r="E749">
        <v>15037</v>
      </c>
      <c r="F749">
        <f t="shared" si="11"/>
        <v>259</v>
      </c>
      <c r="G749">
        <f>IFERROR(VLOOKUP(Table_socioeca8.sandag.org_ws_abm2_f4[[#This Row],[hwycov_id]],[2]flow_freeway!$A$2:$E$1643,3,FALSE),0)</f>
        <v>76739</v>
      </c>
      <c r="H749">
        <f>IFERROR(VLOOKUP(Table_socioeca8.sandag.org_ws_abm2_f4[[#This Row],[hwycov_id]],[2]flow_freeway!$A$2:$E$1643,4,FALSE),0)</f>
        <v>17837</v>
      </c>
      <c r="I749">
        <f>IFERROR(VLOOKUP(Table_socioeca8.sandag.org_ws_abm2_f4[[#This Row],[hwycov_id]],[2]flow_freeway!$A$2:$E$1643,5,FALSE),0)</f>
        <v>18432</v>
      </c>
      <c r="K749">
        <f>Table_socioeca8.sandag.org_ws_abm2_f4[[#This Row],[hwycov_id]]</f>
        <v>15037</v>
      </c>
      <c r="L749">
        <f>Table_socioeca8.sandag.org_ws_abm2_f4[[#This Row],[scenario_id]]</f>
        <v>259</v>
      </c>
      <c r="M749">
        <f>Table_socioeca8.sandag.org_ws_abm2_f4[[#This Row],[flow_day]]</f>
        <v>76739</v>
      </c>
      <c r="N749">
        <f>Table_socioeca8.sandag.org_ws_abm2_f4[[#This Row],[flow_am]]</f>
        <v>17837</v>
      </c>
      <c r="O749">
        <f>Table_socioeca8.sandag.org_ws_abm2_f4[[#This Row],[flow_pm]]</f>
        <v>18432</v>
      </c>
    </row>
    <row r="750" spans="5:15" x14ac:dyDescent="0.25">
      <c r="E750">
        <v>15038</v>
      </c>
      <c r="F750">
        <f t="shared" si="11"/>
        <v>259</v>
      </c>
      <c r="G750">
        <f>IFERROR(VLOOKUP(Table_socioeca8.sandag.org_ws_abm2_f4[[#This Row],[hwycov_id]],[2]flow_freeway!$A$2:$E$1643,3,FALSE),0)</f>
        <v>67931</v>
      </c>
      <c r="H750">
        <f>IFERROR(VLOOKUP(Table_socioeca8.sandag.org_ws_abm2_f4[[#This Row],[hwycov_id]],[2]flow_freeway!$A$2:$E$1643,4,FALSE),0)</f>
        <v>15595</v>
      </c>
      <c r="I750">
        <f>IFERROR(VLOOKUP(Table_socioeca8.sandag.org_ws_abm2_f4[[#This Row],[hwycov_id]],[2]flow_freeway!$A$2:$E$1643,5,FALSE),0)</f>
        <v>16604</v>
      </c>
      <c r="K750">
        <f>Table_socioeca8.sandag.org_ws_abm2_f4[[#This Row],[hwycov_id]]</f>
        <v>15038</v>
      </c>
      <c r="L750">
        <f>Table_socioeca8.sandag.org_ws_abm2_f4[[#This Row],[scenario_id]]</f>
        <v>259</v>
      </c>
      <c r="M750">
        <f>Table_socioeca8.sandag.org_ws_abm2_f4[[#This Row],[flow_day]]</f>
        <v>67931</v>
      </c>
      <c r="N750">
        <f>Table_socioeca8.sandag.org_ws_abm2_f4[[#This Row],[flow_am]]</f>
        <v>15595</v>
      </c>
      <c r="O750">
        <f>Table_socioeca8.sandag.org_ws_abm2_f4[[#This Row],[flow_pm]]</f>
        <v>16604</v>
      </c>
    </row>
    <row r="751" spans="5:15" x14ac:dyDescent="0.25">
      <c r="E751">
        <v>15039</v>
      </c>
      <c r="F751">
        <f t="shared" si="11"/>
        <v>259</v>
      </c>
      <c r="G751">
        <f>IFERROR(VLOOKUP(Table_socioeca8.sandag.org_ws_abm2_f4[[#This Row],[hwycov_id]],[2]flow_freeway!$A$2:$E$1643,3,FALSE),0)</f>
        <v>75992</v>
      </c>
      <c r="H751">
        <f>IFERROR(VLOOKUP(Table_socioeca8.sandag.org_ws_abm2_f4[[#This Row],[hwycov_id]],[2]flow_freeway!$A$2:$E$1643,4,FALSE),0)</f>
        <v>15873</v>
      </c>
      <c r="I751">
        <f>IFERROR(VLOOKUP(Table_socioeca8.sandag.org_ws_abm2_f4[[#This Row],[hwycov_id]],[2]flow_freeway!$A$2:$E$1643,5,FALSE),0)</f>
        <v>22711</v>
      </c>
      <c r="K751">
        <f>Table_socioeca8.sandag.org_ws_abm2_f4[[#This Row],[hwycov_id]]</f>
        <v>15039</v>
      </c>
      <c r="L751">
        <f>Table_socioeca8.sandag.org_ws_abm2_f4[[#This Row],[scenario_id]]</f>
        <v>259</v>
      </c>
      <c r="M751">
        <f>Table_socioeca8.sandag.org_ws_abm2_f4[[#This Row],[flow_day]]</f>
        <v>75992</v>
      </c>
      <c r="N751">
        <f>Table_socioeca8.sandag.org_ws_abm2_f4[[#This Row],[flow_am]]</f>
        <v>15873</v>
      </c>
      <c r="O751">
        <f>Table_socioeca8.sandag.org_ws_abm2_f4[[#This Row],[flow_pm]]</f>
        <v>22711</v>
      </c>
    </row>
    <row r="752" spans="5:15" x14ac:dyDescent="0.25">
      <c r="E752">
        <v>15041</v>
      </c>
      <c r="F752">
        <f t="shared" si="11"/>
        <v>259</v>
      </c>
      <c r="G752">
        <f>IFERROR(VLOOKUP(Table_socioeca8.sandag.org_ws_abm2_f4[[#This Row],[hwycov_id]],[2]flow_freeway!$A$2:$E$1643,3,FALSE),0)</f>
        <v>70544</v>
      </c>
      <c r="H752">
        <f>IFERROR(VLOOKUP(Table_socioeca8.sandag.org_ws_abm2_f4[[#This Row],[hwycov_id]],[2]flow_freeway!$A$2:$E$1643,4,FALSE),0)</f>
        <v>14991</v>
      </c>
      <c r="I752">
        <f>IFERROR(VLOOKUP(Table_socioeca8.sandag.org_ws_abm2_f4[[#This Row],[hwycov_id]],[2]flow_freeway!$A$2:$E$1643,5,FALSE),0)</f>
        <v>20676</v>
      </c>
      <c r="K752">
        <f>Table_socioeca8.sandag.org_ws_abm2_f4[[#This Row],[hwycov_id]]</f>
        <v>15041</v>
      </c>
      <c r="L752">
        <f>Table_socioeca8.sandag.org_ws_abm2_f4[[#This Row],[scenario_id]]</f>
        <v>259</v>
      </c>
      <c r="M752">
        <f>Table_socioeca8.sandag.org_ws_abm2_f4[[#This Row],[flow_day]]</f>
        <v>70544</v>
      </c>
      <c r="N752">
        <f>Table_socioeca8.sandag.org_ws_abm2_f4[[#This Row],[flow_am]]</f>
        <v>14991</v>
      </c>
      <c r="O752">
        <f>Table_socioeca8.sandag.org_ws_abm2_f4[[#This Row],[flow_pm]]</f>
        <v>20676</v>
      </c>
    </row>
    <row r="753" spans="5:15" x14ac:dyDescent="0.25">
      <c r="E753">
        <v>15064</v>
      </c>
      <c r="F753">
        <f t="shared" si="11"/>
        <v>259</v>
      </c>
      <c r="G753">
        <f>IFERROR(VLOOKUP(Table_socioeca8.sandag.org_ws_abm2_f4[[#This Row],[hwycov_id]],[2]flow_freeway!$A$2:$E$1643,3,FALSE),0)</f>
        <v>102820</v>
      </c>
      <c r="H753">
        <f>IFERROR(VLOOKUP(Table_socioeca8.sandag.org_ws_abm2_f4[[#This Row],[hwycov_id]],[2]flow_freeway!$A$2:$E$1643,4,FALSE),0)</f>
        <v>23496</v>
      </c>
      <c r="I753">
        <f>IFERROR(VLOOKUP(Table_socioeca8.sandag.org_ws_abm2_f4[[#This Row],[hwycov_id]],[2]flow_freeway!$A$2:$E$1643,5,FALSE),0)</f>
        <v>21510</v>
      </c>
      <c r="K753">
        <f>Table_socioeca8.sandag.org_ws_abm2_f4[[#This Row],[hwycov_id]]</f>
        <v>15064</v>
      </c>
      <c r="L753">
        <f>Table_socioeca8.sandag.org_ws_abm2_f4[[#This Row],[scenario_id]]</f>
        <v>259</v>
      </c>
      <c r="M753">
        <f>Table_socioeca8.sandag.org_ws_abm2_f4[[#This Row],[flow_day]]</f>
        <v>102820</v>
      </c>
      <c r="N753">
        <f>Table_socioeca8.sandag.org_ws_abm2_f4[[#This Row],[flow_am]]</f>
        <v>23496</v>
      </c>
      <c r="O753">
        <f>Table_socioeca8.sandag.org_ws_abm2_f4[[#This Row],[flow_pm]]</f>
        <v>21510</v>
      </c>
    </row>
    <row r="754" spans="5:15" x14ac:dyDescent="0.25">
      <c r="E754">
        <v>15065</v>
      </c>
      <c r="F754">
        <f t="shared" si="11"/>
        <v>259</v>
      </c>
      <c r="G754">
        <f>IFERROR(VLOOKUP(Table_socioeca8.sandag.org_ws_abm2_f4[[#This Row],[hwycov_id]],[2]flow_freeway!$A$2:$E$1643,3,FALSE),0)</f>
        <v>101784</v>
      </c>
      <c r="H754">
        <f>IFERROR(VLOOKUP(Table_socioeca8.sandag.org_ws_abm2_f4[[#This Row],[hwycov_id]],[2]flow_freeway!$A$2:$E$1643,4,FALSE),0)</f>
        <v>18105</v>
      </c>
      <c r="I754">
        <f>IFERROR(VLOOKUP(Table_socioeca8.sandag.org_ws_abm2_f4[[#This Row],[hwycov_id]],[2]flow_freeway!$A$2:$E$1643,5,FALSE),0)</f>
        <v>26520</v>
      </c>
      <c r="K754">
        <f>Table_socioeca8.sandag.org_ws_abm2_f4[[#This Row],[hwycov_id]]</f>
        <v>15065</v>
      </c>
      <c r="L754">
        <f>Table_socioeca8.sandag.org_ws_abm2_f4[[#This Row],[scenario_id]]</f>
        <v>259</v>
      </c>
      <c r="M754">
        <f>Table_socioeca8.sandag.org_ws_abm2_f4[[#This Row],[flow_day]]</f>
        <v>101784</v>
      </c>
      <c r="N754">
        <f>Table_socioeca8.sandag.org_ws_abm2_f4[[#This Row],[flow_am]]</f>
        <v>18105</v>
      </c>
      <c r="O754">
        <f>Table_socioeca8.sandag.org_ws_abm2_f4[[#This Row],[flow_pm]]</f>
        <v>26520</v>
      </c>
    </row>
    <row r="755" spans="5:15" x14ac:dyDescent="0.25">
      <c r="E755">
        <v>15081</v>
      </c>
      <c r="F755">
        <f t="shared" si="11"/>
        <v>259</v>
      </c>
      <c r="G755">
        <f>IFERROR(VLOOKUP(Table_socioeca8.sandag.org_ws_abm2_f4[[#This Row],[hwycov_id]],[2]flow_freeway!$A$2:$E$1643,3,FALSE),0)</f>
        <v>114825</v>
      </c>
      <c r="H755">
        <f>IFERROR(VLOOKUP(Table_socioeca8.sandag.org_ws_abm2_f4[[#This Row],[hwycov_id]],[2]flow_freeway!$A$2:$E$1643,4,FALSE),0)</f>
        <v>26989</v>
      </c>
      <c r="I755">
        <f>IFERROR(VLOOKUP(Table_socioeca8.sandag.org_ws_abm2_f4[[#This Row],[hwycov_id]],[2]flow_freeway!$A$2:$E$1643,5,FALSE),0)</f>
        <v>24207</v>
      </c>
      <c r="K755">
        <f>Table_socioeca8.sandag.org_ws_abm2_f4[[#This Row],[hwycov_id]]</f>
        <v>15081</v>
      </c>
      <c r="L755">
        <f>Table_socioeca8.sandag.org_ws_abm2_f4[[#This Row],[scenario_id]]</f>
        <v>259</v>
      </c>
      <c r="M755">
        <f>Table_socioeca8.sandag.org_ws_abm2_f4[[#This Row],[flow_day]]</f>
        <v>114825</v>
      </c>
      <c r="N755">
        <f>Table_socioeca8.sandag.org_ws_abm2_f4[[#This Row],[flow_am]]</f>
        <v>26989</v>
      </c>
      <c r="O755">
        <f>Table_socioeca8.sandag.org_ws_abm2_f4[[#This Row],[flow_pm]]</f>
        <v>24207</v>
      </c>
    </row>
    <row r="756" spans="5:15" x14ac:dyDescent="0.25">
      <c r="E756">
        <v>15082</v>
      </c>
      <c r="F756">
        <f t="shared" si="11"/>
        <v>259</v>
      </c>
      <c r="G756">
        <f>IFERROR(VLOOKUP(Table_socioeca8.sandag.org_ws_abm2_f4[[#This Row],[hwycov_id]],[2]flow_freeway!$A$2:$E$1643,3,FALSE),0)</f>
        <v>118300</v>
      </c>
      <c r="H756">
        <f>IFERROR(VLOOKUP(Table_socioeca8.sandag.org_ws_abm2_f4[[#This Row],[hwycov_id]],[2]flow_freeway!$A$2:$E$1643,4,FALSE),0)</f>
        <v>27649</v>
      </c>
      <c r="I756">
        <f>IFERROR(VLOOKUP(Table_socioeca8.sandag.org_ws_abm2_f4[[#This Row],[hwycov_id]],[2]flow_freeway!$A$2:$E$1643,5,FALSE),0)</f>
        <v>25150</v>
      </c>
      <c r="K756">
        <f>Table_socioeca8.sandag.org_ws_abm2_f4[[#This Row],[hwycov_id]]</f>
        <v>15082</v>
      </c>
      <c r="L756">
        <f>Table_socioeca8.sandag.org_ws_abm2_f4[[#This Row],[scenario_id]]</f>
        <v>259</v>
      </c>
      <c r="M756">
        <f>Table_socioeca8.sandag.org_ws_abm2_f4[[#This Row],[flow_day]]</f>
        <v>118300</v>
      </c>
      <c r="N756">
        <f>Table_socioeca8.sandag.org_ws_abm2_f4[[#This Row],[flow_am]]</f>
        <v>27649</v>
      </c>
      <c r="O756">
        <f>Table_socioeca8.sandag.org_ws_abm2_f4[[#This Row],[flow_pm]]</f>
        <v>25150</v>
      </c>
    </row>
    <row r="757" spans="5:15" x14ac:dyDescent="0.25">
      <c r="E757">
        <v>15083</v>
      </c>
      <c r="F757">
        <f t="shared" si="11"/>
        <v>259</v>
      </c>
      <c r="G757">
        <f>IFERROR(VLOOKUP(Table_socioeca8.sandag.org_ws_abm2_f4[[#This Row],[hwycov_id]],[2]flow_freeway!$A$2:$E$1643,3,FALSE),0)</f>
        <v>120195</v>
      </c>
      <c r="H757">
        <f>IFERROR(VLOOKUP(Table_socioeca8.sandag.org_ws_abm2_f4[[#This Row],[hwycov_id]],[2]flow_freeway!$A$2:$E$1643,4,FALSE),0)</f>
        <v>20459</v>
      </c>
      <c r="I757">
        <f>IFERROR(VLOOKUP(Table_socioeca8.sandag.org_ws_abm2_f4[[#This Row],[hwycov_id]],[2]flow_freeway!$A$2:$E$1643,5,FALSE),0)</f>
        <v>31284</v>
      </c>
      <c r="K757">
        <f>Table_socioeca8.sandag.org_ws_abm2_f4[[#This Row],[hwycov_id]]</f>
        <v>15083</v>
      </c>
      <c r="L757">
        <f>Table_socioeca8.sandag.org_ws_abm2_f4[[#This Row],[scenario_id]]</f>
        <v>259</v>
      </c>
      <c r="M757">
        <f>Table_socioeca8.sandag.org_ws_abm2_f4[[#This Row],[flow_day]]</f>
        <v>120195</v>
      </c>
      <c r="N757">
        <f>Table_socioeca8.sandag.org_ws_abm2_f4[[#This Row],[flow_am]]</f>
        <v>20459</v>
      </c>
      <c r="O757">
        <f>Table_socioeca8.sandag.org_ws_abm2_f4[[#This Row],[flow_pm]]</f>
        <v>31284</v>
      </c>
    </row>
    <row r="758" spans="5:15" x14ac:dyDescent="0.25">
      <c r="E758">
        <v>15157</v>
      </c>
      <c r="F758">
        <f t="shared" si="11"/>
        <v>259</v>
      </c>
      <c r="G758">
        <f>IFERROR(VLOOKUP(Table_socioeca8.sandag.org_ws_abm2_f4[[#This Row],[hwycov_id]],[2]flow_freeway!$A$2:$E$1643,3,FALSE),0)</f>
        <v>50218</v>
      </c>
      <c r="H758">
        <f>IFERROR(VLOOKUP(Table_socioeca8.sandag.org_ws_abm2_f4[[#This Row],[hwycov_id]],[2]flow_freeway!$A$2:$E$1643,4,FALSE),0)</f>
        <v>11658</v>
      </c>
      <c r="I758">
        <f>IFERROR(VLOOKUP(Table_socioeca8.sandag.org_ws_abm2_f4[[#This Row],[hwycov_id]],[2]flow_freeway!$A$2:$E$1643,5,FALSE),0)</f>
        <v>12033</v>
      </c>
      <c r="K758">
        <f>Table_socioeca8.sandag.org_ws_abm2_f4[[#This Row],[hwycov_id]]</f>
        <v>15157</v>
      </c>
      <c r="L758">
        <f>Table_socioeca8.sandag.org_ws_abm2_f4[[#This Row],[scenario_id]]</f>
        <v>259</v>
      </c>
      <c r="M758">
        <f>Table_socioeca8.sandag.org_ws_abm2_f4[[#This Row],[flow_day]]</f>
        <v>50218</v>
      </c>
      <c r="N758">
        <f>Table_socioeca8.sandag.org_ws_abm2_f4[[#This Row],[flow_am]]</f>
        <v>11658</v>
      </c>
      <c r="O758">
        <f>Table_socioeca8.sandag.org_ws_abm2_f4[[#This Row],[flow_pm]]</f>
        <v>12033</v>
      </c>
    </row>
    <row r="759" spans="5:15" x14ac:dyDescent="0.25">
      <c r="E759">
        <v>15187</v>
      </c>
      <c r="F759">
        <f t="shared" si="11"/>
        <v>259</v>
      </c>
      <c r="G759">
        <f>IFERROR(VLOOKUP(Table_socioeca8.sandag.org_ws_abm2_f4[[#This Row],[hwycov_id]],[2]flow_freeway!$A$2:$E$1643,3,FALSE),0)</f>
        <v>100962</v>
      </c>
      <c r="H759">
        <f>IFERROR(VLOOKUP(Table_socioeca8.sandag.org_ws_abm2_f4[[#This Row],[hwycov_id]],[2]flow_freeway!$A$2:$E$1643,4,FALSE),0)</f>
        <v>21600</v>
      </c>
      <c r="I759">
        <f>IFERROR(VLOOKUP(Table_socioeca8.sandag.org_ws_abm2_f4[[#This Row],[hwycov_id]],[2]flow_freeway!$A$2:$E$1643,5,FALSE),0)</f>
        <v>24634</v>
      </c>
      <c r="K759">
        <f>Table_socioeca8.sandag.org_ws_abm2_f4[[#This Row],[hwycov_id]]</f>
        <v>15187</v>
      </c>
      <c r="L759">
        <f>Table_socioeca8.sandag.org_ws_abm2_f4[[#This Row],[scenario_id]]</f>
        <v>259</v>
      </c>
      <c r="M759">
        <f>Table_socioeca8.sandag.org_ws_abm2_f4[[#This Row],[flow_day]]</f>
        <v>100962</v>
      </c>
      <c r="N759">
        <f>Table_socioeca8.sandag.org_ws_abm2_f4[[#This Row],[flow_am]]</f>
        <v>21600</v>
      </c>
      <c r="O759">
        <f>Table_socioeca8.sandag.org_ws_abm2_f4[[#This Row],[flow_pm]]</f>
        <v>24634</v>
      </c>
    </row>
    <row r="760" spans="5:15" x14ac:dyDescent="0.25">
      <c r="E760">
        <v>15188</v>
      </c>
      <c r="F760">
        <f t="shared" si="11"/>
        <v>259</v>
      </c>
      <c r="G760">
        <f>IFERROR(VLOOKUP(Table_socioeca8.sandag.org_ws_abm2_f4[[#This Row],[hwycov_id]],[2]flow_freeway!$A$2:$E$1643,3,FALSE),0)</f>
        <v>115497</v>
      </c>
      <c r="H760">
        <f>IFERROR(VLOOKUP(Table_socioeca8.sandag.org_ws_abm2_f4[[#This Row],[hwycov_id]],[2]flow_freeway!$A$2:$E$1643,4,FALSE),0)</f>
        <v>24252</v>
      </c>
      <c r="I760">
        <f>IFERROR(VLOOKUP(Table_socioeca8.sandag.org_ws_abm2_f4[[#This Row],[hwycov_id]],[2]flow_freeway!$A$2:$E$1643,5,FALSE),0)</f>
        <v>30520</v>
      </c>
      <c r="K760">
        <f>Table_socioeca8.sandag.org_ws_abm2_f4[[#This Row],[hwycov_id]]</f>
        <v>15188</v>
      </c>
      <c r="L760">
        <f>Table_socioeca8.sandag.org_ws_abm2_f4[[#This Row],[scenario_id]]</f>
        <v>259</v>
      </c>
      <c r="M760">
        <f>Table_socioeca8.sandag.org_ws_abm2_f4[[#This Row],[flow_day]]</f>
        <v>115497</v>
      </c>
      <c r="N760">
        <f>Table_socioeca8.sandag.org_ws_abm2_f4[[#This Row],[flow_am]]</f>
        <v>24252</v>
      </c>
      <c r="O760">
        <f>Table_socioeca8.sandag.org_ws_abm2_f4[[#This Row],[flow_pm]]</f>
        <v>30520</v>
      </c>
    </row>
    <row r="761" spans="5:15" x14ac:dyDescent="0.25">
      <c r="E761">
        <v>15191</v>
      </c>
      <c r="F761">
        <f t="shared" si="11"/>
        <v>259</v>
      </c>
      <c r="G761">
        <f>IFERROR(VLOOKUP(Table_socioeca8.sandag.org_ws_abm2_f4[[#This Row],[hwycov_id]],[2]flow_freeway!$A$2:$E$1643,3,FALSE),0)</f>
        <v>111595</v>
      </c>
      <c r="H761">
        <f>IFERROR(VLOOKUP(Table_socioeca8.sandag.org_ws_abm2_f4[[#This Row],[hwycov_id]],[2]flow_freeway!$A$2:$E$1643,4,FALSE),0)</f>
        <v>22442</v>
      </c>
      <c r="I761">
        <f>IFERROR(VLOOKUP(Table_socioeca8.sandag.org_ws_abm2_f4[[#This Row],[hwycov_id]],[2]flow_freeway!$A$2:$E$1643,5,FALSE),0)</f>
        <v>28131</v>
      </c>
      <c r="K761">
        <f>Table_socioeca8.sandag.org_ws_abm2_f4[[#This Row],[hwycov_id]]</f>
        <v>15191</v>
      </c>
      <c r="L761">
        <f>Table_socioeca8.sandag.org_ws_abm2_f4[[#This Row],[scenario_id]]</f>
        <v>259</v>
      </c>
      <c r="M761">
        <f>Table_socioeca8.sandag.org_ws_abm2_f4[[#This Row],[flow_day]]</f>
        <v>111595</v>
      </c>
      <c r="N761">
        <f>Table_socioeca8.sandag.org_ws_abm2_f4[[#This Row],[flow_am]]</f>
        <v>22442</v>
      </c>
      <c r="O761">
        <f>Table_socioeca8.sandag.org_ws_abm2_f4[[#This Row],[flow_pm]]</f>
        <v>28131</v>
      </c>
    </row>
    <row r="762" spans="5:15" x14ac:dyDescent="0.25">
      <c r="E762">
        <v>15196</v>
      </c>
      <c r="F762">
        <f t="shared" si="11"/>
        <v>259</v>
      </c>
      <c r="G762">
        <f>IFERROR(VLOOKUP(Table_socioeca8.sandag.org_ws_abm2_f4[[#This Row],[hwycov_id]],[2]flow_freeway!$A$2:$E$1643,3,FALSE),0)</f>
        <v>97923</v>
      </c>
      <c r="H762">
        <f>IFERROR(VLOOKUP(Table_socioeca8.sandag.org_ws_abm2_f4[[#This Row],[hwycov_id]],[2]flow_freeway!$A$2:$E$1643,4,FALSE),0)</f>
        <v>20770</v>
      </c>
      <c r="I762">
        <f>IFERROR(VLOOKUP(Table_socioeca8.sandag.org_ws_abm2_f4[[#This Row],[hwycov_id]],[2]flow_freeway!$A$2:$E$1643,5,FALSE),0)</f>
        <v>24680</v>
      </c>
      <c r="K762">
        <f>Table_socioeca8.sandag.org_ws_abm2_f4[[#This Row],[hwycov_id]]</f>
        <v>15196</v>
      </c>
      <c r="L762">
        <f>Table_socioeca8.sandag.org_ws_abm2_f4[[#This Row],[scenario_id]]</f>
        <v>259</v>
      </c>
      <c r="M762">
        <f>Table_socioeca8.sandag.org_ws_abm2_f4[[#This Row],[flow_day]]</f>
        <v>97923</v>
      </c>
      <c r="N762">
        <f>Table_socioeca8.sandag.org_ws_abm2_f4[[#This Row],[flow_am]]</f>
        <v>20770</v>
      </c>
      <c r="O762">
        <f>Table_socioeca8.sandag.org_ws_abm2_f4[[#This Row],[flow_pm]]</f>
        <v>24680</v>
      </c>
    </row>
    <row r="763" spans="5:15" x14ac:dyDescent="0.25">
      <c r="E763">
        <v>15206</v>
      </c>
      <c r="F763">
        <f t="shared" si="11"/>
        <v>259</v>
      </c>
      <c r="G763">
        <f>IFERROR(VLOOKUP(Table_socioeca8.sandag.org_ws_abm2_f4[[#This Row],[hwycov_id]],[2]flow_freeway!$A$2:$E$1643,3,FALSE),0)</f>
        <v>69042</v>
      </c>
      <c r="H763">
        <f>IFERROR(VLOOKUP(Table_socioeca8.sandag.org_ws_abm2_f4[[#This Row],[hwycov_id]],[2]flow_freeway!$A$2:$E$1643,4,FALSE),0)</f>
        <v>9877</v>
      </c>
      <c r="I763">
        <f>IFERROR(VLOOKUP(Table_socioeca8.sandag.org_ws_abm2_f4[[#This Row],[hwycov_id]],[2]flow_freeway!$A$2:$E$1643,5,FALSE),0)</f>
        <v>22359</v>
      </c>
      <c r="K763">
        <f>Table_socioeca8.sandag.org_ws_abm2_f4[[#This Row],[hwycov_id]]</f>
        <v>15206</v>
      </c>
      <c r="L763">
        <f>Table_socioeca8.sandag.org_ws_abm2_f4[[#This Row],[scenario_id]]</f>
        <v>259</v>
      </c>
      <c r="M763">
        <f>Table_socioeca8.sandag.org_ws_abm2_f4[[#This Row],[flow_day]]</f>
        <v>69042</v>
      </c>
      <c r="N763">
        <f>Table_socioeca8.sandag.org_ws_abm2_f4[[#This Row],[flow_am]]</f>
        <v>9877</v>
      </c>
      <c r="O763">
        <f>Table_socioeca8.sandag.org_ws_abm2_f4[[#This Row],[flow_pm]]</f>
        <v>22359</v>
      </c>
    </row>
    <row r="764" spans="5:15" x14ac:dyDescent="0.25">
      <c r="E764">
        <v>15207</v>
      </c>
      <c r="F764">
        <f t="shared" si="11"/>
        <v>259</v>
      </c>
      <c r="G764">
        <f>IFERROR(VLOOKUP(Table_socioeca8.sandag.org_ws_abm2_f4[[#This Row],[hwycov_id]],[2]flow_freeway!$A$2:$E$1643,3,FALSE),0)</f>
        <v>66282</v>
      </c>
      <c r="H764">
        <f>IFERROR(VLOOKUP(Table_socioeca8.sandag.org_ws_abm2_f4[[#This Row],[hwycov_id]],[2]flow_freeway!$A$2:$E$1643,4,FALSE),0)</f>
        <v>18026</v>
      </c>
      <c r="I764">
        <f>IFERROR(VLOOKUP(Table_socioeca8.sandag.org_ws_abm2_f4[[#This Row],[hwycov_id]],[2]flow_freeway!$A$2:$E$1643,5,FALSE),0)</f>
        <v>12334</v>
      </c>
      <c r="K764">
        <f>Table_socioeca8.sandag.org_ws_abm2_f4[[#This Row],[hwycov_id]]</f>
        <v>15207</v>
      </c>
      <c r="L764">
        <f>Table_socioeca8.sandag.org_ws_abm2_f4[[#This Row],[scenario_id]]</f>
        <v>259</v>
      </c>
      <c r="M764">
        <f>Table_socioeca8.sandag.org_ws_abm2_f4[[#This Row],[flow_day]]</f>
        <v>66282</v>
      </c>
      <c r="N764">
        <f>Table_socioeca8.sandag.org_ws_abm2_f4[[#This Row],[flow_am]]</f>
        <v>18026</v>
      </c>
      <c r="O764">
        <f>Table_socioeca8.sandag.org_ws_abm2_f4[[#This Row],[flow_pm]]</f>
        <v>12334</v>
      </c>
    </row>
    <row r="765" spans="5:15" x14ac:dyDescent="0.25">
      <c r="E765">
        <v>15208</v>
      </c>
      <c r="F765">
        <f t="shared" si="11"/>
        <v>259</v>
      </c>
      <c r="G765">
        <f>IFERROR(VLOOKUP(Table_socioeca8.sandag.org_ws_abm2_f4[[#This Row],[hwycov_id]],[2]flow_freeway!$A$2:$E$1643,3,FALSE),0)</f>
        <v>80340</v>
      </c>
      <c r="H765">
        <f>IFERROR(VLOOKUP(Table_socioeca8.sandag.org_ws_abm2_f4[[#This Row],[hwycov_id]],[2]flow_freeway!$A$2:$E$1643,4,FALSE),0)</f>
        <v>21650</v>
      </c>
      <c r="I765">
        <f>IFERROR(VLOOKUP(Table_socioeca8.sandag.org_ws_abm2_f4[[#This Row],[hwycov_id]],[2]flow_freeway!$A$2:$E$1643,5,FALSE),0)</f>
        <v>15542</v>
      </c>
      <c r="K765">
        <f>Table_socioeca8.sandag.org_ws_abm2_f4[[#This Row],[hwycov_id]]</f>
        <v>15208</v>
      </c>
      <c r="L765">
        <f>Table_socioeca8.sandag.org_ws_abm2_f4[[#This Row],[scenario_id]]</f>
        <v>259</v>
      </c>
      <c r="M765">
        <f>Table_socioeca8.sandag.org_ws_abm2_f4[[#This Row],[flow_day]]</f>
        <v>80340</v>
      </c>
      <c r="N765">
        <f>Table_socioeca8.sandag.org_ws_abm2_f4[[#This Row],[flow_am]]</f>
        <v>21650</v>
      </c>
      <c r="O765">
        <f>Table_socioeca8.sandag.org_ws_abm2_f4[[#This Row],[flow_pm]]</f>
        <v>15542</v>
      </c>
    </row>
    <row r="766" spans="5:15" x14ac:dyDescent="0.25">
      <c r="E766">
        <v>15209</v>
      </c>
      <c r="F766">
        <f t="shared" si="11"/>
        <v>259</v>
      </c>
      <c r="G766">
        <f>IFERROR(VLOOKUP(Table_socioeca8.sandag.org_ws_abm2_f4[[#This Row],[hwycov_id]],[2]flow_freeway!$A$2:$E$1643,3,FALSE),0)</f>
        <v>86265</v>
      </c>
      <c r="H766">
        <f>IFERROR(VLOOKUP(Table_socioeca8.sandag.org_ws_abm2_f4[[#This Row],[hwycov_id]],[2]flow_freeway!$A$2:$E$1643,4,FALSE),0)</f>
        <v>12786</v>
      </c>
      <c r="I766">
        <f>IFERROR(VLOOKUP(Table_socioeca8.sandag.org_ws_abm2_f4[[#This Row],[hwycov_id]],[2]flow_freeway!$A$2:$E$1643,5,FALSE),0)</f>
        <v>27514</v>
      </c>
      <c r="K766">
        <f>Table_socioeca8.sandag.org_ws_abm2_f4[[#This Row],[hwycov_id]]</f>
        <v>15209</v>
      </c>
      <c r="L766">
        <f>Table_socioeca8.sandag.org_ws_abm2_f4[[#This Row],[scenario_id]]</f>
        <v>259</v>
      </c>
      <c r="M766">
        <f>Table_socioeca8.sandag.org_ws_abm2_f4[[#This Row],[flow_day]]</f>
        <v>86265</v>
      </c>
      <c r="N766">
        <f>Table_socioeca8.sandag.org_ws_abm2_f4[[#This Row],[flow_am]]</f>
        <v>12786</v>
      </c>
      <c r="O766">
        <f>Table_socioeca8.sandag.org_ws_abm2_f4[[#This Row],[flow_pm]]</f>
        <v>27514</v>
      </c>
    </row>
    <row r="767" spans="5:15" x14ac:dyDescent="0.25">
      <c r="E767">
        <v>15211</v>
      </c>
      <c r="F767">
        <f t="shared" si="11"/>
        <v>259</v>
      </c>
      <c r="G767">
        <f>IFERROR(VLOOKUP(Table_socioeca8.sandag.org_ws_abm2_f4[[#This Row],[hwycov_id]],[2]flow_freeway!$A$2:$E$1643,3,FALSE),0)</f>
        <v>71506</v>
      </c>
      <c r="H767">
        <f>IFERROR(VLOOKUP(Table_socioeca8.sandag.org_ws_abm2_f4[[#This Row],[hwycov_id]],[2]flow_freeway!$A$2:$E$1643,4,FALSE),0)</f>
        <v>12959</v>
      </c>
      <c r="I767">
        <f>IFERROR(VLOOKUP(Table_socioeca8.sandag.org_ws_abm2_f4[[#This Row],[hwycov_id]],[2]flow_freeway!$A$2:$E$1643,5,FALSE),0)</f>
        <v>21427</v>
      </c>
      <c r="K767">
        <f>Table_socioeca8.sandag.org_ws_abm2_f4[[#This Row],[hwycov_id]]</f>
        <v>15211</v>
      </c>
      <c r="L767">
        <f>Table_socioeca8.sandag.org_ws_abm2_f4[[#This Row],[scenario_id]]</f>
        <v>259</v>
      </c>
      <c r="M767">
        <f>Table_socioeca8.sandag.org_ws_abm2_f4[[#This Row],[flow_day]]</f>
        <v>71506</v>
      </c>
      <c r="N767">
        <f>Table_socioeca8.sandag.org_ws_abm2_f4[[#This Row],[flow_am]]</f>
        <v>12959</v>
      </c>
      <c r="O767">
        <f>Table_socioeca8.sandag.org_ws_abm2_f4[[#This Row],[flow_pm]]</f>
        <v>21427</v>
      </c>
    </row>
    <row r="768" spans="5:15" x14ac:dyDescent="0.25">
      <c r="E768">
        <v>15230</v>
      </c>
      <c r="F768">
        <f t="shared" si="11"/>
        <v>259</v>
      </c>
      <c r="G768">
        <f>IFERROR(VLOOKUP(Table_socioeca8.sandag.org_ws_abm2_f4[[#This Row],[hwycov_id]],[2]flow_freeway!$A$2:$E$1643,3,FALSE),0)</f>
        <v>83682</v>
      </c>
      <c r="H768">
        <f>IFERROR(VLOOKUP(Table_socioeca8.sandag.org_ws_abm2_f4[[#This Row],[hwycov_id]],[2]flow_freeway!$A$2:$E$1643,4,FALSE),0)</f>
        <v>18144</v>
      </c>
      <c r="I768">
        <f>IFERROR(VLOOKUP(Table_socioeca8.sandag.org_ws_abm2_f4[[#This Row],[hwycov_id]],[2]flow_freeway!$A$2:$E$1643,5,FALSE),0)</f>
        <v>21419</v>
      </c>
      <c r="K768">
        <f>Table_socioeca8.sandag.org_ws_abm2_f4[[#This Row],[hwycov_id]]</f>
        <v>15230</v>
      </c>
      <c r="L768">
        <f>Table_socioeca8.sandag.org_ws_abm2_f4[[#This Row],[scenario_id]]</f>
        <v>259</v>
      </c>
      <c r="M768">
        <f>Table_socioeca8.sandag.org_ws_abm2_f4[[#This Row],[flow_day]]</f>
        <v>83682</v>
      </c>
      <c r="N768">
        <f>Table_socioeca8.sandag.org_ws_abm2_f4[[#This Row],[flow_am]]</f>
        <v>18144</v>
      </c>
      <c r="O768">
        <f>Table_socioeca8.sandag.org_ws_abm2_f4[[#This Row],[flow_pm]]</f>
        <v>21419</v>
      </c>
    </row>
    <row r="769" spans="5:15" x14ac:dyDescent="0.25">
      <c r="E769">
        <v>15236</v>
      </c>
      <c r="F769">
        <f t="shared" si="11"/>
        <v>259</v>
      </c>
      <c r="G769">
        <f>IFERROR(VLOOKUP(Table_socioeca8.sandag.org_ws_abm2_f4[[#This Row],[hwycov_id]],[2]flow_freeway!$A$2:$E$1643,3,FALSE),0)</f>
        <v>61862</v>
      </c>
      <c r="H769">
        <f>IFERROR(VLOOKUP(Table_socioeca8.sandag.org_ws_abm2_f4[[#This Row],[hwycov_id]],[2]flow_freeway!$A$2:$E$1643,4,FALSE),0)</f>
        <v>9302</v>
      </c>
      <c r="I769">
        <f>IFERROR(VLOOKUP(Table_socioeca8.sandag.org_ws_abm2_f4[[#This Row],[hwycov_id]],[2]flow_freeway!$A$2:$E$1643,5,FALSE),0)</f>
        <v>20362</v>
      </c>
      <c r="K769">
        <f>Table_socioeca8.sandag.org_ws_abm2_f4[[#This Row],[hwycov_id]]</f>
        <v>15236</v>
      </c>
      <c r="L769">
        <f>Table_socioeca8.sandag.org_ws_abm2_f4[[#This Row],[scenario_id]]</f>
        <v>259</v>
      </c>
      <c r="M769">
        <f>Table_socioeca8.sandag.org_ws_abm2_f4[[#This Row],[flow_day]]</f>
        <v>61862</v>
      </c>
      <c r="N769">
        <f>Table_socioeca8.sandag.org_ws_abm2_f4[[#This Row],[flow_am]]</f>
        <v>9302</v>
      </c>
      <c r="O769">
        <f>Table_socioeca8.sandag.org_ws_abm2_f4[[#This Row],[flow_pm]]</f>
        <v>20362</v>
      </c>
    </row>
    <row r="770" spans="5:15" x14ac:dyDescent="0.25">
      <c r="E770">
        <v>15238</v>
      </c>
      <c r="F770">
        <f t="shared" si="11"/>
        <v>259</v>
      </c>
      <c r="G770">
        <f>IFERROR(VLOOKUP(Table_socioeca8.sandag.org_ws_abm2_f4[[#This Row],[hwycov_id]],[2]flow_freeway!$A$2:$E$1643,3,FALSE),0)</f>
        <v>67709</v>
      </c>
      <c r="H770">
        <f>IFERROR(VLOOKUP(Table_socioeca8.sandag.org_ws_abm2_f4[[#This Row],[hwycov_id]],[2]flow_freeway!$A$2:$E$1643,4,FALSE),0)</f>
        <v>18931</v>
      </c>
      <c r="I770">
        <f>IFERROR(VLOOKUP(Table_socioeca8.sandag.org_ws_abm2_f4[[#This Row],[hwycov_id]],[2]flow_freeway!$A$2:$E$1643,5,FALSE),0)</f>
        <v>13450</v>
      </c>
      <c r="K770">
        <f>Table_socioeca8.sandag.org_ws_abm2_f4[[#This Row],[hwycov_id]]</f>
        <v>15238</v>
      </c>
      <c r="L770">
        <f>Table_socioeca8.sandag.org_ws_abm2_f4[[#This Row],[scenario_id]]</f>
        <v>259</v>
      </c>
      <c r="M770">
        <f>Table_socioeca8.sandag.org_ws_abm2_f4[[#This Row],[flow_day]]</f>
        <v>67709</v>
      </c>
      <c r="N770">
        <f>Table_socioeca8.sandag.org_ws_abm2_f4[[#This Row],[flow_am]]</f>
        <v>18931</v>
      </c>
      <c r="O770">
        <f>Table_socioeca8.sandag.org_ws_abm2_f4[[#This Row],[flow_pm]]</f>
        <v>13450</v>
      </c>
    </row>
    <row r="771" spans="5:15" x14ac:dyDescent="0.25">
      <c r="E771">
        <v>15239</v>
      </c>
      <c r="F771">
        <f t="shared" si="11"/>
        <v>259</v>
      </c>
      <c r="G771">
        <f>IFERROR(VLOOKUP(Table_socioeca8.sandag.org_ws_abm2_f4[[#This Row],[hwycov_id]],[2]flow_freeway!$A$2:$E$1643,3,FALSE),0)</f>
        <v>50983</v>
      </c>
      <c r="H771">
        <f>IFERROR(VLOOKUP(Table_socioeca8.sandag.org_ws_abm2_f4[[#This Row],[hwycov_id]],[2]flow_freeway!$A$2:$E$1643,4,FALSE),0)</f>
        <v>7989</v>
      </c>
      <c r="I771">
        <f>IFERROR(VLOOKUP(Table_socioeca8.sandag.org_ws_abm2_f4[[#This Row],[hwycov_id]],[2]flow_freeway!$A$2:$E$1643,5,FALSE),0)</f>
        <v>16729</v>
      </c>
      <c r="K771">
        <f>Table_socioeca8.sandag.org_ws_abm2_f4[[#This Row],[hwycov_id]]</f>
        <v>15239</v>
      </c>
      <c r="L771">
        <f>Table_socioeca8.sandag.org_ws_abm2_f4[[#This Row],[scenario_id]]</f>
        <v>259</v>
      </c>
      <c r="M771">
        <f>Table_socioeca8.sandag.org_ws_abm2_f4[[#This Row],[flow_day]]</f>
        <v>50983</v>
      </c>
      <c r="N771">
        <f>Table_socioeca8.sandag.org_ws_abm2_f4[[#This Row],[flow_am]]</f>
        <v>7989</v>
      </c>
      <c r="O771">
        <f>Table_socioeca8.sandag.org_ws_abm2_f4[[#This Row],[flow_pm]]</f>
        <v>16729</v>
      </c>
    </row>
    <row r="772" spans="5:15" x14ac:dyDescent="0.25">
      <c r="E772">
        <v>15277</v>
      </c>
      <c r="F772">
        <f t="shared" ref="F772:F835" si="12">F771</f>
        <v>259</v>
      </c>
      <c r="G772">
        <f>IFERROR(VLOOKUP(Table_socioeca8.sandag.org_ws_abm2_f4[[#This Row],[hwycov_id]],[2]flow_freeway!$A$2:$E$1643,3,FALSE),0)</f>
        <v>55595</v>
      </c>
      <c r="H772">
        <f>IFERROR(VLOOKUP(Table_socioeca8.sandag.org_ws_abm2_f4[[#This Row],[hwycov_id]],[2]flow_freeway!$A$2:$E$1643,4,FALSE),0)</f>
        <v>14736</v>
      </c>
      <c r="I772">
        <f>IFERROR(VLOOKUP(Table_socioeca8.sandag.org_ws_abm2_f4[[#This Row],[hwycov_id]],[2]flow_freeway!$A$2:$E$1643,5,FALSE),0)</f>
        <v>11226</v>
      </c>
      <c r="K772">
        <f>Table_socioeca8.sandag.org_ws_abm2_f4[[#This Row],[hwycov_id]]</f>
        <v>15277</v>
      </c>
      <c r="L772">
        <f>Table_socioeca8.sandag.org_ws_abm2_f4[[#This Row],[scenario_id]]</f>
        <v>259</v>
      </c>
      <c r="M772">
        <f>Table_socioeca8.sandag.org_ws_abm2_f4[[#This Row],[flow_day]]</f>
        <v>55595</v>
      </c>
      <c r="N772">
        <f>Table_socioeca8.sandag.org_ws_abm2_f4[[#This Row],[flow_am]]</f>
        <v>14736</v>
      </c>
      <c r="O772">
        <f>Table_socioeca8.sandag.org_ws_abm2_f4[[#This Row],[flow_pm]]</f>
        <v>11226</v>
      </c>
    </row>
    <row r="773" spans="5:15" x14ac:dyDescent="0.25">
      <c r="E773">
        <v>15279</v>
      </c>
      <c r="F773">
        <f t="shared" si="12"/>
        <v>259</v>
      </c>
      <c r="G773">
        <f>IFERROR(VLOOKUP(Table_socioeca8.sandag.org_ws_abm2_f4[[#This Row],[hwycov_id]],[2]flow_freeway!$A$2:$E$1643,3,FALSE),0)</f>
        <v>48363</v>
      </c>
      <c r="H773">
        <f>IFERROR(VLOOKUP(Table_socioeca8.sandag.org_ws_abm2_f4[[#This Row],[hwycov_id]],[2]flow_freeway!$A$2:$E$1643,4,FALSE),0)</f>
        <v>7997</v>
      </c>
      <c r="I773">
        <f>IFERROR(VLOOKUP(Table_socioeca8.sandag.org_ws_abm2_f4[[#This Row],[hwycov_id]],[2]flow_freeway!$A$2:$E$1643,5,FALSE),0)</f>
        <v>15438</v>
      </c>
      <c r="K773">
        <f>Table_socioeca8.sandag.org_ws_abm2_f4[[#This Row],[hwycov_id]]</f>
        <v>15279</v>
      </c>
      <c r="L773">
        <f>Table_socioeca8.sandag.org_ws_abm2_f4[[#This Row],[scenario_id]]</f>
        <v>259</v>
      </c>
      <c r="M773">
        <f>Table_socioeca8.sandag.org_ws_abm2_f4[[#This Row],[flow_day]]</f>
        <v>48363</v>
      </c>
      <c r="N773">
        <f>Table_socioeca8.sandag.org_ws_abm2_f4[[#This Row],[flow_am]]</f>
        <v>7997</v>
      </c>
      <c r="O773">
        <f>Table_socioeca8.sandag.org_ws_abm2_f4[[#This Row],[flow_pm]]</f>
        <v>15438</v>
      </c>
    </row>
    <row r="774" spans="5:15" x14ac:dyDescent="0.25">
      <c r="E774">
        <v>15280</v>
      </c>
      <c r="F774">
        <f t="shared" si="12"/>
        <v>259</v>
      </c>
      <c r="G774">
        <f>IFERROR(VLOOKUP(Table_socioeca8.sandag.org_ws_abm2_f4[[#This Row],[hwycov_id]],[2]flow_freeway!$A$2:$E$1643,3,FALSE),0)</f>
        <v>39846</v>
      </c>
      <c r="H774">
        <f>IFERROR(VLOOKUP(Table_socioeca8.sandag.org_ws_abm2_f4[[#This Row],[hwycov_id]],[2]flow_freeway!$A$2:$E$1643,4,FALSE),0)</f>
        <v>6305</v>
      </c>
      <c r="I774">
        <f>IFERROR(VLOOKUP(Table_socioeca8.sandag.org_ws_abm2_f4[[#This Row],[hwycov_id]],[2]flow_freeway!$A$2:$E$1643,5,FALSE),0)</f>
        <v>12390</v>
      </c>
      <c r="K774">
        <f>Table_socioeca8.sandag.org_ws_abm2_f4[[#This Row],[hwycov_id]]</f>
        <v>15280</v>
      </c>
      <c r="L774">
        <f>Table_socioeca8.sandag.org_ws_abm2_f4[[#This Row],[scenario_id]]</f>
        <v>259</v>
      </c>
      <c r="M774">
        <f>Table_socioeca8.sandag.org_ws_abm2_f4[[#This Row],[flow_day]]</f>
        <v>39846</v>
      </c>
      <c r="N774">
        <f>Table_socioeca8.sandag.org_ws_abm2_f4[[#This Row],[flow_am]]</f>
        <v>6305</v>
      </c>
      <c r="O774">
        <f>Table_socioeca8.sandag.org_ws_abm2_f4[[#This Row],[flow_pm]]</f>
        <v>12390</v>
      </c>
    </row>
    <row r="775" spans="5:15" x14ac:dyDescent="0.25">
      <c r="E775">
        <v>15304</v>
      </c>
      <c r="F775">
        <f t="shared" si="12"/>
        <v>259</v>
      </c>
      <c r="G775">
        <f>IFERROR(VLOOKUP(Table_socioeca8.sandag.org_ws_abm2_f4[[#This Row],[hwycov_id]],[2]flow_freeway!$A$2:$E$1643,3,FALSE),0)</f>
        <v>32784</v>
      </c>
      <c r="H775">
        <f>IFERROR(VLOOKUP(Table_socioeca8.sandag.org_ws_abm2_f4[[#This Row],[hwycov_id]],[2]flow_freeway!$A$2:$E$1643,4,FALSE),0)</f>
        <v>8109</v>
      </c>
      <c r="I775">
        <f>IFERROR(VLOOKUP(Table_socioeca8.sandag.org_ws_abm2_f4[[#This Row],[hwycov_id]],[2]flow_freeway!$A$2:$E$1643,5,FALSE),0)</f>
        <v>7382</v>
      </c>
      <c r="K775">
        <f>Table_socioeca8.sandag.org_ws_abm2_f4[[#This Row],[hwycov_id]]</f>
        <v>15304</v>
      </c>
      <c r="L775">
        <f>Table_socioeca8.sandag.org_ws_abm2_f4[[#This Row],[scenario_id]]</f>
        <v>259</v>
      </c>
      <c r="M775">
        <f>Table_socioeca8.sandag.org_ws_abm2_f4[[#This Row],[flow_day]]</f>
        <v>32784</v>
      </c>
      <c r="N775">
        <f>Table_socioeca8.sandag.org_ws_abm2_f4[[#This Row],[flow_am]]</f>
        <v>8109</v>
      </c>
      <c r="O775">
        <f>Table_socioeca8.sandag.org_ws_abm2_f4[[#This Row],[flow_pm]]</f>
        <v>7382</v>
      </c>
    </row>
    <row r="776" spans="5:15" x14ac:dyDescent="0.25">
      <c r="E776">
        <v>15305</v>
      </c>
      <c r="F776">
        <f t="shared" si="12"/>
        <v>259</v>
      </c>
      <c r="G776">
        <f>IFERROR(VLOOKUP(Table_socioeca8.sandag.org_ws_abm2_f4[[#This Row],[hwycov_id]],[2]flow_freeway!$A$2:$E$1643,3,FALSE),0)</f>
        <v>34471</v>
      </c>
      <c r="H776">
        <f>IFERROR(VLOOKUP(Table_socioeca8.sandag.org_ws_abm2_f4[[#This Row],[hwycov_id]],[2]flow_freeway!$A$2:$E$1643,4,FALSE),0)</f>
        <v>8553</v>
      </c>
      <c r="I776">
        <f>IFERROR(VLOOKUP(Table_socioeca8.sandag.org_ws_abm2_f4[[#This Row],[hwycov_id]],[2]flow_freeway!$A$2:$E$1643,5,FALSE),0)</f>
        <v>7774</v>
      </c>
      <c r="K776">
        <f>Table_socioeca8.sandag.org_ws_abm2_f4[[#This Row],[hwycov_id]]</f>
        <v>15305</v>
      </c>
      <c r="L776">
        <f>Table_socioeca8.sandag.org_ws_abm2_f4[[#This Row],[scenario_id]]</f>
        <v>259</v>
      </c>
      <c r="M776">
        <f>Table_socioeca8.sandag.org_ws_abm2_f4[[#This Row],[flow_day]]</f>
        <v>34471</v>
      </c>
      <c r="N776">
        <f>Table_socioeca8.sandag.org_ws_abm2_f4[[#This Row],[flow_am]]</f>
        <v>8553</v>
      </c>
      <c r="O776">
        <f>Table_socioeca8.sandag.org_ws_abm2_f4[[#This Row],[flow_pm]]</f>
        <v>7774</v>
      </c>
    </row>
    <row r="777" spans="5:15" x14ac:dyDescent="0.25">
      <c r="E777">
        <v>15311</v>
      </c>
      <c r="F777">
        <f t="shared" si="12"/>
        <v>259</v>
      </c>
      <c r="G777">
        <f>IFERROR(VLOOKUP(Table_socioeca8.sandag.org_ws_abm2_f4[[#This Row],[hwycov_id]],[2]flow_freeway!$A$2:$E$1643,3,FALSE),0)</f>
        <v>55425</v>
      </c>
      <c r="H777">
        <f>IFERROR(VLOOKUP(Table_socioeca8.sandag.org_ws_abm2_f4[[#This Row],[hwycov_id]],[2]flow_freeway!$A$2:$E$1643,4,FALSE),0)</f>
        <v>12269</v>
      </c>
      <c r="I777">
        <f>IFERROR(VLOOKUP(Table_socioeca8.sandag.org_ws_abm2_f4[[#This Row],[hwycov_id]],[2]flow_freeway!$A$2:$E$1643,5,FALSE),0)</f>
        <v>13729</v>
      </c>
      <c r="K777">
        <f>Table_socioeca8.sandag.org_ws_abm2_f4[[#This Row],[hwycov_id]]</f>
        <v>15311</v>
      </c>
      <c r="L777">
        <f>Table_socioeca8.sandag.org_ws_abm2_f4[[#This Row],[scenario_id]]</f>
        <v>259</v>
      </c>
      <c r="M777">
        <f>Table_socioeca8.sandag.org_ws_abm2_f4[[#This Row],[flow_day]]</f>
        <v>55425</v>
      </c>
      <c r="N777">
        <f>Table_socioeca8.sandag.org_ws_abm2_f4[[#This Row],[flow_am]]</f>
        <v>12269</v>
      </c>
      <c r="O777">
        <f>Table_socioeca8.sandag.org_ws_abm2_f4[[#This Row],[flow_pm]]</f>
        <v>13729</v>
      </c>
    </row>
    <row r="778" spans="5:15" x14ac:dyDescent="0.25">
      <c r="E778">
        <v>15315</v>
      </c>
      <c r="F778">
        <f t="shared" si="12"/>
        <v>259</v>
      </c>
      <c r="G778">
        <f>IFERROR(VLOOKUP(Table_socioeca8.sandag.org_ws_abm2_f4[[#This Row],[hwycov_id]],[2]flow_freeway!$A$2:$E$1643,3,FALSE),0)</f>
        <v>78968</v>
      </c>
      <c r="H778">
        <f>IFERROR(VLOOKUP(Table_socioeca8.sandag.org_ws_abm2_f4[[#This Row],[hwycov_id]],[2]flow_freeway!$A$2:$E$1643,4,FALSE),0)</f>
        <v>16613</v>
      </c>
      <c r="I778">
        <f>IFERROR(VLOOKUP(Table_socioeca8.sandag.org_ws_abm2_f4[[#This Row],[hwycov_id]],[2]flow_freeway!$A$2:$E$1643,5,FALSE),0)</f>
        <v>20572</v>
      </c>
      <c r="K778">
        <f>Table_socioeca8.sandag.org_ws_abm2_f4[[#This Row],[hwycov_id]]</f>
        <v>15315</v>
      </c>
      <c r="L778">
        <f>Table_socioeca8.sandag.org_ws_abm2_f4[[#This Row],[scenario_id]]</f>
        <v>259</v>
      </c>
      <c r="M778">
        <f>Table_socioeca8.sandag.org_ws_abm2_f4[[#This Row],[flow_day]]</f>
        <v>78968</v>
      </c>
      <c r="N778">
        <f>Table_socioeca8.sandag.org_ws_abm2_f4[[#This Row],[flow_am]]</f>
        <v>16613</v>
      </c>
      <c r="O778">
        <f>Table_socioeca8.sandag.org_ws_abm2_f4[[#This Row],[flow_pm]]</f>
        <v>20572</v>
      </c>
    </row>
    <row r="779" spans="5:15" x14ac:dyDescent="0.25">
      <c r="E779">
        <v>15317</v>
      </c>
      <c r="F779">
        <f t="shared" si="12"/>
        <v>259</v>
      </c>
      <c r="G779">
        <f>IFERROR(VLOOKUP(Table_socioeca8.sandag.org_ws_abm2_f4[[#This Row],[hwycov_id]],[2]flow_freeway!$A$2:$E$1643,3,FALSE),0)</f>
        <v>74521</v>
      </c>
      <c r="H779">
        <f>IFERROR(VLOOKUP(Table_socioeca8.sandag.org_ws_abm2_f4[[#This Row],[hwycov_id]],[2]flow_freeway!$A$2:$E$1643,4,FALSE),0)</f>
        <v>11329</v>
      </c>
      <c r="I779">
        <f>IFERROR(VLOOKUP(Table_socioeca8.sandag.org_ws_abm2_f4[[#This Row],[hwycov_id]],[2]flow_freeway!$A$2:$E$1643,5,FALSE),0)</f>
        <v>23837</v>
      </c>
      <c r="K779">
        <f>Table_socioeca8.sandag.org_ws_abm2_f4[[#This Row],[hwycov_id]]</f>
        <v>15317</v>
      </c>
      <c r="L779">
        <f>Table_socioeca8.sandag.org_ws_abm2_f4[[#This Row],[scenario_id]]</f>
        <v>259</v>
      </c>
      <c r="M779">
        <f>Table_socioeca8.sandag.org_ws_abm2_f4[[#This Row],[flow_day]]</f>
        <v>74521</v>
      </c>
      <c r="N779">
        <f>Table_socioeca8.sandag.org_ws_abm2_f4[[#This Row],[flow_am]]</f>
        <v>11329</v>
      </c>
      <c r="O779">
        <f>Table_socioeca8.sandag.org_ws_abm2_f4[[#This Row],[flow_pm]]</f>
        <v>23837</v>
      </c>
    </row>
    <row r="780" spans="5:15" x14ac:dyDescent="0.25">
      <c r="E780">
        <v>15318</v>
      </c>
      <c r="F780">
        <f t="shared" si="12"/>
        <v>259</v>
      </c>
      <c r="G780">
        <f>IFERROR(VLOOKUP(Table_socioeca8.sandag.org_ws_abm2_f4[[#This Row],[hwycov_id]],[2]flow_freeway!$A$2:$E$1643,3,FALSE),0)</f>
        <v>76328</v>
      </c>
      <c r="H780">
        <f>IFERROR(VLOOKUP(Table_socioeca8.sandag.org_ws_abm2_f4[[#This Row],[hwycov_id]],[2]flow_freeway!$A$2:$E$1643,4,FALSE),0)</f>
        <v>11612</v>
      </c>
      <c r="I780">
        <f>IFERROR(VLOOKUP(Table_socioeca8.sandag.org_ws_abm2_f4[[#This Row],[hwycov_id]],[2]flow_freeway!$A$2:$E$1643,5,FALSE),0)</f>
        <v>24259</v>
      </c>
      <c r="K780">
        <f>Table_socioeca8.sandag.org_ws_abm2_f4[[#This Row],[hwycov_id]]</f>
        <v>15318</v>
      </c>
      <c r="L780">
        <f>Table_socioeca8.sandag.org_ws_abm2_f4[[#This Row],[scenario_id]]</f>
        <v>259</v>
      </c>
      <c r="M780">
        <f>Table_socioeca8.sandag.org_ws_abm2_f4[[#This Row],[flow_day]]</f>
        <v>76328</v>
      </c>
      <c r="N780">
        <f>Table_socioeca8.sandag.org_ws_abm2_f4[[#This Row],[flow_am]]</f>
        <v>11612</v>
      </c>
      <c r="O780">
        <f>Table_socioeca8.sandag.org_ws_abm2_f4[[#This Row],[flow_pm]]</f>
        <v>24259</v>
      </c>
    </row>
    <row r="781" spans="5:15" x14ac:dyDescent="0.25">
      <c r="E781">
        <v>15406</v>
      </c>
      <c r="F781">
        <f t="shared" si="12"/>
        <v>259</v>
      </c>
      <c r="G781">
        <f>IFERROR(VLOOKUP(Table_socioeca8.sandag.org_ws_abm2_f4[[#This Row],[hwycov_id]],[2]flow_freeway!$A$2:$E$1643,3,FALSE),0)</f>
        <v>44637</v>
      </c>
      <c r="H781">
        <f>IFERROR(VLOOKUP(Table_socioeca8.sandag.org_ws_abm2_f4[[#This Row],[hwycov_id]],[2]flow_freeway!$A$2:$E$1643,4,FALSE),0)</f>
        <v>10001</v>
      </c>
      <c r="I781">
        <f>IFERROR(VLOOKUP(Table_socioeca8.sandag.org_ws_abm2_f4[[#This Row],[hwycov_id]],[2]flow_freeway!$A$2:$E$1643,5,FALSE),0)</f>
        <v>10676</v>
      </c>
      <c r="K781">
        <f>Table_socioeca8.sandag.org_ws_abm2_f4[[#This Row],[hwycov_id]]</f>
        <v>15406</v>
      </c>
      <c r="L781">
        <f>Table_socioeca8.sandag.org_ws_abm2_f4[[#This Row],[scenario_id]]</f>
        <v>259</v>
      </c>
      <c r="M781">
        <f>Table_socioeca8.sandag.org_ws_abm2_f4[[#This Row],[flow_day]]</f>
        <v>44637</v>
      </c>
      <c r="N781">
        <f>Table_socioeca8.sandag.org_ws_abm2_f4[[#This Row],[flow_am]]</f>
        <v>10001</v>
      </c>
      <c r="O781">
        <f>Table_socioeca8.sandag.org_ws_abm2_f4[[#This Row],[flow_pm]]</f>
        <v>10676</v>
      </c>
    </row>
    <row r="782" spans="5:15" x14ac:dyDescent="0.25">
      <c r="E782">
        <v>15412</v>
      </c>
      <c r="F782">
        <f t="shared" si="12"/>
        <v>259</v>
      </c>
      <c r="G782">
        <f>IFERROR(VLOOKUP(Table_socioeca8.sandag.org_ws_abm2_f4[[#This Row],[hwycov_id]],[2]flow_freeway!$A$2:$E$1643,3,FALSE),0)</f>
        <v>41430</v>
      </c>
      <c r="H782">
        <f>IFERROR(VLOOKUP(Table_socioeca8.sandag.org_ws_abm2_f4[[#This Row],[hwycov_id]],[2]flow_freeway!$A$2:$E$1643,4,FALSE),0)</f>
        <v>8494</v>
      </c>
      <c r="I782">
        <f>IFERROR(VLOOKUP(Table_socioeca8.sandag.org_ws_abm2_f4[[#This Row],[hwycov_id]],[2]flow_freeway!$A$2:$E$1643,5,FALSE),0)</f>
        <v>11018</v>
      </c>
      <c r="K782">
        <f>Table_socioeca8.sandag.org_ws_abm2_f4[[#This Row],[hwycov_id]]</f>
        <v>15412</v>
      </c>
      <c r="L782">
        <f>Table_socioeca8.sandag.org_ws_abm2_f4[[#This Row],[scenario_id]]</f>
        <v>259</v>
      </c>
      <c r="M782">
        <f>Table_socioeca8.sandag.org_ws_abm2_f4[[#This Row],[flow_day]]</f>
        <v>41430</v>
      </c>
      <c r="N782">
        <f>Table_socioeca8.sandag.org_ws_abm2_f4[[#This Row],[flow_am]]</f>
        <v>8494</v>
      </c>
      <c r="O782">
        <f>Table_socioeca8.sandag.org_ws_abm2_f4[[#This Row],[flow_pm]]</f>
        <v>11018</v>
      </c>
    </row>
    <row r="783" spans="5:15" x14ac:dyDescent="0.25">
      <c r="E783">
        <v>15425</v>
      </c>
      <c r="F783">
        <f t="shared" si="12"/>
        <v>259</v>
      </c>
      <c r="G783">
        <f>IFERROR(VLOOKUP(Table_socioeca8.sandag.org_ws_abm2_f4[[#This Row],[hwycov_id]],[2]flow_freeway!$A$2:$E$1643,3,FALSE),0)</f>
        <v>105881</v>
      </c>
      <c r="H783">
        <f>IFERROR(VLOOKUP(Table_socioeca8.sandag.org_ws_abm2_f4[[#This Row],[hwycov_id]],[2]flow_freeway!$A$2:$E$1643,4,FALSE),0)</f>
        <v>28927</v>
      </c>
      <c r="I783">
        <f>IFERROR(VLOOKUP(Table_socioeca8.sandag.org_ws_abm2_f4[[#This Row],[hwycov_id]],[2]flow_freeway!$A$2:$E$1643,5,FALSE),0)</f>
        <v>21403</v>
      </c>
      <c r="K783">
        <f>Table_socioeca8.sandag.org_ws_abm2_f4[[#This Row],[hwycov_id]]</f>
        <v>15425</v>
      </c>
      <c r="L783">
        <f>Table_socioeca8.sandag.org_ws_abm2_f4[[#This Row],[scenario_id]]</f>
        <v>259</v>
      </c>
      <c r="M783">
        <f>Table_socioeca8.sandag.org_ws_abm2_f4[[#This Row],[flow_day]]</f>
        <v>105881</v>
      </c>
      <c r="N783">
        <f>Table_socioeca8.sandag.org_ws_abm2_f4[[#This Row],[flow_am]]</f>
        <v>28927</v>
      </c>
      <c r="O783">
        <f>Table_socioeca8.sandag.org_ws_abm2_f4[[#This Row],[flow_pm]]</f>
        <v>21403</v>
      </c>
    </row>
    <row r="784" spans="5:15" x14ac:dyDescent="0.25">
      <c r="E784">
        <v>15429</v>
      </c>
      <c r="F784">
        <f t="shared" si="12"/>
        <v>259</v>
      </c>
      <c r="G784">
        <f>IFERROR(VLOOKUP(Table_socioeca8.sandag.org_ws_abm2_f4[[#This Row],[hwycov_id]],[2]flow_freeway!$A$2:$E$1643,3,FALSE),0)</f>
        <v>126981</v>
      </c>
      <c r="H784">
        <f>IFERROR(VLOOKUP(Table_socioeca8.sandag.org_ws_abm2_f4[[#This Row],[hwycov_id]],[2]flow_freeway!$A$2:$E$1643,4,FALSE),0)</f>
        <v>20413</v>
      </c>
      <c r="I784">
        <f>IFERROR(VLOOKUP(Table_socioeca8.sandag.org_ws_abm2_f4[[#This Row],[hwycov_id]],[2]flow_freeway!$A$2:$E$1643,5,FALSE),0)</f>
        <v>37364</v>
      </c>
      <c r="K784">
        <f>Table_socioeca8.sandag.org_ws_abm2_f4[[#This Row],[hwycov_id]]</f>
        <v>15429</v>
      </c>
      <c r="L784">
        <f>Table_socioeca8.sandag.org_ws_abm2_f4[[#This Row],[scenario_id]]</f>
        <v>259</v>
      </c>
      <c r="M784">
        <f>Table_socioeca8.sandag.org_ws_abm2_f4[[#This Row],[flow_day]]</f>
        <v>126981</v>
      </c>
      <c r="N784">
        <f>Table_socioeca8.sandag.org_ws_abm2_f4[[#This Row],[flow_am]]</f>
        <v>20413</v>
      </c>
      <c r="O784">
        <f>Table_socioeca8.sandag.org_ws_abm2_f4[[#This Row],[flow_pm]]</f>
        <v>37364</v>
      </c>
    </row>
    <row r="785" spans="5:15" x14ac:dyDescent="0.25">
      <c r="E785">
        <v>15430</v>
      </c>
      <c r="F785">
        <f t="shared" si="12"/>
        <v>259</v>
      </c>
      <c r="G785">
        <f>IFERROR(VLOOKUP(Table_socioeca8.sandag.org_ws_abm2_f4[[#This Row],[hwycov_id]],[2]flow_freeway!$A$2:$E$1643,3,FALSE),0)</f>
        <v>116396</v>
      </c>
      <c r="H785">
        <f>IFERROR(VLOOKUP(Table_socioeca8.sandag.org_ws_abm2_f4[[#This Row],[hwycov_id]],[2]flow_freeway!$A$2:$E$1643,4,FALSE),0)</f>
        <v>31303</v>
      </c>
      <c r="I785">
        <f>IFERROR(VLOOKUP(Table_socioeca8.sandag.org_ws_abm2_f4[[#This Row],[hwycov_id]],[2]flow_freeway!$A$2:$E$1643,5,FALSE),0)</f>
        <v>23395</v>
      </c>
      <c r="K785">
        <f>Table_socioeca8.sandag.org_ws_abm2_f4[[#This Row],[hwycov_id]]</f>
        <v>15430</v>
      </c>
      <c r="L785">
        <f>Table_socioeca8.sandag.org_ws_abm2_f4[[#This Row],[scenario_id]]</f>
        <v>259</v>
      </c>
      <c r="M785">
        <f>Table_socioeca8.sandag.org_ws_abm2_f4[[#This Row],[flow_day]]</f>
        <v>116396</v>
      </c>
      <c r="N785">
        <f>Table_socioeca8.sandag.org_ws_abm2_f4[[#This Row],[flow_am]]</f>
        <v>31303</v>
      </c>
      <c r="O785">
        <f>Table_socioeca8.sandag.org_ws_abm2_f4[[#This Row],[flow_pm]]</f>
        <v>23395</v>
      </c>
    </row>
    <row r="786" spans="5:15" x14ac:dyDescent="0.25">
      <c r="E786">
        <v>15432</v>
      </c>
      <c r="F786">
        <f t="shared" si="12"/>
        <v>259</v>
      </c>
      <c r="G786">
        <f>IFERROR(VLOOKUP(Table_socioeca8.sandag.org_ws_abm2_f4[[#This Row],[hwycov_id]],[2]flow_freeway!$A$2:$E$1643,3,FALSE),0)</f>
        <v>132928</v>
      </c>
      <c r="H786">
        <f>IFERROR(VLOOKUP(Table_socioeca8.sandag.org_ws_abm2_f4[[#This Row],[hwycov_id]],[2]flow_freeway!$A$2:$E$1643,4,FALSE),0)</f>
        <v>21579</v>
      </c>
      <c r="I786">
        <f>IFERROR(VLOOKUP(Table_socioeca8.sandag.org_ws_abm2_f4[[#This Row],[hwycov_id]],[2]flow_freeway!$A$2:$E$1643,5,FALSE),0)</f>
        <v>38721</v>
      </c>
      <c r="K786">
        <f>Table_socioeca8.sandag.org_ws_abm2_f4[[#This Row],[hwycov_id]]</f>
        <v>15432</v>
      </c>
      <c r="L786">
        <f>Table_socioeca8.sandag.org_ws_abm2_f4[[#This Row],[scenario_id]]</f>
        <v>259</v>
      </c>
      <c r="M786">
        <f>Table_socioeca8.sandag.org_ws_abm2_f4[[#This Row],[flow_day]]</f>
        <v>132928</v>
      </c>
      <c r="N786">
        <f>Table_socioeca8.sandag.org_ws_abm2_f4[[#This Row],[flow_am]]</f>
        <v>21579</v>
      </c>
      <c r="O786">
        <f>Table_socioeca8.sandag.org_ws_abm2_f4[[#This Row],[flow_pm]]</f>
        <v>38721</v>
      </c>
    </row>
    <row r="787" spans="5:15" x14ac:dyDescent="0.25">
      <c r="E787">
        <v>15435</v>
      </c>
      <c r="F787">
        <f t="shared" si="12"/>
        <v>259</v>
      </c>
      <c r="G787">
        <f>IFERROR(VLOOKUP(Table_socioeca8.sandag.org_ws_abm2_f4[[#This Row],[hwycov_id]],[2]flow_freeway!$A$2:$E$1643,3,FALSE),0)</f>
        <v>124304</v>
      </c>
      <c r="H787">
        <f>IFERROR(VLOOKUP(Table_socioeca8.sandag.org_ws_abm2_f4[[#This Row],[hwycov_id]],[2]flow_freeway!$A$2:$E$1643,4,FALSE),0)</f>
        <v>19981</v>
      </c>
      <c r="I787">
        <f>IFERROR(VLOOKUP(Table_socioeca8.sandag.org_ws_abm2_f4[[#This Row],[hwycov_id]],[2]flow_freeway!$A$2:$E$1643,5,FALSE),0)</f>
        <v>36163</v>
      </c>
      <c r="K787">
        <f>Table_socioeca8.sandag.org_ws_abm2_f4[[#This Row],[hwycov_id]]</f>
        <v>15435</v>
      </c>
      <c r="L787">
        <f>Table_socioeca8.sandag.org_ws_abm2_f4[[#This Row],[scenario_id]]</f>
        <v>259</v>
      </c>
      <c r="M787">
        <f>Table_socioeca8.sandag.org_ws_abm2_f4[[#This Row],[flow_day]]</f>
        <v>124304</v>
      </c>
      <c r="N787">
        <f>Table_socioeca8.sandag.org_ws_abm2_f4[[#This Row],[flow_am]]</f>
        <v>19981</v>
      </c>
      <c r="O787">
        <f>Table_socioeca8.sandag.org_ws_abm2_f4[[#This Row],[flow_pm]]</f>
        <v>36163</v>
      </c>
    </row>
    <row r="788" spans="5:15" x14ac:dyDescent="0.25">
      <c r="E788">
        <v>15439</v>
      </c>
      <c r="F788">
        <f t="shared" si="12"/>
        <v>259</v>
      </c>
      <c r="G788">
        <f>IFERROR(VLOOKUP(Table_socioeca8.sandag.org_ws_abm2_f4[[#This Row],[hwycov_id]],[2]flow_freeway!$A$2:$E$1643,3,FALSE),0)</f>
        <v>107329</v>
      </c>
      <c r="H788">
        <f>IFERROR(VLOOKUP(Table_socioeca8.sandag.org_ws_abm2_f4[[#This Row],[hwycov_id]],[2]flow_freeway!$A$2:$E$1643,4,FALSE),0)</f>
        <v>28922</v>
      </c>
      <c r="I788">
        <f>IFERROR(VLOOKUP(Table_socioeca8.sandag.org_ws_abm2_f4[[#This Row],[hwycov_id]],[2]flow_freeway!$A$2:$E$1643,5,FALSE),0)</f>
        <v>21500</v>
      </c>
      <c r="K788">
        <f>Table_socioeca8.sandag.org_ws_abm2_f4[[#This Row],[hwycov_id]]</f>
        <v>15439</v>
      </c>
      <c r="L788">
        <f>Table_socioeca8.sandag.org_ws_abm2_f4[[#This Row],[scenario_id]]</f>
        <v>259</v>
      </c>
      <c r="M788">
        <f>Table_socioeca8.sandag.org_ws_abm2_f4[[#This Row],[flow_day]]</f>
        <v>107329</v>
      </c>
      <c r="N788">
        <f>Table_socioeca8.sandag.org_ws_abm2_f4[[#This Row],[flow_am]]</f>
        <v>28922</v>
      </c>
      <c r="O788">
        <f>Table_socioeca8.sandag.org_ws_abm2_f4[[#This Row],[flow_pm]]</f>
        <v>21500</v>
      </c>
    </row>
    <row r="789" spans="5:15" x14ac:dyDescent="0.25">
      <c r="E789">
        <v>15442</v>
      </c>
      <c r="F789">
        <f t="shared" si="12"/>
        <v>259</v>
      </c>
      <c r="G789">
        <f>IFERROR(VLOOKUP(Table_socioeca8.sandag.org_ws_abm2_f4[[#This Row],[hwycov_id]],[2]flow_freeway!$A$2:$E$1643,3,FALSE),0)</f>
        <v>112786</v>
      </c>
      <c r="H789">
        <f>IFERROR(VLOOKUP(Table_socioeca8.sandag.org_ws_abm2_f4[[#This Row],[hwycov_id]],[2]flow_freeway!$A$2:$E$1643,4,FALSE),0)</f>
        <v>30269</v>
      </c>
      <c r="I789">
        <f>IFERROR(VLOOKUP(Table_socioeca8.sandag.org_ws_abm2_f4[[#This Row],[hwycov_id]],[2]flow_freeway!$A$2:$E$1643,5,FALSE),0)</f>
        <v>22639</v>
      </c>
      <c r="K789">
        <f>Table_socioeca8.sandag.org_ws_abm2_f4[[#This Row],[hwycov_id]]</f>
        <v>15442</v>
      </c>
      <c r="L789">
        <f>Table_socioeca8.sandag.org_ws_abm2_f4[[#This Row],[scenario_id]]</f>
        <v>259</v>
      </c>
      <c r="M789">
        <f>Table_socioeca8.sandag.org_ws_abm2_f4[[#This Row],[flow_day]]</f>
        <v>112786</v>
      </c>
      <c r="N789">
        <f>Table_socioeca8.sandag.org_ws_abm2_f4[[#This Row],[flow_am]]</f>
        <v>30269</v>
      </c>
      <c r="O789">
        <f>Table_socioeca8.sandag.org_ws_abm2_f4[[#This Row],[flow_pm]]</f>
        <v>22639</v>
      </c>
    </row>
    <row r="790" spans="5:15" x14ac:dyDescent="0.25">
      <c r="E790">
        <v>15443</v>
      </c>
      <c r="F790">
        <f t="shared" si="12"/>
        <v>259</v>
      </c>
      <c r="G790">
        <f>IFERROR(VLOOKUP(Table_socioeca8.sandag.org_ws_abm2_f4[[#This Row],[hwycov_id]],[2]flow_freeway!$A$2:$E$1643,3,FALSE),0)</f>
        <v>129486</v>
      </c>
      <c r="H790">
        <f>IFERROR(VLOOKUP(Table_socioeca8.sandag.org_ws_abm2_f4[[#This Row],[hwycov_id]],[2]flow_freeway!$A$2:$E$1643,4,FALSE),0)</f>
        <v>20766</v>
      </c>
      <c r="I790">
        <f>IFERROR(VLOOKUP(Table_socioeca8.sandag.org_ws_abm2_f4[[#This Row],[hwycov_id]],[2]flow_freeway!$A$2:$E$1643,5,FALSE),0)</f>
        <v>37791</v>
      </c>
      <c r="K790">
        <f>Table_socioeca8.sandag.org_ws_abm2_f4[[#This Row],[hwycov_id]]</f>
        <v>15443</v>
      </c>
      <c r="L790">
        <f>Table_socioeca8.sandag.org_ws_abm2_f4[[#This Row],[scenario_id]]</f>
        <v>259</v>
      </c>
      <c r="M790">
        <f>Table_socioeca8.sandag.org_ws_abm2_f4[[#This Row],[flow_day]]</f>
        <v>129486</v>
      </c>
      <c r="N790">
        <f>Table_socioeca8.sandag.org_ws_abm2_f4[[#This Row],[flow_am]]</f>
        <v>20766</v>
      </c>
      <c r="O790">
        <f>Table_socioeca8.sandag.org_ws_abm2_f4[[#This Row],[flow_pm]]</f>
        <v>37791</v>
      </c>
    </row>
    <row r="791" spans="5:15" x14ac:dyDescent="0.25">
      <c r="E791">
        <v>15456</v>
      </c>
      <c r="F791">
        <f t="shared" si="12"/>
        <v>259</v>
      </c>
      <c r="G791">
        <f>IFERROR(VLOOKUP(Table_socioeca8.sandag.org_ws_abm2_f4[[#This Row],[hwycov_id]],[2]flow_freeway!$A$2:$E$1643,3,FALSE),0)</f>
        <v>96144</v>
      </c>
      <c r="H791">
        <f>IFERROR(VLOOKUP(Table_socioeca8.sandag.org_ws_abm2_f4[[#This Row],[hwycov_id]],[2]flow_freeway!$A$2:$E$1643,4,FALSE),0)</f>
        <v>26338</v>
      </c>
      <c r="I791">
        <f>IFERROR(VLOOKUP(Table_socioeca8.sandag.org_ws_abm2_f4[[#This Row],[hwycov_id]],[2]flow_freeway!$A$2:$E$1643,5,FALSE),0)</f>
        <v>18780</v>
      </c>
      <c r="K791">
        <f>Table_socioeca8.sandag.org_ws_abm2_f4[[#This Row],[hwycov_id]]</f>
        <v>15456</v>
      </c>
      <c r="L791">
        <f>Table_socioeca8.sandag.org_ws_abm2_f4[[#This Row],[scenario_id]]</f>
        <v>259</v>
      </c>
      <c r="M791">
        <f>Table_socioeca8.sandag.org_ws_abm2_f4[[#This Row],[flow_day]]</f>
        <v>96144</v>
      </c>
      <c r="N791">
        <f>Table_socioeca8.sandag.org_ws_abm2_f4[[#This Row],[flow_am]]</f>
        <v>26338</v>
      </c>
      <c r="O791">
        <f>Table_socioeca8.sandag.org_ws_abm2_f4[[#This Row],[flow_pm]]</f>
        <v>18780</v>
      </c>
    </row>
    <row r="792" spans="5:15" x14ac:dyDescent="0.25">
      <c r="E792">
        <v>15457</v>
      </c>
      <c r="F792">
        <f t="shared" si="12"/>
        <v>259</v>
      </c>
      <c r="G792">
        <f>IFERROR(VLOOKUP(Table_socioeca8.sandag.org_ws_abm2_f4[[#This Row],[hwycov_id]],[2]flow_freeway!$A$2:$E$1643,3,FALSE),0)</f>
        <v>97609</v>
      </c>
      <c r="H792">
        <f>IFERROR(VLOOKUP(Table_socioeca8.sandag.org_ws_abm2_f4[[#This Row],[hwycov_id]],[2]flow_freeway!$A$2:$E$1643,4,FALSE),0)</f>
        <v>14370</v>
      </c>
      <c r="I792">
        <f>IFERROR(VLOOKUP(Table_socioeca8.sandag.org_ws_abm2_f4[[#This Row],[hwycov_id]],[2]flow_freeway!$A$2:$E$1643,5,FALSE),0)</f>
        <v>29199</v>
      </c>
      <c r="K792">
        <f>Table_socioeca8.sandag.org_ws_abm2_f4[[#This Row],[hwycov_id]]</f>
        <v>15457</v>
      </c>
      <c r="L792">
        <f>Table_socioeca8.sandag.org_ws_abm2_f4[[#This Row],[scenario_id]]</f>
        <v>259</v>
      </c>
      <c r="M792">
        <f>Table_socioeca8.sandag.org_ws_abm2_f4[[#This Row],[flow_day]]</f>
        <v>97609</v>
      </c>
      <c r="N792">
        <f>Table_socioeca8.sandag.org_ws_abm2_f4[[#This Row],[flow_am]]</f>
        <v>14370</v>
      </c>
      <c r="O792">
        <f>Table_socioeca8.sandag.org_ws_abm2_f4[[#This Row],[flow_pm]]</f>
        <v>29199</v>
      </c>
    </row>
    <row r="793" spans="5:15" x14ac:dyDescent="0.25">
      <c r="E793">
        <v>15458</v>
      </c>
      <c r="F793">
        <f t="shared" si="12"/>
        <v>259</v>
      </c>
      <c r="G793">
        <f>IFERROR(VLOOKUP(Table_socioeca8.sandag.org_ws_abm2_f4[[#This Row],[hwycov_id]],[2]flow_freeway!$A$2:$E$1643,3,FALSE),0)</f>
        <v>107282</v>
      </c>
      <c r="H793">
        <f>IFERROR(VLOOKUP(Table_socioeca8.sandag.org_ws_abm2_f4[[#This Row],[hwycov_id]],[2]flow_freeway!$A$2:$E$1643,4,FALSE),0)</f>
        <v>28472</v>
      </c>
      <c r="I793">
        <f>IFERROR(VLOOKUP(Table_socioeca8.sandag.org_ws_abm2_f4[[#This Row],[hwycov_id]],[2]flow_freeway!$A$2:$E$1643,5,FALSE),0)</f>
        <v>21106</v>
      </c>
      <c r="K793">
        <f>Table_socioeca8.sandag.org_ws_abm2_f4[[#This Row],[hwycov_id]]</f>
        <v>15458</v>
      </c>
      <c r="L793">
        <f>Table_socioeca8.sandag.org_ws_abm2_f4[[#This Row],[scenario_id]]</f>
        <v>259</v>
      </c>
      <c r="M793">
        <f>Table_socioeca8.sandag.org_ws_abm2_f4[[#This Row],[flow_day]]</f>
        <v>107282</v>
      </c>
      <c r="N793">
        <f>Table_socioeca8.sandag.org_ws_abm2_f4[[#This Row],[flow_am]]</f>
        <v>28472</v>
      </c>
      <c r="O793">
        <f>Table_socioeca8.sandag.org_ws_abm2_f4[[#This Row],[flow_pm]]</f>
        <v>21106</v>
      </c>
    </row>
    <row r="794" spans="5:15" x14ac:dyDescent="0.25">
      <c r="E794">
        <v>15459</v>
      </c>
      <c r="F794">
        <f t="shared" si="12"/>
        <v>259</v>
      </c>
      <c r="G794">
        <f>IFERROR(VLOOKUP(Table_socioeca8.sandag.org_ws_abm2_f4[[#This Row],[hwycov_id]],[2]flow_freeway!$A$2:$E$1643,3,FALSE),0)</f>
        <v>109112</v>
      </c>
      <c r="H794">
        <f>IFERROR(VLOOKUP(Table_socioeca8.sandag.org_ws_abm2_f4[[#This Row],[hwycov_id]],[2]flow_freeway!$A$2:$E$1643,4,FALSE),0)</f>
        <v>15931</v>
      </c>
      <c r="I794">
        <f>IFERROR(VLOOKUP(Table_socioeca8.sandag.org_ws_abm2_f4[[#This Row],[hwycov_id]],[2]flow_freeway!$A$2:$E$1643,5,FALSE),0)</f>
        <v>32309</v>
      </c>
      <c r="K794">
        <f>Table_socioeca8.sandag.org_ws_abm2_f4[[#This Row],[hwycov_id]]</f>
        <v>15459</v>
      </c>
      <c r="L794">
        <f>Table_socioeca8.sandag.org_ws_abm2_f4[[#This Row],[scenario_id]]</f>
        <v>259</v>
      </c>
      <c r="M794">
        <f>Table_socioeca8.sandag.org_ws_abm2_f4[[#This Row],[flow_day]]</f>
        <v>109112</v>
      </c>
      <c r="N794">
        <f>Table_socioeca8.sandag.org_ws_abm2_f4[[#This Row],[flow_am]]</f>
        <v>15931</v>
      </c>
      <c r="O794">
        <f>Table_socioeca8.sandag.org_ws_abm2_f4[[#This Row],[flow_pm]]</f>
        <v>32309</v>
      </c>
    </row>
    <row r="795" spans="5:15" x14ac:dyDescent="0.25">
      <c r="E795">
        <v>15676</v>
      </c>
      <c r="F795">
        <f t="shared" si="12"/>
        <v>259</v>
      </c>
      <c r="G795">
        <f>IFERROR(VLOOKUP(Table_socioeca8.sandag.org_ws_abm2_f4[[#This Row],[hwycov_id]],[2]flow_freeway!$A$2:$E$1643,3,FALSE),0)</f>
        <v>3142</v>
      </c>
      <c r="H795">
        <f>IFERROR(VLOOKUP(Table_socioeca8.sandag.org_ws_abm2_f4[[#This Row],[hwycov_id]],[2]flow_freeway!$A$2:$E$1643,4,FALSE),0)</f>
        <v>0</v>
      </c>
      <c r="I795">
        <f>IFERROR(VLOOKUP(Table_socioeca8.sandag.org_ws_abm2_f4[[#This Row],[hwycov_id]],[2]flow_freeway!$A$2:$E$1643,5,FALSE),0)</f>
        <v>3142</v>
      </c>
      <c r="K795">
        <f>Table_socioeca8.sandag.org_ws_abm2_f4[[#This Row],[hwycov_id]]</f>
        <v>15676</v>
      </c>
      <c r="L795">
        <f>Table_socioeca8.sandag.org_ws_abm2_f4[[#This Row],[scenario_id]]</f>
        <v>259</v>
      </c>
      <c r="M795">
        <f>Table_socioeca8.sandag.org_ws_abm2_f4[[#This Row],[flow_day]]</f>
        <v>3142</v>
      </c>
      <c r="N795">
        <f>Table_socioeca8.sandag.org_ws_abm2_f4[[#This Row],[flow_am]]</f>
        <v>0</v>
      </c>
      <c r="O795">
        <f>Table_socioeca8.sandag.org_ws_abm2_f4[[#This Row],[flow_pm]]</f>
        <v>3142</v>
      </c>
    </row>
    <row r="796" spans="5:15" x14ac:dyDescent="0.25">
      <c r="E796">
        <v>15680</v>
      </c>
      <c r="F796">
        <f t="shared" si="12"/>
        <v>259</v>
      </c>
      <c r="G796">
        <f>IFERROR(VLOOKUP(Table_socioeca8.sandag.org_ws_abm2_f4[[#This Row],[hwycov_id]],[2]flow_freeway!$A$2:$E$1643,3,FALSE),0)</f>
        <v>2348</v>
      </c>
      <c r="H796">
        <f>IFERROR(VLOOKUP(Table_socioeca8.sandag.org_ws_abm2_f4[[#This Row],[hwycov_id]],[2]flow_freeway!$A$2:$E$1643,4,FALSE),0)</f>
        <v>2348</v>
      </c>
      <c r="I796">
        <f>IFERROR(VLOOKUP(Table_socioeca8.sandag.org_ws_abm2_f4[[#This Row],[hwycov_id]],[2]flow_freeway!$A$2:$E$1643,5,FALSE),0)</f>
        <v>0</v>
      </c>
      <c r="K796">
        <f>Table_socioeca8.sandag.org_ws_abm2_f4[[#This Row],[hwycov_id]]</f>
        <v>15680</v>
      </c>
      <c r="L796">
        <f>Table_socioeca8.sandag.org_ws_abm2_f4[[#This Row],[scenario_id]]</f>
        <v>259</v>
      </c>
      <c r="M796">
        <f>Table_socioeca8.sandag.org_ws_abm2_f4[[#This Row],[flow_day]]</f>
        <v>2348</v>
      </c>
      <c r="N796">
        <f>Table_socioeca8.sandag.org_ws_abm2_f4[[#This Row],[flow_am]]</f>
        <v>2348</v>
      </c>
      <c r="O796">
        <f>Table_socioeca8.sandag.org_ws_abm2_f4[[#This Row],[flow_pm]]</f>
        <v>0</v>
      </c>
    </row>
    <row r="797" spans="5:15" x14ac:dyDescent="0.25">
      <c r="E797">
        <v>15681</v>
      </c>
      <c r="F797">
        <f t="shared" si="12"/>
        <v>259</v>
      </c>
      <c r="G797">
        <f>IFERROR(VLOOKUP(Table_socioeca8.sandag.org_ws_abm2_f4[[#This Row],[hwycov_id]],[2]flow_freeway!$A$2:$E$1643,3,FALSE),0)</f>
        <v>3142</v>
      </c>
      <c r="H797">
        <f>IFERROR(VLOOKUP(Table_socioeca8.sandag.org_ws_abm2_f4[[#This Row],[hwycov_id]],[2]flow_freeway!$A$2:$E$1643,4,FALSE),0)</f>
        <v>0</v>
      </c>
      <c r="I797">
        <f>IFERROR(VLOOKUP(Table_socioeca8.sandag.org_ws_abm2_f4[[#This Row],[hwycov_id]],[2]flow_freeway!$A$2:$E$1643,5,FALSE),0)</f>
        <v>3142</v>
      </c>
      <c r="K797">
        <f>Table_socioeca8.sandag.org_ws_abm2_f4[[#This Row],[hwycov_id]]</f>
        <v>15681</v>
      </c>
      <c r="L797">
        <f>Table_socioeca8.sandag.org_ws_abm2_f4[[#This Row],[scenario_id]]</f>
        <v>259</v>
      </c>
      <c r="M797">
        <f>Table_socioeca8.sandag.org_ws_abm2_f4[[#This Row],[flow_day]]</f>
        <v>3142</v>
      </c>
      <c r="N797">
        <f>Table_socioeca8.sandag.org_ws_abm2_f4[[#This Row],[flow_am]]</f>
        <v>0</v>
      </c>
      <c r="O797">
        <f>Table_socioeca8.sandag.org_ws_abm2_f4[[#This Row],[flow_pm]]</f>
        <v>3142</v>
      </c>
    </row>
    <row r="798" spans="5:15" x14ac:dyDescent="0.25">
      <c r="E798">
        <v>15682</v>
      </c>
      <c r="F798">
        <f t="shared" si="12"/>
        <v>259</v>
      </c>
      <c r="G798">
        <f>IFERROR(VLOOKUP(Table_socioeca8.sandag.org_ws_abm2_f4[[#This Row],[hwycov_id]],[2]flow_freeway!$A$2:$E$1643,3,FALSE),0)</f>
        <v>2348</v>
      </c>
      <c r="H798">
        <f>IFERROR(VLOOKUP(Table_socioeca8.sandag.org_ws_abm2_f4[[#This Row],[hwycov_id]],[2]flow_freeway!$A$2:$E$1643,4,FALSE),0)</f>
        <v>2348</v>
      </c>
      <c r="I798">
        <f>IFERROR(VLOOKUP(Table_socioeca8.sandag.org_ws_abm2_f4[[#This Row],[hwycov_id]],[2]flow_freeway!$A$2:$E$1643,5,FALSE),0)</f>
        <v>0</v>
      </c>
      <c r="K798">
        <f>Table_socioeca8.sandag.org_ws_abm2_f4[[#This Row],[hwycov_id]]</f>
        <v>15682</v>
      </c>
      <c r="L798">
        <f>Table_socioeca8.sandag.org_ws_abm2_f4[[#This Row],[scenario_id]]</f>
        <v>259</v>
      </c>
      <c r="M798">
        <f>Table_socioeca8.sandag.org_ws_abm2_f4[[#This Row],[flow_day]]</f>
        <v>2348</v>
      </c>
      <c r="N798">
        <f>Table_socioeca8.sandag.org_ws_abm2_f4[[#This Row],[flow_am]]</f>
        <v>2348</v>
      </c>
      <c r="O798">
        <f>Table_socioeca8.sandag.org_ws_abm2_f4[[#This Row],[flow_pm]]</f>
        <v>0</v>
      </c>
    </row>
    <row r="799" spans="5:15" x14ac:dyDescent="0.25">
      <c r="E799">
        <v>15683</v>
      </c>
      <c r="F799">
        <f t="shared" si="12"/>
        <v>259</v>
      </c>
      <c r="G799">
        <f>IFERROR(VLOOKUP(Table_socioeca8.sandag.org_ws_abm2_f4[[#This Row],[hwycov_id]],[2]flow_freeway!$A$2:$E$1643,3,FALSE),0)</f>
        <v>3142</v>
      </c>
      <c r="H799">
        <f>IFERROR(VLOOKUP(Table_socioeca8.sandag.org_ws_abm2_f4[[#This Row],[hwycov_id]],[2]flow_freeway!$A$2:$E$1643,4,FALSE),0)</f>
        <v>0</v>
      </c>
      <c r="I799">
        <f>IFERROR(VLOOKUP(Table_socioeca8.sandag.org_ws_abm2_f4[[#This Row],[hwycov_id]],[2]flow_freeway!$A$2:$E$1643,5,FALSE),0)</f>
        <v>3142</v>
      </c>
      <c r="K799">
        <f>Table_socioeca8.sandag.org_ws_abm2_f4[[#This Row],[hwycov_id]]</f>
        <v>15683</v>
      </c>
      <c r="L799">
        <f>Table_socioeca8.sandag.org_ws_abm2_f4[[#This Row],[scenario_id]]</f>
        <v>259</v>
      </c>
      <c r="M799">
        <f>Table_socioeca8.sandag.org_ws_abm2_f4[[#This Row],[flow_day]]</f>
        <v>3142</v>
      </c>
      <c r="N799">
        <f>Table_socioeca8.sandag.org_ws_abm2_f4[[#This Row],[flow_am]]</f>
        <v>0</v>
      </c>
      <c r="O799">
        <f>Table_socioeca8.sandag.org_ws_abm2_f4[[#This Row],[flow_pm]]</f>
        <v>3142</v>
      </c>
    </row>
    <row r="800" spans="5:15" x14ac:dyDescent="0.25">
      <c r="E800">
        <v>15684</v>
      </c>
      <c r="F800">
        <f t="shared" si="12"/>
        <v>259</v>
      </c>
      <c r="G800">
        <f>IFERROR(VLOOKUP(Table_socioeca8.sandag.org_ws_abm2_f4[[#This Row],[hwycov_id]],[2]flow_freeway!$A$2:$E$1643,3,FALSE),0)</f>
        <v>69557</v>
      </c>
      <c r="H800">
        <f>IFERROR(VLOOKUP(Table_socioeca8.sandag.org_ws_abm2_f4[[#This Row],[hwycov_id]],[2]flow_freeway!$A$2:$E$1643,4,FALSE),0)</f>
        <v>16820</v>
      </c>
      <c r="I800">
        <f>IFERROR(VLOOKUP(Table_socioeca8.sandag.org_ws_abm2_f4[[#This Row],[hwycov_id]],[2]flow_freeway!$A$2:$E$1643,5,FALSE),0)</f>
        <v>12751</v>
      </c>
      <c r="K800">
        <f>Table_socioeca8.sandag.org_ws_abm2_f4[[#This Row],[hwycov_id]]</f>
        <v>15684</v>
      </c>
      <c r="L800">
        <f>Table_socioeca8.sandag.org_ws_abm2_f4[[#This Row],[scenario_id]]</f>
        <v>259</v>
      </c>
      <c r="M800">
        <f>Table_socioeca8.sandag.org_ws_abm2_f4[[#This Row],[flow_day]]</f>
        <v>69557</v>
      </c>
      <c r="N800">
        <f>Table_socioeca8.sandag.org_ws_abm2_f4[[#This Row],[flow_am]]</f>
        <v>16820</v>
      </c>
      <c r="O800">
        <f>Table_socioeca8.sandag.org_ws_abm2_f4[[#This Row],[flow_pm]]</f>
        <v>12751</v>
      </c>
    </row>
    <row r="801" spans="5:15" x14ac:dyDescent="0.25">
      <c r="E801">
        <v>15688</v>
      </c>
      <c r="F801">
        <f t="shared" si="12"/>
        <v>259</v>
      </c>
      <c r="G801">
        <f>IFERROR(VLOOKUP(Table_socioeca8.sandag.org_ws_abm2_f4[[#This Row],[hwycov_id]],[2]flow_freeway!$A$2:$E$1643,3,FALSE),0)</f>
        <v>88392</v>
      </c>
      <c r="H801">
        <f>IFERROR(VLOOKUP(Table_socioeca8.sandag.org_ws_abm2_f4[[#This Row],[hwycov_id]],[2]flow_freeway!$A$2:$E$1643,4,FALSE),0)</f>
        <v>18242</v>
      </c>
      <c r="I801">
        <f>IFERROR(VLOOKUP(Table_socioeca8.sandag.org_ws_abm2_f4[[#This Row],[hwycov_id]],[2]flow_freeway!$A$2:$E$1643,5,FALSE),0)</f>
        <v>22665</v>
      </c>
      <c r="K801">
        <f>Table_socioeca8.sandag.org_ws_abm2_f4[[#This Row],[hwycov_id]]</f>
        <v>15688</v>
      </c>
      <c r="L801">
        <f>Table_socioeca8.sandag.org_ws_abm2_f4[[#This Row],[scenario_id]]</f>
        <v>259</v>
      </c>
      <c r="M801">
        <f>Table_socioeca8.sandag.org_ws_abm2_f4[[#This Row],[flow_day]]</f>
        <v>88392</v>
      </c>
      <c r="N801">
        <f>Table_socioeca8.sandag.org_ws_abm2_f4[[#This Row],[flow_am]]</f>
        <v>18242</v>
      </c>
      <c r="O801">
        <f>Table_socioeca8.sandag.org_ws_abm2_f4[[#This Row],[flow_pm]]</f>
        <v>22665</v>
      </c>
    </row>
    <row r="802" spans="5:15" x14ac:dyDescent="0.25">
      <c r="E802">
        <v>15689</v>
      </c>
      <c r="F802">
        <f t="shared" si="12"/>
        <v>259</v>
      </c>
      <c r="G802">
        <f>IFERROR(VLOOKUP(Table_socioeca8.sandag.org_ws_abm2_f4[[#This Row],[hwycov_id]],[2]flow_freeway!$A$2:$E$1643,3,FALSE),0)</f>
        <v>63919</v>
      </c>
      <c r="H802">
        <f>IFERROR(VLOOKUP(Table_socioeca8.sandag.org_ws_abm2_f4[[#This Row],[hwycov_id]],[2]flow_freeway!$A$2:$E$1643,4,FALSE),0)</f>
        <v>15073</v>
      </c>
      <c r="I802">
        <f>IFERROR(VLOOKUP(Table_socioeca8.sandag.org_ws_abm2_f4[[#This Row],[hwycov_id]],[2]flow_freeway!$A$2:$E$1643,5,FALSE),0)</f>
        <v>13731</v>
      </c>
      <c r="K802">
        <f>Table_socioeca8.sandag.org_ws_abm2_f4[[#This Row],[hwycov_id]]</f>
        <v>15689</v>
      </c>
      <c r="L802">
        <f>Table_socioeca8.sandag.org_ws_abm2_f4[[#This Row],[scenario_id]]</f>
        <v>259</v>
      </c>
      <c r="M802">
        <f>Table_socioeca8.sandag.org_ws_abm2_f4[[#This Row],[flow_day]]</f>
        <v>63919</v>
      </c>
      <c r="N802">
        <f>Table_socioeca8.sandag.org_ws_abm2_f4[[#This Row],[flow_am]]</f>
        <v>15073</v>
      </c>
      <c r="O802">
        <f>Table_socioeca8.sandag.org_ws_abm2_f4[[#This Row],[flow_pm]]</f>
        <v>13731</v>
      </c>
    </row>
    <row r="803" spans="5:15" x14ac:dyDescent="0.25">
      <c r="E803">
        <v>15690</v>
      </c>
      <c r="F803">
        <f t="shared" si="12"/>
        <v>259</v>
      </c>
      <c r="G803">
        <f>IFERROR(VLOOKUP(Table_socioeca8.sandag.org_ws_abm2_f4[[#This Row],[hwycov_id]],[2]flow_freeway!$A$2:$E$1643,3,FALSE),0)</f>
        <v>66931</v>
      </c>
      <c r="H803">
        <f>IFERROR(VLOOKUP(Table_socioeca8.sandag.org_ws_abm2_f4[[#This Row],[hwycov_id]],[2]flow_freeway!$A$2:$E$1643,4,FALSE),0)</f>
        <v>12843</v>
      </c>
      <c r="I803">
        <f>IFERROR(VLOOKUP(Table_socioeca8.sandag.org_ws_abm2_f4[[#This Row],[hwycov_id]],[2]flow_freeway!$A$2:$E$1643,5,FALSE),0)</f>
        <v>19262</v>
      </c>
      <c r="K803">
        <f>Table_socioeca8.sandag.org_ws_abm2_f4[[#This Row],[hwycov_id]]</f>
        <v>15690</v>
      </c>
      <c r="L803">
        <f>Table_socioeca8.sandag.org_ws_abm2_f4[[#This Row],[scenario_id]]</f>
        <v>259</v>
      </c>
      <c r="M803">
        <f>Table_socioeca8.sandag.org_ws_abm2_f4[[#This Row],[flow_day]]</f>
        <v>66931</v>
      </c>
      <c r="N803">
        <f>Table_socioeca8.sandag.org_ws_abm2_f4[[#This Row],[flow_am]]</f>
        <v>12843</v>
      </c>
      <c r="O803">
        <f>Table_socioeca8.sandag.org_ws_abm2_f4[[#This Row],[flow_pm]]</f>
        <v>19262</v>
      </c>
    </row>
    <row r="804" spans="5:15" x14ac:dyDescent="0.25">
      <c r="E804">
        <v>15696</v>
      </c>
      <c r="F804">
        <f t="shared" si="12"/>
        <v>259</v>
      </c>
      <c r="G804">
        <f>IFERROR(VLOOKUP(Table_socioeca8.sandag.org_ws_abm2_f4[[#This Row],[hwycov_id]],[2]flow_freeway!$A$2:$E$1643,3,FALSE),0)</f>
        <v>90118</v>
      </c>
      <c r="H804">
        <f>IFERROR(VLOOKUP(Table_socioeca8.sandag.org_ws_abm2_f4[[#This Row],[hwycov_id]],[2]flow_freeway!$A$2:$E$1643,4,FALSE),0)</f>
        <v>19614</v>
      </c>
      <c r="I804">
        <f>IFERROR(VLOOKUP(Table_socioeca8.sandag.org_ws_abm2_f4[[#This Row],[hwycov_id]],[2]flow_freeway!$A$2:$E$1643,5,FALSE),0)</f>
        <v>20488</v>
      </c>
      <c r="K804">
        <f>Table_socioeca8.sandag.org_ws_abm2_f4[[#This Row],[hwycov_id]]</f>
        <v>15696</v>
      </c>
      <c r="L804">
        <f>Table_socioeca8.sandag.org_ws_abm2_f4[[#This Row],[scenario_id]]</f>
        <v>259</v>
      </c>
      <c r="M804">
        <f>Table_socioeca8.sandag.org_ws_abm2_f4[[#This Row],[flow_day]]</f>
        <v>90118</v>
      </c>
      <c r="N804">
        <f>Table_socioeca8.sandag.org_ws_abm2_f4[[#This Row],[flow_am]]</f>
        <v>19614</v>
      </c>
      <c r="O804">
        <f>Table_socioeca8.sandag.org_ws_abm2_f4[[#This Row],[flow_pm]]</f>
        <v>20488</v>
      </c>
    </row>
    <row r="805" spans="5:15" x14ac:dyDescent="0.25">
      <c r="E805">
        <v>15699</v>
      </c>
      <c r="F805">
        <f t="shared" si="12"/>
        <v>259</v>
      </c>
      <c r="G805">
        <f>IFERROR(VLOOKUP(Table_socioeca8.sandag.org_ws_abm2_f4[[#This Row],[hwycov_id]],[2]flow_freeway!$A$2:$E$1643,3,FALSE),0)</f>
        <v>101828</v>
      </c>
      <c r="H805">
        <f>IFERROR(VLOOKUP(Table_socioeca8.sandag.org_ws_abm2_f4[[#This Row],[hwycov_id]],[2]flow_freeway!$A$2:$E$1643,4,FALSE),0)</f>
        <v>20085</v>
      </c>
      <c r="I805">
        <f>IFERROR(VLOOKUP(Table_socioeca8.sandag.org_ws_abm2_f4[[#This Row],[hwycov_id]],[2]flow_freeway!$A$2:$E$1643,5,FALSE),0)</f>
        <v>27714</v>
      </c>
      <c r="K805">
        <f>Table_socioeca8.sandag.org_ws_abm2_f4[[#This Row],[hwycov_id]]</f>
        <v>15699</v>
      </c>
      <c r="L805">
        <f>Table_socioeca8.sandag.org_ws_abm2_f4[[#This Row],[scenario_id]]</f>
        <v>259</v>
      </c>
      <c r="M805">
        <f>Table_socioeca8.sandag.org_ws_abm2_f4[[#This Row],[flow_day]]</f>
        <v>101828</v>
      </c>
      <c r="N805">
        <f>Table_socioeca8.sandag.org_ws_abm2_f4[[#This Row],[flow_am]]</f>
        <v>20085</v>
      </c>
      <c r="O805">
        <f>Table_socioeca8.sandag.org_ws_abm2_f4[[#This Row],[flow_pm]]</f>
        <v>27714</v>
      </c>
    </row>
    <row r="806" spans="5:15" x14ac:dyDescent="0.25">
      <c r="E806">
        <v>15700</v>
      </c>
      <c r="F806">
        <f t="shared" si="12"/>
        <v>259</v>
      </c>
      <c r="G806">
        <f>IFERROR(VLOOKUP(Table_socioeca8.sandag.org_ws_abm2_f4[[#This Row],[hwycov_id]],[2]flow_freeway!$A$2:$E$1643,3,FALSE),0)</f>
        <v>110064</v>
      </c>
      <c r="H806">
        <f>IFERROR(VLOOKUP(Table_socioeca8.sandag.org_ws_abm2_f4[[#This Row],[hwycov_id]],[2]flow_freeway!$A$2:$E$1643,4,FALSE),0)</f>
        <v>22154</v>
      </c>
      <c r="I806">
        <f>IFERROR(VLOOKUP(Table_socioeca8.sandag.org_ws_abm2_f4[[#This Row],[hwycov_id]],[2]flow_freeway!$A$2:$E$1643,5,FALSE),0)</f>
        <v>29375</v>
      </c>
      <c r="K806">
        <f>Table_socioeca8.sandag.org_ws_abm2_f4[[#This Row],[hwycov_id]]</f>
        <v>15700</v>
      </c>
      <c r="L806">
        <f>Table_socioeca8.sandag.org_ws_abm2_f4[[#This Row],[scenario_id]]</f>
        <v>259</v>
      </c>
      <c r="M806">
        <f>Table_socioeca8.sandag.org_ws_abm2_f4[[#This Row],[flow_day]]</f>
        <v>110064</v>
      </c>
      <c r="N806">
        <f>Table_socioeca8.sandag.org_ws_abm2_f4[[#This Row],[flow_am]]</f>
        <v>22154</v>
      </c>
      <c r="O806">
        <f>Table_socioeca8.sandag.org_ws_abm2_f4[[#This Row],[flow_pm]]</f>
        <v>29375</v>
      </c>
    </row>
    <row r="807" spans="5:15" x14ac:dyDescent="0.25">
      <c r="E807">
        <v>15703</v>
      </c>
      <c r="F807">
        <f t="shared" si="12"/>
        <v>259</v>
      </c>
      <c r="G807">
        <f>IFERROR(VLOOKUP(Table_socioeca8.sandag.org_ws_abm2_f4[[#This Row],[hwycov_id]],[2]flow_freeway!$A$2:$E$1643,3,FALSE),0)</f>
        <v>100574</v>
      </c>
      <c r="H807">
        <f>IFERROR(VLOOKUP(Table_socioeca8.sandag.org_ws_abm2_f4[[#This Row],[hwycov_id]],[2]flow_freeway!$A$2:$E$1643,4,FALSE),0)</f>
        <v>21278</v>
      </c>
      <c r="I807">
        <f>IFERROR(VLOOKUP(Table_socioeca8.sandag.org_ws_abm2_f4[[#This Row],[hwycov_id]],[2]flow_freeway!$A$2:$E$1643,5,FALSE),0)</f>
        <v>24997</v>
      </c>
      <c r="K807">
        <f>Table_socioeca8.sandag.org_ws_abm2_f4[[#This Row],[hwycov_id]]</f>
        <v>15703</v>
      </c>
      <c r="L807">
        <f>Table_socioeca8.sandag.org_ws_abm2_f4[[#This Row],[scenario_id]]</f>
        <v>259</v>
      </c>
      <c r="M807">
        <f>Table_socioeca8.sandag.org_ws_abm2_f4[[#This Row],[flow_day]]</f>
        <v>100574</v>
      </c>
      <c r="N807">
        <f>Table_socioeca8.sandag.org_ws_abm2_f4[[#This Row],[flow_am]]</f>
        <v>21278</v>
      </c>
      <c r="O807">
        <f>Table_socioeca8.sandag.org_ws_abm2_f4[[#This Row],[flow_pm]]</f>
        <v>24997</v>
      </c>
    </row>
    <row r="808" spans="5:15" x14ac:dyDescent="0.25">
      <c r="E808">
        <v>15705</v>
      </c>
      <c r="F808">
        <f t="shared" si="12"/>
        <v>259</v>
      </c>
      <c r="G808">
        <f>IFERROR(VLOOKUP(Table_socioeca8.sandag.org_ws_abm2_f4[[#This Row],[hwycov_id]],[2]flow_freeway!$A$2:$E$1643,3,FALSE),0)</f>
        <v>85264</v>
      </c>
      <c r="H808">
        <f>IFERROR(VLOOKUP(Table_socioeca8.sandag.org_ws_abm2_f4[[#This Row],[hwycov_id]],[2]flow_freeway!$A$2:$E$1643,4,FALSE),0)</f>
        <v>18076</v>
      </c>
      <c r="I808">
        <f>IFERROR(VLOOKUP(Table_socioeca8.sandag.org_ws_abm2_f4[[#This Row],[hwycov_id]],[2]flow_freeway!$A$2:$E$1643,5,FALSE),0)</f>
        <v>21510</v>
      </c>
      <c r="K808">
        <f>Table_socioeca8.sandag.org_ws_abm2_f4[[#This Row],[hwycov_id]]</f>
        <v>15705</v>
      </c>
      <c r="L808">
        <f>Table_socioeca8.sandag.org_ws_abm2_f4[[#This Row],[scenario_id]]</f>
        <v>259</v>
      </c>
      <c r="M808">
        <f>Table_socioeca8.sandag.org_ws_abm2_f4[[#This Row],[flow_day]]</f>
        <v>85264</v>
      </c>
      <c r="N808">
        <f>Table_socioeca8.sandag.org_ws_abm2_f4[[#This Row],[flow_am]]</f>
        <v>18076</v>
      </c>
      <c r="O808">
        <f>Table_socioeca8.sandag.org_ws_abm2_f4[[#This Row],[flow_pm]]</f>
        <v>21510</v>
      </c>
    </row>
    <row r="809" spans="5:15" x14ac:dyDescent="0.25">
      <c r="E809">
        <v>15709</v>
      </c>
      <c r="F809">
        <f t="shared" si="12"/>
        <v>259</v>
      </c>
      <c r="G809">
        <f>IFERROR(VLOOKUP(Table_socioeca8.sandag.org_ws_abm2_f4[[#This Row],[hwycov_id]],[2]flow_freeway!$A$2:$E$1643,3,FALSE),0)</f>
        <v>95444</v>
      </c>
      <c r="H809">
        <f>IFERROR(VLOOKUP(Table_socioeca8.sandag.org_ws_abm2_f4[[#This Row],[hwycov_id]],[2]flow_freeway!$A$2:$E$1643,4,FALSE),0)</f>
        <v>19775</v>
      </c>
      <c r="I809">
        <f>IFERROR(VLOOKUP(Table_socioeca8.sandag.org_ws_abm2_f4[[#This Row],[hwycov_id]],[2]flow_freeway!$A$2:$E$1643,5,FALSE),0)</f>
        <v>24337</v>
      </c>
      <c r="K809">
        <f>Table_socioeca8.sandag.org_ws_abm2_f4[[#This Row],[hwycov_id]]</f>
        <v>15709</v>
      </c>
      <c r="L809">
        <f>Table_socioeca8.sandag.org_ws_abm2_f4[[#This Row],[scenario_id]]</f>
        <v>259</v>
      </c>
      <c r="M809">
        <f>Table_socioeca8.sandag.org_ws_abm2_f4[[#This Row],[flow_day]]</f>
        <v>95444</v>
      </c>
      <c r="N809">
        <f>Table_socioeca8.sandag.org_ws_abm2_f4[[#This Row],[flow_am]]</f>
        <v>19775</v>
      </c>
      <c r="O809">
        <f>Table_socioeca8.sandag.org_ws_abm2_f4[[#This Row],[flow_pm]]</f>
        <v>24337</v>
      </c>
    </row>
    <row r="810" spans="5:15" x14ac:dyDescent="0.25">
      <c r="E810">
        <v>15710</v>
      </c>
      <c r="F810">
        <f t="shared" si="12"/>
        <v>259</v>
      </c>
      <c r="G810">
        <f>IFERROR(VLOOKUP(Table_socioeca8.sandag.org_ws_abm2_f4[[#This Row],[hwycov_id]],[2]flow_freeway!$A$2:$E$1643,3,FALSE),0)</f>
        <v>101043</v>
      </c>
      <c r="H810">
        <f>IFERROR(VLOOKUP(Table_socioeca8.sandag.org_ws_abm2_f4[[#This Row],[hwycov_id]],[2]flow_freeway!$A$2:$E$1643,4,FALSE),0)</f>
        <v>21680</v>
      </c>
      <c r="I810">
        <f>IFERROR(VLOOKUP(Table_socioeca8.sandag.org_ws_abm2_f4[[#This Row],[hwycov_id]],[2]flow_freeway!$A$2:$E$1643,5,FALSE),0)</f>
        <v>25911</v>
      </c>
      <c r="K810">
        <f>Table_socioeca8.sandag.org_ws_abm2_f4[[#This Row],[hwycov_id]]</f>
        <v>15710</v>
      </c>
      <c r="L810">
        <f>Table_socioeca8.sandag.org_ws_abm2_f4[[#This Row],[scenario_id]]</f>
        <v>259</v>
      </c>
      <c r="M810">
        <f>Table_socioeca8.sandag.org_ws_abm2_f4[[#This Row],[flow_day]]</f>
        <v>101043</v>
      </c>
      <c r="N810">
        <f>Table_socioeca8.sandag.org_ws_abm2_f4[[#This Row],[flow_am]]</f>
        <v>21680</v>
      </c>
      <c r="O810">
        <f>Table_socioeca8.sandag.org_ws_abm2_f4[[#This Row],[flow_pm]]</f>
        <v>25911</v>
      </c>
    </row>
    <row r="811" spans="5:15" x14ac:dyDescent="0.25">
      <c r="E811">
        <v>15714</v>
      </c>
      <c r="F811">
        <f t="shared" si="12"/>
        <v>259</v>
      </c>
      <c r="G811">
        <f>IFERROR(VLOOKUP(Table_socioeca8.sandag.org_ws_abm2_f4[[#This Row],[hwycov_id]],[2]flow_freeway!$A$2:$E$1643,3,FALSE),0)</f>
        <v>116306</v>
      </c>
      <c r="H811">
        <f>IFERROR(VLOOKUP(Table_socioeca8.sandag.org_ws_abm2_f4[[#This Row],[hwycov_id]],[2]flow_freeway!$A$2:$E$1643,4,FALSE),0)</f>
        <v>24879</v>
      </c>
      <c r="I811">
        <f>IFERROR(VLOOKUP(Table_socioeca8.sandag.org_ws_abm2_f4[[#This Row],[hwycov_id]],[2]flow_freeway!$A$2:$E$1643,5,FALSE),0)</f>
        <v>29005</v>
      </c>
      <c r="K811">
        <f>Table_socioeca8.sandag.org_ws_abm2_f4[[#This Row],[hwycov_id]]</f>
        <v>15714</v>
      </c>
      <c r="L811">
        <f>Table_socioeca8.sandag.org_ws_abm2_f4[[#This Row],[scenario_id]]</f>
        <v>259</v>
      </c>
      <c r="M811">
        <f>Table_socioeca8.sandag.org_ws_abm2_f4[[#This Row],[flow_day]]</f>
        <v>116306</v>
      </c>
      <c r="N811">
        <f>Table_socioeca8.sandag.org_ws_abm2_f4[[#This Row],[flow_am]]</f>
        <v>24879</v>
      </c>
      <c r="O811">
        <f>Table_socioeca8.sandag.org_ws_abm2_f4[[#This Row],[flow_pm]]</f>
        <v>29005</v>
      </c>
    </row>
    <row r="812" spans="5:15" x14ac:dyDescent="0.25">
      <c r="E812">
        <v>15715</v>
      </c>
      <c r="F812">
        <f t="shared" si="12"/>
        <v>259</v>
      </c>
      <c r="G812">
        <f>IFERROR(VLOOKUP(Table_socioeca8.sandag.org_ws_abm2_f4[[#This Row],[hwycov_id]],[2]flow_freeway!$A$2:$E$1643,3,FALSE),0)</f>
        <v>100090</v>
      </c>
      <c r="H812">
        <f>IFERROR(VLOOKUP(Table_socioeca8.sandag.org_ws_abm2_f4[[#This Row],[hwycov_id]],[2]flow_freeway!$A$2:$E$1643,4,FALSE),0)</f>
        <v>20993</v>
      </c>
      <c r="I812">
        <f>IFERROR(VLOOKUP(Table_socioeca8.sandag.org_ws_abm2_f4[[#This Row],[hwycov_id]],[2]flow_freeway!$A$2:$E$1643,5,FALSE),0)</f>
        <v>25473</v>
      </c>
      <c r="K812">
        <f>Table_socioeca8.sandag.org_ws_abm2_f4[[#This Row],[hwycov_id]]</f>
        <v>15715</v>
      </c>
      <c r="L812">
        <f>Table_socioeca8.sandag.org_ws_abm2_f4[[#This Row],[scenario_id]]</f>
        <v>259</v>
      </c>
      <c r="M812">
        <f>Table_socioeca8.sandag.org_ws_abm2_f4[[#This Row],[flow_day]]</f>
        <v>100090</v>
      </c>
      <c r="N812">
        <f>Table_socioeca8.sandag.org_ws_abm2_f4[[#This Row],[flow_am]]</f>
        <v>20993</v>
      </c>
      <c r="O812">
        <f>Table_socioeca8.sandag.org_ws_abm2_f4[[#This Row],[flow_pm]]</f>
        <v>25473</v>
      </c>
    </row>
    <row r="813" spans="5:15" x14ac:dyDescent="0.25">
      <c r="E813">
        <v>15720</v>
      </c>
      <c r="F813">
        <f t="shared" si="12"/>
        <v>259</v>
      </c>
      <c r="G813">
        <f>IFERROR(VLOOKUP(Table_socioeca8.sandag.org_ws_abm2_f4[[#This Row],[hwycov_id]],[2]flow_freeway!$A$2:$E$1643,3,FALSE),0)</f>
        <v>92555</v>
      </c>
      <c r="H813">
        <f>IFERROR(VLOOKUP(Table_socioeca8.sandag.org_ws_abm2_f4[[#This Row],[hwycov_id]],[2]flow_freeway!$A$2:$E$1643,4,FALSE),0)</f>
        <v>20101</v>
      </c>
      <c r="I813">
        <f>IFERROR(VLOOKUP(Table_socioeca8.sandag.org_ws_abm2_f4[[#This Row],[hwycov_id]],[2]flow_freeway!$A$2:$E$1643,5,FALSE),0)</f>
        <v>23016</v>
      </c>
      <c r="K813">
        <f>Table_socioeca8.sandag.org_ws_abm2_f4[[#This Row],[hwycov_id]]</f>
        <v>15720</v>
      </c>
      <c r="L813">
        <f>Table_socioeca8.sandag.org_ws_abm2_f4[[#This Row],[scenario_id]]</f>
        <v>259</v>
      </c>
      <c r="M813">
        <f>Table_socioeca8.sandag.org_ws_abm2_f4[[#This Row],[flow_day]]</f>
        <v>92555</v>
      </c>
      <c r="N813">
        <f>Table_socioeca8.sandag.org_ws_abm2_f4[[#This Row],[flow_am]]</f>
        <v>20101</v>
      </c>
      <c r="O813">
        <f>Table_socioeca8.sandag.org_ws_abm2_f4[[#This Row],[flow_pm]]</f>
        <v>23016</v>
      </c>
    </row>
    <row r="814" spans="5:15" x14ac:dyDescent="0.25">
      <c r="E814">
        <v>15722</v>
      </c>
      <c r="F814">
        <f t="shared" si="12"/>
        <v>259</v>
      </c>
      <c r="G814">
        <f>IFERROR(VLOOKUP(Table_socioeca8.sandag.org_ws_abm2_f4[[#This Row],[hwycov_id]],[2]flow_freeway!$A$2:$E$1643,3,FALSE),0)</f>
        <v>82437</v>
      </c>
      <c r="H814">
        <f>IFERROR(VLOOKUP(Table_socioeca8.sandag.org_ws_abm2_f4[[#This Row],[hwycov_id]],[2]flow_freeway!$A$2:$E$1643,4,FALSE),0)</f>
        <v>18092</v>
      </c>
      <c r="I814">
        <f>IFERROR(VLOOKUP(Table_socioeca8.sandag.org_ws_abm2_f4[[#This Row],[hwycov_id]],[2]flow_freeway!$A$2:$E$1643,5,FALSE),0)</f>
        <v>21316</v>
      </c>
      <c r="K814">
        <f>Table_socioeca8.sandag.org_ws_abm2_f4[[#This Row],[hwycov_id]]</f>
        <v>15722</v>
      </c>
      <c r="L814">
        <f>Table_socioeca8.sandag.org_ws_abm2_f4[[#This Row],[scenario_id]]</f>
        <v>259</v>
      </c>
      <c r="M814">
        <f>Table_socioeca8.sandag.org_ws_abm2_f4[[#This Row],[flow_day]]</f>
        <v>82437</v>
      </c>
      <c r="N814">
        <f>Table_socioeca8.sandag.org_ws_abm2_f4[[#This Row],[flow_am]]</f>
        <v>18092</v>
      </c>
      <c r="O814">
        <f>Table_socioeca8.sandag.org_ws_abm2_f4[[#This Row],[flow_pm]]</f>
        <v>21316</v>
      </c>
    </row>
    <row r="815" spans="5:15" x14ac:dyDescent="0.25">
      <c r="E815">
        <v>15767</v>
      </c>
      <c r="F815">
        <f t="shared" si="12"/>
        <v>259</v>
      </c>
      <c r="G815">
        <f>IFERROR(VLOOKUP(Table_socioeca8.sandag.org_ws_abm2_f4[[#This Row],[hwycov_id]],[2]flow_freeway!$A$2:$E$1643,3,FALSE),0)</f>
        <v>137551</v>
      </c>
      <c r="H815">
        <f>IFERROR(VLOOKUP(Table_socioeca8.sandag.org_ws_abm2_f4[[#This Row],[hwycov_id]],[2]flow_freeway!$A$2:$E$1643,4,FALSE),0)</f>
        <v>24895</v>
      </c>
      <c r="I815">
        <f>IFERROR(VLOOKUP(Table_socioeca8.sandag.org_ws_abm2_f4[[#This Row],[hwycov_id]],[2]flow_freeway!$A$2:$E$1643,5,FALSE),0)</f>
        <v>37256</v>
      </c>
      <c r="K815">
        <f>Table_socioeca8.sandag.org_ws_abm2_f4[[#This Row],[hwycov_id]]</f>
        <v>15767</v>
      </c>
      <c r="L815">
        <f>Table_socioeca8.sandag.org_ws_abm2_f4[[#This Row],[scenario_id]]</f>
        <v>259</v>
      </c>
      <c r="M815">
        <f>Table_socioeca8.sandag.org_ws_abm2_f4[[#This Row],[flow_day]]</f>
        <v>137551</v>
      </c>
      <c r="N815">
        <f>Table_socioeca8.sandag.org_ws_abm2_f4[[#This Row],[flow_am]]</f>
        <v>24895</v>
      </c>
      <c r="O815">
        <f>Table_socioeca8.sandag.org_ws_abm2_f4[[#This Row],[flow_pm]]</f>
        <v>37256</v>
      </c>
    </row>
    <row r="816" spans="5:15" x14ac:dyDescent="0.25">
      <c r="E816">
        <v>15768</v>
      </c>
      <c r="F816">
        <f t="shared" si="12"/>
        <v>259</v>
      </c>
      <c r="G816">
        <f>IFERROR(VLOOKUP(Table_socioeca8.sandag.org_ws_abm2_f4[[#This Row],[hwycov_id]],[2]flow_freeway!$A$2:$E$1643,3,FALSE),0)</f>
        <v>113100</v>
      </c>
      <c r="H816">
        <f>IFERROR(VLOOKUP(Table_socioeca8.sandag.org_ws_abm2_f4[[#This Row],[hwycov_id]],[2]flow_freeway!$A$2:$E$1643,4,FALSE),0)</f>
        <v>20220</v>
      </c>
      <c r="I816">
        <f>IFERROR(VLOOKUP(Table_socioeca8.sandag.org_ws_abm2_f4[[#This Row],[hwycov_id]],[2]flow_freeway!$A$2:$E$1643,5,FALSE),0)</f>
        <v>30720</v>
      </c>
      <c r="K816">
        <f>Table_socioeca8.sandag.org_ws_abm2_f4[[#This Row],[hwycov_id]]</f>
        <v>15768</v>
      </c>
      <c r="L816">
        <f>Table_socioeca8.sandag.org_ws_abm2_f4[[#This Row],[scenario_id]]</f>
        <v>259</v>
      </c>
      <c r="M816">
        <f>Table_socioeca8.sandag.org_ws_abm2_f4[[#This Row],[flow_day]]</f>
        <v>113100</v>
      </c>
      <c r="N816">
        <f>Table_socioeca8.sandag.org_ws_abm2_f4[[#This Row],[flow_am]]</f>
        <v>20220</v>
      </c>
      <c r="O816">
        <f>Table_socioeca8.sandag.org_ws_abm2_f4[[#This Row],[flow_pm]]</f>
        <v>30720</v>
      </c>
    </row>
    <row r="817" spans="5:15" x14ac:dyDescent="0.25">
      <c r="E817">
        <v>15775</v>
      </c>
      <c r="F817">
        <f t="shared" si="12"/>
        <v>259</v>
      </c>
      <c r="G817">
        <f>IFERROR(VLOOKUP(Table_socioeca8.sandag.org_ws_abm2_f4[[#This Row],[hwycov_id]],[2]flow_freeway!$A$2:$E$1643,3,FALSE),0)</f>
        <v>59523</v>
      </c>
      <c r="H817">
        <f>IFERROR(VLOOKUP(Table_socioeca8.sandag.org_ws_abm2_f4[[#This Row],[hwycov_id]],[2]flow_freeway!$A$2:$E$1643,4,FALSE),0)</f>
        <v>10815</v>
      </c>
      <c r="I817">
        <f>IFERROR(VLOOKUP(Table_socioeca8.sandag.org_ws_abm2_f4[[#This Row],[hwycov_id]],[2]flow_freeway!$A$2:$E$1643,5,FALSE),0)</f>
        <v>16706</v>
      </c>
      <c r="K817">
        <f>Table_socioeca8.sandag.org_ws_abm2_f4[[#This Row],[hwycov_id]]</f>
        <v>15775</v>
      </c>
      <c r="L817">
        <f>Table_socioeca8.sandag.org_ws_abm2_f4[[#This Row],[scenario_id]]</f>
        <v>259</v>
      </c>
      <c r="M817">
        <f>Table_socioeca8.sandag.org_ws_abm2_f4[[#This Row],[flow_day]]</f>
        <v>59523</v>
      </c>
      <c r="N817">
        <f>Table_socioeca8.sandag.org_ws_abm2_f4[[#This Row],[flow_am]]</f>
        <v>10815</v>
      </c>
      <c r="O817">
        <f>Table_socioeca8.sandag.org_ws_abm2_f4[[#This Row],[flow_pm]]</f>
        <v>16706</v>
      </c>
    </row>
    <row r="818" spans="5:15" x14ac:dyDescent="0.25">
      <c r="E818">
        <v>15776</v>
      </c>
      <c r="F818">
        <f t="shared" si="12"/>
        <v>259</v>
      </c>
      <c r="G818">
        <f>IFERROR(VLOOKUP(Table_socioeca8.sandag.org_ws_abm2_f4[[#This Row],[hwycov_id]],[2]flow_freeway!$A$2:$E$1643,3,FALSE),0)</f>
        <v>129153</v>
      </c>
      <c r="H818">
        <f>IFERROR(VLOOKUP(Table_socioeca8.sandag.org_ws_abm2_f4[[#This Row],[hwycov_id]],[2]flow_freeway!$A$2:$E$1643,4,FALSE),0)</f>
        <v>31802</v>
      </c>
      <c r="I818">
        <f>IFERROR(VLOOKUP(Table_socioeca8.sandag.org_ws_abm2_f4[[#This Row],[hwycov_id]],[2]flow_freeway!$A$2:$E$1643,5,FALSE),0)</f>
        <v>28192</v>
      </c>
      <c r="K818">
        <f>Table_socioeca8.sandag.org_ws_abm2_f4[[#This Row],[hwycov_id]]</f>
        <v>15776</v>
      </c>
      <c r="L818">
        <f>Table_socioeca8.sandag.org_ws_abm2_f4[[#This Row],[scenario_id]]</f>
        <v>259</v>
      </c>
      <c r="M818">
        <f>Table_socioeca8.sandag.org_ws_abm2_f4[[#This Row],[flow_day]]</f>
        <v>129153</v>
      </c>
      <c r="N818">
        <f>Table_socioeca8.sandag.org_ws_abm2_f4[[#This Row],[flow_am]]</f>
        <v>31802</v>
      </c>
      <c r="O818">
        <f>Table_socioeca8.sandag.org_ws_abm2_f4[[#This Row],[flow_pm]]</f>
        <v>28192</v>
      </c>
    </row>
    <row r="819" spans="5:15" x14ac:dyDescent="0.25">
      <c r="E819">
        <v>15849</v>
      </c>
      <c r="F819">
        <f t="shared" si="12"/>
        <v>259</v>
      </c>
      <c r="G819">
        <f>IFERROR(VLOOKUP(Table_socioeca8.sandag.org_ws_abm2_f4[[#This Row],[hwycov_id]],[2]flow_freeway!$A$2:$E$1643,3,FALSE),0)</f>
        <v>86122</v>
      </c>
      <c r="H819">
        <f>IFERROR(VLOOKUP(Table_socioeca8.sandag.org_ws_abm2_f4[[#This Row],[hwycov_id]],[2]flow_freeway!$A$2:$E$1643,4,FALSE),0)</f>
        <v>11048</v>
      </c>
      <c r="I819">
        <f>IFERROR(VLOOKUP(Table_socioeca8.sandag.org_ws_abm2_f4[[#This Row],[hwycov_id]],[2]flow_freeway!$A$2:$E$1643,5,FALSE),0)</f>
        <v>27051</v>
      </c>
      <c r="K819">
        <f>Table_socioeca8.sandag.org_ws_abm2_f4[[#This Row],[hwycov_id]]</f>
        <v>15849</v>
      </c>
      <c r="L819">
        <f>Table_socioeca8.sandag.org_ws_abm2_f4[[#This Row],[scenario_id]]</f>
        <v>259</v>
      </c>
      <c r="M819">
        <f>Table_socioeca8.sandag.org_ws_abm2_f4[[#This Row],[flow_day]]</f>
        <v>86122</v>
      </c>
      <c r="N819">
        <f>Table_socioeca8.sandag.org_ws_abm2_f4[[#This Row],[flow_am]]</f>
        <v>11048</v>
      </c>
      <c r="O819">
        <f>Table_socioeca8.sandag.org_ws_abm2_f4[[#This Row],[flow_pm]]</f>
        <v>27051</v>
      </c>
    </row>
    <row r="820" spans="5:15" x14ac:dyDescent="0.25">
      <c r="E820">
        <v>15850</v>
      </c>
      <c r="F820">
        <f t="shared" si="12"/>
        <v>259</v>
      </c>
      <c r="G820">
        <f>IFERROR(VLOOKUP(Table_socioeca8.sandag.org_ws_abm2_f4[[#This Row],[hwycov_id]],[2]flow_freeway!$A$2:$E$1643,3,FALSE),0)</f>
        <v>92647</v>
      </c>
      <c r="H820">
        <f>IFERROR(VLOOKUP(Table_socioeca8.sandag.org_ws_abm2_f4[[#This Row],[hwycov_id]],[2]flow_freeway!$A$2:$E$1643,4,FALSE),0)</f>
        <v>22814</v>
      </c>
      <c r="I820">
        <f>IFERROR(VLOOKUP(Table_socioeca8.sandag.org_ws_abm2_f4[[#This Row],[hwycov_id]],[2]flow_freeway!$A$2:$E$1643,5,FALSE),0)</f>
        <v>14607</v>
      </c>
      <c r="K820">
        <f>Table_socioeca8.sandag.org_ws_abm2_f4[[#This Row],[hwycov_id]]</f>
        <v>15850</v>
      </c>
      <c r="L820">
        <f>Table_socioeca8.sandag.org_ws_abm2_f4[[#This Row],[scenario_id]]</f>
        <v>259</v>
      </c>
      <c r="M820">
        <f>Table_socioeca8.sandag.org_ws_abm2_f4[[#This Row],[flow_day]]</f>
        <v>92647</v>
      </c>
      <c r="N820">
        <f>Table_socioeca8.sandag.org_ws_abm2_f4[[#This Row],[flow_am]]</f>
        <v>22814</v>
      </c>
      <c r="O820">
        <f>Table_socioeca8.sandag.org_ws_abm2_f4[[#This Row],[flow_pm]]</f>
        <v>14607</v>
      </c>
    </row>
    <row r="821" spans="5:15" x14ac:dyDescent="0.25">
      <c r="E821">
        <v>15851</v>
      </c>
      <c r="F821">
        <f t="shared" si="12"/>
        <v>259</v>
      </c>
      <c r="G821">
        <f>IFERROR(VLOOKUP(Table_socioeca8.sandag.org_ws_abm2_f4[[#This Row],[hwycov_id]],[2]flow_freeway!$A$2:$E$1643,3,FALSE),0)</f>
        <v>96816</v>
      </c>
      <c r="H821">
        <f>IFERROR(VLOOKUP(Table_socioeca8.sandag.org_ws_abm2_f4[[#This Row],[hwycov_id]],[2]flow_freeway!$A$2:$E$1643,4,FALSE),0)</f>
        <v>12414</v>
      </c>
      <c r="I821">
        <f>IFERROR(VLOOKUP(Table_socioeca8.sandag.org_ws_abm2_f4[[#This Row],[hwycov_id]],[2]flow_freeway!$A$2:$E$1643,5,FALSE),0)</f>
        <v>29475</v>
      </c>
      <c r="K821">
        <f>Table_socioeca8.sandag.org_ws_abm2_f4[[#This Row],[hwycov_id]]</f>
        <v>15851</v>
      </c>
      <c r="L821">
        <f>Table_socioeca8.sandag.org_ws_abm2_f4[[#This Row],[scenario_id]]</f>
        <v>259</v>
      </c>
      <c r="M821">
        <f>Table_socioeca8.sandag.org_ws_abm2_f4[[#This Row],[flow_day]]</f>
        <v>96816</v>
      </c>
      <c r="N821">
        <f>Table_socioeca8.sandag.org_ws_abm2_f4[[#This Row],[flow_am]]</f>
        <v>12414</v>
      </c>
      <c r="O821">
        <f>Table_socioeca8.sandag.org_ws_abm2_f4[[#This Row],[flow_pm]]</f>
        <v>29475</v>
      </c>
    </row>
    <row r="822" spans="5:15" x14ac:dyDescent="0.25">
      <c r="E822">
        <v>15852</v>
      </c>
      <c r="F822">
        <f t="shared" si="12"/>
        <v>259</v>
      </c>
      <c r="G822">
        <f>IFERROR(VLOOKUP(Table_socioeca8.sandag.org_ws_abm2_f4[[#This Row],[hwycov_id]],[2]flow_freeway!$A$2:$E$1643,3,FALSE),0)</f>
        <v>84083</v>
      </c>
      <c r="H822">
        <f>IFERROR(VLOOKUP(Table_socioeca8.sandag.org_ws_abm2_f4[[#This Row],[hwycov_id]],[2]flow_freeway!$A$2:$E$1643,4,FALSE),0)</f>
        <v>21613</v>
      </c>
      <c r="I822">
        <f>IFERROR(VLOOKUP(Table_socioeca8.sandag.org_ws_abm2_f4[[#This Row],[hwycov_id]],[2]flow_freeway!$A$2:$E$1643,5,FALSE),0)</f>
        <v>13018</v>
      </c>
      <c r="K822">
        <f>Table_socioeca8.sandag.org_ws_abm2_f4[[#This Row],[hwycov_id]]</f>
        <v>15852</v>
      </c>
      <c r="L822">
        <f>Table_socioeca8.sandag.org_ws_abm2_f4[[#This Row],[scenario_id]]</f>
        <v>259</v>
      </c>
      <c r="M822">
        <f>Table_socioeca8.sandag.org_ws_abm2_f4[[#This Row],[flow_day]]</f>
        <v>84083</v>
      </c>
      <c r="N822">
        <f>Table_socioeca8.sandag.org_ws_abm2_f4[[#This Row],[flow_am]]</f>
        <v>21613</v>
      </c>
      <c r="O822">
        <f>Table_socioeca8.sandag.org_ws_abm2_f4[[#This Row],[flow_pm]]</f>
        <v>13018</v>
      </c>
    </row>
    <row r="823" spans="5:15" x14ac:dyDescent="0.25">
      <c r="E823">
        <v>15853</v>
      </c>
      <c r="F823">
        <f t="shared" si="12"/>
        <v>259</v>
      </c>
      <c r="G823">
        <f>IFERROR(VLOOKUP(Table_socioeca8.sandag.org_ws_abm2_f4[[#This Row],[hwycov_id]],[2]flow_freeway!$A$2:$E$1643,3,FALSE),0)</f>
        <v>89330</v>
      </c>
      <c r="H823">
        <f>IFERROR(VLOOKUP(Table_socioeca8.sandag.org_ws_abm2_f4[[#This Row],[hwycov_id]],[2]flow_freeway!$A$2:$E$1643,4,FALSE),0)</f>
        <v>11314</v>
      </c>
      <c r="I823">
        <f>IFERROR(VLOOKUP(Table_socioeca8.sandag.org_ws_abm2_f4[[#This Row],[hwycov_id]],[2]flow_freeway!$A$2:$E$1643,5,FALSE),0)</f>
        <v>28166</v>
      </c>
      <c r="K823">
        <f>Table_socioeca8.sandag.org_ws_abm2_f4[[#This Row],[hwycov_id]]</f>
        <v>15853</v>
      </c>
      <c r="L823">
        <f>Table_socioeca8.sandag.org_ws_abm2_f4[[#This Row],[scenario_id]]</f>
        <v>259</v>
      </c>
      <c r="M823">
        <f>Table_socioeca8.sandag.org_ws_abm2_f4[[#This Row],[flow_day]]</f>
        <v>89330</v>
      </c>
      <c r="N823">
        <f>Table_socioeca8.sandag.org_ws_abm2_f4[[#This Row],[flow_am]]</f>
        <v>11314</v>
      </c>
      <c r="O823">
        <f>Table_socioeca8.sandag.org_ws_abm2_f4[[#This Row],[flow_pm]]</f>
        <v>28166</v>
      </c>
    </row>
    <row r="824" spans="5:15" x14ac:dyDescent="0.25">
      <c r="E824">
        <v>15854</v>
      </c>
      <c r="F824">
        <f t="shared" si="12"/>
        <v>259</v>
      </c>
      <c r="G824">
        <f>IFERROR(VLOOKUP(Table_socioeca8.sandag.org_ws_abm2_f4[[#This Row],[hwycov_id]],[2]flow_freeway!$A$2:$E$1643,3,FALSE),0)</f>
        <v>86766</v>
      </c>
      <c r="H824">
        <f>IFERROR(VLOOKUP(Table_socioeca8.sandag.org_ws_abm2_f4[[#This Row],[hwycov_id]],[2]flow_freeway!$A$2:$E$1643,4,FALSE),0)</f>
        <v>22175</v>
      </c>
      <c r="I824">
        <f>IFERROR(VLOOKUP(Table_socioeca8.sandag.org_ws_abm2_f4[[#This Row],[hwycov_id]],[2]flow_freeway!$A$2:$E$1643,5,FALSE),0)</f>
        <v>13522</v>
      </c>
      <c r="K824">
        <f>Table_socioeca8.sandag.org_ws_abm2_f4[[#This Row],[hwycov_id]]</f>
        <v>15854</v>
      </c>
      <c r="L824">
        <f>Table_socioeca8.sandag.org_ws_abm2_f4[[#This Row],[scenario_id]]</f>
        <v>259</v>
      </c>
      <c r="M824">
        <f>Table_socioeca8.sandag.org_ws_abm2_f4[[#This Row],[flow_day]]</f>
        <v>86766</v>
      </c>
      <c r="N824">
        <f>Table_socioeca8.sandag.org_ws_abm2_f4[[#This Row],[flow_am]]</f>
        <v>22175</v>
      </c>
      <c r="O824">
        <f>Table_socioeca8.sandag.org_ws_abm2_f4[[#This Row],[flow_pm]]</f>
        <v>13522</v>
      </c>
    </row>
    <row r="825" spans="5:15" x14ac:dyDescent="0.25">
      <c r="E825">
        <v>15855</v>
      </c>
      <c r="F825">
        <f t="shared" si="12"/>
        <v>259</v>
      </c>
      <c r="G825">
        <f>IFERROR(VLOOKUP(Table_socioeca8.sandag.org_ws_abm2_f4[[#This Row],[hwycov_id]],[2]flow_freeway!$A$2:$E$1643,3,FALSE),0)</f>
        <v>79253</v>
      </c>
      <c r="H825">
        <f>IFERROR(VLOOKUP(Table_socioeca8.sandag.org_ws_abm2_f4[[#This Row],[hwycov_id]],[2]flow_freeway!$A$2:$E$1643,4,FALSE),0)</f>
        <v>9846</v>
      </c>
      <c r="I825">
        <f>IFERROR(VLOOKUP(Table_socioeca8.sandag.org_ws_abm2_f4[[#This Row],[hwycov_id]],[2]flow_freeway!$A$2:$E$1643,5,FALSE),0)</f>
        <v>26343</v>
      </c>
      <c r="K825">
        <f>Table_socioeca8.sandag.org_ws_abm2_f4[[#This Row],[hwycov_id]]</f>
        <v>15855</v>
      </c>
      <c r="L825">
        <f>Table_socioeca8.sandag.org_ws_abm2_f4[[#This Row],[scenario_id]]</f>
        <v>259</v>
      </c>
      <c r="M825">
        <f>Table_socioeca8.sandag.org_ws_abm2_f4[[#This Row],[flow_day]]</f>
        <v>79253</v>
      </c>
      <c r="N825">
        <f>Table_socioeca8.sandag.org_ws_abm2_f4[[#This Row],[flow_am]]</f>
        <v>9846</v>
      </c>
      <c r="O825">
        <f>Table_socioeca8.sandag.org_ws_abm2_f4[[#This Row],[flow_pm]]</f>
        <v>26343</v>
      </c>
    </row>
    <row r="826" spans="5:15" x14ac:dyDescent="0.25">
      <c r="E826">
        <v>15856</v>
      </c>
      <c r="F826">
        <f t="shared" si="12"/>
        <v>259</v>
      </c>
      <c r="G826">
        <f>IFERROR(VLOOKUP(Table_socioeca8.sandag.org_ws_abm2_f4[[#This Row],[hwycov_id]],[2]flow_freeway!$A$2:$E$1643,3,FALSE),0)</f>
        <v>77953</v>
      </c>
      <c r="H826">
        <f>IFERROR(VLOOKUP(Table_socioeca8.sandag.org_ws_abm2_f4[[#This Row],[hwycov_id]],[2]flow_freeway!$A$2:$E$1643,4,FALSE),0)</f>
        <v>20521</v>
      </c>
      <c r="I826">
        <f>IFERROR(VLOOKUP(Table_socioeca8.sandag.org_ws_abm2_f4[[#This Row],[hwycov_id]],[2]flow_freeway!$A$2:$E$1643,5,FALSE),0)</f>
        <v>11957</v>
      </c>
      <c r="K826">
        <f>Table_socioeca8.sandag.org_ws_abm2_f4[[#This Row],[hwycov_id]]</f>
        <v>15856</v>
      </c>
      <c r="L826">
        <f>Table_socioeca8.sandag.org_ws_abm2_f4[[#This Row],[scenario_id]]</f>
        <v>259</v>
      </c>
      <c r="M826">
        <f>Table_socioeca8.sandag.org_ws_abm2_f4[[#This Row],[flow_day]]</f>
        <v>77953</v>
      </c>
      <c r="N826">
        <f>Table_socioeca8.sandag.org_ws_abm2_f4[[#This Row],[flow_am]]</f>
        <v>20521</v>
      </c>
      <c r="O826">
        <f>Table_socioeca8.sandag.org_ws_abm2_f4[[#This Row],[flow_pm]]</f>
        <v>11957</v>
      </c>
    </row>
    <row r="827" spans="5:15" x14ac:dyDescent="0.25">
      <c r="E827">
        <v>15857</v>
      </c>
      <c r="F827">
        <f t="shared" si="12"/>
        <v>259</v>
      </c>
      <c r="G827">
        <f>IFERROR(VLOOKUP(Table_socioeca8.sandag.org_ws_abm2_f4[[#This Row],[hwycov_id]],[2]flow_freeway!$A$2:$E$1643,3,FALSE),0)</f>
        <v>79303</v>
      </c>
      <c r="H827">
        <f>IFERROR(VLOOKUP(Table_socioeca8.sandag.org_ws_abm2_f4[[#This Row],[hwycov_id]],[2]flow_freeway!$A$2:$E$1643,4,FALSE),0)</f>
        <v>20624</v>
      </c>
      <c r="I827">
        <f>IFERROR(VLOOKUP(Table_socioeca8.sandag.org_ws_abm2_f4[[#This Row],[hwycov_id]],[2]flow_freeway!$A$2:$E$1643,5,FALSE),0)</f>
        <v>12135</v>
      </c>
      <c r="K827">
        <f>Table_socioeca8.sandag.org_ws_abm2_f4[[#This Row],[hwycov_id]]</f>
        <v>15857</v>
      </c>
      <c r="L827">
        <f>Table_socioeca8.sandag.org_ws_abm2_f4[[#This Row],[scenario_id]]</f>
        <v>259</v>
      </c>
      <c r="M827">
        <f>Table_socioeca8.sandag.org_ws_abm2_f4[[#This Row],[flow_day]]</f>
        <v>79303</v>
      </c>
      <c r="N827">
        <f>Table_socioeca8.sandag.org_ws_abm2_f4[[#This Row],[flow_am]]</f>
        <v>20624</v>
      </c>
      <c r="O827">
        <f>Table_socioeca8.sandag.org_ws_abm2_f4[[#This Row],[flow_pm]]</f>
        <v>12135</v>
      </c>
    </row>
    <row r="828" spans="5:15" x14ac:dyDescent="0.25">
      <c r="E828">
        <v>15858</v>
      </c>
      <c r="F828">
        <f t="shared" si="12"/>
        <v>259</v>
      </c>
      <c r="G828">
        <f>IFERROR(VLOOKUP(Table_socioeca8.sandag.org_ws_abm2_f4[[#This Row],[hwycov_id]],[2]flow_freeway!$A$2:$E$1643,3,FALSE),0)</f>
        <v>80534</v>
      </c>
      <c r="H828">
        <f>IFERROR(VLOOKUP(Table_socioeca8.sandag.org_ws_abm2_f4[[#This Row],[hwycov_id]],[2]flow_freeway!$A$2:$E$1643,4,FALSE),0)</f>
        <v>10162</v>
      </c>
      <c r="I828">
        <f>IFERROR(VLOOKUP(Table_socioeca8.sandag.org_ws_abm2_f4[[#This Row],[hwycov_id]],[2]flow_freeway!$A$2:$E$1643,5,FALSE),0)</f>
        <v>26504</v>
      </c>
      <c r="K828">
        <f>Table_socioeca8.sandag.org_ws_abm2_f4[[#This Row],[hwycov_id]]</f>
        <v>15858</v>
      </c>
      <c r="L828">
        <f>Table_socioeca8.sandag.org_ws_abm2_f4[[#This Row],[scenario_id]]</f>
        <v>259</v>
      </c>
      <c r="M828">
        <f>Table_socioeca8.sandag.org_ws_abm2_f4[[#This Row],[flow_day]]</f>
        <v>80534</v>
      </c>
      <c r="N828">
        <f>Table_socioeca8.sandag.org_ws_abm2_f4[[#This Row],[flow_am]]</f>
        <v>10162</v>
      </c>
      <c r="O828">
        <f>Table_socioeca8.sandag.org_ws_abm2_f4[[#This Row],[flow_pm]]</f>
        <v>26504</v>
      </c>
    </row>
    <row r="829" spans="5:15" x14ac:dyDescent="0.25">
      <c r="E829">
        <v>15859</v>
      </c>
      <c r="F829">
        <f t="shared" si="12"/>
        <v>259</v>
      </c>
      <c r="G829">
        <f>IFERROR(VLOOKUP(Table_socioeca8.sandag.org_ws_abm2_f4[[#This Row],[hwycov_id]],[2]flow_freeway!$A$2:$E$1643,3,FALSE),0)</f>
        <v>75795</v>
      </c>
      <c r="H829">
        <f>IFERROR(VLOOKUP(Table_socioeca8.sandag.org_ws_abm2_f4[[#This Row],[hwycov_id]],[2]flow_freeway!$A$2:$E$1643,4,FALSE),0)</f>
        <v>9199</v>
      </c>
      <c r="I829">
        <f>IFERROR(VLOOKUP(Table_socioeca8.sandag.org_ws_abm2_f4[[#This Row],[hwycov_id]],[2]flow_freeway!$A$2:$E$1643,5,FALSE),0)</f>
        <v>25172</v>
      </c>
      <c r="K829">
        <f>Table_socioeca8.sandag.org_ws_abm2_f4[[#This Row],[hwycov_id]]</f>
        <v>15859</v>
      </c>
      <c r="L829">
        <f>Table_socioeca8.sandag.org_ws_abm2_f4[[#This Row],[scenario_id]]</f>
        <v>259</v>
      </c>
      <c r="M829">
        <f>Table_socioeca8.sandag.org_ws_abm2_f4[[#This Row],[flow_day]]</f>
        <v>75795</v>
      </c>
      <c r="N829">
        <f>Table_socioeca8.sandag.org_ws_abm2_f4[[#This Row],[flow_am]]</f>
        <v>9199</v>
      </c>
      <c r="O829">
        <f>Table_socioeca8.sandag.org_ws_abm2_f4[[#This Row],[flow_pm]]</f>
        <v>25172</v>
      </c>
    </row>
    <row r="830" spans="5:15" x14ac:dyDescent="0.25">
      <c r="E830">
        <v>15862</v>
      </c>
      <c r="F830">
        <f t="shared" si="12"/>
        <v>259</v>
      </c>
      <c r="G830">
        <f>IFERROR(VLOOKUP(Table_socioeca8.sandag.org_ws_abm2_f4[[#This Row],[hwycov_id]],[2]flow_freeway!$A$2:$E$1643,3,FALSE),0)</f>
        <v>74016</v>
      </c>
      <c r="H830">
        <f>IFERROR(VLOOKUP(Table_socioeca8.sandag.org_ws_abm2_f4[[#This Row],[hwycov_id]],[2]flow_freeway!$A$2:$E$1643,4,FALSE),0)</f>
        <v>19497</v>
      </c>
      <c r="I830">
        <f>IFERROR(VLOOKUP(Table_socioeca8.sandag.org_ws_abm2_f4[[#This Row],[hwycov_id]],[2]flow_freeway!$A$2:$E$1643,5,FALSE),0)</f>
        <v>10890</v>
      </c>
      <c r="K830">
        <f>Table_socioeca8.sandag.org_ws_abm2_f4[[#This Row],[hwycov_id]]</f>
        <v>15862</v>
      </c>
      <c r="L830">
        <f>Table_socioeca8.sandag.org_ws_abm2_f4[[#This Row],[scenario_id]]</f>
        <v>259</v>
      </c>
      <c r="M830">
        <f>Table_socioeca8.sandag.org_ws_abm2_f4[[#This Row],[flow_day]]</f>
        <v>74016</v>
      </c>
      <c r="N830">
        <f>Table_socioeca8.sandag.org_ws_abm2_f4[[#This Row],[flow_am]]</f>
        <v>19497</v>
      </c>
      <c r="O830">
        <f>Table_socioeca8.sandag.org_ws_abm2_f4[[#This Row],[flow_pm]]</f>
        <v>10890</v>
      </c>
    </row>
    <row r="831" spans="5:15" x14ac:dyDescent="0.25">
      <c r="E831">
        <v>15863</v>
      </c>
      <c r="F831">
        <f t="shared" si="12"/>
        <v>259</v>
      </c>
      <c r="G831">
        <f>IFERROR(VLOOKUP(Table_socioeca8.sandag.org_ws_abm2_f4[[#This Row],[hwycov_id]],[2]flow_freeway!$A$2:$E$1643,3,FALSE),0)</f>
        <v>31415</v>
      </c>
      <c r="H831">
        <f>IFERROR(VLOOKUP(Table_socioeca8.sandag.org_ws_abm2_f4[[#This Row],[hwycov_id]],[2]flow_freeway!$A$2:$E$1643,4,FALSE),0)</f>
        <v>9189</v>
      </c>
      <c r="I831">
        <f>IFERROR(VLOOKUP(Table_socioeca8.sandag.org_ws_abm2_f4[[#This Row],[hwycov_id]],[2]flow_freeway!$A$2:$E$1643,5,FALSE),0)</f>
        <v>4764</v>
      </c>
      <c r="K831">
        <f>Table_socioeca8.sandag.org_ws_abm2_f4[[#This Row],[hwycov_id]]</f>
        <v>15863</v>
      </c>
      <c r="L831">
        <f>Table_socioeca8.sandag.org_ws_abm2_f4[[#This Row],[scenario_id]]</f>
        <v>259</v>
      </c>
      <c r="M831">
        <f>Table_socioeca8.sandag.org_ws_abm2_f4[[#This Row],[flow_day]]</f>
        <v>31415</v>
      </c>
      <c r="N831">
        <f>Table_socioeca8.sandag.org_ws_abm2_f4[[#This Row],[flow_am]]</f>
        <v>9189</v>
      </c>
      <c r="O831">
        <f>Table_socioeca8.sandag.org_ws_abm2_f4[[#This Row],[flow_pm]]</f>
        <v>4764</v>
      </c>
    </row>
    <row r="832" spans="5:15" x14ac:dyDescent="0.25">
      <c r="E832">
        <v>15869</v>
      </c>
      <c r="F832">
        <f t="shared" si="12"/>
        <v>259</v>
      </c>
      <c r="G832">
        <f>IFERROR(VLOOKUP(Table_socioeca8.sandag.org_ws_abm2_f4[[#This Row],[hwycov_id]],[2]flow_freeway!$A$2:$E$1643,3,FALSE),0)</f>
        <v>3142</v>
      </c>
      <c r="H832">
        <f>IFERROR(VLOOKUP(Table_socioeca8.sandag.org_ws_abm2_f4[[#This Row],[hwycov_id]],[2]flow_freeway!$A$2:$E$1643,4,FALSE),0)</f>
        <v>0</v>
      </c>
      <c r="I832">
        <f>IFERROR(VLOOKUP(Table_socioeca8.sandag.org_ws_abm2_f4[[#This Row],[hwycov_id]],[2]flow_freeway!$A$2:$E$1643,5,FALSE),0)</f>
        <v>3142</v>
      </c>
      <c r="K832">
        <f>Table_socioeca8.sandag.org_ws_abm2_f4[[#This Row],[hwycov_id]]</f>
        <v>15869</v>
      </c>
      <c r="L832">
        <f>Table_socioeca8.sandag.org_ws_abm2_f4[[#This Row],[scenario_id]]</f>
        <v>259</v>
      </c>
      <c r="M832">
        <f>Table_socioeca8.sandag.org_ws_abm2_f4[[#This Row],[flow_day]]</f>
        <v>3142</v>
      </c>
      <c r="N832">
        <f>Table_socioeca8.sandag.org_ws_abm2_f4[[#This Row],[flow_am]]</f>
        <v>0</v>
      </c>
      <c r="O832">
        <f>Table_socioeca8.sandag.org_ws_abm2_f4[[#This Row],[flow_pm]]</f>
        <v>3142</v>
      </c>
    </row>
    <row r="833" spans="5:15" x14ac:dyDescent="0.25">
      <c r="E833">
        <v>15870</v>
      </c>
      <c r="F833">
        <f t="shared" si="12"/>
        <v>259</v>
      </c>
      <c r="G833">
        <f>IFERROR(VLOOKUP(Table_socioeca8.sandag.org_ws_abm2_f4[[#This Row],[hwycov_id]],[2]flow_freeway!$A$2:$E$1643,3,FALSE),0)</f>
        <v>77158</v>
      </c>
      <c r="H833">
        <f>IFERROR(VLOOKUP(Table_socioeca8.sandag.org_ws_abm2_f4[[#This Row],[hwycov_id]],[2]flow_freeway!$A$2:$E$1643,4,FALSE),0)</f>
        <v>22514</v>
      </c>
      <c r="I833">
        <f>IFERROR(VLOOKUP(Table_socioeca8.sandag.org_ws_abm2_f4[[#This Row],[hwycov_id]],[2]flow_freeway!$A$2:$E$1643,5,FALSE),0)</f>
        <v>14162</v>
      </c>
      <c r="K833">
        <f>Table_socioeca8.sandag.org_ws_abm2_f4[[#This Row],[hwycov_id]]</f>
        <v>15870</v>
      </c>
      <c r="L833">
        <f>Table_socioeca8.sandag.org_ws_abm2_f4[[#This Row],[scenario_id]]</f>
        <v>259</v>
      </c>
      <c r="M833">
        <f>Table_socioeca8.sandag.org_ws_abm2_f4[[#This Row],[flow_day]]</f>
        <v>77158</v>
      </c>
      <c r="N833">
        <f>Table_socioeca8.sandag.org_ws_abm2_f4[[#This Row],[flow_am]]</f>
        <v>22514</v>
      </c>
      <c r="O833">
        <f>Table_socioeca8.sandag.org_ws_abm2_f4[[#This Row],[flow_pm]]</f>
        <v>14162</v>
      </c>
    </row>
    <row r="834" spans="5:15" x14ac:dyDescent="0.25">
      <c r="E834">
        <v>15874</v>
      </c>
      <c r="F834">
        <f t="shared" si="12"/>
        <v>259</v>
      </c>
      <c r="G834">
        <f>IFERROR(VLOOKUP(Table_socioeca8.sandag.org_ws_abm2_f4[[#This Row],[hwycov_id]],[2]flow_freeway!$A$2:$E$1643,3,FALSE),0)</f>
        <v>83923</v>
      </c>
      <c r="H834">
        <f>IFERROR(VLOOKUP(Table_socioeca8.sandag.org_ws_abm2_f4[[#This Row],[hwycov_id]],[2]flow_freeway!$A$2:$E$1643,4,FALSE),0)</f>
        <v>12760</v>
      </c>
      <c r="I834">
        <f>IFERROR(VLOOKUP(Table_socioeca8.sandag.org_ws_abm2_f4[[#This Row],[hwycov_id]],[2]flow_freeway!$A$2:$E$1643,5,FALSE),0)</f>
        <v>27228</v>
      </c>
      <c r="K834">
        <f>Table_socioeca8.sandag.org_ws_abm2_f4[[#This Row],[hwycov_id]]</f>
        <v>15874</v>
      </c>
      <c r="L834">
        <f>Table_socioeca8.sandag.org_ws_abm2_f4[[#This Row],[scenario_id]]</f>
        <v>259</v>
      </c>
      <c r="M834">
        <f>Table_socioeca8.sandag.org_ws_abm2_f4[[#This Row],[flow_day]]</f>
        <v>83923</v>
      </c>
      <c r="N834">
        <f>Table_socioeca8.sandag.org_ws_abm2_f4[[#This Row],[flow_am]]</f>
        <v>12760</v>
      </c>
      <c r="O834">
        <f>Table_socioeca8.sandag.org_ws_abm2_f4[[#This Row],[flow_pm]]</f>
        <v>27228</v>
      </c>
    </row>
    <row r="835" spans="5:15" x14ac:dyDescent="0.25">
      <c r="E835">
        <v>15877</v>
      </c>
      <c r="F835">
        <f t="shared" si="12"/>
        <v>259</v>
      </c>
      <c r="G835">
        <f>IFERROR(VLOOKUP(Table_socioeca8.sandag.org_ws_abm2_f4[[#This Row],[hwycov_id]],[2]flow_freeway!$A$2:$E$1643,3,FALSE),0)</f>
        <v>74190</v>
      </c>
      <c r="H835">
        <f>IFERROR(VLOOKUP(Table_socioeca8.sandag.org_ws_abm2_f4[[#This Row],[hwycov_id]],[2]flow_freeway!$A$2:$E$1643,4,FALSE),0)</f>
        <v>16665</v>
      </c>
      <c r="I835">
        <f>IFERROR(VLOOKUP(Table_socioeca8.sandag.org_ws_abm2_f4[[#This Row],[hwycov_id]],[2]flow_freeway!$A$2:$E$1643,5,FALSE),0)</f>
        <v>18238</v>
      </c>
      <c r="K835">
        <f>Table_socioeca8.sandag.org_ws_abm2_f4[[#This Row],[hwycov_id]]</f>
        <v>15877</v>
      </c>
      <c r="L835">
        <f>Table_socioeca8.sandag.org_ws_abm2_f4[[#This Row],[scenario_id]]</f>
        <v>259</v>
      </c>
      <c r="M835">
        <f>Table_socioeca8.sandag.org_ws_abm2_f4[[#This Row],[flow_day]]</f>
        <v>74190</v>
      </c>
      <c r="N835">
        <f>Table_socioeca8.sandag.org_ws_abm2_f4[[#This Row],[flow_am]]</f>
        <v>16665</v>
      </c>
      <c r="O835">
        <f>Table_socioeca8.sandag.org_ws_abm2_f4[[#This Row],[flow_pm]]</f>
        <v>18238</v>
      </c>
    </row>
    <row r="836" spans="5:15" x14ac:dyDescent="0.25">
      <c r="E836">
        <v>15914</v>
      </c>
      <c r="F836">
        <f t="shared" ref="F836:F899" si="13">F835</f>
        <v>259</v>
      </c>
      <c r="G836">
        <f>IFERROR(VLOOKUP(Table_socioeca8.sandag.org_ws_abm2_f4[[#This Row],[hwycov_id]],[2]flow_freeway!$A$2:$E$1643,3,FALSE),0)</f>
        <v>65251</v>
      </c>
      <c r="H836">
        <f>IFERROR(VLOOKUP(Table_socioeca8.sandag.org_ws_abm2_f4[[#This Row],[hwycov_id]],[2]flow_freeway!$A$2:$E$1643,4,FALSE),0)</f>
        <v>12994</v>
      </c>
      <c r="I836">
        <f>IFERROR(VLOOKUP(Table_socioeca8.sandag.org_ws_abm2_f4[[#This Row],[hwycov_id]],[2]flow_freeway!$A$2:$E$1643,5,FALSE),0)</f>
        <v>16225</v>
      </c>
      <c r="K836">
        <f>Table_socioeca8.sandag.org_ws_abm2_f4[[#This Row],[hwycov_id]]</f>
        <v>15914</v>
      </c>
      <c r="L836">
        <f>Table_socioeca8.sandag.org_ws_abm2_f4[[#This Row],[scenario_id]]</f>
        <v>259</v>
      </c>
      <c r="M836">
        <f>Table_socioeca8.sandag.org_ws_abm2_f4[[#This Row],[flow_day]]</f>
        <v>65251</v>
      </c>
      <c r="N836">
        <f>Table_socioeca8.sandag.org_ws_abm2_f4[[#This Row],[flow_am]]</f>
        <v>12994</v>
      </c>
      <c r="O836">
        <f>Table_socioeca8.sandag.org_ws_abm2_f4[[#This Row],[flow_pm]]</f>
        <v>16225</v>
      </c>
    </row>
    <row r="837" spans="5:15" x14ac:dyDescent="0.25">
      <c r="E837">
        <v>15916</v>
      </c>
      <c r="F837">
        <f t="shared" si="13"/>
        <v>259</v>
      </c>
      <c r="G837">
        <f>IFERROR(VLOOKUP(Table_socioeca8.sandag.org_ws_abm2_f4[[#This Row],[hwycov_id]],[2]flow_freeway!$A$2:$E$1643,3,FALSE),0)</f>
        <v>52701</v>
      </c>
      <c r="H837">
        <f>IFERROR(VLOOKUP(Table_socioeca8.sandag.org_ws_abm2_f4[[#This Row],[hwycov_id]],[2]flow_freeway!$A$2:$E$1643,4,FALSE),0)</f>
        <v>11776</v>
      </c>
      <c r="I837">
        <f>IFERROR(VLOOKUP(Table_socioeca8.sandag.org_ws_abm2_f4[[#This Row],[hwycov_id]],[2]flow_freeway!$A$2:$E$1643,5,FALSE),0)</f>
        <v>13283</v>
      </c>
      <c r="K837">
        <f>Table_socioeca8.sandag.org_ws_abm2_f4[[#This Row],[hwycov_id]]</f>
        <v>15916</v>
      </c>
      <c r="L837">
        <f>Table_socioeca8.sandag.org_ws_abm2_f4[[#This Row],[scenario_id]]</f>
        <v>259</v>
      </c>
      <c r="M837">
        <f>Table_socioeca8.sandag.org_ws_abm2_f4[[#This Row],[flow_day]]</f>
        <v>52701</v>
      </c>
      <c r="N837">
        <f>Table_socioeca8.sandag.org_ws_abm2_f4[[#This Row],[flow_am]]</f>
        <v>11776</v>
      </c>
      <c r="O837">
        <f>Table_socioeca8.sandag.org_ws_abm2_f4[[#This Row],[flow_pm]]</f>
        <v>13283</v>
      </c>
    </row>
    <row r="838" spans="5:15" x14ac:dyDescent="0.25">
      <c r="E838">
        <v>15917</v>
      </c>
      <c r="F838">
        <f t="shared" si="13"/>
        <v>259</v>
      </c>
      <c r="G838">
        <f>IFERROR(VLOOKUP(Table_socioeca8.sandag.org_ws_abm2_f4[[#This Row],[hwycov_id]],[2]flow_freeway!$A$2:$E$1643,3,FALSE),0)</f>
        <v>43390</v>
      </c>
      <c r="H838">
        <f>IFERROR(VLOOKUP(Table_socioeca8.sandag.org_ws_abm2_f4[[#This Row],[hwycov_id]],[2]flow_freeway!$A$2:$E$1643,4,FALSE),0)</f>
        <v>9076</v>
      </c>
      <c r="I838">
        <f>IFERROR(VLOOKUP(Table_socioeca8.sandag.org_ws_abm2_f4[[#This Row],[hwycov_id]],[2]flow_freeway!$A$2:$E$1643,5,FALSE),0)</f>
        <v>10451</v>
      </c>
      <c r="K838">
        <f>Table_socioeca8.sandag.org_ws_abm2_f4[[#This Row],[hwycov_id]]</f>
        <v>15917</v>
      </c>
      <c r="L838">
        <f>Table_socioeca8.sandag.org_ws_abm2_f4[[#This Row],[scenario_id]]</f>
        <v>259</v>
      </c>
      <c r="M838">
        <f>Table_socioeca8.sandag.org_ws_abm2_f4[[#This Row],[flow_day]]</f>
        <v>43390</v>
      </c>
      <c r="N838">
        <f>Table_socioeca8.sandag.org_ws_abm2_f4[[#This Row],[flow_am]]</f>
        <v>9076</v>
      </c>
      <c r="O838">
        <f>Table_socioeca8.sandag.org_ws_abm2_f4[[#This Row],[flow_pm]]</f>
        <v>10451</v>
      </c>
    </row>
    <row r="839" spans="5:15" x14ac:dyDescent="0.25">
      <c r="E839">
        <v>16032</v>
      </c>
      <c r="F839">
        <f t="shared" si="13"/>
        <v>259</v>
      </c>
      <c r="G839">
        <f>IFERROR(VLOOKUP(Table_socioeca8.sandag.org_ws_abm2_f4[[#This Row],[hwycov_id]],[2]flow_freeway!$A$2:$E$1643,3,FALSE),0)</f>
        <v>102688</v>
      </c>
      <c r="H839">
        <f>IFERROR(VLOOKUP(Table_socioeca8.sandag.org_ws_abm2_f4[[#This Row],[hwycov_id]],[2]flow_freeway!$A$2:$E$1643,4,FALSE),0)</f>
        <v>17863</v>
      </c>
      <c r="I839">
        <f>IFERROR(VLOOKUP(Table_socioeca8.sandag.org_ws_abm2_f4[[#This Row],[hwycov_id]],[2]flow_freeway!$A$2:$E$1643,5,FALSE),0)</f>
        <v>30490</v>
      </c>
      <c r="K839">
        <f>Table_socioeca8.sandag.org_ws_abm2_f4[[#This Row],[hwycov_id]]</f>
        <v>16032</v>
      </c>
      <c r="L839">
        <f>Table_socioeca8.sandag.org_ws_abm2_f4[[#This Row],[scenario_id]]</f>
        <v>259</v>
      </c>
      <c r="M839">
        <f>Table_socioeca8.sandag.org_ws_abm2_f4[[#This Row],[flow_day]]</f>
        <v>102688</v>
      </c>
      <c r="N839">
        <f>Table_socioeca8.sandag.org_ws_abm2_f4[[#This Row],[flow_am]]</f>
        <v>17863</v>
      </c>
      <c r="O839">
        <f>Table_socioeca8.sandag.org_ws_abm2_f4[[#This Row],[flow_pm]]</f>
        <v>30490</v>
      </c>
    </row>
    <row r="840" spans="5:15" x14ac:dyDescent="0.25">
      <c r="E840">
        <v>16037</v>
      </c>
      <c r="F840">
        <f t="shared" si="13"/>
        <v>259</v>
      </c>
      <c r="G840">
        <f>IFERROR(VLOOKUP(Table_socioeca8.sandag.org_ws_abm2_f4[[#This Row],[hwycov_id]],[2]flow_freeway!$A$2:$E$1643,3,FALSE),0)</f>
        <v>64478</v>
      </c>
      <c r="H840">
        <f>IFERROR(VLOOKUP(Table_socioeca8.sandag.org_ws_abm2_f4[[#This Row],[hwycov_id]],[2]flow_freeway!$A$2:$E$1643,4,FALSE),0)</f>
        <v>13356</v>
      </c>
      <c r="I840">
        <f>IFERROR(VLOOKUP(Table_socioeca8.sandag.org_ws_abm2_f4[[#This Row],[hwycov_id]],[2]flow_freeway!$A$2:$E$1643,5,FALSE),0)</f>
        <v>16278</v>
      </c>
      <c r="K840">
        <f>Table_socioeca8.sandag.org_ws_abm2_f4[[#This Row],[hwycov_id]]</f>
        <v>16037</v>
      </c>
      <c r="L840">
        <f>Table_socioeca8.sandag.org_ws_abm2_f4[[#This Row],[scenario_id]]</f>
        <v>259</v>
      </c>
      <c r="M840">
        <f>Table_socioeca8.sandag.org_ws_abm2_f4[[#This Row],[flow_day]]</f>
        <v>64478</v>
      </c>
      <c r="N840">
        <f>Table_socioeca8.sandag.org_ws_abm2_f4[[#This Row],[flow_am]]</f>
        <v>13356</v>
      </c>
      <c r="O840">
        <f>Table_socioeca8.sandag.org_ws_abm2_f4[[#This Row],[flow_pm]]</f>
        <v>16278</v>
      </c>
    </row>
    <row r="841" spans="5:15" x14ac:dyDescent="0.25">
      <c r="E841">
        <v>16038</v>
      </c>
      <c r="F841">
        <f t="shared" si="13"/>
        <v>259</v>
      </c>
      <c r="G841">
        <f>IFERROR(VLOOKUP(Table_socioeca8.sandag.org_ws_abm2_f4[[#This Row],[hwycov_id]],[2]flow_freeway!$A$2:$E$1643,3,FALSE),0)</f>
        <v>97020</v>
      </c>
      <c r="H841">
        <f>IFERROR(VLOOKUP(Table_socioeca8.sandag.org_ws_abm2_f4[[#This Row],[hwycov_id]],[2]flow_freeway!$A$2:$E$1643,4,FALSE),0)</f>
        <v>19404</v>
      </c>
      <c r="I841">
        <f>IFERROR(VLOOKUP(Table_socioeca8.sandag.org_ws_abm2_f4[[#This Row],[hwycov_id]],[2]flow_freeway!$A$2:$E$1643,5,FALSE),0)</f>
        <v>24279</v>
      </c>
      <c r="K841">
        <f>Table_socioeca8.sandag.org_ws_abm2_f4[[#This Row],[hwycov_id]]</f>
        <v>16038</v>
      </c>
      <c r="L841">
        <f>Table_socioeca8.sandag.org_ws_abm2_f4[[#This Row],[scenario_id]]</f>
        <v>259</v>
      </c>
      <c r="M841">
        <f>Table_socioeca8.sandag.org_ws_abm2_f4[[#This Row],[flow_day]]</f>
        <v>97020</v>
      </c>
      <c r="N841">
        <f>Table_socioeca8.sandag.org_ws_abm2_f4[[#This Row],[flow_am]]</f>
        <v>19404</v>
      </c>
      <c r="O841">
        <f>Table_socioeca8.sandag.org_ws_abm2_f4[[#This Row],[flow_pm]]</f>
        <v>24279</v>
      </c>
    </row>
    <row r="842" spans="5:15" x14ac:dyDescent="0.25">
      <c r="E842">
        <v>16040</v>
      </c>
      <c r="F842">
        <f t="shared" si="13"/>
        <v>259</v>
      </c>
      <c r="G842">
        <f>IFERROR(VLOOKUP(Table_socioeca8.sandag.org_ws_abm2_f4[[#This Row],[hwycov_id]],[2]flow_freeway!$A$2:$E$1643,3,FALSE),0)</f>
        <v>81133</v>
      </c>
      <c r="H842">
        <f>IFERROR(VLOOKUP(Table_socioeca8.sandag.org_ws_abm2_f4[[#This Row],[hwycov_id]],[2]flow_freeway!$A$2:$E$1643,4,FALSE),0)</f>
        <v>16681</v>
      </c>
      <c r="I842">
        <f>IFERROR(VLOOKUP(Table_socioeca8.sandag.org_ws_abm2_f4[[#This Row],[hwycov_id]],[2]flow_freeway!$A$2:$E$1643,5,FALSE),0)</f>
        <v>19580</v>
      </c>
      <c r="K842">
        <f>Table_socioeca8.sandag.org_ws_abm2_f4[[#This Row],[hwycov_id]]</f>
        <v>16040</v>
      </c>
      <c r="L842">
        <f>Table_socioeca8.sandag.org_ws_abm2_f4[[#This Row],[scenario_id]]</f>
        <v>259</v>
      </c>
      <c r="M842">
        <f>Table_socioeca8.sandag.org_ws_abm2_f4[[#This Row],[flow_day]]</f>
        <v>81133</v>
      </c>
      <c r="N842">
        <f>Table_socioeca8.sandag.org_ws_abm2_f4[[#This Row],[flow_am]]</f>
        <v>16681</v>
      </c>
      <c r="O842">
        <f>Table_socioeca8.sandag.org_ws_abm2_f4[[#This Row],[flow_pm]]</f>
        <v>19580</v>
      </c>
    </row>
    <row r="843" spans="5:15" x14ac:dyDescent="0.25">
      <c r="E843">
        <v>16041</v>
      </c>
      <c r="F843">
        <f t="shared" si="13"/>
        <v>259</v>
      </c>
      <c r="G843">
        <f>IFERROR(VLOOKUP(Table_socioeca8.sandag.org_ws_abm2_f4[[#This Row],[hwycov_id]],[2]flow_freeway!$A$2:$E$1643,3,FALSE),0)</f>
        <v>79987</v>
      </c>
      <c r="H843">
        <f>IFERROR(VLOOKUP(Table_socioeca8.sandag.org_ws_abm2_f4[[#This Row],[hwycov_id]],[2]flow_freeway!$A$2:$E$1643,4,FALSE),0)</f>
        <v>16105</v>
      </c>
      <c r="I843">
        <f>IFERROR(VLOOKUP(Table_socioeca8.sandag.org_ws_abm2_f4[[#This Row],[hwycov_id]],[2]flow_freeway!$A$2:$E$1643,5,FALSE),0)</f>
        <v>19891</v>
      </c>
      <c r="K843">
        <f>Table_socioeca8.sandag.org_ws_abm2_f4[[#This Row],[hwycov_id]]</f>
        <v>16041</v>
      </c>
      <c r="L843">
        <f>Table_socioeca8.sandag.org_ws_abm2_f4[[#This Row],[scenario_id]]</f>
        <v>259</v>
      </c>
      <c r="M843">
        <f>Table_socioeca8.sandag.org_ws_abm2_f4[[#This Row],[flow_day]]</f>
        <v>79987</v>
      </c>
      <c r="N843">
        <f>Table_socioeca8.sandag.org_ws_abm2_f4[[#This Row],[flow_am]]</f>
        <v>16105</v>
      </c>
      <c r="O843">
        <f>Table_socioeca8.sandag.org_ws_abm2_f4[[#This Row],[flow_pm]]</f>
        <v>19891</v>
      </c>
    </row>
    <row r="844" spans="5:15" x14ac:dyDescent="0.25">
      <c r="E844">
        <v>16045</v>
      </c>
      <c r="F844">
        <f t="shared" si="13"/>
        <v>259</v>
      </c>
      <c r="G844">
        <f>IFERROR(VLOOKUP(Table_socioeca8.sandag.org_ws_abm2_f4[[#This Row],[hwycov_id]],[2]flow_freeway!$A$2:$E$1643,3,FALSE),0)</f>
        <v>54982</v>
      </c>
      <c r="H844">
        <f>IFERROR(VLOOKUP(Table_socioeca8.sandag.org_ws_abm2_f4[[#This Row],[hwycov_id]],[2]flow_freeway!$A$2:$E$1643,4,FALSE),0)</f>
        <v>11726</v>
      </c>
      <c r="I844">
        <f>IFERROR(VLOOKUP(Table_socioeca8.sandag.org_ws_abm2_f4[[#This Row],[hwycov_id]],[2]flow_freeway!$A$2:$E$1643,5,FALSE),0)</f>
        <v>12797</v>
      </c>
      <c r="K844">
        <f>Table_socioeca8.sandag.org_ws_abm2_f4[[#This Row],[hwycov_id]]</f>
        <v>16045</v>
      </c>
      <c r="L844">
        <f>Table_socioeca8.sandag.org_ws_abm2_f4[[#This Row],[scenario_id]]</f>
        <v>259</v>
      </c>
      <c r="M844">
        <f>Table_socioeca8.sandag.org_ws_abm2_f4[[#This Row],[flow_day]]</f>
        <v>54982</v>
      </c>
      <c r="N844">
        <f>Table_socioeca8.sandag.org_ws_abm2_f4[[#This Row],[flow_am]]</f>
        <v>11726</v>
      </c>
      <c r="O844">
        <f>Table_socioeca8.sandag.org_ws_abm2_f4[[#This Row],[flow_pm]]</f>
        <v>12797</v>
      </c>
    </row>
    <row r="845" spans="5:15" x14ac:dyDescent="0.25">
      <c r="E845">
        <v>16046</v>
      </c>
      <c r="F845">
        <f t="shared" si="13"/>
        <v>259</v>
      </c>
      <c r="G845">
        <f>IFERROR(VLOOKUP(Table_socioeca8.sandag.org_ws_abm2_f4[[#This Row],[hwycov_id]],[2]flow_freeway!$A$2:$E$1643,3,FALSE),0)</f>
        <v>64180</v>
      </c>
      <c r="H845">
        <f>IFERROR(VLOOKUP(Table_socioeca8.sandag.org_ws_abm2_f4[[#This Row],[hwycov_id]],[2]flow_freeway!$A$2:$E$1643,4,FALSE),0)</f>
        <v>12171</v>
      </c>
      <c r="I845">
        <f>IFERROR(VLOOKUP(Table_socioeca8.sandag.org_ws_abm2_f4[[#This Row],[hwycov_id]],[2]flow_freeway!$A$2:$E$1643,5,FALSE),0)</f>
        <v>15619</v>
      </c>
      <c r="K845">
        <f>Table_socioeca8.sandag.org_ws_abm2_f4[[#This Row],[hwycov_id]]</f>
        <v>16046</v>
      </c>
      <c r="L845">
        <f>Table_socioeca8.sandag.org_ws_abm2_f4[[#This Row],[scenario_id]]</f>
        <v>259</v>
      </c>
      <c r="M845">
        <f>Table_socioeca8.sandag.org_ws_abm2_f4[[#This Row],[flow_day]]</f>
        <v>64180</v>
      </c>
      <c r="N845">
        <f>Table_socioeca8.sandag.org_ws_abm2_f4[[#This Row],[flow_am]]</f>
        <v>12171</v>
      </c>
      <c r="O845">
        <f>Table_socioeca8.sandag.org_ws_abm2_f4[[#This Row],[flow_pm]]</f>
        <v>15619</v>
      </c>
    </row>
    <row r="846" spans="5:15" x14ac:dyDescent="0.25">
      <c r="E846">
        <v>16054</v>
      </c>
      <c r="F846">
        <f t="shared" si="13"/>
        <v>259</v>
      </c>
      <c r="G846">
        <f>IFERROR(VLOOKUP(Table_socioeca8.sandag.org_ws_abm2_f4[[#This Row],[hwycov_id]],[2]flow_freeway!$A$2:$E$1643,3,FALSE),0)</f>
        <v>62100</v>
      </c>
      <c r="H846">
        <f>IFERROR(VLOOKUP(Table_socioeca8.sandag.org_ws_abm2_f4[[#This Row],[hwycov_id]],[2]flow_freeway!$A$2:$E$1643,4,FALSE),0)</f>
        <v>10661</v>
      </c>
      <c r="I846">
        <f>IFERROR(VLOOKUP(Table_socioeca8.sandag.org_ws_abm2_f4[[#This Row],[hwycov_id]],[2]flow_freeway!$A$2:$E$1643,5,FALSE),0)</f>
        <v>14462</v>
      </c>
      <c r="K846">
        <f>Table_socioeca8.sandag.org_ws_abm2_f4[[#This Row],[hwycov_id]]</f>
        <v>16054</v>
      </c>
      <c r="L846">
        <f>Table_socioeca8.sandag.org_ws_abm2_f4[[#This Row],[scenario_id]]</f>
        <v>259</v>
      </c>
      <c r="M846">
        <f>Table_socioeca8.sandag.org_ws_abm2_f4[[#This Row],[flow_day]]</f>
        <v>62100</v>
      </c>
      <c r="N846">
        <f>Table_socioeca8.sandag.org_ws_abm2_f4[[#This Row],[flow_am]]</f>
        <v>10661</v>
      </c>
      <c r="O846">
        <f>Table_socioeca8.sandag.org_ws_abm2_f4[[#This Row],[flow_pm]]</f>
        <v>14462</v>
      </c>
    </row>
    <row r="847" spans="5:15" x14ac:dyDescent="0.25">
      <c r="E847">
        <v>16057</v>
      </c>
      <c r="F847">
        <f t="shared" si="13"/>
        <v>259</v>
      </c>
      <c r="G847">
        <f>IFERROR(VLOOKUP(Table_socioeca8.sandag.org_ws_abm2_f4[[#This Row],[hwycov_id]],[2]flow_freeway!$A$2:$E$1643,3,FALSE),0)</f>
        <v>64250</v>
      </c>
      <c r="H847">
        <f>IFERROR(VLOOKUP(Table_socioeca8.sandag.org_ws_abm2_f4[[#This Row],[hwycov_id]],[2]flow_freeway!$A$2:$E$1643,4,FALSE),0)</f>
        <v>10898</v>
      </c>
      <c r="I847">
        <f>IFERROR(VLOOKUP(Table_socioeca8.sandag.org_ws_abm2_f4[[#This Row],[hwycov_id]],[2]flow_freeway!$A$2:$E$1643,5,FALSE),0)</f>
        <v>15266</v>
      </c>
      <c r="K847">
        <f>Table_socioeca8.sandag.org_ws_abm2_f4[[#This Row],[hwycov_id]]</f>
        <v>16057</v>
      </c>
      <c r="L847">
        <f>Table_socioeca8.sandag.org_ws_abm2_f4[[#This Row],[scenario_id]]</f>
        <v>259</v>
      </c>
      <c r="M847">
        <f>Table_socioeca8.sandag.org_ws_abm2_f4[[#This Row],[flow_day]]</f>
        <v>64250</v>
      </c>
      <c r="N847">
        <f>Table_socioeca8.sandag.org_ws_abm2_f4[[#This Row],[flow_am]]</f>
        <v>10898</v>
      </c>
      <c r="O847">
        <f>Table_socioeca8.sandag.org_ws_abm2_f4[[#This Row],[flow_pm]]</f>
        <v>15266</v>
      </c>
    </row>
    <row r="848" spans="5:15" x14ac:dyDescent="0.25">
      <c r="E848">
        <v>16059</v>
      </c>
      <c r="F848">
        <f t="shared" si="13"/>
        <v>259</v>
      </c>
      <c r="G848">
        <f>IFERROR(VLOOKUP(Table_socioeca8.sandag.org_ws_abm2_f4[[#This Row],[hwycov_id]],[2]flow_freeway!$A$2:$E$1643,3,FALSE),0)</f>
        <v>129153</v>
      </c>
      <c r="H848">
        <f>IFERROR(VLOOKUP(Table_socioeca8.sandag.org_ws_abm2_f4[[#This Row],[hwycov_id]],[2]flow_freeway!$A$2:$E$1643,4,FALSE),0)</f>
        <v>31802</v>
      </c>
      <c r="I848">
        <f>IFERROR(VLOOKUP(Table_socioeca8.sandag.org_ws_abm2_f4[[#This Row],[hwycov_id]],[2]flow_freeway!$A$2:$E$1643,5,FALSE),0)</f>
        <v>28192</v>
      </c>
      <c r="K848">
        <f>Table_socioeca8.sandag.org_ws_abm2_f4[[#This Row],[hwycov_id]]</f>
        <v>16059</v>
      </c>
      <c r="L848">
        <f>Table_socioeca8.sandag.org_ws_abm2_f4[[#This Row],[scenario_id]]</f>
        <v>259</v>
      </c>
      <c r="M848">
        <f>Table_socioeca8.sandag.org_ws_abm2_f4[[#This Row],[flow_day]]</f>
        <v>129153</v>
      </c>
      <c r="N848">
        <f>Table_socioeca8.sandag.org_ws_abm2_f4[[#This Row],[flow_am]]</f>
        <v>31802</v>
      </c>
      <c r="O848">
        <f>Table_socioeca8.sandag.org_ws_abm2_f4[[#This Row],[flow_pm]]</f>
        <v>28192</v>
      </c>
    </row>
    <row r="849" spans="5:15" x14ac:dyDescent="0.25">
      <c r="E849">
        <v>16084</v>
      </c>
      <c r="F849">
        <f t="shared" si="13"/>
        <v>259</v>
      </c>
      <c r="G849">
        <f>IFERROR(VLOOKUP(Table_socioeca8.sandag.org_ws_abm2_f4[[#This Row],[hwycov_id]],[2]flow_freeway!$A$2:$E$1643,3,FALSE),0)</f>
        <v>101099</v>
      </c>
      <c r="H849">
        <f>IFERROR(VLOOKUP(Table_socioeca8.sandag.org_ws_abm2_f4[[#This Row],[hwycov_id]],[2]flow_freeway!$A$2:$E$1643,4,FALSE),0)</f>
        <v>26649</v>
      </c>
      <c r="I849">
        <f>IFERROR(VLOOKUP(Table_socioeca8.sandag.org_ws_abm2_f4[[#This Row],[hwycov_id]],[2]flow_freeway!$A$2:$E$1643,5,FALSE),0)</f>
        <v>20138</v>
      </c>
      <c r="K849">
        <f>Table_socioeca8.sandag.org_ws_abm2_f4[[#This Row],[hwycov_id]]</f>
        <v>16084</v>
      </c>
      <c r="L849">
        <f>Table_socioeca8.sandag.org_ws_abm2_f4[[#This Row],[scenario_id]]</f>
        <v>259</v>
      </c>
      <c r="M849">
        <f>Table_socioeca8.sandag.org_ws_abm2_f4[[#This Row],[flow_day]]</f>
        <v>101099</v>
      </c>
      <c r="N849">
        <f>Table_socioeca8.sandag.org_ws_abm2_f4[[#This Row],[flow_am]]</f>
        <v>26649</v>
      </c>
      <c r="O849">
        <f>Table_socioeca8.sandag.org_ws_abm2_f4[[#This Row],[flow_pm]]</f>
        <v>20138</v>
      </c>
    </row>
    <row r="850" spans="5:15" x14ac:dyDescent="0.25">
      <c r="E850">
        <v>16085</v>
      </c>
      <c r="F850">
        <f t="shared" si="13"/>
        <v>259</v>
      </c>
      <c r="G850">
        <f>IFERROR(VLOOKUP(Table_socioeca8.sandag.org_ws_abm2_f4[[#This Row],[hwycov_id]],[2]flow_freeway!$A$2:$E$1643,3,FALSE),0)</f>
        <v>112278</v>
      </c>
      <c r="H850">
        <f>IFERROR(VLOOKUP(Table_socioeca8.sandag.org_ws_abm2_f4[[#This Row],[hwycov_id]],[2]flow_freeway!$A$2:$E$1643,4,FALSE),0)</f>
        <v>28635</v>
      </c>
      <c r="I850">
        <f>IFERROR(VLOOKUP(Table_socioeca8.sandag.org_ws_abm2_f4[[#This Row],[hwycov_id]],[2]flow_freeway!$A$2:$E$1643,5,FALSE),0)</f>
        <v>23911</v>
      </c>
      <c r="K850">
        <f>Table_socioeca8.sandag.org_ws_abm2_f4[[#This Row],[hwycov_id]]</f>
        <v>16085</v>
      </c>
      <c r="L850">
        <f>Table_socioeca8.sandag.org_ws_abm2_f4[[#This Row],[scenario_id]]</f>
        <v>259</v>
      </c>
      <c r="M850">
        <f>Table_socioeca8.sandag.org_ws_abm2_f4[[#This Row],[flow_day]]</f>
        <v>112278</v>
      </c>
      <c r="N850">
        <f>Table_socioeca8.sandag.org_ws_abm2_f4[[#This Row],[flow_am]]</f>
        <v>28635</v>
      </c>
      <c r="O850">
        <f>Table_socioeca8.sandag.org_ws_abm2_f4[[#This Row],[flow_pm]]</f>
        <v>23911</v>
      </c>
    </row>
    <row r="851" spans="5:15" x14ac:dyDescent="0.25">
      <c r="E851">
        <v>16096</v>
      </c>
      <c r="F851">
        <f t="shared" si="13"/>
        <v>259</v>
      </c>
      <c r="G851">
        <f>IFERROR(VLOOKUP(Table_socioeca8.sandag.org_ws_abm2_f4[[#This Row],[hwycov_id]],[2]flow_freeway!$A$2:$E$1643,3,FALSE),0)</f>
        <v>78562</v>
      </c>
      <c r="H851">
        <f>IFERROR(VLOOKUP(Table_socioeca8.sandag.org_ws_abm2_f4[[#This Row],[hwycov_id]],[2]flow_freeway!$A$2:$E$1643,4,FALSE),0)</f>
        <v>12366</v>
      </c>
      <c r="I851">
        <f>IFERROR(VLOOKUP(Table_socioeca8.sandag.org_ws_abm2_f4[[#This Row],[hwycov_id]],[2]flow_freeway!$A$2:$E$1643,5,FALSE),0)</f>
        <v>24524</v>
      </c>
      <c r="K851">
        <f>Table_socioeca8.sandag.org_ws_abm2_f4[[#This Row],[hwycov_id]]</f>
        <v>16096</v>
      </c>
      <c r="L851">
        <f>Table_socioeca8.sandag.org_ws_abm2_f4[[#This Row],[scenario_id]]</f>
        <v>259</v>
      </c>
      <c r="M851">
        <f>Table_socioeca8.sandag.org_ws_abm2_f4[[#This Row],[flow_day]]</f>
        <v>78562</v>
      </c>
      <c r="N851">
        <f>Table_socioeca8.sandag.org_ws_abm2_f4[[#This Row],[flow_am]]</f>
        <v>12366</v>
      </c>
      <c r="O851">
        <f>Table_socioeca8.sandag.org_ws_abm2_f4[[#This Row],[flow_pm]]</f>
        <v>24524</v>
      </c>
    </row>
    <row r="852" spans="5:15" x14ac:dyDescent="0.25">
      <c r="E852">
        <v>16125</v>
      </c>
      <c r="F852">
        <f t="shared" si="13"/>
        <v>259</v>
      </c>
      <c r="G852">
        <f>IFERROR(VLOOKUP(Table_socioeca8.sandag.org_ws_abm2_f4[[#This Row],[hwycov_id]],[2]flow_freeway!$A$2:$E$1643,3,FALSE),0)</f>
        <v>105068</v>
      </c>
      <c r="H852">
        <f>IFERROR(VLOOKUP(Table_socioeca8.sandag.org_ws_abm2_f4[[#This Row],[hwycov_id]],[2]flow_freeway!$A$2:$E$1643,4,FALSE),0)</f>
        <v>16505</v>
      </c>
      <c r="I852">
        <f>IFERROR(VLOOKUP(Table_socioeca8.sandag.org_ws_abm2_f4[[#This Row],[hwycov_id]],[2]flow_freeway!$A$2:$E$1643,5,FALSE),0)</f>
        <v>30291</v>
      </c>
      <c r="K852">
        <f>Table_socioeca8.sandag.org_ws_abm2_f4[[#This Row],[hwycov_id]]</f>
        <v>16125</v>
      </c>
      <c r="L852">
        <f>Table_socioeca8.sandag.org_ws_abm2_f4[[#This Row],[scenario_id]]</f>
        <v>259</v>
      </c>
      <c r="M852">
        <f>Table_socioeca8.sandag.org_ws_abm2_f4[[#This Row],[flow_day]]</f>
        <v>105068</v>
      </c>
      <c r="N852">
        <f>Table_socioeca8.sandag.org_ws_abm2_f4[[#This Row],[flow_am]]</f>
        <v>16505</v>
      </c>
      <c r="O852">
        <f>Table_socioeca8.sandag.org_ws_abm2_f4[[#This Row],[flow_pm]]</f>
        <v>30291</v>
      </c>
    </row>
    <row r="853" spans="5:15" x14ac:dyDescent="0.25">
      <c r="E853">
        <v>16126</v>
      </c>
      <c r="F853">
        <f t="shared" si="13"/>
        <v>259</v>
      </c>
      <c r="G853">
        <f>IFERROR(VLOOKUP(Table_socioeca8.sandag.org_ws_abm2_f4[[#This Row],[hwycov_id]],[2]flow_freeway!$A$2:$E$1643,3,FALSE),0)</f>
        <v>59523</v>
      </c>
      <c r="H853">
        <f>IFERROR(VLOOKUP(Table_socioeca8.sandag.org_ws_abm2_f4[[#This Row],[hwycov_id]],[2]flow_freeway!$A$2:$E$1643,4,FALSE),0)</f>
        <v>10815</v>
      </c>
      <c r="I853">
        <f>IFERROR(VLOOKUP(Table_socioeca8.sandag.org_ws_abm2_f4[[#This Row],[hwycov_id]],[2]flow_freeway!$A$2:$E$1643,5,FALSE),0)</f>
        <v>16706</v>
      </c>
      <c r="K853">
        <f>Table_socioeca8.sandag.org_ws_abm2_f4[[#This Row],[hwycov_id]]</f>
        <v>16126</v>
      </c>
      <c r="L853">
        <f>Table_socioeca8.sandag.org_ws_abm2_f4[[#This Row],[scenario_id]]</f>
        <v>259</v>
      </c>
      <c r="M853">
        <f>Table_socioeca8.sandag.org_ws_abm2_f4[[#This Row],[flow_day]]</f>
        <v>59523</v>
      </c>
      <c r="N853">
        <f>Table_socioeca8.sandag.org_ws_abm2_f4[[#This Row],[flow_am]]</f>
        <v>10815</v>
      </c>
      <c r="O853">
        <f>Table_socioeca8.sandag.org_ws_abm2_f4[[#This Row],[flow_pm]]</f>
        <v>16706</v>
      </c>
    </row>
    <row r="854" spans="5:15" x14ac:dyDescent="0.25">
      <c r="E854">
        <v>16127</v>
      </c>
      <c r="F854">
        <f t="shared" si="13"/>
        <v>259</v>
      </c>
      <c r="G854">
        <f>IFERROR(VLOOKUP(Table_socioeca8.sandag.org_ws_abm2_f4[[#This Row],[hwycov_id]],[2]flow_freeway!$A$2:$E$1643,3,FALSE),0)</f>
        <v>67224</v>
      </c>
      <c r="H854">
        <f>IFERROR(VLOOKUP(Table_socioeca8.sandag.org_ws_abm2_f4[[#This Row],[hwycov_id]],[2]flow_freeway!$A$2:$E$1643,4,FALSE),0)</f>
        <v>13370</v>
      </c>
      <c r="I854">
        <f>IFERROR(VLOOKUP(Table_socioeca8.sandag.org_ws_abm2_f4[[#This Row],[hwycov_id]],[2]flow_freeway!$A$2:$E$1643,5,FALSE),0)</f>
        <v>17197</v>
      </c>
      <c r="K854">
        <f>Table_socioeca8.sandag.org_ws_abm2_f4[[#This Row],[hwycov_id]]</f>
        <v>16127</v>
      </c>
      <c r="L854">
        <f>Table_socioeca8.sandag.org_ws_abm2_f4[[#This Row],[scenario_id]]</f>
        <v>259</v>
      </c>
      <c r="M854">
        <f>Table_socioeca8.sandag.org_ws_abm2_f4[[#This Row],[flow_day]]</f>
        <v>67224</v>
      </c>
      <c r="N854">
        <f>Table_socioeca8.sandag.org_ws_abm2_f4[[#This Row],[flow_am]]</f>
        <v>13370</v>
      </c>
      <c r="O854">
        <f>Table_socioeca8.sandag.org_ws_abm2_f4[[#This Row],[flow_pm]]</f>
        <v>17197</v>
      </c>
    </row>
    <row r="855" spans="5:15" x14ac:dyDescent="0.25">
      <c r="E855">
        <v>16128</v>
      </c>
      <c r="F855">
        <f t="shared" si="13"/>
        <v>259</v>
      </c>
      <c r="G855">
        <f>IFERROR(VLOOKUP(Table_socioeca8.sandag.org_ws_abm2_f4[[#This Row],[hwycov_id]],[2]flow_freeway!$A$2:$E$1643,3,FALSE),0)</f>
        <v>64701</v>
      </c>
      <c r="H855">
        <f>IFERROR(VLOOKUP(Table_socioeca8.sandag.org_ws_abm2_f4[[#This Row],[hwycov_id]],[2]flow_freeway!$A$2:$E$1643,4,FALSE),0)</f>
        <v>12992</v>
      </c>
      <c r="I855">
        <f>IFERROR(VLOOKUP(Table_socioeca8.sandag.org_ws_abm2_f4[[#This Row],[hwycov_id]],[2]flow_freeway!$A$2:$E$1643,5,FALSE),0)</f>
        <v>16591</v>
      </c>
      <c r="K855">
        <f>Table_socioeca8.sandag.org_ws_abm2_f4[[#This Row],[hwycov_id]]</f>
        <v>16128</v>
      </c>
      <c r="L855">
        <f>Table_socioeca8.sandag.org_ws_abm2_f4[[#This Row],[scenario_id]]</f>
        <v>259</v>
      </c>
      <c r="M855">
        <f>Table_socioeca8.sandag.org_ws_abm2_f4[[#This Row],[flow_day]]</f>
        <v>64701</v>
      </c>
      <c r="N855">
        <f>Table_socioeca8.sandag.org_ws_abm2_f4[[#This Row],[flow_am]]</f>
        <v>12992</v>
      </c>
      <c r="O855">
        <f>Table_socioeca8.sandag.org_ws_abm2_f4[[#This Row],[flow_pm]]</f>
        <v>16591</v>
      </c>
    </row>
    <row r="856" spans="5:15" x14ac:dyDescent="0.25">
      <c r="E856">
        <v>16131</v>
      </c>
      <c r="F856">
        <f t="shared" si="13"/>
        <v>259</v>
      </c>
      <c r="G856">
        <f>IFERROR(VLOOKUP(Table_socioeca8.sandag.org_ws_abm2_f4[[#This Row],[hwycov_id]],[2]flow_freeway!$A$2:$E$1643,3,FALSE),0)</f>
        <v>59992</v>
      </c>
      <c r="H856">
        <f>IFERROR(VLOOKUP(Table_socioeca8.sandag.org_ws_abm2_f4[[#This Row],[hwycov_id]],[2]flow_freeway!$A$2:$E$1643,4,FALSE),0)</f>
        <v>13357</v>
      </c>
      <c r="I856">
        <f>IFERROR(VLOOKUP(Table_socioeca8.sandag.org_ws_abm2_f4[[#This Row],[hwycov_id]],[2]flow_freeway!$A$2:$E$1643,5,FALSE),0)</f>
        <v>14734</v>
      </c>
      <c r="K856">
        <f>Table_socioeca8.sandag.org_ws_abm2_f4[[#This Row],[hwycov_id]]</f>
        <v>16131</v>
      </c>
      <c r="L856">
        <f>Table_socioeca8.sandag.org_ws_abm2_f4[[#This Row],[scenario_id]]</f>
        <v>259</v>
      </c>
      <c r="M856">
        <f>Table_socioeca8.sandag.org_ws_abm2_f4[[#This Row],[flow_day]]</f>
        <v>59992</v>
      </c>
      <c r="N856">
        <f>Table_socioeca8.sandag.org_ws_abm2_f4[[#This Row],[flow_am]]</f>
        <v>13357</v>
      </c>
      <c r="O856">
        <f>Table_socioeca8.sandag.org_ws_abm2_f4[[#This Row],[flow_pm]]</f>
        <v>14734</v>
      </c>
    </row>
    <row r="857" spans="5:15" x14ac:dyDescent="0.25">
      <c r="E857">
        <v>16136</v>
      </c>
      <c r="F857">
        <f t="shared" si="13"/>
        <v>259</v>
      </c>
      <c r="G857">
        <f>IFERROR(VLOOKUP(Table_socioeca8.sandag.org_ws_abm2_f4[[#This Row],[hwycov_id]],[2]flow_freeway!$A$2:$E$1643,3,FALSE),0)</f>
        <v>73984</v>
      </c>
      <c r="H857">
        <f>IFERROR(VLOOKUP(Table_socioeca8.sandag.org_ws_abm2_f4[[#This Row],[hwycov_id]],[2]flow_freeway!$A$2:$E$1643,4,FALSE),0)</f>
        <v>16147</v>
      </c>
      <c r="I857">
        <f>IFERROR(VLOOKUP(Table_socioeca8.sandag.org_ws_abm2_f4[[#This Row],[hwycov_id]],[2]flow_freeway!$A$2:$E$1643,5,FALSE),0)</f>
        <v>19070</v>
      </c>
      <c r="K857">
        <f>Table_socioeca8.sandag.org_ws_abm2_f4[[#This Row],[hwycov_id]]</f>
        <v>16136</v>
      </c>
      <c r="L857">
        <f>Table_socioeca8.sandag.org_ws_abm2_f4[[#This Row],[scenario_id]]</f>
        <v>259</v>
      </c>
      <c r="M857">
        <f>Table_socioeca8.sandag.org_ws_abm2_f4[[#This Row],[flow_day]]</f>
        <v>73984</v>
      </c>
      <c r="N857">
        <f>Table_socioeca8.sandag.org_ws_abm2_f4[[#This Row],[flow_am]]</f>
        <v>16147</v>
      </c>
      <c r="O857">
        <f>Table_socioeca8.sandag.org_ws_abm2_f4[[#This Row],[flow_pm]]</f>
        <v>19070</v>
      </c>
    </row>
    <row r="858" spans="5:15" x14ac:dyDescent="0.25">
      <c r="E858">
        <v>16138</v>
      </c>
      <c r="F858">
        <f t="shared" si="13"/>
        <v>259</v>
      </c>
      <c r="G858">
        <f>IFERROR(VLOOKUP(Table_socioeca8.sandag.org_ws_abm2_f4[[#This Row],[hwycov_id]],[2]flow_freeway!$A$2:$E$1643,3,FALSE),0)</f>
        <v>61562</v>
      </c>
      <c r="H858">
        <f>IFERROR(VLOOKUP(Table_socioeca8.sandag.org_ws_abm2_f4[[#This Row],[hwycov_id]],[2]flow_freeway!$A$2:$E$1643,4,FALSE),0)</f>
        <v>13361</v>
      </c>
      <c r="I858">
        <f>IFERROR(VLOOKUP(Table_socioeca8.sandag.org_ws_abm2_f4[[#This Row],[hwycov_id]],[2]flow_freeway!$A$2:$E$1643,5,FALSE),0)</f>
        <v>14927</v>
      </c>
      <c r="K858">
        <f>Table_socioeca8.sandag.org_ws_abm2_f4[[#This Row],[hwycov_id]]</f>
        <v>16138</v>
      </c>
      <c r="L858">
        <f>Table_socioeca8.sandag.org_ws_abm2_f4[[#This Row],[scenario_id]]</f>
        <v>259</v>
      </c>
      <c r="M858">
        <f>Table_socioeca8.sandag.org_ws_abm2_f4[[#This Row],[flow_day]]</f>
        <v>61562</v>
      </c>
      <c r="N858">
        <f>Table_socioeca8.sandag.org_ws_abm2_f4[[#This Row],[flow_am]]</f>
        <v>13361</v>
      </c>
      <c r="O858">
        <f>Table_socioeca8.sandag.org_ws_abm2_f4[[#This Row],[flow_pm]]</f>
        <v>14927</v>
      </c>
    </row>
    <row r="859" spans="5:15" x14ac:dyDescent="0.25">
      <c r="E859">
        <v>16144</v>
      </c>
      <c r="F859">
        <f t="shared" si="13"/>
        <v>259</v>
      </c>
      <c r="G859">
        <f>IFERROR(VLOOKUP(Table_socioeca8.sandag.org_ws_abm2_f4[[#This Row],[hwycov_id]],[2]flow_freeway!$A$2:$E$1643,3,FALSE),0)</f>
        <v>36886</v>
      </c>
      <c r="H859">
        <f>IFERROR(VLOOKUP(Table_socioeca8.sandag.org_ws_abm2_f4[[#This Row],[hwycov_id]],[2]flow_freeway!$A$2:$E$1643,4,FALSE),0)</f>
        <v>6680</v>
      </c>
      <c r="I859">
        <f>IFERROR(VLOOKUP(Table_socioeca8.sandag.org_ws_abm2_f4[[#This Row],[hwycov_id]],[2]flow_freeway!$A$2:$E$1643,5,FALSE),0)</f>
        <v>11055</v>
      </c>
      <c r="K859">
        <f>Table_socioeca8.sandag.org_ws_abm2_f4[[#This Row],[hwycov_id]]</f>
        <v>16144</v>
      </c>
      <c r="L859">
        <f>Table_socioeca8.sandag.org_ws_abm2_f4[[#This Row],[scenario_id]]</f>
        <v>259</v>
      </c>
      <c r="M859">
        <f>Table_socioeca8.sandag.org_ws_abm2_f4[[#This Row],[flow_day]]</f>
        <v>36886</v>
      </c>
      <c r="N859">
        <f>Table_socioeca8.sandag.org_ws_abm2_f4[[#This Row],[flow_am]]</f>
        <v>6680</v>
      </c>
      <c r="O859">
        <f>Table_socioeca8.sandag.org_ws_abm2_f4[[#This Row],[flow_pm]]</f>
        <v>11055</v>
      </c>
    </row>
    <row r="860" spans="5:15" x14ac:dyDescent="0.25">
      <c r="E860">
        <v>16162</v>
      </c>
      <c r="F860">
        <f t="shared" si="13"/>
        <v>259</v>
      </c>
      <c r="G860">
        <f>IFERROR(VLOOKUP(Table_socioeca8.sandag.org_ws_abm2_f4[[#This Row],[hwycov_id]],[2]flow_freeway!$A$2:$E$1643,3,FALSE),0)</f>
        <v>80428</v>
      </c>
      <c r="H860">
        <f>IFERROR(VLOOKUP(Table_socioeca8.sandag.org_ws_abm2_f4[[#This Row],[hwycov_id]],[2]flow_freeway!$A$2:$E$1643,4,FALSE),0)</f>
        <v>20920</v>
      </c>
      <c r="I860">
        <f>IFERROR(VLOOKUP(Table_socioeca8.sandag.org_ws_abm2_f4[[#This Row],[hwycov_id]],[2]flow_freeway!$A$2:$E$1643,5,FALSE),0)</f>
        <v>13152</v>
      </c>
      <c r="K860">
        <f>Table_socioeca8.sandag.org_ws_abm2_f4[[#This Row],[hwycov_id]]</f>
        <v>16162</v>
      </c>
      <c r="L860">
        <f>Table_socioeca8.sandag.org_ws_abm2_f4[[#This Row],[scenario_id]]</f>
        <v>259</v>
      </c>
      <c r="M860">
        <f>Table_socioeca8.sandag.org_ws_abm2_f4[[#This Row],[flow_day]]</f>
        <v>80428</v>
      </c>
      <c r="N860">
        <f>Table_socioeca8.sandag.org_ws_abm2_f4[[#This Row],[flow_am]]</f>
        <v>20920</v>
      </c>
      <c r="O860">
        <f>Table_socioeca8.sandag.org_ws_abm2_f4[[#This Row],[flow_pm]]</f>
        <v>13152</v>
      </c>
    </row>
    <row r="861" spans="5:15" x14ac:dyDescent="0.25">
      <c r="E861">
        <v>16163</v>
      </c>
      <c r="F861">
        <f t="shared" si="13"/>
        <v>259</v>
      </c>
      <c r="G861">
        <f>IFERROR(VLOOKUP(Table_socioeca8.sandag.org_ws_abm2_f4[[#This Row],[hwycov_id]],[2]flow_freeway!$A$2:$E$1643,3,FALSE),0)</f>
        <v>83208</v>
      </c>
      <c r="H861">
        <f>IFERROR(VLOOKUP(Table_socioeca8.sandag.org_ws_abm2_f4[[#This Row],[hwycov_id]],[2]flow_freeway!$A$2:$E$1643,4,FALSE),0)</f>
        <v>22071</v>
      </c>
      <c r="I861">
        <f>IFERROR(VLOOKUP(Table_socioeca8.sandag.org_ws_abm2_f4[[#This Row],[hwycov_id]],[2]flow_freeway!$A$2:$E$1643,5,FALSE),0)</f>
        <v>15329</v>
      </c>
      <c r="K861">
        <f>Table_socioeca8.sandag.org_ws_abm2_f4[[#This Row],[hwycov_id]]</f>
        <v>16163</v>
      </c>
      <c r="L861">
        <f>Table_socioeca8.sandag.org_ws_abm2_f4[[#This Row],[scenario_id]]</f>
        <v>259</v>
      </c>
      <c r="M861">
        <f>Table_socioeca8.sandag.org_ws_abm2_f4[[#This Row],[flow_day]]</f>
        <v>83208</v>
      </c>
      <c r="N861">
        <f>Table_socioeca8.sandag.org_ws_abm2_f4[[#This Row],[flow_am]]</f>
        <v>22071</v>
      </c>
      <c r="O861">
        <f>Table_socioeca8.sandag.org_ws_abm2_f4[[#This Row],[flow_pm]]</f>
        <v>15329</v>
      </c>
    </row>
    <row r="862" spans="5:15" x14ac:dyDescent="0.25">
      <c r="E862">
        <v>16164</v>
      </c>
      <c r="F862">
        <f t="shared" si="13"/>
        <v>259</v>
      </c>
      <c r="G862">
        <f>IFERROR(VLOOKUP(Table_socioeca8.sandag.org_ws_abm2_f4[[#This Row],[hwycov_id]],[2]flow_freeway!$A$2:$E$1643,3,FALSE),0)</f>
        <v>77976</v>
      </c>
      <c r="H862">
        <f>IFERROR(VLOOKUP(Table_socioeca8.sandag.org_ws_abm2_f4[[#This Row],[hwycov_id]],[2]flow_freeway!$A$2:$E$1643,4,FALSE),0)</f>
        <v>20312</v>
      </c>
      <c r="I862">
        <f>IFERROR(VLOOKUP(Table_socioeca8.sandag.org_ws_abm2_f4[[#This Row],[hwycov_id]],[2]flow_freeway!$A$2:$E$1643,5,FALSE),0)</f>
        <v>13152</v>
      </c>
      <c r="K862">
        <f>Table_socioeca8.sandag.org_ws_abm2_f4[[#This Row],[hwycov_id]]</f>
        <v>16164</v>
      </c>
      <c r="L862">
        <f>Table_socioeca8.sandag.org_ws_abm2_f4[[#This Row],[scenario_id]]</f>
        <v>259</v>
      </c>
      <c r="M862">
        <f>Table_socioeca8.sandag.org_ws_abm2_f4[[#This Row],[flow_day]]</f>
        <v>77976</v>
      </c>
      <c r="N862">
        <f>Table_socioeca8.sandag.org_ws_abm2_f4[[#This Row],[flow_am]]</f>
        <v>20312</v>
      </c>
      <c r="O862">
        <f>Table_socioeca8.sandag.org_ws_abm2_f4[[#This Row],[flow_pm]]</f>
        <v>13152</v>
      </c>
    </row>
    <row r="863" spans="5:15" x14ac:dyDescent="0.25">
      <c r="E863">
        <v>16167</v>
      </c>
      <c r="F863">
        <f t="shared" si="13"/>
        <v>259</v>
      </c>
      <c r="G863">
        <f>IFERROR(VLOOKUP(Table_socioeca8.sandag.org_ws_abm2_f4[[#This Row],[hwycov_id]],[2]flow_freeway!$A$2:$E$1643,3,FALSE),0)</f>
        <v>167478</v>
      </c>
      <c r="H863">
        <f>IFERROR(VLOOKUP(Table_socioeca8.sandag.org_ws_abm2_f4[[#This Row],[hwycov_id]],[2]flow_freeway!$A$2:$E$1643,4,FALSE),0)</f>
        <v>31191</v>
      </c>
      <c r="I863">
        <f>IFERROR(VLOOKUP(Table_socioeca8.sandag.org_ws_abm2_f4[[#This Row],[hwycov_id]],[2]flow_freeway!$A$2:$E$1643,5,FALSE),0)</f>
        <v>44796</v>
      </c>
      <c r="K863">
        <f>Table_socioeca8.sandag.org_ws_abm2_f4[[#This Row],[hwycov_id]]</f>
        <v>16167</v>
      </c>
      <c r="L863">
        <f>Table_socioeca8.sandag.org_ws_abm2_f4[[#This Row],[scenario_id]]</f>
        <v>259</v>
      </c>
      <c r="M863">
        <f>Table_socioeca8.sandag.org_ws_abm2_f4[[#This Row],[flow_day]]</f>
        <v>167478</v>
      </c>
      <c r="N863">
        <f>Table_socioeca8.sandag.org_ws_abm2_f4[[#This Row],[flow_am]]</f>
        <v>31191</v>
      </c>
      <c r="O863">
        <f>Table_socioeca8.sandag.org_ws_abm2_f4[[#This Row],[flow_pm]]</f>
        <v>44796</v>
      </c>
    </row>
    <row r="864" spans="5:15" x14ac:dyDescent="0.25">
      <c r="E864">
        <v>16170</v>
      </c>
      <c r="F864">
        <f t="shared" si="13"/>
        <v>259</v>
      </c>
      <c r="G864">
        <f>IFERROR(VLOOKUP(Table_socioeca8.sandag.org_ws_abm2_f4[[#This Row],[hwycov_id]],[2]flow_freeway!$A$2:$E$1643,3,FALSE),0)</f>
        <v>48574</v>
      </c>
      <c r="H864">
        <f>IFERROR(VLOOKUP(Table_socioeca8.sandag.org_ws_abm2_f4[[#This Row],[hwycov_id]],[2]flow_freeway!$A$2:$E$1643,4,FALSE),0)</f>
        <v>10741</v>
      </c>
      <c r="I864">
        <f>IFERROR(VLOOKUP(Table_socioeca8.sandag.org_ws_abm2_f4[[#This Row],[hwycov_id]],[2]flow_freeway!$A$2:$E$1643,5,FALSE),0)</f>
        <v>9531</v>
      </c>
      <c r="K864">
        <f>Table_socioeca8.sandag.org_ws_abm2_f4[[#This Row],[hwycov_id]]</f>
        <v>16170</v>
      </c>
      <c r="L864">
        <f>Table_socioeca8.sandag.org_ws_abm2_f4[[#This Row],[scenario_id]]</f>
        <v>259</v>
      </c>
      <c r="M864">
        <f>Table_socioeca8.sandag.org_ws_abm2_f4[[#This Row],[flow_day]]</f>
        <v>48574</v>
      </c>
      <c r="N864">
        <f>Table_socioeca8.sandag.org_ws_abm2_f4[[#This Row],[flow_am]]</f>
        <v>10741</v>
      </c>
      <c r="O864">
        <f>Table_socioeca8.sandag.org_ws_abm2_f4[[#This Row],[flow_pm]]</f>
        <v>9531</v>
      </c>
    </row>
    <row r="865" spans="5:15" x14ac:dyDescent="0.25">
      <c r="E865">
        <v>16183</v>
      </c>
      <c r="F865">
        <f t="shared" si="13"/>
        <v>259</v>
      </c>
      <c r="G865">
        <f>IFERROR(VLOOKUP(Table_socioeca8.sandag.org_ws_abm2_f4[[#This Row],[hwycov_id]],[2]flow_freeway!$A$2:$E$1643,3,FALSE),0)</f>
        <v>68301</v>
      </c>
      <c r="H865">
        <f>IFERROR(VLOOKUP(Table_socioeca8.sandag.org_ws_abm2_f4[[#This Row],[hwycov_id]],[2]flow_freeway!$A$2:$E$1643,4,FALSE),0)</f>
        <v>13740</v>
      </c>
      <c r="I865">
        <f>IFERROR(VLOOKUP(Table_socioeca8.sandag.org_ws_abm2_f4[[#This Row],[hwycov_id]],[2]flow_freeway!$A$2:$E$1643,5,FALSE),0)</f>
        <v>15857</v>
      </c>
      <c r="K865">
        <f>Table_socioeca8.sandag.org_ws_abm2_f4[[#This Row],[hwycov_id]]</f>
        <v>16183</v>
      </c>
      <c r="L865">
        <f>Table_socioeca8.sandag.org_ws_abm2_f4[[#This Row],[scenario_id]]</f>
        <v>259</v>
      </c>
      <c r="M865">
        <f>Table_socioeca8.sandag.org_ws_abm2_f4[[#This Row],[flow_day]]</f>
        <v>68301</v>
      </c>
      <c r="N865">
        <f>Table_socioeca8.sandag.org_ws_abm2_f4[[#This Row],[flow_am]]</f>
        <v>13740</v>
      </c>
      <c r="O865">
        <f>Table_socioeca8.sandag.org_ws_abm2_f4[[#This Row],[flow_pm]]</f>
        <v>15857</v>
      </c>
    </row>
    <row r="866" spans="5:15" x14ac:dyDescent="0.25">
      <c r="E866">
        <v>16271</v>
      </c>
      <c r="F866">
        <f t="shared" si="13"/>
        <v>259</v>
      </c>
      <c r="G866">
        <f>IFERROR(VLOOKUP(Table_socioeca8.sandag.org_ws_abm2_f4[[#This Row],[hwycov_id]],[2]flow_freeway!$A$2:$E$1643,3,FALSE),0)</f>
        <v>102638</v>
      </c>
      <c r="H866">
        <f>IFERROR(VLOOKUP(Table_socioeca8.sandag.org_ws_abm2_f4[[#This Row],[hwycov_id]],[2]flow_freeway!$A$2:$E$1643,4,FALSE),0)</f>
        <v>23863</v>
      </c>
      <c r="I866">
        <f>IFERROR(VLOOKUP(Table_socioeca8.sandag.org_ws_abm2_f4[[#This Row],[hwycov_id]],[2]flow_freeway!$A$2:$E$1643,5,FALSE),0)</f>
        <v>19090</v>
      </c>
      <c r="K866">
        <f>Table_socioeca8.sandag.org_ws_abm2_f4[[#This Row],[hwycov_id]]</f>
        <v>16271</v>
      </c>
      <c r="L866">
        <f>Table_socioeca8.sandag.org_ws_abm2_f4[[#This Row],[scenario_id]]</f>
        <v>259</v>
      </c>
      <c r="M866">
        <f>Table_socioeca8.sandag.org_ws_abm2_f4[[#This Row],[flow_day]]</f>
        <v>102638</v>
      </c>
      <c r="N866">
        <f>Table_socioeca8.sandag.org_ws_abm2_f4[[#This Row],[flow_am]]</f>
        <v>23863</v>
      </c>
      <c r="O866">
        <f>Table_socioeca8.sandag.org_ws_abm2_f4[[#This Row],[flow_pm]]</f>
        <v>19090</v>
      </c>
    </row>
    <row r="867" spans="5:15" x14ac:dyDescent="0.25">
      <c r="E867">
        <v>16272</v>
      </c>
      <c r="F867">
        <f t="shared" si="13"/>
        <v>259</v>
      </c>
      <c r="G867">
        <f>IFERROR(VLOOKUP(Table_socioeca8.sandag.org_ws_abm2_f4[[#This Row],[hwycov_id]],[2]flow_freeway!$A$2:$E$1643,3,FALSE),0)</f>
        <v>109906</v>
      </c>
      <c r="H867">
        <f>IFERROR(VLOOKUP(Table_socioeca8.sandag.org_ws_abm2_f4[[#This Row],[hwycov_id]],[2]flow_freeway!$A$2:$E$1643,4,FALSE),0)</f>
        <v>25102</v>
      </c>
      <c r="I867">
        <f>IFERROR(VLOOKUP(Table_socioeca8.sandag.org_ws_abm2_f4[[#This Row],[hwycov_id]],[2]flow_freeway!$A$2:$E$1643,5,FALSE),0)</f>
        <v>20725</v>
      </c>
      <c r="K867">
        <f>Table_socioeca8.sandag.org_ws_abm2_f4[[#This Row],[hwycov_id]]</f>
        <v>16272</v>
      </c>
      <c r="L867">
        <f>Table_socioeca8.sandag.org_ws_abm2_f4[[#This Row],[scenario_id]]</f>
        <v>259</v>
      </c>
      <c r="M867">
        <f>Table_socioeca8.sandag.org_ws_abm2_f4[[#This Row],[flow_day]]</f>
        <v>109906</v>
      </c>
      <c r="N867">
        <f>Table_socioeca8.sandag.org_ws_abm2_f4[[#This Row],[flow_am]]</f>
        <v>25102</v>
      </c>
      <c r="O867">
        <f>Table_socioeca8.sandag.org_ws_abm2_f4[[#This Row],[flow_pm]]</f>
        <v>20725</v>
      </c>
    </row>
    <row r="868" spans="5:15" x14ac:dyDescent="0.25">
      <c r="E868">
        <v>16274</v>
      </c>
      <c r="F868">
        <f t="shared" si="13"/>
        <v>259</v>
      </c>
      <c r="G868">
        <f>IFERROR(VLOOKUP(Table_socioeca8.sandag.org_ws_abm2_f4[[#This Row],[hwycov_id]],[2]flow_freeway!$A$2:$E$1643,3,FALSE),0)</f>
        <v>102390</v>
      </c>
      <c r="H868">
        <f>IFERROR(VLOOKUP(Table_socioeca8.sandag.org_ws_abm2_f4[[#This Row],[hwycov_id]],[2]flow_freeway!$A$2:$E$1643,4,FALSE),0)</f>
        <v>16281</v>
      </c>
      <c r="I868">
        <f>IFERROR(VLOOKUP(Table_socioeca8.sandag.org_ws_abm2_f4[[#This Row],[hwycov_id]],[2]flow_freeway!$A$2:$E$1643,5,FALSE),0)</f>
        <v>29248</v>
      </c>
      <c r="K868">
        <f>Table_socioeca8.sandag.org_ws_abm2_f4[[#This Row],[hwycov_id]]</f>
        <v>16274</v>
      </c>
      <c r="L868">
        <f>Table_socioeca8.sandag.org_ws_abm2_f4[[#This Row],[scenario_id]]</f>
        <v>259</v>
      </c>
      <c r="M868">
        <f>Table_socioeca8.sandag.org_ws_abm2_f4[[#This Row],[flow_day]]</f>
        <v>102390</v>
      </c>
      <c r="N868">
        <f>Table_socioeca8.sandag.org_ws_abm2_f4[[#This Row],[flow_am]]</f>
        <v>16281</v>
      </c>
      <c r="O868">
        <f>Table_socioeca8.sandag.org_ws_abm2_f4[[#This Row],[flow_pm]]</f>
        <v>29248</v>
      </c>
    </row>
    <row r="869" spans="5:15" x14ac:dyDescent="0.25">
      <c r="E869">
        <v>16275</v>
      </c>
      <c r="F869">
        <f t="shared" si="13"/>
        <v>259</v>
      </c>
      <c r="G869">
        <f>IFERROR(VLOOKUP(Table_socioeca8.sandag.org_ws_abm2_f4[[#This Row],[hwycov_id]],[2]flow_freeway!$A$2:$E$1643,3,FALSE),0)</f>
        <v>109338</v>
      </c>
      <c r="H869">
        <f>IFERROR(VLOOKUP(Table_socioeca8.sandag.org_ws_abm2_f4[[#This Row],[hwycov_id]],[2]flow_freeway!$A$2:$E$1643,4,FALSE),0)</f>
        <v>17178</v>
      </c>
      <c r="I869">
        <f>IFERROR(VLOOKUP(Table_socioeca8.sandag.org_ws_abm2_f4[[#This Row],[hwycov_id]],[2]flow_freeway!$A$2:$E$1643,5,FALSE),0)</f>
        <v>30987</v>
      </c>
      <c r="K869">
        <f>Table_socioeca8.sandag.org_ws_abm2_f4[[#This Row],[hwycov_id]]</f>
        <v>16275</v>
      </c>
      <c r="L869">
        <f>Table_socioeca8.sandag.org_ws_abm2_f4[[#This Row],[scenario_id]]</f>
        <v>259</v>
      </c>
      <c r="M869">
        <f>Table_socioeca8.sandag.org_ws_abm2_f4[[#This Row],[flow_day]]</f>
        <v>109338</v>
      </c>
      <c r="N869">
        <f>Table_socioeca8.sandag.org_ws_abm2_f4[[#This Row],[flow_am]]</f>
        <v>17178</v>
      </c>
      <c r="O869">
        <f>Table_socioeca8.sandag.org_ws_abm2_f4[[#This Row],[flow_pm]]</f>
        <v>30987</v>
      </c>
    </row>
    <row r="870" spans="5:15" x14ac:dyDescent="0.25">
      <c r="E870">
        <v>16290</v>
      </c>
      <c r="F870">
        <f t="shared" si="13"/>
        <v>259</v>
      </c>
      <c r="G870">
        <f>IFERROR(VLOOKUP(Table_socioeca8.sandag.org_ws_abm2_f4[[#This Row],[hwycov_id]],[2]flow_freeway!$A$2:$E$1643,3,FALSE),0)</f>
        <v>101769</v>
      </c>
      <c r="H870">
        <f>IFERROR(VLOOKUP(Table_socioeca8.sandag.org_ws_abm2_f4[[#This Row],[hwycov_id]],[2]flow_freeway!$A$2:$E$1643,4,FALSE),0)</f>
        <v>16181</v>
      </c>
      <c r="I870">
        <f>IFERROR(VLOOKUP(Table_socioeca8.sandag.org_ws_abm2_f4[[#This Row],[hwycov_id]],[2]flow_freeway!$A$2:$E$1643,5,FALSE),0)</f>
        <v>29073</v>
      </c>
      <c r="K870">
        <f>Table_socioeca8.sandag.org_ws_abm2_f4[[#This Row],[hwycov_id]]</f>
        <v>16290</v>
      </c>
      <c r="L870">
        <f>Table_socioeca8.sandag.org_ws_abm2_f4[[#This Row],[scenario_id]]</f>
        <v>259</v>
      </c>
      <c r="M870">
        <f>Table_socioeca8.sandag.org_ws_abm2_f4[[#This Row],[flow_day]]</f>
        <v>101769</v>
      </c>
      <c r="N870">
        <f>Table_socioeca8.sandag.org_ws_abm2_f4[[#This Row],[flow_am]]</f>
        <v>16181</v>
      </c>
      <c r="O870">
        <f>Table_socioeca8.sandag.org_ws_abm2_f4[[#This Row],[flow_pm]]</f>
        <v>29073</v>
      </c>
    </row>
    <row r="871" spans="5:15" x14ac:dyDescent="0.25">
      <c r="E871">
        <v>16291</v>
      </c>
      <c r="F871">
        <f t="shared" si="13"/>
        <v>259</v>
      </c>
      <c r="G871">
        <f>IFERROR(VLOOKUP(Table_socioeca8.sandag.org_ws_abm2_f4[[#This Row],[hwycov_id]],[2]flow_freeway!$A$2:$E$1643,3,FALSE),0)</f>
        <v>105811</v>
      </c>
      <c r="H871">
        <f>IFERROR(VLOOKUP(Table_socioeca8.sandag.org_ws_abm2_f4[[#This Row],[hwycov_id]],[2]flow_freeway!$A$2:$E$1643,4,FALSE),0)</f>
        <v>16992</v>
      </c>
      <c r="I871">
        <f>IFERROR(VLOOKUP(Table_socioeca8.sandag.org_ws_abm2_f4[[#This Row],[hwycov_id]],[2]flow_freeway!$A$2:$E$1643,5,FALSE),0)</f>
        <v>30001</v>
      </c>
      <c r="K871">
        <f>Table_socioeca8.sandag.org_ws_abm2_f4[[#This Row],[hwycov_id]]</f>
        <v>16291</v>
      </c>
      <c r="L871">
        <f>Table_socioeca8.sandag.org_ws_abm2_f4[[#This Row],[scenario_id]]</f>
        <v>259</v>
      </c>
      <c r="M871">
        <f>Table_socioeca8.sandag.org_ws_abm2_f4[[#This Row],[flow_day]]</f>
        <v>105811</v>
      </c>
      <c r="N871">
        <f>Table_socioeca8.sandag.org_ws_abm2_f4[[#This Row],[flow_am]]</f>
        <v>16992</v>
      </c>
      <c r="O871">
        <f>Table_socioeca8.sandag.org_ws_abm2_f4[[#This Row],[flow_pm]]</f>
        <v>30001</v>
      </c>
    </row>
    <row r="872" spans="5:15" x14ac:dyDescent="0.25">
      <c r="E872">
        <v>16350</v>
      </c>
      <c r="F872">
        <f t="shared" si="13"/>
        <v>259</v>
      </c>
      <c r="G872">
        <f>IFERROR(VLOOKUP(Table_socioeca8.sandag.org_ws_abm2_f4[[#This Row],[hwycov_id]],[2]flow_freeway!$A$2:$E$1643,3,FALSE),0)</f>
        <v>37412</v>
      </c>
      <c r="H872">
        <f>IFERROR(VLOOKUP(Table_socioeca8.sandag.org_ws_abm2_f4[[#This Row],[hwycov_id]],[2]flow_freeway!$A$2:$E$1643,4,FALSE),0)</f>
        <v>5462</v>
      </c>
      <c r="I872">
        <f>IFERROR(VLOOKUP(Table_socioeca8.sandag.org_ws_abm2_f4[[#This Row],[hwycov_id]],[2]flow_freeway!$A$2:$E$1643,5,FALSE),0)</f>
        <v>12455</v>
      </c>
      <c r="K872">
        <f>Table_socioeca8.sandag.org_ws_abm2_f4[[#This Row],[hwycov_id]]</f>
        <v>16350</v>
      </c>
      <c r="L872">
        <f>Table_socioeca8.sandag.org_ws_abm2_f4[[#This Row],[scenario_id]]</f>
        <v>259</v>
      </c>
      <c r="M872">
        <f>Table_socioeca8.sandag.org_ws_abm2_f4[[#This Row],[flow_day]]</f>
        <v>37412</v>
      </c>
      <c r="N872">
        <f>Table_socioeca8.sandag.org_ws_abm2_f4[[#This Row],[flow_am]]</f>
        <v>5462</v>
      </c>
      <c r="O872">
        <f>Table_socioeca8.sandag.org_ws_abm2_f4[[#This Row],[flow_pm]]</f>
        <v>12455</v>
      </c>
    </row>
    <row r="873" spans="5:15" x14ac:dyDescent="0.25">
      <c r="E873">
        <v>16351</v>
      </c>
      <c r="F873">
        <f t="shared" si="13"/>
        <v>259</v>
      </c>
      <c r="G873">
        <f>IFERROR(VLOOKUP(Table_socioeca8.sandag.org_ws_abm2_f4[[#This Row],[hwycov_id]],[2]flow_freeway!$A$2:$E$1643,3,FALSE),0)</f>
        <v>38204</v>
      </c>
      <c r="H873">
        <f>IFERROR(VLOOKUP(Table_socioeca8.sandag.org_ws_abm2_f4[[#This Row],[hwycov_id]],[2]flow_freeway!$A$2:$E$1643,4,FALSE),0)</f>
        <v>11361</v>
      </c>
      <c r="I873">
        <f>IFERROR(VLOOKUP(Table_socioeca8.sandag.org_ws_abm2_f4[[#This Row],[hwycov_id]],[2]flow_freeway!$A$2:$E$1643,5,FALSE),0)</f>
        <v>7464</v>
      </c>
      <c r="K873">
        <f>Table_socioeca8.sandag.org_ws_abm2_f4[[#This Row],[hwycov_id]]</f>
        <v>16351</v>
      </c>
      <c r="L873">
        <f>Table_socioeca8.sandag.org_ws_abm2_f4[[#This Row],[scenario_id]]</f>
        <v>259</v>
      </c>
      <c r="M873">
        <f>Table_socioeca8.sandag.org_ws_abm2_f4[[#This Row],[flow_day]]</f>
        <v>38204</v>
      </c>
      <c r="N873">
        <f>Table_socioeca8.sandag.org_ws_abm2_f4[[#This Row],[flow_am]]</f>
        <v>11361</v>
      </c>
      <c r="O873">
        <f>Table_socioeca8.sandag.org_ws_abm2_f4[[#This Row],[flow_pm]]</f>
        <v>7464</v>
      </c>
    </row>
    <row r="874" spans="5:15" x14ac:dyDescent="0.25">
      <c r="E874">
        <v>16352</v>
      </c>
      <c r="F874">
        <f t="shared" si="13"/>
        <v>259</v>
      </c>
      <c r="G874">
        <f>IFERROR(VLOOKUP(Table_socioeca8.sandag.org_ws_abm2_f4[[#This Row],[hwycov_id]],[2]flow_freeway!$A$2:$E$1643,3,FALSE),0)</f>
        <v>43341</v>
      </c>
      <c r="H874">
        <f>IFERROR(VLOOKUP(Table_socioeca8.sandag.org_ws_abm2_f4[[#This Row],[hwycov_id]],[2]flow_freeway!$A$2:$E$1643,4,FALSE),0)</f>
        <v>11830</v>
      </c>
      <c r="I874">
        <f>IFERROR(VLOOKUP(Table_socioeca8.sandag.org_ws_abm2_f4[[#This Row],[hwycov_id]],[2]flow_freeway!$A$2:$E$1643,5,FALSE),0)</f>
        <v>8803</v>
      </c>
      <c r="K874">
        <f>Table_socioeca8.sandag.org_ws_abm2_f4[[#This Row],[hwycov_id]]</f>
        <v>16352</v>
      </c>
      <c r="L874">
        <f>Table_socioeca8.sandag.org_ws_abm2_f4[[#This Row],[scenario_id]]</f>
        <v>259</v>
      </c>
      <c r="M874">
        <f>Table_socioeca8.sandag.org_ws_abm2_f4[[#This Row],[flow_day]]</f>
        <v>43341</v>
      </c>
      <c r="N874">
        <f>Table_socioeca8.sandag.org_ws_abm2_f4[[#This Row],[flow_am]]</f>
        <v>11830</v>
      </c>
      <c r="O874">
        <f>Table_socioeca8.sandag.org_ws_abm2_f4[[#This Row],[flow_pm]]</f>
        <v>8803</v>
      </c>
    </row>
    <row r="875" spans="5:15" x14ac:dyDescent="0.25">
      <c r="E875">
        <v>16353</v>
      </c>
      <c r="F875">
        <f t="shared" si="13"/>
        <v>259</v>
      </c>
      <c r="G875">
        <f>IFERROR(VLOOKUP(Table_socioeca8.sandag.org_ws_abm2_f4[[#This Row],[hwycov_id]],[2]flow_freeway!$A$2:$E$1643,3,FALSE),0)</f>
        <v>41570</v>
      </c>
      <c r="H875">
        <f>IFERROR(VLOOKUP(Table_socioeca8.sandag.org_ws_abm2_f4[[#This Row],[hwycov_id]],[2]flow_freeway!$A$2:$E$1643,4,FALSE),0)</f>
        <v>6724</v>
      </c>
      <c r="I875">
        <f>IFERROR(VLOOKUP(Table_socioeca8.sandag.org_ws_abm2_f4[[#This Row],[hwycov_id]],[2]flow_freeway!$A$2:$E$1643,5,FALSE),0)</f>
        <v>12676</v>
      </c>
      <c r="K875">
        <f>Table_socioeca8.sandag.org_ws_abm2_f4[[#This Row],[hwycov_id]]</f>
        <v>16353</v>
      </c>
      <c r="L875">
        <f>Table_socioeca8.sandag.org_ws_abm2_f4[[#This Row],[scenario_id]]</f>
        <v>259</v>
      </c>
      <c r="M875">
        <f>Table_socioeca8.sandag.org_ws_abm2_f4[[#This Row],[flow_day]]</f>
        <v>41570</v>
      </c>
      <c r="N875">
        <f>Table_socioeca8.sandag.org_ws_abm2_f4[[#This Row],[flow_am]]</f>
        <v>6724</v>
      </c>
      <c r="O875">
        <f>Table_socioeca8.sandag.org_ws_abm2_f4[[#This Row],[flow_pm]]</f>
        <v>12676</v>
      </c>
    </row>
    <row r="876" spans="5:15" x14ac:dyDescent="0.25">
      <c r="E876">
        <v>16354</v>
      </c>
      <c r="F876">
        <f t="shared" si="13"/>
        <v>259</v>
      </c>
      <c r="G876">
        <f>IFERROR(VLOOKUP(Table_socioeca8.sandag.org_ws_abm2_f4[[#This Row],[hwycov_id]],[2]flow_freeway!$A$2:$E$1643,3,FALSE),0)</f>
        <v>31535</v>
      </c>
      <c r="H876">
        <f>IFERROR(VLOOKUP(Table_socioeca8.sandag.org_ws_abm2_f4[[#This Row],[hwycov_id]],[2]flow_freeway!$A$2:$E$1643,4,FALSE),0)</f>
        <v>9167</v>
      </c>
      <c r="I876">
        <f>IFERROR(VLOOKUP(Table_socioeca8.sandag.org_ws_abm2_f4[[#This Row],[hwycov_id]],[2]flow_freeway!$A$2:$E$1643,5,FALSE),0)</f>
        <v>6406</v>
      </c>
      <c r="K876">
        <f>Table_socioeca8.sandag.org_ws_abm2_f4[[#This Row],[hwycov_id]]</f>
        <v>16354</v>
      </c>
      <c r="L876">
        <f>Table_socioeca8.sandag.org_ws_abm2_f4[[#This Row],[scenario_id]]</f>
        <v>259</v>
      </c>
      <c r="M876">
        <f>Table_socioeca8.sandag.org_ws_abm2_f4[[#This Row],[flow_day]]</f>
        <v>31535</v>
      </c>
      <c r="N876">
        <f>Table_socioeca8.sandag.org_ws_abm2_f4[[#This Row],[flow_am]]</f>
        <v>9167</v>
      </c>
      <c r="O876">
        <f>Table_socioeca8.sandag.org_ws_abm2_f4[[#This Row],[flow_pm]]</f>
        <v>6406</v>
      </c>
    </row>
    <row r="877" spans="5:15" x14ac:dyDescent="0.25">
      <c r="E877">
        <v>16355</v>
      </c>
      <c r="F877">
        <f t="shared" si="13"/>
        <v>259</v>
      </c>
      <c r="G877">
        <f>IFERROR(VLOOKUP(Table_socioeca8.sandag.org_ws_abm2_f4[[#This Row],[hwycov_id]],[2]flow_freeway!$A$2:$E$1643,3,FALSE),0)</f>
        <v>30452</v>
      </c>
      <c r="H877">
        <f>IFERROR(VLOOKUP(Table_socioeca8.sandag.org_ws_abm2_f4[[#This Row],[hwycov_id]],[2]flow_freeway!$A$2:$E$1643,4,FALSE),0)</f>
        <v>4946</v>
      </c>
      <c r="I877">
        <f>IFERROR(VLOOKUP(Table_socioeca8.sandag.org_ws_abm2_f4[[#This Row],[hwycov_id]],[2]flow_freeway!$A$2:$E$1643,5,FALSE),0)</f>
        <v>9520</v>
      </c>
      <c r="K877">
        <f>Table_socioeca8.sandag.org_ws_abm2_f4[[#This Row],[hwycov_id]]</f>
        <v>16355</v>
      </c>
      <c r="L877">
        <f>Table_socioeca8.sandag.org_ws_abm2_f4[[#This Row],[scenario_id]]</f>
        <v>259</v>
      </c>
      <c r="M877">
        <f>Table_socioeca8.sandag.org_ws_abm2_f4[[#This Row],[flow_day]]</f>
        <v>30452</v>
      </c>
      <c r="N877">
        <f>Table_socioeca8.sandag.org_ws_abm2_f4[[#This Row],[flow_am]]</f>
        <v>4946</v>
      </c>
      <c r="O877">
        <f>Table_socioeca8.sandag.org_ws_abm2_f4[[#This Row],[flow_pm]]</f>
        <v>9520</v>
      </c>
    </row>
    <row r="878" spans="5:15" x14ac:dyDescent="0.25">
      <c r="E878">
        <v>16356</v>
      </c>
      <c r="F878">
        <f t="shared" si="13"/>
        <v>259</v>
      </c>
      <c r="G878">
        <f>IFERROR(VLOOKUP(Table_socioeca8.sandag.org_ws_abm2_f4[[#This Row],[hwycov_id]],[2]flow_freeway!$A$2:$E$1643,3,FALSE),0)</f>
        <v>43214</v>
      </c>
      <c r="H878">
        <f>IFERROR(VLOOKUP(Table_socioeca8.sandag.org_ws_abm2_f4[[#This Row],[hwycov_id]],[2]flow_freeway!$A$2:$E$1643,4,FALSE),0)</f>
        <v>6247</v>
      </c>
      <c r="I878">
        <f>IFERROR(VLOOKUP(Table_socioeca8.sandag.org_ws_abm2_f4[[#This Row],[hwycov_id]],[2]flow_freeway!$A$2:$E$1643,5,FALSE),0)</f>
        <v>14350</v>
      </c>
      <c r="K878">
        <f>Table_socioeca8.sandag.org_ws_abm2_f4[[#This Row],[hwycov_id]]</f>
        <v>16356</v>
      </c>
      <c r="L878">
        <f>Table_socioeca8.sandag.org_ws_abm2_f4[[#This Row],[scenario_id]]</f>
        <v>259</v>
      </c>
      <c r="M878">
        <f>Table_socioeca8.sandag.org_ws_abm2_f4[[#This Row],[flow_day]]</f>
        <v>43214</v>
      </c>
      <c r="N878">
        <f>Table_socioeca8.sandag.org_ws_abm2_f4[[#This Row],[flow_am]]</f>
        <v>6247</v>
      </c>
      <c r="O878">
        <f>Table_socioeca8.sandag.org_ws_abm2_f4[[#This Row],[flow_pm]]</f>
        <v>14350</v>
      </c>
    </row>
    <row r="879" spans="5:15" x14ac:dyDescent="0.25">
      <c r="E879">
        <v>16357</v>
      </c>
      <c r="F879">
        <f t="shared" si="13"/>
        <v>259</v>
      </c>
      <c r="G879">
        <f>IFERROR(VLOOKUP(Table_socioeca8.sandag.org_ws_abm2_f4[[#This Row],[hwycov_id]],[2]flow_freeway!$A$2:$E$1643,3,FALSE),0)</f>
        <v>42777</v>
      </c>
      <c r="H879">
        <f>IFERROR(VLOOKUP(Table_socioeca8.sandag.org_ws_abm2_f4[[#This Row],[hwycov_id]],[2]flow_freeway!$A$2:$E$1643,4,FALSE),0)</f>
        <v>12762</v>
      </c>
      <c r="I879">
        <f>IFERROR(VLOOKUP(Table_socioeca8.sandag.org_ws_abm2_f4[[#This Row],[hwycov_id]],[2]flow_freeway!$A$2:$E$1643,5,FALSE),0)</f>
        <v>8015</v>
      </c>
      <c r="K879">
        <f>Table_socioeca8.sandag.org_ws_abm2_f4[[#This Row],[hwycov_id]]</f>
        <v>16357</v>
      </c>
      <c r="L879">
        <f>Table_socioeca8.sandag.org_ws_abm2_f4[[#This Row],[scenario_id]]</f>
        <v>259</v>
      </c>
      <c r="M879">
        <f>Table_socioeca8.sandag.org_ws_abm2_f4[[#This Row],[flow_day]]</f>
        <v>42777</v>
      </c>
      <c r="N879">
        <f>Table_socioeca8.sandag.org_ws_abm2_f4[[#This Row],[flow_am]]</f>
        <v>12762</v>
      </c>
      <c r="O879">
        <f>Table_socioeca8.sandag.org_ws_abm2_f4[[#This Row],[flow_pm]]</f>
        <v>8015</v>
      </c>
    </row>
    <row r="880" spans="5:15" x14ac:dyDescent="0.25">
      <c r="E880">
        <v>16358</v>
      </c>
      <c r="F880">
        <f t="shared" si="13"/>
        <v>259</v>
      </c>
      <c r="G880">
        <f>IFERROR(VLOOKUP(Table_socioeca8.sandag.org_ws_abm2_f4[[#This Row],[hwycov_id]],[2]flow_freeway!$A$2:$E$1643,3,FALSE),0)</f>
        <v>38204</v>
      </c>
      <c r="H880">
        <f>IFERROR(VLOOKUP(Table_socioeca8.sandag.org_ws_abm2_f4[[#This Row],[hwycov_id]],[2]flow_freeway!$A$2:$E$1643,4,FALSE),0)</f>
        <v>11361</v>
      </c>
      <c r="I880">
        <f>IFERROR(VLOOKUP(Table_socioeca8.sandag.org_ws_abm2_f4[[#This Row],[hwycov_id]],[2]flow_freeway!$A$2:$E$1643,5,FALSE),0)</f>
        <v>7464</v>
      </c>
      <c r="K880">
        <f>Table_socioeca8.sandag.org_ws_abm2_f4[[#This Row],[hwycov_id]]</f>
        <v>16358</v>
      </c>
      <c r="L880">
        <f>Table_socioeca8.sandag.org_ws_abm2_f4[[#This Row],[scenario_id]]</f>
        <v>259</v>
      </c>
      <c r="M880">
        <f>Table_socioeca8.sandag.org_ws_abm2_f4[[#This Row],[flow_day]]</f>
        <v>38204</v>
      </c>
      <c r="N880">
        <f>Table_socioeca8.sandag.org_ws_abm2_f4[[#This Row],[flow_am]]</f>
        <v>11361</v>
      </c>
      <c r="O880">
        <f>Table_socioeca8.sandag.org_ws_abm2_f4[[#This Row],[flow_pm]]</f>
        <v>7464</v>
      </c>
    </row>
    <row r="881" spans="5:15" x14ac:dyDescent="0.25">
      <c r="E881">
        <v>16359</v>
      </c>
      <c r="F881">
        <f t="shared" si="13"/>
        <v>259</v>
      </c>
      <c r="G881">
        <f>IFERROR(VLOOKUP(Table_socioeca8.sandag.org_ws_abm2_f4[[#This Row],[hwycov_id]],[2]flow_freeway!$A$2:$E$1643,3,FALSE),0)</f>
        <v>34893</v>
      </c>
      <c r="H881">
        <f>IFERROR(VLOOKUP(Table_socioeca8.sandag.org_ws_abm2_f4[[#This Row],[hwycov_id]],[2]flow_freeway!$A$2:$E$1643,4,FALSE),0)</f>
        <v>10721</v>
      </c>
      <c r="I881">
        <f>IFERROR(VLOOKUP(Table_socioeca8.sandag.org_ws_abm2_f4[[#This Row],[hwycov_id]],[2]flow_freeway!$A$2:$E$1643,5,FALSE),0)</f>
        <v>6501</v>
      </c>
      <c r="K881">
        <f>Table_socioeca8.sandag.org_ws_abm2_f4[[#This Row],[hwycov_id]]</f>
        <v>16359</v>
      </c>
      <c r="L881">
        <f>Table_socioeca8.sandag.org_ws_abm2_f4[[#This Row],[scenario_id]]</f>
        <v>259</v>
      </c>
      <c r="M881">
        <f>Table_socioeca8.sandag.org_ws_abm2_f4[[#This Row],[flow_day]]</f>
        <v>34893</v>
      </c>
      <c r="N881">
        <f>Table_socioeca8.sandag.org_ws_abm2_f4[[#This Row],[flow_am]]</f>
        <v>10721</v>
      </c>
      <c r="O881">
        <f>Table_socioeca8.sandag.org_ws_abm2_f4[[#This Row],[flow_pm]]</f>
        <v>6501</v>
      </c>
    </row>
    <row r="882" spans="5:15" x14ac:dyDescent="0.25">
      <c r="E882">
        <v>16360</v>
      </c>
      <c r="F882">
        <f t="shared" si="13"/>
        <v>259</v>
      </c>
      <c r="G882">
        <f>IFERROR(VLOOKUP(Table_socioeca8.sandag.org_ws_abm2_f4[[#This Row],[hwycov_id]],[2]flow_freeway!$A$2:$E$1643,3,FALSE),0)</f>
        <v>37412</v>
      </c>
      <c r="H882">
        <f>IFERROR(VLOOKUP(Table_socioeca8.sandag.org_ws_abm2_f4[[#This Row],[hwycov_id]],[2]flow_freeway!$A$2:$E$1643,4,FALSE),0)</f>
        <v>5462</v>
      </c>
      <c r="I882">
        <f>IFERROR(VLOOKUP(Table_socioeca8.sandag.org_ws_abm2_f4[[#This Row],[hwycov_id]],[2]flow_freeway!$A$2:$E$1643,5,FALSE),0)</f>
        <v>12455</v>
      </c>
      <c r="K882">
        <f>Table_socioeca8.sandag.org_ws_abm2_f4[[#This Row],[hwycov_id]]</f>
        <v>16360</v>
      </c>
      <c r="L882">
        <f>Table_socioeca8.sandag.org_ws_abm2_f4[[#This Row],[scenario_id]]</f>
        <v>259</v>
      </c>
      <c r="M882">
        <f>Table_socioeca8.sandag.org_ws_abm2_f4[[#This Row],[flow_day]]</f>
        <v>37412</v>
      </c>
      <c r="N882">
        <f>Table_socioeca8.sandag.org_ws_abm2_f4[[#This Row],[flow_am]]</f>
        <v>5462</v>
      </c>
      <c r="O882">
        <f>Table_socioeca8.sandag.org_ws_abm2_f4[[#This Row],[flow_pm]]</f>
        <v>12455</v>
      </c>
    </row>
    <row r="883" spans="5:15" x14ac:dyDescent="0.25">
      <c r="E883">
        <v>16361</v>
      </c>
      <c r="F883">
        <f t="shared" si="13"/>
        <v>259</v>
      </c>
      <c r="G883">
        <f>IFERROR(VLOOKUP(Table_socioeca8.sandag.org_ws_abm2_f4[[#This Row],[hwycov_id]],[2]flow_freeway!$A$2:$E$1643,3,FALSE),0)</f>
        <v>38204</v>
      </c>
      <c r="H883">
        <f>IFERROR(VLOOKUP(Table_socioeca8.sandag.org_ws_abm2_f4[[#This Row],[hwycov_id]],[2]flow_freeway!$A$2:$E$1643,4,FALSE),0)</f>
        <v>11361</v>
      </c>
      <c r="I883">
        <f>IFERROR(VLOOKUP(Table_socioeca8.sandag.org_ws_abm2_f4[[#This Row],[hwycov_id]],[2]flow_freeway!$A$2:$E$1643,5,FALSE),0)</f>
        <v>7464</v>
      </c>
      <c r="K883">
        <f>Table_socioeca8.sandag.org_ws_abm2_f4[[#This Row],[hwycov_id]]</f>
        <v>16361</v>
      </c>
      <c r="L883">
        <f>Table_socioeca8.sandag.org_ws_abm2_f4[[#This Row],[scenario_id]]</f>
        <v>259</v>
      </c>
      <c r="M883">
        <f>Table_socioeca8.sandag.org_ws_abm2_f4[[#This Row],[flow_day]]</f>
        <v>38204</v>
      </c>
      <c r="N883">
        <f>Table_socioeca8.sandag.org_ws_abm2_f4[[#This Row],[flow_am]]</f>
        <v>11361</v>
      </c>
      <c r="O883">
        <f>Table_socioeca8.sandag.org_ws_abm2_f4[[#This Row],[flow_pm]]</f>
        <v>7464</v>
      </c>
    </row>
    <row r="884" spans="5:15" x14ac:dyDescent="0.25">
      <c r="E884">
        <v>16362</v>
      </c>
      <c r="F884">
        <f t="shared" si="13"/>
        <v>259</v>
      </c>
      <c r="G884">
        <f>IFERROR(VLOOKUP(Table_socioeca8.sandag.org_ws_abm2_f4[[#This Row],[hwycov_id]],[2]flow_freeway!$A$2:$E$1643,3,FALSE),0)</f>
        <v>37412</v>
      </c>
      <c r="H884">
        <f>IFERROR(VLOOKUP(Table_socioeca8.sandag.org_ws_abm2_f4[[#This Row],[hwycov_id]],[2]flow_freeway!$A$2:$E$1643,4,FALSE),0)</f>
        <v>5462</v>
      </c>
      <c r="I884">
        <f>IFERROR(VLOOKUP(Table_socioeca8.sandag.org_ws_abm2_f4[[#This Row],[hwycov_id]],[2]flow_freeway!$A$2:$E$1643,5,FALSE),0)</f>
        <v>12455</v>
      </c>
      <c r="K884">
        <f>Table_socioeca8.sandag.org_ws_abm2_f4[[#This Row],[hwycov_id]]</f>
        <v>16362</v>
      </c>
      <c r="L884">
        <f>Table_socioeca8.sandag.org_ws_abm2_f4[[#This Row],[scenario_id]]</f>
        <v>259</v>
      </c>
      <c r="M884">
        <f>Table_socioeca8.sandag.org_ws_abm2_f4[[#This Row],[flow_day]]</f>
        <v>37412</v>
      </c>
      <c r="N884">
        <f>Table_socioeca8.sandag.org_ws_abm2_f4[[#This Row],[flow_am]]</f>
        <v>5462</v>
      </c>
      <c r="O884">
        <f>Table_socioeca8.sandag.org_ws_abm2_f4[[#This Row],[flow_pm]]</f>
        <v>12455</v>
      </c>
    </row>
    <row r="885" spans="5:15" x14ac:dyDescent="0.25">
      <c r="E885">
        <v>16370</v>
      </c>
      <c r="F885">
        <f t="shared" si="13"/>
        <v>259</v>
      </c>
      <c r="G885">
        <f>IFERROR(VLOOKUP(Table_socioeca8.sandag.org_ws_abm2_f4[[#This Row],[hwycov_id]],[2]flow_freeway!$A$2:$E$1643,3,FALSE),0)</f>
        <v>82248</v>
      </c>
      <c r="H885">
        <f>IFERROR(VLOOKUP(Table_socioeca8.sandag.org_ws_abm2_f4[[#This Row],[hwycov_id]],[2]flow_freeway!$A$2:$E$1643,4,FALSE),0)</f>
        <v>16214</v>
      </c>
      <c r="I885">
        <f>IFERROR(VLOOKUP(Table_socioeca8.sandag.org_ws_abm2_f4[[#This Row],[hwycov_id]],[2]flow_freeway!$A$2:$E$1643,5,FALSE),0)</f>
        <v>17032</v>
      </c>
      <c r="K885">
        <f>Table_socioeca8.sandag.org_ws_abm2_f4[[#This Row],[hwycov_id]]</f>
        <v>16370</v>
      </c>
      <c r="L885">
        <f>Table_socioeca8.sandag.org_ws_abm2_f4[[#This Row],[scenario_id]]</f>
        <v>259</v>
      </c>
      <c r="M885">
        <f>Table_socioeca8.sandag.org_ws_abm2_f4[[#This Row],[flow_day]]</f>
        <v>82248</v>
      </c>
      <c r="N885">
        <f>Table_socioeca8.sandag.org_ws_abm2_f4[[#This Row],[flow_am]]</f>
        <v>16214</v>
      </c>
      <c r="O885">
        <f>Table_socioeca8.sandag.org_ws_abm2_f4[[#This Row],[flow_pm]]</f>
        <v>17032</v>
      </c>
    </row>
    <row r="886" spans="5:15" x14ac:dyDescent="0.25">
      <c r="E886">
        <v>16427</v>
      </c>
      <c r="F886">
        <f t="shared" si="13"/>
        <v>259</v>
      </c>
      <c r="G886">
        <f>IFERROR(VLOOKUP(Table_socioeca8.sandag.org_ws_abm2_f4[[#This Row],[hwycov_id]],[2]flow_freeway!$A$2:$E$1643,3,FALSE),0)</f>
        <v>58226</v>
      </c>
      <c r="H886">
        <f>IFERROR(VLOOKUP(Table_socioeca8.sandag.org_ws_abm2_f4[[#This Row],[hwycov_id]],[2]flow_freeway!$A$2:$E$1643,4,FALSE),0)</f>
        <v>11421</v>
      </c>
      <c r="I886">
        <f>IFERROR(VLOOKUP(Table_socioeca8.sandag.org_ws_abm2_f4[[#This Row],[hwycov_id]],[2]flow_freeway!$A$2:$E$1643,5,FALSE),0)</f>
        <v>16053</v>
      </c>
      <c r="K886">
        <f>Table_socioeca8.sandag.org_ws_abm2_f4[[#This Row],[hwycov_id]]</f>
        <v>16427</v>
      </c>
      <c r="L886">
        <f>Table_socioeca8.sandag.org_ws_abm2_f4[[#This Row],[scenario_id]]</f>
        <v>259</v>
      </c>
      <c r="M886">
        <f>Table_socioeca8.sandag.org_ws_abm2_f4[[#This Row],[flow_day]]</f>
        <v>58226</v>
      </c>
      <c r="N886">
        <f>Table_socioeca8.sandag.org_ws_abm2_f4[[#This Row],[flow_am]]</f>
        <v>11421</v>
      </c>
      <c r="O886">
        <f>Table_socioeca8.sandag.org_ws_abm2_f4[[#This Row],[flow_pm]]</f>
        <v>16053</v>
      </c>
    </row>
    <row r="887" spans="5:15" x14ac:dyDescent="0.25">
      <c r="E887">
        <v>16428</v>
      </c>
      <c r="F887">
        <f t="shared" si="13"/>
        <v>259</v>
      </c>
      <c r="G887">
        <f>IFERROR(VLOOKUP(Table_socioeca8.sandag.org_ws_abm2_f4[[#This Row],[hwycov_id]],[2]flow_freeway!$A$2:$E$1643,3,FALSE),0)</f>
        <v>80038</v>
      </c>
      <c r="H887">
        <f>IFERROR(VLOOKUP(Table_socioeca8.sandag.org_ws_abm2_f4[[#This Row],[hwycov_id]],[2]flow_freeway!$A$2:$E$1643,4,FALSE),0)</f>
        <v>16824</v>
      </c>
      <c r="I887">
        <f>IFERROR(VLOOKUP(Table_socioeca8.sandag.org_ws_abm2_f4[[#This Row],[hwycov_id]],[2]flow_freeway!$A$2:$E$1643,5,FALSE),0)</f>
        <v>17799</v>
      </c>
      <c r="K887">
        <f>Table_socioeca8.sandag.org_ws_abm2_f4[[#This Row],[hwycov_id]]</f>
        <v>16428</v>
      </c>
      <c r="L887">
        <f>Table_socioeca8.sandag.org_ws_abm2_f4[[#This Row],[scenario_id]]</f>
        <v>259</v>
      </c>
      <c r="M887">
        <f>Table_socioeca8.sandag.org_ws_abm2_f4[[#This Row],[flow_day]]</f>
        <v>80038</v>
      </c>
      <c r="N887">
        <f>Table_socioeca8.sandag.org_ws_abm2_f4[[#This Row],[flow_am]]</f>
        <v>16824</v>
      </c>
      <c r="O887">
        <f>Table_socioeca8.sandag.org_ws_abm2_f4[[#This Row],[flow_pm]]</f>
        <v>17799</v>
      </c>
    </row>
    <row r="888" spans="5:15" x14ac:dyDescent="0.25">
      <c r="E888">
        <v>16429</v>
      </c>
      <c r="F888">
        <f t="shared" si="13"/>
        <v>259</v>
      </c>
      <c r="G888">
        <f>IFERROR(VLOOKUP(Table_socioeca8.sandag.org_ws_abm2_f4[[#This Row],[hwycov_id]],[2]flow_freeway!$A$2:$E$1643,3,FALSE),0)</f>
        <v>68509</v>
      </c>
      <c r="H888">
        <f>IFERROR(VLOOKUP(Table_socioeca8.sandag.org_ws_abm2_f4[[#This Row],[hwycov_id]],[2]flow_freeway!$A$2:$E$1643,4,FALSE),0)</f>
        <v>13572</v>
      </c>
      <c r="I888">
        <f>IFERROR(VLOOKUP(Table_socioeca8.sandag.org_ws_abm2_f4[[#This Row],[hwycov_id]],[2]flow_freeway!$A$2:$E$1643,5,FALSE),0)</f>
        <v>18397</v>
      </c>
      <c r="K888">
        <f>Table_socioeca8.sandag.org_ws_abm2_f4[[#This Row],[hwycov_id]]</f>
        <v>16429</v>
      </c>
      <c r="L888">
        <f>Table_socioeca8.sandag.org_ws_abm2_f4[[#This Row],[scenario_id]]</f>
        <v>259</v>
      </c>
      <c r="M888">
        <f>Table_socioeca8.sandag.org_ws_abm2_f4[[#This Row],[flow_day]]</f>
        <v>68509</v>
      </c>
      <c r="N888">
        <f>Table_socioeca8.sandag.org_ws_abm2_f4[[#This Row],[flow_am]]</f>
        <v>13572</v>
      </c>
      <c r="O888">
        <f>Table_socioeca8.sandag.org_ws_abm2_f4[[#This Row],[flow_pm]]</f>
        <v>18397</v>
      </c>
    </row>
    <row r="889" spans="5:15" x14ac:dyDescent="0.25">
      <c r="E889">
        <v>16430</v>
      </c>
      <c r="F889">
        <f t="shared" si="13"/>
        <v>259</v>
      </c>
      <c r="G889">
        <f>IFERROR(VLOOKUP(Table_socioeca8.sandag.org_ws_abm2_f4[[#This Row],[hwycov_id]],[2]flow_freeway!$A$2:$E$1643,3,FALSE),0)</f>
        <v>58226</v>
      </c>
      <c r="H889">
        <f>IFERROR(VLOOKUP(Table_socioeca8.sandag.org_ws_abm2_f4[[#This Row],[hwycov_id]],[2]flow_freeway!$A$2:$E$1643,4,FALSE),0)</f>
        <v>11421</v>
      </c>
      <c r="I889">
        <f>IFERROR(VLOOKUP(Table_socioeca8.sandag.org_ws_abm2_f4[[#This Row],[hwycov_id]],[2]flow_freeway!$A$2:$E$1643,5,FALSE),0)</f>
        <v>16053</v>
      </c>
      <c r="K889">
        <f>Table_socioeca8.sandag.org_ws_abm2_f4[[#This Row],[hwycov_id]]</f>
        <v>16430</v>
      </c>
      <c r="L889">
        <f>Table_socioeca8.sandag.org_ws_abm2_f4[[#This Row],[scenario_id]]</f>
        <v>259</v>
      </c>
      <c r="M889">
        <f>Table_socioeca8.sandag.org_ws_abm2_f4[[#This Row],[flow_day]]</f>
        <v>58226</v>
      </c>
      <c r="N889">
        <f>Table_socioeca8.sandag.org_ws_abm2_f4[[#This Row],[flow_am]]</f>
        <v>11421</v>
      </c>
      <c r="O889">
        <f>Table_socioeca8.sandag.org_ws_abm2_f4[[#This Row],[flow_pm]]</f>
        <v>16053</v>
      </c>
    </row>
    <row r="890" spans="5:15" x14ac:dyDescent="0.25">
      <c r="E890">
        <v>16431</v>
      </c>
      <c r="F890">
        <f t="shared" si="13"/>
        <v>259</v>
      </c>
      <c r="G890">
        <f>IFERROR(VLOOKUP(Table_socioeca8.sandag.org_ws_abm2_f4[[#This Row],[hwycov_id]],[2]flow_freeway!$A$2:$E$1643,3,FALSE),0)</f>
        <v>76446</v>
      </c>
      <c r="H890">
        <f>IFERROR(VLOOKUP(Table_socioeca8.sandag.org_ws_abm2_f4[[#This Row],[hwycov_id]],[2]flow_freeway!$A$2:$E$1643,4,FALSE),0)</f>
        <v>13957</v>
      </c>
      <c r="I890">
        <f>IFERROR(VLOOKUP(Table_socioeca8.sandag.org_ws_abm2_f4[[#This Row],[hwycov_id]],[2]flow_freeway!$A$2:$E$1643,5,FALSE),0)</f>
        <v>20291</v>
      </c>
      <c r="K890">
        <f>Table_socioeca8.sandag.org_ws_abm2_f4[[#This Row],[hwycov_id]]</f>
        <v>16431</v>
      </c>
      <c r="L890">
        <f>Table_socioeca8.sandag.org_ws_abm2_f4[[#This Row],[scenario_id]]</f>
        <v>259</v>
      </c>
      <c r="M890">
        <f>Table_socioeca8.sandag.org_ws_abm2_f4[[#This Row],[flow_day]]</f>
        <v>76446</v>
      </c>
      <c r="N890">
        <f>Table_socioeca8.sandag.org_ws_abm2_f4[[#This Row],[flow_am]]</f>
        <v>13957</v>
      </c>
      <c r="O890">
        <f>Table_socioeca8.sandag.org_ws_abm2_f4[[#This Row],[flow_pm]]</f>
        <v>20291</v>
      </c>
    </row>
    <row r="891" spans="5:15" x14ac:dyDescent="0.25">
      <c r="E891">
        <v>16445</v>
      </c>
      <c r="F891">
        <f t="shared" si="13"/>
        <v>259</v>
      </c>
      <c r="G891">
        <f>IFERROR(VLOOKUP(Table_socioeca8.sandag.org_ws_abm2_f4[[#This Row],[hwycov_id]],[2]flow_freeway!$A$2:$E$1643,3,FALSE),0)</f>
        <v>91241</v>
      </c>
      <c r="H891">
        <f>IFERROR(VLOOKUP(Table_socioeca8.sandag.org_ws_abm2_f4[[#This Row],[hwycov_id]],[2]flow_freeway!$A$2:$E$1643,4,FALSE),0)</f>
        <v>17948</v>
      </c>
      <c r="I891">
        <f>IFERROR(VLOOKUP(Table_socioeca8.sandag.org_ws_abm2_f4[[#This Row],[hwycov_id]],[2]flow_freeway!$A$2:$E$1643,5,FALSE),0)</f>
        <v>21091</v>
      </c>
      <c r="K891">
        <f>Table_socioeca8.sandag.org_ws_abm2_f4[[#This Row],[hwycov_id]]</f>
        <v>16445</v>
      </c>
      <c r="L891">
        <f>Table_socioeca8.sandag.org_ws_abm2_f4[[#This Row],[scenario_id]]</f>
        <v>259</v>
      </c>
      <c r="M891">
        <f>Table_socioeca8.sandag.org_ws_abm2_f4[[#This Row],[flow_day]]</f>
        <v>91241</v>
      </c>
      <c r="N891">
        <f>Table_socioeca8.sandag.org_ws_abm2_f4[[#This Row],[flow_am]]</f>
        <v>17948</v>
      </c>
      <c r="O891">
        <f>Table_socioeca8.sandag.org_ws_abm2_f4[[#This Row],[flow_pm]]</f>
        <v>21091</v>
      </c>
    </row>
    <row r="892" spans="5:15" x14ac:dyDescent="0.25">
      <c r="E892">
        <v>16446</v>
      </c>
      <c r="F892">
        <f t="shared" si="13"/>
        <v>259</v>
      </c>
      <c r="G892">
        <f>IFERROR(VLOOKUP(Table_socioeca8.sandag.org_ws_abm2_f4[[#This Row],[hwycov_id]],[2]flow_freeway!$A$2:$E$1643,3,FALSE),0)</f>
        <v>77860</v>
      </c>
      <c r="H892">
        <f>IFERROR(VLOOKUP(Table_socioeca8.sandag.org_ws_abm2_f4[[#This Row],[hwycov_id]],[2]flow_freeway!$A$2:$E$1643,4,FALSE),0)</f>
        <v>15767</v>
      </c>
      <c r="I892">
        <f>IFERROR(VLOOKUP(Table_socioeca8.sandag.org_ws_abm2_f4[[#This Row],[hwycov_id]],[2]flow_freeway!$A$2:$E$1643,5,FALSE),0)</f>
        <v>18365</v>
      </c>
      <c r="K892">
        <f>Table_socioeca8.sandag.org_ws_abm2_f4[[#This Row],[hwycov_id]]</f>
        <v>16446</v>
      </c>
      <c r="L892">
        <f>Table_socioeca8.sandag.org_ws_abm2_f4[[#This Row],[scenario_id]]</f>
        <v>259</v>
      </c>
      <c r="M892">
        <f>Table_socioeca8.sandag.org_ws_abm2_f4[[#This Row],[flow_day]]</f>
        <v>77860</v>
      </c>
      <c r="N892">
        <f>Table_socioeca8.sandag.org_ws_abm2_f4[[#This Row],[flow_am]]</f>
        <v>15767</v>
      </c>
      <c r="O892">
        <f>Table_socioeca8.sandag.org_ws_abm2_f4[[#This Row],[flow_pm]]</f>
        <v>18365</v>
      </c>
    </row>
    <row r="893" spans="5:15" x14ac:dyDescent="0.25">
      <c r="E893">
        <v>16447</v>
      </c>
      <c r="F893">
        <f t="shared" si="13"/>
        <v>259</v>
      </c>
      <c r="G893">
        <f>IFERROR(VLOOKUP(Table_socioeca8.sandag.org_ws_abm2_f4[[#This Row],[hwycov_id]],[2]flow_freeway!$A$2:$E$1643,3,FALSE),0)</f>
        <v>89846</v>
      </c>
      <c r="H893">
        <f>IFERROR(VLOOKUP(Table_socioeca8.sandag.org_ws_abm2_f4[[#This Row],[hwycov_id]],[2]flow_freeway!$A$2:$E$1643,4,FALSE),0)</f>
        <v>17464</v>
      </c>
      <c r="I893">
        <f>IFERROR(VLOOKUP(Table_socioeca8.sandag.org_ws_abm2_f4[[#This Row],[hwycov_id]],[2]flow_freeway!$A$2:$E$1643,5,FALSE),0)</f>
        <v>22092</v>
      </c>
      <c r="K893">
        <f>Table_socioeca8.sandag.org_ws_abm2_f4[[#This Row],[hwycov_id]]</f>
        <v>16447</v>
      </c>
      <c r="L893">
        <f>Table_socioeca8.sandag.org_ws_abm2_f4[[#This Row],[scenario_id]]</f>
        <v>259</v>
      </c>
      <c r="M893">
        <f>Table_socioeca8.sandag.org_ws_abm2_f4[[#This Row],[flow_day]]</f>
        <v>89846</v>
      </c>
      <c r="N893">
        <f>Table_socioeca8.sandag.org_ws_abm2_f4[[#This Row],[flow_am]]</f>
        <v>17464</v>
      </c>
      <c r="O893">
        <f>Table_socioeca8.sandag.org_ws_abm2_f4[[#This Row],[flow_pm]]</f>
        <v>22092</v>
      </c>
    </row>
    <row r="894" spans="5:15" x14ac:dyDescent="0.25">
      <c r="E894">
        <v>16450</v>
      </c>
      <c r="F894">
        <f t="shared" si="13"/>
        <v>259</v>
      </c>
      <c r="G894">
        <f>IFERROR(VLOOKUP(Table_socioeca8.sandag.org_ws_abm2_f4[[#This Row],[hwycov_id]],[2]flow_freeway!$A$2:$E$1643,3,FALSE),0)</f>
        <v>87007</v>
      </c>
      <c r="H894">
        <f>IFERROR(VLOOKUP(Table_socioeca8.sandag.org_ws_abm2_f4[[#This Row],[hwycov_id]],[2]flow_freeway!$A$2:$E$1643,4,FALSE),0)</f>
        <v>16863</v>
      </c>
      <c r="I894">
        <f>IFERROR(VLOOKUP(Table_socioeca8.sandag.org_ws_abm2_f4[[#This Row],[hwycov_id]],[2]flow_freeway!$A$2:$E$1643,5,FALSE),0)</f>
        <v>21195</v>
      </c>
      <c r="K894">
        <f>Table_socioeca8.sandag.org_ws_abm2_f4[[#This Row],[hwycov_id]]</f>
        <v>16450</v>
      </c>
      <c r="L894">
        <f>Table_socioeca8.sandag.org_ws_abm2_f4[[#This Row],[scenario_id]]</f>
        <v>259</v>
      </c>
      <c r="M894">
        <f>Table_socioeca8.sandag.org_ws_abm2_f4[[#This Row],[flow_day]]</f>
        <v>87007</v>
      </c>
      <c r="N894">
        <f>Table_socioeca8.sandag.org_ws_abm2_f4[[#This Row],[flow_am]]</f>
        <v>16863</v>
      </c>
      <c r="O894">
        <f>Table_socioeca8.sandag.org_ws_abm2_f4[[#This Row],[flow_pm]]</f>
        <v>21195</v>
      </c>
    </row>
    <row r="895" spans="5:15" x14ac:dyDescent="0.25">
      <c r="E895">
        <v>16489</v>
      </c>
      <c r="F895">
        <f t="shared" si="13"/>
        <v>259</v>
      </c>
      <c r="G895">
        <f>IFERROR(VLOOKUP(Table_socioeca8.sandag.org_ws_abm2_f4[[#This Row],[hwycov_id]],[2]flow_freeway!$A$2:$E$1643,3,FALSE),0)</f>
        <v>59640</v>
      </c>
      <c r="H895">
        <f>IFERROR(VLOOKUP(Table_socioeca8.sandag.org_ws_abm2_f4[[#This Row],[hwycov_id]],[2]flow_freeway!$A$2:$E$1643,4,FALSE),0)</f>
        <v>9899</v>
      </c>
      <c r="I895">
        <f>IFERROR(VLOOKUP(Table_socioeca8.sandag.org_ws_abm2_f4[[#This Row],[hwycov_id]],[2]flow_freeway!$A$2:$E$1643,5,FALSE),0)</f>
        <v>16200</v>
      </c>
      <c r="K895">
        <f>Table_socioeca8.sandag.org_ws_abm2_f4[[#This Row],[hwycov_id]]</f>
        <v>16489</v>
      </c>
      <c r="L895">
        <f>Table_socioeca8.sandag.org_ws_abm2_f4[[#This Row],[scenario_id]]</f>
        <v>259</v>
      </c>
      <c r="M895">
        <f>Table_socioeca8.sandag.org_ws_abm2_f4[[#This Row],[flow_day]]</f>
        <v>59640</v>
      </c>
      <c r="N895">
        <f>Table_socioeca8.sandag.org_ws_abm2_f4[[#This Row],[flow_am]]</f>
        <v>9899</v>
      </c>
      <c r="O895">
        <f>Table_socioeca8.sandag.org_ws_abm2_f4[[#This Row],[flow_pm]]</f>
        <v>16200</v>
      </c>
    </row>
    <row r="896" spans="5:15" x14ac:dyDescent="0.25">
      <c r="E896">
        <v>16490</v>
      </c>
      <c r="F896">
        <f t="shared" si="13"/>
        <v>259</v>
      </c>
      <c r="G896">
        <f>IFERROR(VLOOKUP(Table_socioeca8.sandag.org_ws_abm2_f4[[#This Row],[hwycov_id]],[2]flow_freeway!$A$2:$E$1643,3,FALSE),0)</f>
        <v>29053</v>
      </c>
      <c r="H896">
        <f>IFERROR(VLOOKUP(Table_socioeca8.sandag.org_ws_abm2_f4[[#This Row],[hwycov_id]],[2]flow_freeway!$A$2:$E$1643,4,FALSE),0)</f>
        <v>6869</v>
      </c>
      <c r="I896">
        <f>IFERROR(VLOOKUP(Table_socioeca8.sandag.org_ws_abm2_f4[[#This Row],[hwycov_id]],[2]flow_freeway!$A$2:$E$1643,5,FALSE),0)</f>
        <v>5919</v>
      </c>
      <c r="K896">
        <f>Table_socioeca8.sandag.org_ws_abm2_f4[[#This Row],[hwycov_id]]</f>
        <v>16490</v>
      </c>
      <c r="L896">
        <f>Table_socioeca8.sandag.org_ws_abm2_f4[[#This Row],[scenario_id]]</f>
        <v>259</v>
      </c>
      <c r="M896">
        <f>Table_socioeca8.sandag.org_ws_abm2_f4[[#This Row],[flow_day]]</f>
        <v>29053</v>
      </c>
      <c r="N896">
        <f>Table_socioeca8.sandag.org_ws_abm2_f4[[#This Row],[flow_am]]</f>
        <v>6869</v>
      </c>
      <c r="O896">
        <f>Table_socioeca8.sandag.org_ws_abm2_f4[[#This Row],[flow_pm]]</f>
        <v>5919</v>
      </c>
    </row>
    <row r="897" spans="5:15" x14ac:dyDescent="0.25">
      <c r="E897">
        <v>16491</v>
      </c>
      <c r="F897">
        <f t="shared" si="13"/>
        <v>259</v>
      </c>
      <c r="G897">
        <f>IFERROR(VLOOKUP(Table_socioeca8.sandag.org_ws_abm2_f4[[#This Row],[hwycov_id]],[2]flow_freeway!$A$2:$E$1643,3,FALSE),0)</f>
        <v>29743</v>
      </c>
      <c r="H897">
        <f>IFERROR(VLOOKUP(Table_socioeca8.sandag.org_ws_abm2_f4[[#This Row],[hwycov_id]],[2]flow_freeway!$A$2:$E$1643,4,FALSE),0)</f>
        <v>5555</v>
      </c>
      <c r="I897">
        <f>IFERROR(VLOOKUP(Table_socioeca8.sandag.org_ws_abm2_f4[[#This Row],[hwycov_id]],[2]flow_freeway!$A$2:$E$1643,5,FALSE),0)</f>
        <v>7107</v>
      </c>
      <c r="K897">
        <f>Table_socioeca8.sandag.org_ws_abm2_f4[[#This Row],[hwycov_id]]</f>
        <v>16491</v>
      </c>
      <c r="L897">
        <f>Table_socioeca8.sandag.org_ws_abm2_f4[[#This Row],[scenario_id]]</f>
        <v>259</v>
      </c>
      <c r="M897">
        <f>Table_socioeca8.sandag.org_ws_abm2_f4[[#This Row],[flow_day]]</f>
        <v>29743</v>
      </c>
      <c r="N897">
        <f>Table_socioeca8.sandag.org_ws_abm2_f4[[#This Row],[flow_am]]</f>
        <v>5555</v>
      </c>
      <c r="O897">
        <f>Table_socioeca8.sandag.org_ws_abm2_f4[[#This Row],[flow_pm]]</f>
        <v>7107</v>
      </c>
    </row>
    <row r="898" spans="5:15" x14ac:dyDescent="0.25">
      <c r="E898">
        <v>16495</v>
      </c>
      <c r="F898">
        <f t="shared" si="13"/>
        <v>259</v>
      </c>
      <c r="G898">
        <f>IFERROR(VLOOKUP(Table_socioeca8.sandag.org_ws_abm2_f4[[#This Row],[hwycov_id]],[2]flow_freeway!$A$2:$E$1643,3,FALSE),0)</f>
        <v>30999</v>
      </c>
      <c r="H898">
        <f>IFERROR(VLOOKUP(Table_socioeca8.sandag.org_ws_abm2_f4[[#This Row],[hwycov_id]],[2]flow_freeway!$A$2:$E$1643,4,FALSE),0)</f>
        <v>7084</v>
      </c>
      <c r="I898">
        <f>IFERROR(VLOOKUP(Table_socioeca8.sandag.org_ws_abm2_f4[[#This Row],[hwycov_id]],[2]flow_freeway!$A$2:$E$1643,5,FALSE),0)</f>
        <v>6569</v>
      </c>
      <c r="K898">
        <f>Table_socioeca8.sandag.org_ws_abm2_f4[[#This Row],[hwycov_id]]</f>
        <v>16495</v>
      </c>
      <c r="L898">
        <f>Table_socioeca8.sandag.org_ws_abm2_f4[[#This Row],[scenario_id]]</f>
        <v>259</v>
      </c>
      <c r="M898">
        <f>Table_socioeca8.sandag.org_ws_abm2_f4[[#This Row],[flow_day]]</f>
        <v>30999</v>
      </c>
      <c r="N898">
        <f>Table_socioeca8.sandag.org_ws_abm2_f4[[#This Row],[flow_am]]</f>
        <v>7084</v>
      </c>
      <c r="O898">
        <f>Table_socioeca8.sandag.org_ws_abm2_f4[[#This Row],[flow_pm]]</f>
        <v>6569</v>
      </c>
    </row>
    <row r="899" spans="5:15" x14ac:dyDescent="0.25">
      <c r="E899">
        <v>16499</v>
      </c>
      <c r="F899">
        <f t="shared" si="13"/>
        <v>259</v>
      </c>
      <c r="G899">
        <f>IFERROR(VLOOKUP(Table_socioeca8.sandag.org_ws_abm2_f4[[#This Row],[hwycov_id]],[2]flow_freeway!$A$2:$E$1643,3,FALSE),0)</f>
        <v>29967</v>
      </c>
      <c r="H899">
        <f>IFERROR(VLOOKUP(Table_socioeca8.sandag.org_ws_abm2_f4[[#This Row],[hwycov_id]],[2]flow_freeway!$A$2:$E$1643,4,FALSE),0)</f>
        <v>5584</v>
      </c>
      <c r="I899">
        <f>IFERROR(VLOOKUP(Table_socioeca8.sandag.org_ws_abm2_f4[[#This Row],[hwycov_id]],[2]flow_freeway!$A$2:$E$1643,5,FALSE),0)</f>
        <v>7168</v>
      </c>
      <c r="K899">
        <f>Table_socioeca8.sandag.org_ws_abm2_f4[[#This Row],[hwycov_id]]</f>
        <v>16499</v>
      </c>
      <c r="L899">
        <f>Table_socioeca8.sandag.org_ws_abm2_f4[[#This Row],[scenario_id]]</f>
        <v>259</v>
      </c>
      <c r="M899">
        <f>Table_socioeca8.sandag.org_ws_abm2_f4[[#This Row],[flow_day]]</f>
        <v>29967</v>
      </c>
      <c r="N899">
        <f>Table_socioeca8.sandag.org_ws_abm2_f4[[#This Row],[flow_am]]</f>
        <v>5584</v>
      </c>
      <c r="O899">
        <f>Table_socioeca8.sandag.org_ws_abm2_f4[[#This Row],[flow_pm]]</f>
        <v>7168</v>
      </c>
    </row>
    <row r="900" spans="5:15" x14ac:dyDescent="0.25">
      <c r="E900">
        <v>16523</v>
      </c>
      <c r="F900">
        <f t="shared" ref="F900:F963" si="14">F899</f>
        <v>259</v>
      </c>
      <c r="G900">
        <f>IFERROR(VLOOKUP(Table_socioeca8.sandag.org_ws_abm2_f4[[#This Row],[hwycov_id]],[2]flow_freeway!$A$2:$E$1643,3,FALSE),0)</f>
        <v>33771</v>
      </c>
      <c r="H900">
        <f>IFERROR(VLOOKUP(Table_socioeca8.sandag.org_ws_abm2_f4[[#This Row],[hwycov_id]],[2]flow_freeway!$A$2:$E$1643,4,FALSE),0)</f>
        <v>6631</v>
      </c>
      <c r="I900">
        <f>IFERROR(VLOOKUP(Table_socioeca8.sandag.org_ws_abm2_f4[[#This Row],[hwycov_id]],[2]flow_freeway!$A$2:$E$1643,5,FALSE),0)</f>
        <v>9739</v>
      </c>
      <c r="K900">
        <f>Table_socioeca8.sandag.org_ws_abm2_f4[[#This Row],[hwycov_id]]</f>
        <v>16523</v>
      </c>
      <c r="L900">
        <f>Table_socioeca8.sandag.org_ws_abm2_f4[[#This Row],[scenario_id]]</f>
        <v>259</v>
      </c>
      <c r="M900">
        <f>Table_socioeca8.sandag.org_ws_abm2_f4[[#This Row],[flow_day]]</f>
        <v>33771</v>
      </c>
      <c r="N900">
        <f>Table_socioeca8.sandag.org_ws_abm2_f4[[#This Row],[flow_am]]</f>
        <v>6631</v>
      </c>
      <c r="O900">
        <f>Table_socioeca8.sandag.org_ws_abm2_f4[[#This Row],[flow_pm]]</f>
        <v>9739</v>
      </c>
    </row>
    <row r="901" spans="5:15" x14ac:dyDescent="0.25">
      <c r="E901">
        <v>16524</v>
      </c>
      <c r="F901">
        <f t="shared" si="14"/>
        <v>259</v>
      </c>
      <c r="G901">
        <f>IFERROR(VLOOKUP(Table_socioeca8.sandag.org_ws_abm2_f4[[#This Row],[hwycov_id]],[2]flow_freeway!$A$2:$E$1643,3,FALSE),0)</f>
        <v>33771</v>
      </c>
      <c r="H901">
        <f>IFERROR(VLOOKUP(Table_socioeca8.sandag.org_ws_abm2_f4[[#This Row],[hwycov_id]],[2]flow_freeway!$A$2:$E$1643,4,FALSE),0)</f>
        <v>6631</v>
      </c>
      <c r="I901">
        <f>IFERROR(VLOOKUP(Table_socioeca8.sandag.org_ws_abm2_f4[[#This Row],[hwycov_id]],[2]flow_freeway!$A$2:$E$1643,5,FALSE),0)</f>
        <v>9739</v>
      </c>
      <c r="K901">
        <f>Table_socioeca8.sandag.org_ws_abm2_f4[[#This Row],[hwycov_id]]</f>
        <v>16524</v>
      </c>
      <c r="L901">
        <f>Table_socioeca8.sandag.org_ws_abm2_f4[[#This Row],[scenario_id]]</f>
        <v>259</v>
      </c>
      <c r="M901">
        <f>Table_socioeca8.sandag.org_ws_abm2_f4[[#This Row],[flow_day]]</f>
        <v>33771</v>
      </c>
      <c r="N901">
        <f>Table_socioeca8.sandag.org_ws_abm2_f4[[#This Row],[flow_am]]</f>
        <v>6631</v>
      </c>
      <c r="O901">
        <f>Table_socioeca8.sandag.org_ws_abm2_f4[[#This Row],[flow_pm]]</f>
        <v>9739</v>
      </c>
    </row>
    <row r="902" spans="5:15" x14ac:dyDescent="0.25">
      <c r="E902">
        <v>16533</v>
      </c>
      <c r="F902">
        <f t="shared" si="14"/>
        <v>259</v>
      </c>
      <c r="G902">
        <f>IFERROR(VLOOKUP(Table_socioeca8.sandag.org_ws_abm2_f4[[#This Row],[hwycov_id]],[2]flow_freeway!$A$2:$E$1643,3,FALSE),0)</f>
        <v>71969</v>
      </c>
      <c r="H902">
        <f>IFERROR(VLOOKUP(Table_socioeca8.sandag.org_ws_abm2_f4[[#This Row],[hwycov_id]],[2]flow_freeway!$A$2:$E$1643,4,FALSE),0)</f>
        <v>19072</v>
      </c>
      <c r="I902">
        <f>IFERROR(VLOOKUP(Table_socioeca8.sandag.org_ws_abm2_f4[[#This Row],[hwycov_id]],[2]flow_freeway!$A$2:$E$1643,5,FALSE),0)</f>
        <v>14137</v>
      </c>
      <c r="K902">
        <f>Table_socioeca8.sandag.org_ws_abm2_f4[[#This Row],[hwycov_id]]</f>
        <v>16533</v>
      </c>
      <c r="L902">
        <f>Table_socioeca8.sandag.org_ws_abm2_f4[[#This Row],[scenario_id]]</f>
        <v>259</v>
      </c>
      <c r="M902">
        <f>Table_socioeca8.sandag.org_ws_abm2_f4[[#This Row],[flow_day]]</f>
        <v>71969</v>
      </c>
      <c r="N902">
        <f>Table_socioeca8.sandag.org_ws_abm2_f4[[#This Row],[flow_am]]</f>
        <v>19072</v>
      </c>
      <c r="O902">
        <f>Table_socioeca8.sandag.org_ws_abm2_f4[[#This Row],[flow_pm]]</f>
        <v>14137</v>
      </c>
    </row>
    <row r="903" spans="5:15" x14ac:dyDescent="0.25">
      <c r="E903">
        <v>16534</v>
      </c>
      <c r="F903">
        <f t="shared" si="14"/>
        <v>259</v>
      </c>
      <c r="G903">
        <f>IFERROR(VLOOKUP(Table_socioeca8.sandag.org_ws_abm2_f4[[#This Row],[hwycov_id]],[2]flow_freeway!$A$2:$E$1643,3,FALSE),0)</f>
        <v>77472</v>
      </c>
      <c r="H903">
        <f>IFERROR(VLOOKUP(Table_socioeca8.sandag.org_ws_abm2_f4[[#This Row],[hwycov_id]],[2]flow_freeway!$A$2:$E$1643,4,FALSE),0)</f>
        <v>20328</v>
      </c>
      <c r="I903">
        <f>IFERROR(VLOOKUP(Table_socioeca8.sandag.org_ws_abm2_f4[[#This Row],[hwycov_id]],[2]flow_freeway!$A$2:$E$1643,5,FALSE),0)</f>
        <v>15738</v>
      </c>
      <c r="K903">
        <f>Table_socioeca8.sandag.org_ws_abm2_f4[[#This Row],[hwycov_id]]</f>
        <v>16534</v>
      </c>
      <c r="L903">
        <f>Table_socioeca8.sandag.org_ws_abm2_f4[[#This Row],[scenario_id]]</f>
        <v>259</v>
      </c>
      <c r="M903">
        <f>Table_socioeca8.sandag.org_ws_abm2_f4[[#This Row],[flow_day]]</f>
        <v>77472</v>
      </c>
      <c r="N903">
        <f>Table_socioeca8.sandag.org_ws_abm2_f4[[#This Row],[flow_am]]</f>
        <v>20328</v>
      </c>
      <c r="O903">
        <f>Table_socioeca8.sandag.org_ws_abm2_f4[[#This Row],[flow_pm]]</f>
        <v>15738</v>
      </c>
    </row>
    <row r="904" spans="5:15" x14ac:dyDescent="0.25">
      <c r="E904">
        <v>16564</v>
      </c>
      <c r="F904">
        <f t="shared" si="14"/>
        <v>259</v>
      </c>
      <c r="G904">
        <f>IFERROR(VLOOKUP(Table_socioeca8.sandag.org_ws_abm2_f4[[#This Row],[hwycov_id]],[2]flow_freeway!$A$2:$E$1643,3,FALSE),0)</f>
        <v>52311</v>
      </c>
      <c r="H904">
        <f>IFERROR(VLOOKUP(Table_socioeca8.sandag.org_ws_abm2_f4[[#This Row],[hwycov_id]],[2]flow_freeway!$A$2:$E$1643,4,FALSE),0)</f>
        <v>11611</v>
      </c>
      <c r="I904">
        <f>IFERROR(VLOOKUP(Table_socioeca8.sandag.org_ws_abm2_f4[[#This Row],[hwycov_id]],[2]flow_freeway!$A$2:$E$1643,5,FALSE),0)</f>
        <v>12558</v>
      </c>
      <c r="K904">
        <f>Table_socioeca8.sandag.org_ws_abm2_f4[[#This Row],[hwycov_id]]</f>
        <v>16564</v>
      </c>
      <c r="L904">
        <f>Table_socioeca8.sandag.org_ws_abm2_f4[[#This Row],[scenario_id]]</f>
        <v>259</v>
      </c>
      <c r="M904">
        <f>Table_socioeca8.sandag.org_ws_abm2_f4[[#This Row],[flow_day]]</f>
        <v>52311</v>
      </c>
      <c r="N904">
        <f>Table_socioeca8.sandag.org_ws_abm2_f4[[#This Row],[flow_am]]</f>
        <v>11611</v>
      </c>
      <c r="O904">
        <f>Table_socioeca8.sandag.org_ws_abm2_f4[[#This Row],[flow_pm]]</f>
        <v>12558</v>
      </c>
    </row>
    <row r="905" spans="5:15" x14ac:dyDescent="0.25">
      <c r="E905">
        <v>16565</v>
      </c>
      <c r="F905">
        <f t="shared" si="14"/>
        <v>259</v>
      </c>
      <c r="G905">
        <f>IFERROR(VLOOKUP(Table_socioeca8.sandag.org_ws_abm2_f4[[#This Row],[hwycov_id]],[2]flow_freeway!$A$2:$E$1643,3,FALSE),0)</f>
        <v>63375</v>
      </c>
      <c r="H905">
        <f>IFERROR(VLOOKUP(Table_socioeca8.sandag.org_ws_abm2_f4[[#This Row],[hwycov_id]],[2]flow_freeway!$A$2:$E$1643,4,FALSE),0)</f>
        <v>12216</v>
      </c>
      <c r="I905">
        <f>IFERROR(VLOOKUP(Table_socioeca8.sandag.org_ws_abm2_f4[[#This Row],[hwycov_id]],[2]flow_freeway!$A$2:$E$1643,5,FALSE),0)</f>
        <v>15638</v>
      </c>
      <c r="K905">
        <f>Table_socioeca8.sandag.org_ws_abm2_f4[[#This Row],[hwycov_id]]</f>
        <v>16565</v>
      </c>
      <c r="L905">
        <f>Table_socioeca8.sandag.org_ws_abm2_f4[[#This Row],[scenario_id]]</f>
        <v>259</v>
      </c>
      <c r="M905">
        <f>Table_socioeca8.sandag.org_ws_abm2_f4[[#This Row],[flow_day]]</f>
        <v>63375</v>
      </c>
      <c r="N905">
        <f>Table_socioeca8.sandag.org_ws_abm2_f4[[#This Row],[flow_am]]</f>
        <v>12216</v>
      </c>
      <c r="O905">
        <f>Table_socioeca8.sandag.org_ws_abm2_f4[[#This Row],[flow_pm]]</f>
        <v>15638</v>
      </c>
    </row>
    <row r="906" spans="5:15" x14ac:dyDescent="0.25">
      <c r="E906">
        <v>16566</v>
      </c>
      <c r="F906">
        <f t="shared" si="14"/>
        <v>259</v>
      </c>
      <c r="G906">
        <f>IFERROR(VLOOKUP(Table_socioeca8.sandag.org_ws_abm2_f4[[#This Row],[hwycov_id]],[2]flow_freeway!$A$2:$E$1643,3,FALSE),0)</f>
        <v>50608</v>
      </c>
      <c r="H906">
        <f>IFERROR(VLOOKUP(Table_socioeca8.sandag.org_ws_abm2_f4[[#This Row],[hwycov_id]],[2]flow_freeway!$A$2:$E$1643,4,FALSE),0)</f>
        <v>9784</v>
      </c>
      <c r="I906">
        <f>IFERROR(VLOOKUP(Table_socioeca8.sandag.org_ws_abm2_f4[[#This Row],[hwycov_id]],[2]flow_freeway!$A$2:$E$1643,5,FALSE),0)</f>
        <v>13092</v>
      </c>
      <c r="K906">
        <f>Table_socioeca8.sandag.org_ws_abm2_f4[[#This Row],[hwycov_id]]</f>
        <v>16566</v>
      </c>
      <c r="L906">
        <f>Table_socioeca8.sandag.org_ws_abm2_f4[[#This Row],[scenario_id]]</f>
        <v>259</v>
      </c>
      <c r="M906">
        <f>Table_socioeca8.sandag.org_ws_abm2_f4[[#This Row],[flow_day]]</f>
        <v>50608</v>
      </c>
      <c r="N906">
        <f>Table_socioeca8.sandag.org_ws_abm2_f4[[#This Row],[flow_am]]</f>
        <v>9784</v>
      </c>
      <c r="O906">
        <f>Table_socioeca8.sandag.org_ws_abm2_f4[[#This Row],[flow_pm]]</f>
        <v>13092</v>
      </c>
    </row>
    <row r="907" spans="5:15" x14ac:dyDescent="0.25">
      <c r="E907">
        <v>16567</v>
      </c>
      <c r="F907">
        <f t="shared" si="14"/>
        <v>259</v>
      </c>
      <c r="G907">
        <f>IFERROR(VLOOKUP(Table_socioeca8.sandag.org_ws_abm2_f4[[#This Row],[hwycov_id]],[2]flow_freeway!$A$2:$E$1643,3,FALSE),0)</f>
        <v>62364</v>
      </c>
      <c r="H907">
        <f>IFERROR(VLOOKUP(Table_socioeca8.sandag.org_ws_abm2_f4[[#This Row],[hwycov_id]],[2]flow_freeway!$A$2:$E$1643,4,FALSE),0)</f>
        <v>13242</v>
      </c>
      <c r="I907">
        <f>IFERROR(VLOOKUP(Table_socioeca8.sandag.org_ws_abm2_f4[[#This Row],[hwycov_id]],[2]flow_freeway!$A$2:$E$1643,5,FALSE),0)</f>
        <v>15177</v>
      </c>
      <c r="K907">
        <f>Table_socioeca8.sandag.org_ws_abm2_f4[[#This Row],[hwycov_id]]</f>
        <v>16567</v>
      </c>
      <c r="L907">
        <f>Table_socioeca8.sandag.org_ws_abm2_f4[[#This Row],[scenario_id]]</f>
        <v>259</v>
      </c>
      <c r="M907">
        <f>Table_socioeca8.sandag.org_ws_abm2_f4[[#This Row],[flow_day]]</f>
        <v>62364</v>
      </c>
      <c r="N907">
        <f>Table_socioeca8.sandag.org_ws_abm2_f4[[#This Row],[flow_am]]</f>
        <v>13242</v>
      </c>
      <c r="O907">
        <f>Table_socioeca8.sandag.org_ws_abm2_f4[[#This Row],[flow_pm]]</f>
        <v>15177</v>
      </c>
    </row>
    <row r="908" spans="5:15" x14ac:dyDescent="0.25">
      <c r="E908">
        <v>16570</v>
      </c>
      <c r="F908">
        <f t="shared" si="14"/>
        <v>259</v>
      </c>
      <c r="G908">
        <f>IFERROR(VLOOKUP(Table_socioeca8.sandag.org_ws_abm2_f4[[#This Row],[hwycov_id]],[2]flow_freeway!$A$2:$E$1643,3,FALSE),0)</f>
        <v>125467</v>
      </c>
      <c r="H908">
        <f>IFERROR(VLOOKUP(Table_socioeca8.sandag.org_ws_abm2_f4[[#This Row],[hwycov_id]],[2]flow_freeway!$A$2:$E$1643,4,FALSE),0)</f>
        <v>22079</v>
      </c>
      <c r="I908">
        <f>IFERROR(VLOOKUP(Table_socioeca8.sandag.org_ws_abm2_f4[[#This Row],[hwycov_id]],[2]flow_freeway!$A$2:$E$1643,5,FALSE),0)</f>
        <v>33362</v>
      </c>
      <c r="K908">
        <f>Table_socioeca8.sandag.org_ws_abm2_f4[[#This Row],[hwycov_id]]</f>
        <v>16570</v>
      </c>
      <c r="L908">
        <f>Table_socioeca8.sandag.org_ws_abm2_f4[[#This Row],[scenario_id]]</f>
        <v>259</v>
      </c>
      <c r="M908">
        <f>Table_socioeca8.sandag.org_ws_abm2_f4[[#This Row],[flow_day]]</f>
        <v>125467</v>
      </c>
      <c r="N908">
        <f>Table_socioeca8.sandag.org_ws_abm2_f4[[#This Row],[flow_am]]</f>
        <v>22079</v>
      </c>
      <c r="O908">
        <f>Table_socioeca8.sandag.org_ws_abm2_f4[[#This Row],[flow_pm]]</f>
        <v>33362</v>
      </c>
    </row>
    <row r="909" spans="5:15" x14ac:dyDescent="0.25">
      <c r="E909">
        <v>16578</v>
      </c>
      <c r="F909">
        <f t="shared" si="14"/>
        <v>259</v>
      </c>
      <c r="G909">
        <f>IFERROR(VLOOKUP(Table_socioeca8.sandag.org_ws_abm2_f4[[#This Row],[hwycov_id]],[2]flow_freeway!$A$2:$E$1643,3,FALSE),0)</f>
        <v>98843</v>
      </c>
      <c r="H909">
        <f>IFERROR(VLOOKUP(Table_socioeca8.sandag.org_ws_abm2_f4[[#This Row],[hwycov_id]],[2]flow_freeway!$A$2:$E$1643,4,FALSE),0)</f>
        <v>19156</v>
      </c>
      <c r="I909">
        <f>IFERROR(VLOOKUP(Table_socioeca8.sandag.org_ws_abm2_f4[[#This Row],[hwycov_id]],[2]flow_freeway!$A$2:$E$1643,5,FALSE),0)</f>
        <v>27968</v>
      </c>
      <c r="K909">
        <f>Table_socioeca8.sandag.org_ws_abm2_f4[[#This Row],[hwycov_id]]</f>
        <v>16578</v>
      </c>
      <c r="L909">
        <f>Table_socioeca8.sandag.org_ws_abm2_f4[[#This Row],[scenario_id]]</f>
        <v>259</v>
      </c>
      <c r="M909">
        <f>Table_socioeca8.sandag.org_ws_abm2_f4[[#This Row],[flow_day]]</f>
        <v>98843</v>
      </c>
      <c r="N909">
        <f>Table_socioeca8.sandag.org_ws_abm2_f4[[#This Row],[flow_am]]</f>
        <v>19156</v>
      </c>
      <c r="O909">
        <f>Table_socioeca8.sandag.org_ws_abm2_f4[[#This Row],[flow_pm]]</f>
        <v>27968</v>
      </c>
    </row>
    <row r="910" spans="5:15" x14ac:dyDescent="0.25">
      <c r="E910">
        <v>16580</v>
      </c>
      <c r="F910">
        <f t="shared" si="14"/>
        <v>259</v>
      </c>
      <c r="G910">
        <f>IFERROR(VLOOKUP(Table_socioeca8.sandag.org_ws_abm2_f4[[#This Row],[hwycov_id]],[2]flow_freeway!$A$2:$E$1643,3,FALSE),0)</f>
        <v>110412</v>
      </c>
      <c r="H910">
        <f>IFERROR(VLOOKUP(Table_socioeca8.sandag.org_ws_abm2_f4[[#This Row],[hwycov_id]],[2]flow_freeway!$A$2:$E$1643,4,FALSE),0)</f>
        <v>25143</v>
      </c>
      <c r="I910">
        <f>IFERROR(VLOOKUP(Table_socioeca8.sandag.org_ws_abm2_f4[[#This Row],[hwycov_id]],[2]flow_freeway!$A$2:$E$1643,5,FALSE),0)</f>
        <v>25162</v>
      </c>
      <c r="K910">
        <f>Table_socioeca8.sandag.org_ws_abm2_f4[[#This Row],[hwycov_id]]</f>
        <v>16580</v>
      </c>
      <c r="L910">
        <f>Table_socioeca8.sandag.org_ws_abm2_f4[[#This Row],[scenario_id]]</f>
        <v>259</v>
      </c>
      <c r="M910">
        <f>Table_socioeca8.sandag.org_ws_abm2_f4[[#This Row],[flow_day]]</f>
        <v>110412</v>
      </c>
      <c r="N910">
        <f>Table_socioeca8.sandag.org_ws_abm2_f4[[#This Row],[flow_am]]</f>
        <v>25143</v>
      </c>
      <c r="O910">
        <f>Table_socioeca8.sandag.org_ws_abm2_f4[[#This Row],[flow_pm]]</f>
        <v>25162</v>
      </c>
    </row>
    <row r="911" spans="5:15" x14ac:dyDescent="0.25">
      <c r="E911">
        <v>16584</v>
      </c>
      <c r="F911">
        <f t="shared" si="14"/>
        <v>259</v>
      </c>
      <c r="G911">
        <f>IFERROR(VLOOKUP(Table_socioeca8.sandag.org_ws_abm2_f4[[#This Row],[hwycov_id]],[2]flow_freeway!$A$2:$E$1643,3,FALSE),0)</f>
        <v>101816</v>
      </c>
      <c r="H911">
        <f>IFERROR(VLOOKUP(Table_socioeca8.sandag.org_ws_abm2_f4[[#This Row],[hwycov_id]],[2]flow_freeway!$A$2:$E$1643,4,FALSE),0)</f>
        <v>23964</v>
      </c>
      <c r="I911">
        <f>IFERROR(VLOOKUP(Table_socioeca8.sandag.org_ws_abm2_f4[[#This Row],[hwycov_id]],[2]flow_freeway!$A$2:$E$1643,5,FALSE),0)</f>
        <v>23295</v>
      </c>
      <c r="K911">
        <f>Table_socioeca8.sandag.org_ws_abm2_f4[[#This Row],[hwycov_id]]</f>
        <v>16584</v>
      </c>
      <c r="L911">
        <f>Table_socioeca8.sandag.org_ws_abm2_f4[[#This Row],[scenario_id]]</f>
        <v>259</v>
      </c>
      <c r="M911">
        <f>Table_socioeca8.sandag.org_ws_abm2_f4[[#This Row],[flow_day]]</f>
        <v>101816</v>
      </c>
      <c r="N911">
        <f>Table_socioeca8.sandag.org_ws_abm2_f4[[#This Row],[flow_am]]</f>
        <v>23964</v>
      </c>
      <c r="O911">
        <f>Table_socioeca8.sandag.org_ws_abm2_f4[[#This Row],[flow_pm]]</f>
        <v>23295</v>
      </c>
    </row>
    <row r="912" spans="5:15" x14ac:dyDescent="0.25">
      <c r="E912">
        <v>16759</v>
      </c>
      <c r="F912">
        <f t="shared" si="14"/>
        <v>259</v>
      </c>
      <c r="G912">
        <f>IFERROR(VLOOKUP(Table_socioeca8.sandag.org_ws_abm2_f4[[#This Row],[hwycov_id]],[2]flow_freeway!$A$2:$E$1643,3,FALSE),0)</f>
        <v>82321</v>
      </c>
      <c r="H912">
        <f>IFERROR(VLOOKUP(Table_socioeca8.sandag.org_ws_abm2_f4[[#This Row],[hwycov_id]],[2]flow_freeway!$A$2:$E$1643,4,FALSE),0)</f>
        <v>14496</v>
      </c>
      <c r="I912">
        <f>IFERROR(VLOOKUP(Table_socioeca8.sandag.org_ws_abm2_f4[[#This Row],[hwycov_id]],[2]flow_freeway!$A$2:$E$1643,5,FALSE),0)</f>
        <v>22533</v>
      </c>
      <c r="K912">
        <f>Table_socioeca8.sandag.org_ws_abm2_f4[[#This Row],[hwycov_id]]</f>
        <v>16759</v>
      </c>
      <c r="L912">
        <f>Table_socioeca8.sandag.org_ws_abm2_f4[[#This Row],[scenario_id]]</f>
        <v>259</v>
      </c>
      <c r="M912">
        <f>Table_socioeca8.sandag.org_ws_abm2_f4[[#This Row],[flow_day]]</f>
        <v>82321</v>
      </c>
      <c r="N912">
        <f>Table_socioeca8.sandag.org_ws_abm2_f4[[#This Row],[flow_am]]</f>
        <v>14496</v>
      </c>
      <c r="O912">
        <f>Table_socioeca8.sandag.org_ws_abm2_f4[[#This Row],[flow_pm]]</f>
        <v>22533</v>
      </c>
    </row>
    <row r="913" spans="5:15" x14ac:dyDescent="0.25">
      <c r="E913">
        <v>16760</v>
      </c>
      <c r="F913">
        <f t="shared" si="14"/>
        <v>259</v>
      </c>
      <c r="G913">
        <f>IFERROR(VLOOKUP(Table_socioeca8.sandag.org_ws_abm2_f4[[#This Row],[hwycov_id]],[2]flow_freeway!$A$2:$E$1643,3,FALSE),0)</f>
        <v>87925</v>
      </c>
      <c r="H913">
        <f>IFERROR(VLOOKUP(Table_socioeca8.sandag.org_ws_abm2_f4[[#This Row],[hwycov_id]],[2]flow_freeway!$A$2:$E$1643,4,FALSE),0)</f>
        <v>21198</v>
      </c>
      <c r="I913">
        <f>IFERROR(VLOOKUP(Table_socioeca8.sandag.org_ws_abm2_f4[[#This Row],[hwycov_id]],[2]flow_freeway!$A$2:$E$1643,5,FALSE),0)</f>
        <v>20341</v>
      </c>
      <c r="K913">
        <f>Table_socioeca8.sandag.org_ws_abm2_f4[[#This Row],[hwycov_id]]</f>
        <v>16760</v>
      </c>
      <c r="L913">
        <f>Table_socioeca8.sandag.org_ws_abm2_f4[[#This Row],[scenario_id]]</f>
        <v>259</v>
      </c>
      <c r="M913">
        <f>Table_socioeca8.sandag.org_ws_abm2_f4[[#This Row],[flow_day]]</f>
        <v>87925</v>
      </c>
      <c r="N913">
        <f>Table_socioeca8.sandag.org_ws_abm2_f4[[#This Row],[flow_am]]</f>
        <v>21198</v>
      </c>
      <c r="O913">
        <f>Table_socioeca8.sandag.org_ws_abm2_f4[[#This Row],[flow_pm]]</f>
        <v>20341</v>
      </c>
    </row>
    <row r="914" spans="5:15" x14ac:dyDescent="0.25">
      <c r="E914">
        <v>16761</v>
      </c>
      <c r="F914">
        <f t="shared" si="14"/>
        <v>259</v>
      </c>
      <c r="G914">
        <f>IFERROR(VLOOKUP(Table_socioeca8.sandag.org_ws_abm2_f4[[#This Row],[hwycov_id]],[2]flow_freeway!$A$2:$E$1643,3,FALSE),0)</f>
        <v>72268</v>
      </c>
      <c r="H914">
        <f>IFERROR(VLOOKUP(Table_socioeca8.sandag.org_ws_abm2_f4[[#This Row],[hwycov_id]],[2]flow_freeway!$A$2:$E$1643,4,FALSE),0)</f>
        <v>12831</v>
      </c>
      <c r="I914">
        <f>IFERROR(VLOOKUP(Table_socioeca8.sandag.org_ws_abm2_f4[[#This Row],[hwycov_id]],[2]flow_freeway!$A$2:$E$1643,5,FALSE),0)</f>
        <v>19535</v>
      </c>
      <c r="K914">
        <f>Table_socioeca8.sandag.org_ws_abm2_f4[[#This Row],[hwycov_id]]</f>
        <v>16761</v>
      </c>
      <c r="L914">
        <f>Table_socioeca8.sandag.org_ws_abm2_f4[[#This Row],[scenario_id]]</f>
        <v>259</v>
      </c>
      <c r="M914">
        <f>Table_socioeca8.sandag.org_ws_abm2_f4[[#This Row],[flow_day]]</f>
        <v>72268</v>
      </c>
      <c r="N914">
        <f>Table_socioeca8.sandag.org_ws_abm2_f4[[#This Row],[flow_am]]</f>
        <v>12831</v>
      </c>
      <c r="O914">
        <f>Table_socioeca8.sandag.org_ws_abm2_f4[[#This Row],[flow_pm]]</f>
        <v>19535</v>
      </c>
    </row>
    <row r="915" spans="5:15" x14ac:dyDescent="0.25">
      <c r="E915">
        <v>17300</v>
      </c>
      <c r="F915">
        <f t="shared" si="14"/>
        <v>259</v>
      </c>
      <c r="G915">
        <f>IFERROR(VLOOKUP(Table_socioeca8.sandag.org_ws_abm2_f4[[#This Row],[hwycov_id]],[2]flow_freeway!$A$2:$E$1643,3,FALSE),0)</f>
        <v>67709</v>
      </c>
      <c r="H915">
        <f>IFERROR(VLOOKUP(Table_socioeca8.sandag.org_ws_abm2_f4[[#This Row],[hwycov_id]],[2]flow_freeway!$A$2:$E$1643,4,FALSE),0)</f>
        <v>18931</v>
      </c>
      <c r="I915">
        <f>IFERROR(VLOOKUP(Table_socioeca8.sandag.org_ws_abm2_f4[[#This Row],[hwycov_id]],[2]flow_freeway!$A$2:$E$1643,5,FALSE),0)</f>
        <v>13450</v>
      </c>
      <c r="K915">
        <f>Table_socioeca8.sandag.org_ws_abm2_f4[[#This Row],[hwycov_id]]</f>
        <v>17300</v>
      </c>
      <c r="L915">
        <f>Table_socioeca8.sandag.org_ws_abm2_f4[[#This Row],[scenario_id]]</f>
        <v>259</v>
      </c>
      <c r="M915">
        <f>Table_socioeca8.sandag.org_ws_abm2_f4[[#This Row],[flow_day]]</f>
        <v>67709</v>
      </c>
      <c r="N915">
        <f>Table_socioeca8.sandag.org_ws_abm2_f4[[#This Row],[flow_am]]</f>
        <v>18931</v>
      </c>
      <c r="O915">
        <f>Table_socioeca8.sandag.org_ws_abm2_f4[[#This Row],[flow_pm]]</f>
        <v>13450</v>
      </c>
    </row>
    <row r="916" spans="5:15" x14ac:dyDescent="0.25">
      <c r="E916">
        <v>18949</v>
      </c>
      <c r="F916">
        <f t="shared" si="14"/>
        <v>259</v>
      </c>
      <c r="G916">
        <f>IFERROR(VLOOKUP(Table_socioeca8.sandag.org_ws_abm2_f4[[#This Row],[hwycov_id]],[2]flow_freeway!$A$2:$E$1643,3,FALSE),0)</f>
        <v>64534</v>
      </c>
      <c r="H916">
        <f>IFERROR(VLOOKUP(Table_socioeca8.sandag.org_ws_abm2_f4[[#This Row],[hwycov_id]],[2]flow_freeway!$A$2:$E$1643,4,FALSE),0)</f>
        <v>9926</v>
      </c>
      <c r="I916">
        <f>IFERROR(VLOOKUP(Table_socioeca8.sandag.org_ws_abm2_f4[[#This Row],[hwycov_id]],[2]flow_freeway!$A$2:$E$1643,5,FALSE),0)</f>
        <v>21140</v>
      </c>
      <c r="K916">
        <f>Table_socioeca8.sandag.org_ws_abm2_f4[[#This Row],[hwycov_id]]</f>
        <v>18949</v>
      </c>
      <c r="L916">
        <f>Table_socioeca8.sandag.org_ws_abm2_f4[[#This Row],[scenario_id]]</f>
        <v>259</v>
      </c>
      <c r="M916">
        <f>Table_socioeca8.sandag.org_ws_abm2_f4[[#This Row],[flow_day]]</f>
        <v>64534</v>
      </c>
      <c r="N916">
        <f>Table_socioeca8.sandag.org_ws_abm2_f4[[#This Row],[flow_am]]</f>
        <v>9926</v>
      </c>
      <c r="O916">
        <f>Table_socioeca8.sandag.org_ws_abm2_f4[[#This Row],[flow_pm]]</f>
        <v>21140</v>
      </c>
    </row>
    <row r="917" spans="5:15" x14ac:dyDescent="0.25">
      <c r="E917">
        <v>19152</v>
      </c>
      <c r="F917">
        <f t="shared" si="14"/>
        <v>259</v>
      </c>
      <c r="G917">
        <f>IFERROR(VLOOKUP(Table_socioeca8.sandag.org_ws_abm2_f4[[#This Row],[hwycov_id]],[2]flow_freeway!$A$2:$E$1643,3,FALSE),0)</f>
        <v>72998</v>
      </c>
      <c r="H917">
        <f>IFERROR(VLOOKUP(Table_socioeca8.sandag.org_ws_abm2_f4[[#This Row],[hwycov_id]],[2]flow_freeway!$A$2:$E$1643,4,FALSE),0)</f>
        <v>14426</v>
      </c>
      <c r="I917">
        <f>IFERROR(VLOOKUP(Table_socioeca8.sandag.org_ws_abm2_f4[[#This Row],[hwycov_id]],[2]flow_freeway!$A$2:$E$1643,5,FALSE),0)</f>
        <v>18146</v>
      </c>
      <c r="K917">
        <f>Table_socioeca8.sandag.org_ws_abm2_f4[[#This Row],[hwycov_id]]</f>
        <v>19152</v>
      </c>
      <c r="L917">
        <f>Table_socioeca8.sandag.org_ws_abm2_f4[[#This Row],[scenario_id]]</f>
        <v>259</v>
      </c>
      <c r="M917">
        <f>Table_socioeca8.sandag.org_ws_abm2_f4[[#This Row],[flow_day]]</f>
        <v>72998</v>
      </c>
      <c r="N917">
        <f>Table_socioeca8.sandag.org_ws_abm2_f4[[#This Row],[flow_am]]</f>
        <v>14426</v>
      </c>
      <c r="O917">
        <f>Table_socioeca8.sandag.org_ws_abm2_f4[[#This Row],[flow_pm]]</f>
        <v>18146</v>
      </c>
    </row>
    <row r="918" spans="5:15" x14ac:dyDescent="0.25">
      <c r="E918">
        <v>19455</v>
      </c>
      <c r="F918">
        <f t="shared" si="14"/>
        <v>259</v>
      </c>
      <c r="G918">
        <f>IFERROR(VLOOKUP(Table_socioeca8.sandag.org_ws_abm2_f4[[#This Row],[hwycov_id]],[2]flow_freeway!$A$2:$E$1643,3,FALSE),0)</f>
        <v>2132</v>
      </c>
      <c r="H918">
        <f>IFERROR(VLOOKUP(Table_socioeca8.sandag.org_ws_abm2_f4[[#This Row],[hwycov_id]],[2]flow_freeway!$A$2:$E$1643,4,FALSE),0)</f>
        <v>0</v>
      </c>
      <c r="I918">
        <f>IFERROR(VLOOKUP(Table_socioeca8.sandag.org_ws_abm2_f4[[#This Row],[hwycov_id]],[2]flow_freeway!$A$2:$E$1643,5,FALSE),0)</f>
        <v>2132</v>
      </c>
      <c r="K918">
        <f>Table_socioeca8.sandag.org_ws_abm2_f4[[#This Row],[hwycov_id]]</f>
        <v>19455</v>
      </c>
      <c r="L918">
        <f>Table_socioeca8.sandag.org_ws_abm2_f4[[#This Row],[scenario_id]]</f>
        <v>259</v>
      </c>
      <c r="M918">
        <f>Table_socioeca8.sandag.org_ws_abm2_f4[[#This Row],[flow_day]]</f>
        <v>2132</v>
      </c>
      <c r="N918">
        <f>Table_socioeca8.sandag.org_ws_abm2_f4[[#This Row],[flow_am]]</f>
        <v>0</v>
      </c>
      <c r="O918">
        <f>Table_socioeca8.sandag.org_ws_abm2_f4[[#This Row],[flow_pm]]</f>
        <v>2132</v>
      </c>
    </row>
    <row r="919" spans="5:15" x14ac:dyDescent="0.25">
      <c r="E919">
        <v>19481</v>
      </c>
      <c r="F919">
        <f t="shared" si="14"/>
        <v>259</v>
      </c>
      <c r="G919">
        <f>IFERROR(VLOOKUP(Table_socioeca8.sandag.org_ws_abm2_f4[[#This Row],[hwycov_id]],[2]flow_freeway!$A$2:$E$1643,3,FALSE),0)</f>
        <v>53315</v>
      </c>
      <c r="H919">
        <f>IFERROR(VLOOKUP(Table_socioeca8.sandag.org_ws_abm2_f4[[#This Row],[hwycov_id]],[2]flow_freeway!$A$2:$E$1643,4,FALSE),0)</f>
        <v>8593</v>
      </c>
      <c r="I919">
        <f>IFERROR(VLOOKUP(Table_socioeca8.sandag.org_ws_abm2_f4[[#This Row],[hwycov_id]],[2]flow_freeway!$A$2:$E$1643,5,FALSE),0)</f>
        <v>17238</v>
      </c>
      <c r="K919">
        <f>Table_socioeca8.sandag.org_ws_abm2_f4[[#This Row],[hwycov_id]]</f>
        <v>19481</v>
      </c>
      <c r="L919">
        <f>Table_socioeca8.sandag.org_ws_abm2_f4[[#This Row],[scenario_id]]</f>
        <v>259</v>
      </c>
      <c r="M919">
        <f>Table_socioeca8.sandag.org_ws_abm2_f4[[#This Row],[flow_day]]</f>
        <v>53315</v>
      </c>
      <c r="N919">
        <f>Table_socioeca8.sandag.org_ws_abm2_f4[[#This Row],[flow_am]]</f>
        <v>8593</v>
      </c>
      <c r="O919">
        <f>Table_socioeca8.sandag.org_ws_abm2_f4[[#This Row],[flow_pm]]</f>
        <v>17238</v>
      </c>
    </row>
    <row r="920" spans="5:15" x14ac:dyDescent="0.25">
      <c r="E920">
        <v>19564</v>
      </c>
      <c r="F920">
        <f t="shared" si="14"/>
        <v>259</v>
      </c>
      <c r="G920">
        <f>IFERROR(VLOOKUP(Table_socioeca8.sandag.org_ws_abm2_f4[[#This Row],[hwycov_id]],[2]flow_freeway!$A$2:$E$1643,3,FALSE),0)</f>
        <v>7274</v>
      </c>
      <c r="H920">
        <f>IFERROR(VLOOKUP(Table_socioeca8.sandag.org_ws_abm2_f4[[#This Row],[hwycov_id]],[2]flow_freeway!$A$2:$E$1643,4,FALSE),0)</f>
        <v>1345</v>
      </c>
      <c r="I920">
        <f>IFERROR(VLOOKUP(Table_socioeca8.sandag.org_ws_abm2_f4[[#This Row],[hwycov_id]],[2]flow_freeway!$A$2:$E$1643,5,FALSE),0)</f>
        <v>3060</v>
      </c>
      <c r="K920">
        <f>Table_socioeca8.sandag.org_ws_abm2_f4[[#This Row],[hwycov_id]]</f>
        <v>19564</v>
      </c>
      <c r="L920">
        <f>Table_socioeca8.sandag.org_ws_abm2_f4[[#This Row],[scenario_id]]</f>
        <v>259</v>
      </c>
      <c r="M920">
        <f>Table_socioeca8.sandag.org_ws_abm2_f4[[#This Row],[flow_day]]</f>
        <v>7274</v>
      </c>
      <c r="N920">
        <f>Table_socioeca8.sandag.org_ws_abm2_f4[[#This Row],[flow_am]]</f>
        <v>1345</v>
      </c>
      <c r="O920">
        <f>Table_socioeca8.sandag.org_ws_abm2_f4[[#This Row],[flow_pm]]</f>
        <v>3060</v>
      </c>
    </row>
    <row r="921" spans="5:15" x14ac:dyDescent="0.25">
      <c r="E921">
        <v>19571</v>
      </c>
      <c r="F921">
        <f t="shared" si="14"/>
        <v>259</v>
      </c>
      <c r="G921">
        <f>IFERROR(VLOOKUP(Table_socioeca8.sandag.org_ws_abm2_f4[[#This Row],[hwycov_id]],[2]flow_freeway!$A$2:$E$1643,3,FALSE),0)</f>
        <v>70300</v>
      </c>
      <c r="H921">
        <f>IFERROR(VLOOKUP(Table_socioeca8.sandag.org_ws_abm2_f4[[#This Row],[hwycov_id]],[2]flow_freeway!$A$2:$E$1643,4,FALSE),0)</f>
        <v>14924</v>
      </c>
      <c r="I921">
        <f>IFERROR(VLOOKUP(Table_socioeca8.sandag.org_ws_abm2_f4[[#This Row],[hwycov_id]],[2]flow_freeway!$A$2:$E$1643,5,FALSE),0)</f>
        <v>15773</v>
      </c>
      <c r="K921">
        <f>Table_socioeca8.sandag.org_ws_abm2_f4[[#This Row],[hwycov_id]]</f>
        <v>19571</v>
      </c>
      <c r="L921">
        <f>Table_socioeca8.sandag.org_ws_abm2_f4[[#This Row],[scenario_id]]</f>
        <v>259</v>
      </c>
      <c r="M921">
        <f>Table_socioeca8.sandag.org_ws_abm2_f4[[#This Row],[flow_day]]</f>
        <v>70300</v>
      </c>
      <c r="N921">
        <f>Table_socioeca8.sandag.org_ws_abm2_f4[[#This Row],[flow_am]]</f>
        <v>14924</v>
      </c>
      <c r="O921">
        <f>Table_socioeca8.sandag.org_ws_abm2_f4[[#This Row],[flow_pm]]</f>
        <v>15773</v>
      </c>
    </row>
    <row r="922" spans="5:15" x14ac:dyDescent="0.25">
      <c r="E922">
        <v>19605</v>
      </c>
      <c r="F922">
        <f t="shared" si="14"/>
        <v>259</v>
      </c>
      <c r="G922">
        <f>IFERROR(VLOOKUP(Table_socioeca8.sandag.org_ws_abm2_f4[[#This Row],[hwycov_id]],[2]flow_freeway!$A$2:$E$1643,3,FALSE),0)</f>
        <v>79168</v>
      </c>
      <c r="H922">
        <f>IFERROR(VLOOKUP(Table_socioeca8.sandag.org_ws_abm2_f4[[#This Row],[hwycov_id]],[2]flow_freeway!$A$2:$E$1643,4,FALSE),0)</f>
        <v>15666</v>
      </c>
      <c r="I922">
        <f>IFERROR(VLOOKUP(Table_socioeca8.sandag.org_ws_abm2_f4[[#This Row],[hwycov_id]],[2]flow_freeway!$A$2:$E$1643,5,FALSE),0)</f>
        <v>20808</v>
      </c>
      <c r="K922">
        <f>Table_socioeca8.sandag.org_ws_abm2_f4[[#This Row],[hwycov_id]]</f>
        <v>19605</v>
      </c>
      <c r="L922">
        <f>Table_socioeca8.sandag.org_ws_abm2_f4[[#This Row],[scenario_id]]</f>
        <v>259</v>
      </c>
      <c r="M922">
        <f>Table_socioeca8.sandag.org_ws_abm2_f4[[#This Row],[flow_day]]</f>
        <v>79168</v>
      </c>
      <c r="N922">
        <f>Table_socioeca8.sandag.org_ws_abm2_f4[[#This Row],[flow_am]]</f>
        <v>15666</v>
      </c>
      <c r="O922">
        <f>Table_socioeca8.sandag.org_ws_abm2_f4[[#This Row],[flow_pm]]</f>
        <v>20808</v>
      </c>
    </row>
    <row r="923" spans="5:15" x14ac:dyDescent="0.25">
      <c r="E923">
        <v>19671</v>
      </c>
      <c r="F923">
        <f t="shared" si="14"/>
        <v>259</v>
      </c>
      <c r="G923">
        <f>IFERROR(VLOOKUP(Table_socioeca8.sandag.org_ws_abm2_f4[[#This Row],[hwycov_id]],[2]flow_freeway!$A$2:$E$1643,3,FALSE),0)</f>
        <v>99751</v>
      </c>
      <c r="H923">
        <f>IFERROR(VLOOKUP(Table_socioeca8.sandag.org_ws_abm2_f4[[#This Row],[hwycov_id]],[2]flow_freeway!$A$2:$E$1643,4,FALSE),0)</f>
        <v>16877</v>
      </c>
      <c r="I923">
        <f>IFERROR(VLOOKUP(Table_socioeca8.sandag.org_ws_abm2_f4[[#This Row],[hwycov_id]],[2]flow_freeway!$A$2:$E$1643,5,FALSE),0)</f>
        <v>27477</v>
      </c>
      <c r="K923">
        <f>Table_socioeca8.sandag.org_ws_abm2_f4[[#This Row],[hwycov_id]]</f>
        <v>19671</v>
      </c>
      <c r="L923">
        <f>Table_socioeca8.sandag.org_ws_abm2_f4[[#This Row],[scenario_id]]</f>
        <v>259</v>
      </c>
      <c r="M923">
        <f>Table_socioeca8.sandag.org_ws_abm2_f4[[#This Row],[flow_day]]</f>
        <v>99751</v>
      </c>
      <c r="N923">
        <f>Table_socioeca8.sandag.org_ws_abm2_f4[[#This Row],[flow_am]]</f>
        <v>16877</v>
      </c>
      <c r="O923">
        <f>Table_socioeca8.sandag.org_ws_abm2_f4[[#This Row],[flow_pm]]</f>
        <v>27477</v>
      </c>
    </row>
    <row r="924" spans="5:15" x14ac:dyDescent="0.25">
      <c r="E924">
        <v>20457</v>
      </c>
      <c r="F924">
        <f t="shared" si="14"/>
        <v>259</v>
      </c>
      <c r="G924">
        <f>IFERROR(VLOOKUP(Table_socioeca8.sandag.org_ws_abm2_f4[[#This Row],[hwycov_id]],[2]flow_freeway!$A$2:$E$1643,3,FALSE),0)</f>
        <v>104195</v>
      </c>
      <c r="H924">
        <f>IFERROR(VLOOKUP(Table_socioeca8.sandag.org_ws_abm2_f4[[#This Row],[hwycov_id]],[2]flow_freeway!$A$2:$E$1643,4,FALSE),0)</f>
        <v>26814</v>
      </c>
      <c r="I924">
        <f>IFERROR(VLOOKUP(Table_socioeca8.sandag.org_ws_abm2_f4[[#This Row],[hwycov_id]],[2]flow_freeway!$A$2:$E$1643,5,FALSE),0)</f>
        <v>22545</v>
      </c>
      <c r="K924">
        <f>Table_socioeca8.sandag.org_ws_abm2_f4[[#This Row],[hwycov_id]]</f>
        <v>20457</v>
      </c>
      <c r="L924">
        <f>Table_socioeca8.sandag.org_ws_abm2_f4[[#This Row],[scenario_id]]</f>
        <v>259</v>
      </c>
      <c r="M924">
        <f>Table_socioeca8.sandag.org_ws_abm2_f4[[#This Row],[flow_day]]</f>
        <v>104195</v>
      </c>
      <c r="N924">
        <f>Table_socioeca8.sandag.org_ws_abm2_f4[[#This Row],[flow_am]]</f>
        <v>26814</v>
      </c>
      <c r="O924">
        <f>Table_socioeca8.sandag.org_ws_abm2_f4[[#This Row],[flow_pm]]</f>
        <v>22545</v>
      </c>
    </row>
    <row r="925" spans="5:15" x14ac:dyDescent="0.25">
      <c r="E925">
        <v>20458</v>
      </c>
      <c r="F925">
        <f t="shared" si="14"/>
        <v>259</v>
      </c>
      <c r="G925">
        <f>IFERROR(VLOOKUP(Table_socioeca8.sandag.org_ws_abm2_f4[[#This Row],[hwycov_id]],[2]flow_freeway!$A$2:$E$1643,3,FALSE),0)</f>
        <v>86048</v>
      </c>
      <c r="H925">
        <f>IFERROR(VLOOKUP(Table_socioeca8.sandag.org_ws_abm2_f4[[#This Row],[hwycov_id]],[2]flow_freeway!$A$2:$E$1643,4,FALSE),0)</f>
        <v>20822</v>
      </c>
      <c r="I925">
        <f>IFERROR(VLOOKUP(Table_socioeca8.sandag.org_ws_abm2_f4[[#This Row],[hwycov_id]],[2]flow_freeway!$A$2:$E$1643,5,FALSE),0)</f>
        <v>19193</v>
      </c>
      <c r="K925">
        <f>Table_socioeca8.sandag.org_ws_abm2_f4[[#This Row],[hwycov_id]]</f>
        <v>20458</v>
      </c>
      <c r="L925">
        <f>Table_socioeca8.sandag.org_ws_abm2_f4[[#This Row],[scenario_id]]</f>
        <v>259</v>
      </c>
      <c r="M925">
        <f>Table_socioeca8.sandag.org_ws_abm2_f4[[#This Row],[flow_day]]</f>
        <v>86048</v>
      </c>
      <c r="N925">
        <f>Table_socioeca8.sandag.org_ws_abm2_f4[[#This Row],[flow_am]]</f>
        <v>20822</v>
      </c>
      <c r="O925">
        <f>Table_socioeca8.sandag.org_ws_abm2_f4[[#This Row],[flow_pm]]</f>
        <v>19193</v>
      </c>
    </row>
    <row r="926" spans="5:15" x14ac:dyDescent="0.25">
      <c r="E926">
        <v>20463</v>
      </c>
      <c r="F926">
        <f t="shared" si="14"/>
        <v>259</v>
      </c>
      <c r="G926">
        <f>IFERROR(VLOOKUP(Table_socioeca8.sandag.org_ws_abm2_f4[[#This Row],[hwycov_id]],[2]flow_freeway!$A$2:$E$1643,3,FALSE),0)</f>
        <v>76688</v>
      </c>
      <c r="H926">
        <f>IFERROR(VLOOKUP(Table_socioeca8.sandag.org_ws_abm2_f4[[#This Row],[hwycov_id]],[2]flow_freeway!$A$2:$E$1643,4,FALSE),0)</f>
        <v>14258</v>
      </c>
      <c r="I926">
        <f>IFERROR(VLOOKUP(Table_socioeca8.sandag.org_ws_abm2_f4[[#This Row],[hwycov_id]],[2]flow_freeway!$A$2:$E$1643,5,FALSE),0)</f>
        <v>20781</v>
      </c>
      <c r="K926">
        <f>Table_socioeca8.sandag.org_ws_abm2_f4[[#This Row],[hwycov_id]]</f>
        <v>20463</v>
      </c>
      <c r="L926">
        <f>Table_socioeca8.sandag.org_ws_abm2_f4[[#This Row],[scenario_id]]</f>
        <v>259</v>
      </c>
      <c r="M926">
        <f>Table_socioeca8.sandag.org_ws_abm2_f4[[#This Row],[flow_day]]</f>
        <v>76688</v>
      </c>
      <c r="N926">
        <f>Table_socioeca8.sandag.org_ws_abm2_f4[[#This Row],[flow_am]]</f>
        <v>14258</v>
      </c>
      <c r="O926">
        <f>Table_socioeca8.sandag.org_ws_abm2_f4[[#This Row],[flow_pm]]</f>
        <v>20781</v>
      </c>
    </row>
    <row r="927" spans="5:15" x14ac:dyDescent="0.25">
      <c r="E927">
        <v>20464</v>
      </c>
      <c r="F927">
        <f t="shared" si="14"/>
        <v>259</v>
      </c>
      <c r="G927">
        <f>IFERROR(VLOOKUP(Table_socioeca8.sandag.org_ws_abm2_f4[[#This Row],[hwycov_id]],[2]flow_freeway!$A$2:$E$1643,3,FALSE),0)</f>
        <v>59125</v>
      </c>
      <c r="H927">
        <f>IFERROR(VLOOKUP(Table_socioeca8.sandag.org_ws_abm2_f4[[#This Row],[hwycov_id]],[2]flow_freeway!$A$2:$E$1643,4,FALSE),0)</f>
        <v>13864</v>
      </c>
      <c r="I927">
        <f>IFERROR(VLOOKUP(Table_socioeca8.sandag.org_ws_abm2_f4[[#This Row],[hwycov_id]],[2]flow_freeway!$A$2:$E$1643,5,FALSE),0)</f>
        <v>10941</v>
      </c>
      <c r="K927">
        <f>Table_socioeca8.sandag.org_ws_abm2_f4[[#This Row],[hwycov_id]]</f>
        <v>20464</v>
      </c>
      <c r="L927">
        <f>Table_socioeca8.sandag.org_ws_abm2_f4[[#This Row],[scenario_id]]</f>
        <v>259</v>
      </c>
      <c r="M927">
        <f>Table_socioeca8.sandag.org_ws_abm2_f4[[#This Row],[flow_day]]</f>
        <v>59125</v>
      </c>
      <c r="N927">
        <f>Table_socioeca8.sandag.org_ws_abm2_f4[[#This Row],[flow_am]]</f>
        <v>13864</v>
      </c>
      <c r="O927">
        <f>Table_socioeca8.sandag.org_ws_abm2_f4[[#This Row],[flow_pm]]</f>
        <v>10941</v>
      </c>
    </row>
    <row r="928" spans="5:15" x14ac:dyDescent="0.25">
      <c r="E928">
        <v>20465</v>
      </c>
      <c r="F928">
        <f t="shared" si="14"/>
        <v>259</v>
      </c>
      <c r="G928">
        <f>IFERROR(VLOOKUP(Table_socioeca8.sandag.org_ws_abm2_f4[[#This Row],[hwycov_id]],[2]flow_freeway!$A$2:$E$1643,3,FALSE),0)</f>
        <v>125005</v>
      </c>
      <c r="H928">
        <f>IFERROR(VLOOKUP(Table_socioeca8.sandag.org_ws_abm2_f4[[#This Row],[hwycov_id]],[2]flow_freeway!$A$2:$E$1643,4,FALSE),0)</f>
        <v>31971</v>
      </c>
      <c r="I928">
        <f>IFERROR(VLOOKUP(Table_socioeca8.sandag.org_ws_abm2_f4[[#This Row],[hwycov_id]],[2]flow_freeway!$A$2:$E$1643,5,FALSE),0)</f>
        <v>25799</v>
      </c>
      <c r="K928">
        <f>Table_socioeca8.sandag.org_ws_abm2_f4[[#This Row],[hwycov_id]]</f>
        <v>20465</v>
      </c>
      <c r="L928">
        <f>Table_socioeca8.sandag.org_ws_abm2_f4[[#This Row],[scenario_id]]</f>
        <v>259</v>
      </c>
      <c r="M928">
        <f>Table_socioeca8.sandag.org_ws_abm2_f4[[#This Row],[flow_day]]</f>
        <v>125005</v>
      </c>
      <c r="N928">
        <f>Table_socioeca8.sandag.org_ws_abm2_f4[[#This Row],[flow_am]]</f>
        <v>31971</v>
      </c>
      <c r="O928">
        <f>Table_socioeca8.sandag.org_ws_abm2_f4[[#This Row],[flow_pm]]</f>
        <v>25799</v>
      </c>
    </row>
    <row r="929" spans="5:15" x14ac:dyDescent="0.25">
      <c r="E929">
        <v>20466</v>
      </c>
      <c r="F929">
        <f t="shared" si="14"/>
        <v>259</v>
      </c>
      <c r="G929">
        <f>IFERROR(VLOOKUP(Table_socioeca8.sandag.org_ws_abm2_f4[[#This Row],[hwycov_id]],[2]flow_freeway!$A$2:$E$1643,3,FALSE),0)</f>
        <v>85927</v>
      </c>
      <c r="H929">
        <f>IFERROR(VLOOKUP(Table_socioeca8.sandag.org_ws_abm2_f4[[#This Row],[hwycov_id]],[2]flow_freeway!$A$2:$E$1643,4,FALSE),0)</f>
        <v>23637</v>
      </c>
      <c r="I929">
        <f>IFERROR(VLOOKUP(Table_socioeca8.sandag.org_ws_abm2_f4[[#This Row],[hwycov_id]],[2]flow_freeway!$A$2:$E$1643,5,FALSE),0)</f>
        <v>16932</v>
      </c>
      <c r="K929">
        <f>Table_socioeca8.sandag.org_ws_abm2_f4[[#This Row],[hwycov_id]]</f>
        <v>20466</v>
      </c>
      <c r="L929">
        <f>Table_socioeca8.sandag.org_ws_abm2_f4[[#This Row],[scenario_id]]</f>
        <v>259</v>
      </c>
      <c r="M929">
        <f>Table_socioeca8.sandag.org_ws_abm2_f4[[#This Row],[flow_day]]</f>
        <v>85927</v>
      </c>
      <c r="N929">
        <f>Table_socioeca8.sandag.org_ws_abm2_f4[[#This Row],[flow_am]]</f>
        <v>23637</v>
      </c>
      <c r="O929">
        <f>Table_socioeca8.sandag.org_ws_abm2_f4[[#This Row],[flow_pm]]</f>
        <v>16932</v>
      </c>
    </row>
    <row r="930" spans="5:15" x14ac:dyDescent="0.25">
      <c r="E930">
        <v>20467</v>
      </c>
      <c r="F930">
        <f t="shared" si="14"/>
        <v>259</v>
      </c>
      <c r="G930">
        <f>IFERROR(VLOOKUP(Table_socioeca8.sandag.org_ws_abm2_f4[[#This Row],[hwycov_id]],[2]flow_freeway!$A$2:$E$1643,3,FALSE),0)</f>
        <v>92864</v>
      </c>
      <c r="H930">
        <f>IFERROR(VLOOKUP(Table_socioeca8.sandag.org_ws_abm2_f4[[#This Row],[hwycov_id]],[2]flow_freeway!$A$2:$E$1643,4,FALSE),0)</f>
        <v>25776</v>
      </c>
      <c r="I930">
        <f>IFERROR(VLOOKUP(Table_socioeca8.sandag.org_ws_abm2_f4[[#This Row],[hwycov_id]],[2]flow_freeway!$A$2:$E$1643,5,FALSE),0)</f>
        <v>18545</v>
      </c>
      <c r="K930">
        <f>Table_socioeca8.sandag.org_ws_abm2_f4[[#This Row],[hwycov_id]]</f>
        <v>20467</v>
      </c>
      <c r="L930">
        <f>Table_socioeca8.sandag.org_ws_abm2_f4[[#This Row],[scenario_id]]</f>
        <v>259</v>
      </c>
      <c r="M930">
        <f>Table_socioeca8.sandag.org_ws_abm2_f4[[#This Row],[flow_day]]</f>
        <v>92864</v>
      </c>
      <c r="N930">
        <f>Table_socioeca8.sandag.org_ws_abm2_f4[[#This Row],[flow_am]]</f>
        <v>25776</v>
      </c>
      <c r="O930">
        <f>Table_socioeca8.sandag.org_ws_abm2_f4[[#This Row],[flow_pm]]</f>
        <v>18545</v>
      </c>
    </row>
    <row r="931" spans="5:15" x14ac:dyDescent="0.25">
      <c r="E931">
        <v>20471</v>
      </c>
      <c r="F931">
        <f t="shared" si="14"/>
        <v>259</v>
      </c>
      <c r="G931">
        <f>IFERROR(VLOOKUP(Table_socioeca8.sandag.org_ws_abm2_f4[[#This Row],[hwycov_id]],[2]flow_freeway!$A$2:$E$1643,3,FALSE),0)</f>
        <v>85760</v>
      </c>
      <c r="H931">
        <f>IFERROR(VLOOKUP(Table_socioeca8.sandag.org_ws_abm2_f4[[#This Row],[hwycov_id]],[2]flow_freeway!$A$2:$E$1643,4,FALSE),0)</f>
        <v>22116</v>
      </c>
      <c r="I931">
        <f>IFERROR(VLOOKUP(Table_socioeca8.sandag.org_ws_abm2_f4[[#This Row],[hwycov_id]],[2]flow_freeway!$A$2:$E$1643,5,FALSE),0)</f>
        <v>18675</v>
      </c>
      <c r="K931">
        <f>Table_socioeca8.sandag.org_ws_abm2_f4[[#This Row],[hwycov_id]]</f>
        <v>20471</v>
      </c>
      <c r="L931">
        <f>Table_socioeca8.sandag.org_ws_abm2_f4[[#This Row],[scenario_id]]</f>
        <v>259</v>
      </c>
      <c r="M931">
        <f>Table_socioeca8.sandag.org_ws_abm2_f4[[#This Row],[flow_day]]</f>
        <v>85760</v>
      </c>
      <c r="N931">
        <f>Table_socioeca8.sandag.org_ws_abm2_f4[[#This Row],[flow_am]]</f>
        <v>22116</v>
      </c>
      <c r="O931">
        <f>Table_socioeca8.sandag.org_ws_abm2_f4[[#This Row],[flow_pm]]</f>
        <v>18675</v>
      </c>
    </row>
    <row r="932" spans="5:15" x14ac:dyDescent="0.25">
      <c r="E932">
        <v>20472</v>
      </c>
      <c r="F932">
        <f t="shared" si="14"/>
        <v>259</v>
      </c>
      <c r="G932">
        <f>IFERROR(VLOOKUP(Table_socioeca8.sandag.org_ws_abm2_f4[[#This Row],[hwycov_id]],[2]flow_freeway!$A$2:$E$1643,3,FALSE),0)</f>
        <v>85760</v>
      </c>
      <c r="H932">
        <f>IFERROR(VLOOKUP(Table_socioeca8.sandag.org_ws_abm2_f4[[#This Row],[hwycov_id]],[2]flow_freeway!$A$2:$E$1643,4,FALSE),0)</f>
        <v>22116</v>
      </c>
      <c r="I932">
        <f>IFERROR(VLOOKUP(Table_socioeca8.sandag.org_ws_abm2_f4[[#This Row],[hwycov_id]],[2]flow_freeway!$A$2:$E$1643,5,FALSE),0)</f>
        <v>18675</v>
      </c>
      <c r="K932">
        <f>Table_socioeca8.sandag.org_ws_abm2_f4[[#This Row],[hwycov_id]]</f>
        <v>20472</v>
      </c>
      <c r="L932">
        <f>Table_socioeca8.sandag.org_ws_abm2_f4[[#This Row],[scenario_id]]</f>
        <v>259</v>
      </c>
      <c r="M932">
        <f>Table_socioeca8.sandag.org_ws_abm2_f4[[#This Row],[flow_day]]</f>
        <v>85760</v>
      </c>
      <c r="N932">
        <f>Table_socioeca8.sandag.org_ws_abm2_f4[[#This Row],[flow_am]]</f>
        <v>22116</v>
      </c>
      <c r="O932">
        <f>Table_socioeca8.sandag.org_ws_abm2_f4[[#This Row],[flow_pm]]</f>
        <v>18675</v>
      </c>
    </row>
    <row r="933" spans="5:15" x14ac:dyDescent="0.25">
      <c r="E933">
        <v>20487</v>
      </c>
      <c r="F933">
        <f t="shared" si="14"/>
        <v>259</v>
      </c>
      <c r="G933">
        <f>IFERROR(VLOOKUP(Table_socioeca8.sandag.org_ws_abm2_f4[[#This Row],[hwycov_id]],[2]flow_freeway!$A$2:$E$1643,3,FALSE),0)</f>
        <v>114955</v>
      </c>
      <c r="H933">
        <f>IFERROR(VLOOKUP(Table_socioeca8.sandag.org_ws_abm2_f4[[#This Row],[hwycov_id]],[2]flow_freeway!$A$2:$E$1643,4,FALSE),0)</f>
        <v>27524</v>
      </c>
      <c r="I933">
        <f>IFERROR(VLOOKUP(Table_socioeca8.sandag.org_ws_abm2_f4[[#This Row],[hwycov_id]],[2]flow_freeway!$A$2:$E$1643,5,FALSE),0)</f>
        <v>23611</v>
      </c>
      <c r="K933">
        <f>Table_socioeca8.sandag.org_ws_abm2_f4[[#This Row],[hwycov_id]]</f>
        <v>20487</v>
      </c>
      <c r="L933">
        <f>Table_socioeca8.sandag.org_ws_abm2_f4[[#This Row],[scenario_id]]</f>
        <v>259</v>
      </c>
      <c r="M933">
        <f>Table_socioeca8.sandag.org_ws_abm2_f4[[#This Row],[flow_day]]</f>
        <v>114955</v>
      </c>
      <c r="N933">
        <f>Table_socioeca8.sandag.org_ws_abm2_f4[[#This Row],[flow_am]]</f>
        <v>27524</v>
      </c>
      <c r="O933">
        <f>Table_socioeca8.sandag.org_ws_abm2_f4[[#This Row],[flow_pm]]</f>
        <v>23611</v>
      </c>
    </row>
    <row r="934" spans="5:15" x14ac:dyDescent="0.25">
      <c r="E934">
        <v>20529</v>
      </c>
      <c r="F934">
        <f t="shared" si="14"/>
        <v>259</v>
      </c>
      <c r="G934">
        <f>IFERROR(VLOOKUP(Table_socioeca8.sandag.org_ws_abm2_f4[[#This Row],[hwycov_id]],[2]flow_freeway!$A$2:$E$1643,3,FALSE),0)</f>
        <v>107980</v>
      </c>
      <c r="H934">
        <f>IFERROR(VLOOKUP(Table_socioeca8.sandag.org_ws_abm2_f4[[#This Row],[hwycov_id]],[2]flow_freeway!$A$2:$E$1643,4,FALSE),0)</f>
        <v>24623</v>
      </c>
      <c r="I934">
        <f>IFERROR(VLOOKUP(Table_socioeca8.sandag.org_ws_abm2_f4[[#This Row],[hwycov_id]],[2]flow_freeway!$A$2:$E$1643,5,FALSE),0)</f>
        <v>24693</v>
      </c>
      <c r="K934">
        <f>Table_socioeca8.sandag.org_ws_abm2_f4[[#This Row],[hwycov_id]]</f>
        <v>20529</v>
      </c>
      <c r="L934">
        <f>Table_socioeca8.sandag.org_ws_abm2_f4[[#This Row],[scenario_id]]</f>
        <v>259</v>
      </c>
      <c r="M934">
        <f>Table_socioeca8.sandag.org_ws_abm2_f4[[#This Row],[flow_day]]</f>
        <v>107980</v>
      </c>
      <c r="N934">
        <f>Table_socioeca8.sandag.org_ws_abm2_f4[[#This Row],[flow_am]]</f>
        <v>24623</v>
      </c>
      <c r="O934">
        <f>Table_socioeca8.sandag.org_ws_abm2_f4[[#This Row],[flow_pm]]</f>
        <v>24693</v>
      </c>
    </row>
    <row r="935" spans="5:15" x14ac:dyDescent="0.25">
      <c r="E935">
        <v>20549</v>
      </c>
      <c r="F935">
        <f t="shared" si="14"/>
        <v>259</v>
      </c>
      <c r="G935">
        <f>IFERROR(VLOOKUP(Table_socioeca8.sandag.org_ws_abm2_f4[[#This Row],[hwycov_id]],[2]flow_freeway!$A$2:$E$1643,3,FALSE),0)</f>
        <v>83682</v>
      </c>
      <c r="H935">
        <f>IFERROR(VLOOKUP(Table_socioeca8.sandag.org_ws_abm2_f4[[#This Row],[hwycov_id]],[2]flow_freeway!$A$2:$E$1643,4,FALSE),0)</f>
        <v>18500</v>
      </c>
      <c r="I935">
        <f>IFERROR(VLOOKUP(Table_socioeca8.sandag.org_ws_abm2_f4[[#This Row],[hwycov_id]],[2]flow_freeway!$A$2:$E$1643,5,FALSE),0)</f>
        <v>20016</v>
      </c>
      <c r="K935">
        <f>Table_socioeca8.sandag.org_ws_abm2_f4[[#This Row],[hwycov_id]]</f>
        <v>20549</v>
      </c>
      <c r="L935">
        <f>Table_socioeca8.sandag.org_ws_abm2_f4[[#This Row],[scenario_id]]</f>
        <v>259</v>
      </c>
      <c r="M935">
        <f>Table_socioeca8.sandag.org_ws_abm2_f4[[#This Row],[flow_day]]</f>
        <v>83682</v>
      </c>
      <c r="N935">
        <f>Table_socioeca8.sandag.org_ws_abm2_f4[[#This Row],[flow_am]]</f>
        <v>18500</v>
      </c>
      <c r="O935">
        <f>Table_socioeca8.sandag.org_ws_abm2_f4[[#This Row],[flow_pm]]</f>
        <v>20016</v>
      </c>
    </row>
    <row r="936" spans="5:15" x14ac:dyDescent="0.25">
      <c r="E936">
        <v>20588</v>
      </c>
      <c r="F936">
        <f t="shared" si="14"/>
        <v>259</v>
      </c>
      <c r="G936">
        <f>IFERROR(VLOOKUP(Table_socioeca8.sandag.org_ws_abm2_f4[[#This Row],[hwycov_id]],[2]flow_freeway!$A$2:$E$1643,3,FALSE),0)</f>
        <v>77507</v>
      </c>
      <c r="H936">
        <f>IFERROR(VLOOKUP(Table_socioeca8.sandag.org_ws_abm2_f4[[#This Row],[hwycov_id]],[2]flow_freeway!$A$2:$E$1643,4,FALSE),0)</f>
        <v>17134</v>
      </c>
      <c r="I936">
        <f>IFERROR(VLOOKUP(Table_socioeca8.sandag.org_ws_abm2_f4[[#This Row],[hwycov_id]],[2]flow_freeway!$A$2:$E$1643,5,FALSE),0)</f>
        <v>18697</v>
      </c>
      <c r="K936">
        <f>Table_socioeca8.sandag.org_ws_abm2_f4[[#This Row],[hwycov_id]]</f>
        <v>20588</v>
      </c>
      <c r="L936">
        <f>Table_socioeca8.sandag.org_ws_abm2_f4[[#This Row],[scenario_id]]</f>
        <v>259</v>
      </c>
      <c r="M936">
        <f>Table_socioeca8.sandag.org_ws_abm2_f4[[#This Row],[flow_day]]</f>
        <v>77507</v>
      </c>
      <c r="N936">
        <f>Table_socioeca8.sandag.org_ws_abm2_f4[[#This Row],[flow_am]]</f>
        <v>17134</v>
      </c>
      <c r="O936">
        <f>Table_socioeca8.sandag.org_ws_abm2_f4[[#This Row],[flow_pm]]</f>
        <v>18697</v>
      </c>
    </row>
    <row r="937" spans="5:15" x14ac:dyDescent="0.25">
      <c r="E937">
        <v>20600</v>
      </c>
      <c r="F937">
        <f t="shared" si="14"/>
        <v>259</v>
      </c>
      <c r="G937">
        <f>IFERROR(VLOOKUP(Table_socioeca8.sandag.org_ws_abm2_f4[[#This Row],[hwycov_id]],[2]flow_freeway!$A$2:$E$1643,3,FALSE),0)</f>
        <v>68729</v>
      </c>
      <c r="H937">
        <f>IFERROR(VLOOKUP(Table_socioeca8.sandag.org_ws_abm2_f4[[#This Row],[hwycov_id]],[2]flow_freeway!$A$2:$E$1643,4,FALSE),0)</f>
        <v>14177</v>
      </c>
      <c r="I937">
        <f>IFERROR(VLOOKUP(Table_socioeca8.sandag.org_ws_abm2_f4[[#This Row],[hwycov_id]],[2]flow_freeway!$A$2:$E$1643,5,FALSE),0)</f>
        <v>16739</v>
      </c>
      <c r="K937">
        <f>Table_socioeca8.sandag.org_ws_abm2_f4[[#This Row],[hwycov_id]]</f>
        <v>20600</v>
      </c>
      <c r="L937">
        <f>Table_socioeca8.sandag.org_ws_abm2_f4[[#This Row],[scenario_id]]</f>
        <v>259</v>
      </c>
      <c r="M937">
        <f>Table_socioeca8.sandag.org_ws_abm2_f4[[#This Row],[flow_day]]</f>
        <v>68729</v>
      </c>
      <c r="N937">
        <f>Table_socioeca8.sandag.org_ws_abm2_f4[[#This Row],[flow_am]]</f>
        <v>14177</v>
      </c>
      <c r="O937">
        <f>Table_socioeca8.sandag.org_ws_abm2_f4[[#This Row],[flow_pm]]</f>
        <v>16739</v>
      </c>
    </row>
    <row r="938" spans="5:15" x14ac:dyDescent="0.25">
      <c r="E938">
        <v>20639</v>
      </c>
      <c r="F938">
        <f t="shared" si="14"/>
        <v>259</v>
      </c>
      <c r="G938">
        <f>IFERROR(VLOOKUP(Table_socioeca8.sandag.org_ws_abm2_f4[[#This Row],[hwycov_id]],[2]flow_freeway!$A$2:$E$1643,3,FALSE),0)</f>
        <v>82168</v>
      </c>
      <c r="H938">
        <f>IFERROR(VLOOKUP(Table_socioeca8.sandag.org_ws_abm2_f4[[#This Row],[hwycov_id]],[2]flow_freeway!$A$2:$E$1643,4,FALSE),0)</f>
        <v>17139</v>
      </c>
      <c r="I938">
        <f>IFERROR(VLOOKUP(Table_socioeca8.sandag.org_ws_abm2_f4[[#This Row],[hwycov_id]],[2]flow_freeway!$A$2:$E$1643,5,FALSE),0)</f>
        <v>20614</v>
      </c>
      <c r="K938">
        <f>Table_socioeca8.sandag.org_ws_abm2_f4[[#This Row],[hwycov_id]]</f>
        <v>20639</v>
      </c>
      <c r="L938">
        <f>Table_socioeca8.sandag.org_ws_abm2_f4[[#This Row],[scenario_id]]</f>
        <v>259</v>
      </c>
      <c r="M938">
        <f>Table_socioeca8.sandag.org_ws_abm2_f4[[#This Row],[flow_day]]</f>
        <v>82168</v>
      </c>
      <c r="N938">
        <f>Table_socioeca8.sandag.org_ws_abm2_f4[[#This Row],[flow_am]]</f>
        <v>17139</v>
      </c>
      <c r="O938">
        <f>Table_socioeca8.sandag.org_ws_abm2_f4[[#This Row],[flow_pm]]</f>
        <v>20614</v>
      </c>
    </row>
    <row r="939" spans="5:15" x14ac:dyDescent="0.25">
      <c r="E939">
        <v>20640</v>
      </c>
      <c r="F939">
        <f t="shared" si="14"/>
        <v>259</v>
      </c>
      <c r="G939">
        <f>IFERROR(VLOOKUP(Table_socioeca8.sandag.org_ws_abm2_f4[[#This Row],[hwycov_id]],[2]flow_freeway!$A$2:$E$1643,3,FALSE),0)</f>
        <v>89314</v>
      </c>
      <c r="H939">
        <f>IFERROR(VLOOKUP(Table_socioeca8.sandag.org_ws_abm2_f4[[#This Row],[hwycov_id]],[2]flow_freeway!$A$2:$E$1643,4,FALSE),0)</f>
        <v>20425</v>
      </c>
      <c r="I939">
        <f>IFERROR(VLOOKUP(Table_socioeca8.sandag.org_ws_abm2_f4[[#This Row],[hwycov_id]],[2]flow_freeway!$A$2:$E$1643,5,FALSE),0)</f>
        <v>21509</v>
      </c>
      <c r="K939">
        <f>Table_socioeca8.sandag.org_ws_abm2_f4[[#This Row],[hwycov_id]]</f>
        <v>20640</v>
      </c>
      <c r="L939">
        <f>Table_socioeca8.sandag.org_ws_abm2_f4[[#This Row],[scenario_id]]</f>
        <v>259</v>
      </c>
      <c r="M939">
        <f>Table_socioeca8.sandag.org_ws_abm2_f4[[#This Row],[flow_day]]</f>
        <v>89314</v>
      </c>
      <c r="N939">
        <f>Table_socioeca8.sandag.org_ws_abm2_f4[[#This Row],[flow_am]]</f>
        <v>20425</v>
      </c>
      <c r="O939">
        <f>Table_socioeca8.sandag.org_ws_abm2_f4[[#This Row],[flow_pm]]</f>
        <v>21509</v>
      </c>
    </row>
    <row r="940" spans="5:15" x14ac:dyDescent="0.25">
      <c r="E940">
        <v>20654</v>
      </c>
      <c r="F940">
        <f t="shared" si="14"/>
        <v>259</v>
      </c>
      <c r="G940">
        <f>IFERROR(VLOOKUP(Table_socioeca8.sandag.org_ws_abm2_f4[[#This Row],[hwycov_id]],[2]flow_freeway!$A$2:$E$1643,3,FALSE),0)</f>
        <v>98976</v>
      </c>
      <c r="H940">
        <f>IFERROR(VLOOKUP(Table_socioeca8.sandag.org_ws_abm2_f4[[#This Row],[hwycov_id]],[2]flow_freeway!$A$2:$E$1643,4,FALSE),0)</f>
        <v>21049</v>
      </c>
      <c r="I940">
        <f>IFERROR(VLOOKUP(Table_socioeca8.sandag.org_ws_abm2_f4[[#This Row],[hwycov_id]],[2]flow_freeway!$A$2:$E$1643,5,FALSE),0)</f>
        <v>19442</v>
      </c>
      <c r="K940">
        <f>Table_socioeca8.sandag.org_ws_abm2_f4[[#This Row],[hwycov_id]]</f>
        <v>20654</v>
      </c>
      <c r="L940">
        <f>Table_socioeca8.sandag.org_ws_abm2_f4[[#This Row],[scenario_id]]</f>
        <v>259</v>
      </c>
      <c r="M940">
        <f>Table_socioeca8.sandag.org_ws_abm2_f4[[#This Row],[flow_day]]</f>
        <v>98976</v>
      </c>
      <c r="N940">
        <f>Table_socioeca8.sandag.org_ws_abm2_f4[[#This Row],[flow_am]]</f>
        <v>21049</v>
      </c>
      <c r="O940">
        <f>Table_socioeca8.sandag.org_ws_abm2_f4[[#This Row],[flow_pm]]</f>
        <v>19442</v>
      </c>
    </row>
    <row r="941" spans="5:15" x14ac:dyDescent="0.25">
      <c r="E941">
        <v>20684</v>
      </c>
      <c r="F941">
        <f t="shared" si="14"/>
        <v>259</v>
      </c>
      <c r="G941">
        <f>IFERROR(VLOOKUP(Table_socioeca8.sandag.org_ws_abm2_f4[[#This Row],[hwycov_id]],[2]flow_freeway!$A$2:$E$1643,3,FALSE),0)</f>
        <v>90990</v>
      </c>
      <c r="H941">
        <f>IFERROR(VLOOKUP(Table_socioeca8.sandag.org_ws_abm2_f4[[#This Row],[hwycov_id]],[2]flow_freeway!$A$2:$E$1643,4,FALSE),0)</f>
        <v>18621</v>
      </c>
      <c r="I941">
        <f>IFERROR(VLOOKUP(Table_socioeca8.sandag.org_ws_abm2_f4[[#This Row],[hwycov_id]],[2]flow_freeway!$A$2:$E$1643,5,FALSE),0)</f>
        <v>24387</v>
      </c>
      <c r="K941">
        <f>Table_socioeca8.sandag.org_ws_abm2_f4[[#This Row],[hwycov_id]]</f>
        <v>20684</v>
      </c>
      <c r="L941">
        <f>Table_socioeca8.sandag.org_ws_abm2_f4[[#This Row],[scenario_id]]</f>
        <v>259</v>
      </c>
      <c r="M941">
        <f>Table_socioeca8.sandag.org_ws_abm2_f4[[#This Row],[flow_day]]</f>
        <v>90990</v>
      </c>
      <c r="N941">
        <f>Table_socioeca8.sandag.org_ws_abm2_f4[[#This Row],[flow_am]]</f>
        <v>18621</v>
      </c>
      <c r="O941">
        <f>Table_socioeca8.sandag.org_ws_abm2_f4[[#This Row],[flow_pm]]</f>
        <v>24387</v>
      </c>
    </row>
    <row r="942" spans="5:15" x14ac:dyDescent="0.25">
      <c r="E942">
        <v>20685</v>
      </c>
      <c r="F942">
        <f t="shared" si="14"/>
        <v>259</v>
      </c>
      <c r="G942">
        <f>IFERROR(VLOOKUP(Table_socioeca8.sandag.org_ws_abm2_f4[[#This Row],[hwycov_id]],[2]flow_freeway!$A$2:$E$1643,3,FALSE),0)</f>
        <v>65257</v>
      </c>
      <c r="H942">
        <f>IFERROR(VLOOKUP(Table_socioeca8.sandag.org_ws_abm2_f4[[#This Row],[hwycov_id]],[2]flow_freeway!$A$2:$E$1643,4,FALSE),0)</f>
        <v>13948</v>
      </c>
      <c r="I942">
        <f>IFERROR(VLOOKUP(Table_socioeca8.sandag.org_ws_abm2_f4[[#This Row],[hwycov_id]],[2]flow_freeway!$A$2:$E$1643,5,FALSE),0)</f>
        <v>16808</v>
      </c>
      <c r="K942">
        <f>Table_socioeca8.sandag.org_ws_abm2_f4[[#This Row],[hwycov_id]]</f>
        <v>20685</v>
      </c>
      <c r="L942">
        <f>Table_socioeca8.sandag.org_ws_abm2_f4[[#This Row],[scenario_id]]</f>
        <v>259</v>
      </c>
      <c r="M942">
        <f>Table_socioeca8.sandag.org_ws_abm2_f4[[#This Row],[flow_day]]</f>
        <v>65257</v>
      </c>
      <c r="N942">
        <f>Table_socioeca8.sandag.org_ws_abm2_f4[[#This Row],[flow_am]]</f>
        <v>13948</v>
      </c>
      <c r="O942">
        <f>Table_socioeca8.sandag.org_ws_abm2_f4[[#This Row],[flow_pm]]</f>
        <v>16808</v>
      </c>
    </row>
    <row r="943" spans="5:15" x14ac:dyDescent="0.25">
      <c r="E943">
        <v>20689</v>
      </c>
      <c r="F943">
        <f t="shared" si="14"/>
        <v>259</v>
      </c>
      <c r="G943">
        <f>IFERROR(VLOOKUP(Table_socioeca8.sandag.org_ws_abm2_f4[[#This Row],[hwycov_id]],[2]flow_freeway!$A$2:$E$1643,3,FALSE),0)</f>
        <v>96807</v>
      </c>
      <c r="H943">
        <f>IFERROR(VLOOKUP(Table_socioeca8.sandag.org_ws_abm2_f4[[#This Row],[hwycov_id]],[2]flow_freeway!$A$2:$E$1643,4,FALSE),0)</f>
        <v>21207</v>
      </c>
      <c r="I943">
        <f>IFERROR(VLOOKUP(Table_socioeca8.sandag.org_ws_abm2_f4[[#This Row],[hwycov_id]],[2]flow_freeway!$A$2:$E$1643,5,FALSE),0)</f>
        <v>24203</v>
      </c>
      <c r="K943">
        <f>Table_socioeca8.sandag.org_ws_abm2_f4[[#This Row],[hwycov_id]]</f>
        <v>20689</v>
      </c>
      <c r="L943">
        <f>Table_socioeca8.sandag.org_ws_abm2_f4[[#This Row],[scenario_id]]</f>
        <v>259</v>
      </c>
      <c r="M943">
        <f>Table_socioeca8.sandag.org_ws_abm2_f4[[#This Row],[flow_day]]</f>
        <v>96807</v>
      </c>
      <c r="N943">
        <f>Table_socioeca8.sandag.org_ws_abm2_f4[[#This Row],[flow_am]]</f>
        <v>21207</v>
      </c>
      <c r="O943">
        <f>Table_socioeca8.sandag.org_ws_abm2_f4[[#This Row],[flow_pm]]</f>
        <v>24203</v>
      </c>
    </row>
    <row r="944" spans="5:15" x14ac:dyDescent="0.25">
      <c r="E944">
        <v>20693</v>
      </c>
      <c r="F944">
        <f t="shared" si="14"/>
        <v>259</v>
      </c>
      <c r="G944">
        <f>IFERROR(VLOOKUP(Table_socioeca8.sandag.org_ws_abm2_f4[[#This Row],[hwycov_id]],[2]flow_freeway!$A$2:$E$1643,3,FALSE),0)</f>
        <v>71090</v>
      </c>
      <c r="H944">
        <f>IFERROR(VLOOKUP(Table_socioeca8.sandag.org_ws_abm2_f4[[#This Row],[hwycov_id]],[2]flow_freeway!$A$2:$E$1643,4,FALSE),0)</f>
        <v>14806</v>
      </c>
      <c r="I944">
        <f>IFERROR(VLOOKUP(Table_socioeca8.sandag.org_ws_abm2_f4[[#This Row],[hwycov_id]],[2]flow_freeway!$A$2:$E$1643,5,FALSE),0)</f>
        <v>19430</v>
      </c>
      <c r="K944">
        <f>Table_socioeca8.sandag.org_ws_abm2_f4[[#This Row],[hwycov_id]]</f>
        <v>20693</v>
      </c>
      <c r="L944">
        <f>Table_socioeca8.sandag.org_ws_abm2_f4[[#This Row],[scenario_id]]</f>
        <v>259</v>
      </c>
      <c r="M944">
        <f>Table_socioeca8.sandag.org_ws_abm2_f4[[#This Row],[flow_day]]</f>
        <v>71090</v>
      </c>
      <c r="N944">
        <f>Table_socioeca8.sandag.org_ws_abm2_f4[[#This Row],[flow_am]]</f>
        <v>14806</v>
      </c>
      <c r="O944">
        <f>Table_socioeca8.sandag.org_ws_abm2_f4[[#This Row],[flow_pm]]</f>
        <v>19430</v>
      </c>
    </row>
    <row r="945" spans="5:15" x14ac:dyDescent="0.25">
      <c r="E945">
        <v>20694</v>
      </c>
      <c r="F945">
        <f t="shared" si="14"/>
        <v>259</v>
      </c>
      <c r="G945">
        <f>IFERROR(VLOOKUP(Table_socioeca8.sandag.org_ws_abm2_f4[[#This Row],[hwycov_id]],[2]flow_freeway!$A$2:$E$1643,3,FALSE),0)</f>
        <v>77337</v>
      </c>
      <c r="H945">
        <f>IFERROR(VLOOKUP(Table_socioeca8.sandag.org_ws_abm2_f4[[#This Row],[hwycov_id]],[2]flow_freeway!$A$2:$E$1643,4,FALSE),0)</f>
        <v>15835</v>
      </c>
      <c r="I945">
        <f>IFERROR(VLOOKUP(Table_socioeca8.sandag.org_ws_abm2_f4[[#This Row],[hwycov_id]],[2]flow_freeway!$A$2:$E$1643,5,FALSE),0)</f>
        <v>21001</v>
      </c>
      <c r="K945">
        <f>Table_socioeca8.sandag.org_ws_abm2_f4[[#This Row],[hwycov_id]]</f>
        <v>20694</v>
      </c>
      <c r="L945">
        <f>Table_socioeca8.sandag.org_ws_abm2_f4[[#This Row],[scenario_id]]</f>
        <v>259</v>
      </c>
      <c r="M945">
        <f>Table_socioeca8.sandag.org_ws_abm2_f4[[#This Row],[flow_day]]</f>
        <v>77337</v>
      </c>
      <c r="N945">
        <f>Table_socioeca8.sandag.org_ws_abm2_f4[[#This Row],[flow_am]]</f>
        <v>15835</v>
      </c>
      <c r="O945">
        <f>Table_socioeca8.sandag.org_ws_abm2_f4[[#This Row],[flow_pm]]</f>
        <v>21001</v>
      </c>
    </row>
    <row r="946" spans="5:15" x14ac:dyDescent="0.25">
      <c r="E946">
        <v>20696</v>
      </c>
      <c r="F946">
        <f t="shared" si="14"/>
        <v>259</v>
      </c>
      <c r="G946">
        <f>IFERROR(VLOOKUP(Table_socioeca8.sandag.org_ws_abm2_f4[[#This Row],[hwycov_id]],[2]flow_freeway!$A$2:$E$1643,3,FALSE),0)</f>
        <v>102405</v>
      </c>
      <c r="H946">
        <f>IFERROR(VLOOKUP(Table_socioeca8.sandag.org_ws_abm2_f4[[#This Row],[hwycov_id]],[2]flow_freeway!$A$2:$E$1643,4,FALSE),0)</f>
        <v>19412</v>
      </c>
      <c r="I946">
        <f>IFERROR(VLOOKUP(Table_socioeca8.sandag.org_ws_abm2_f4[[#This Row],[hwycov_id]],[2]flow_freeway!$A$2:$E$1643,5,FALSE),0)</f>
        <v>29097</v>
      </c>
      <c r="K946">
        <f>Table_socioeca8.sandag.org_ws_abm2_f4[[#This Row],[hwycov_id]]</f>
        <v>20696</v>
      </c>
      <c r="L946">
        <f>Table_socioeca8.sandag.org_ws_abm2_f4[[#This Row],[scenario_id]]</f>
        <v>259</v>
      </c>
      <c r="M946">
        <f>Table_socioeca8.sandag.org_ws_abm2_f4[[#This Row],[flow_day]]</f>
        <v>102405</v>
      </c>
      <c r="N946">
        <f>Table_socioeca8.sandag.org_ws_abm2_f4[[#This Row],[flow_am]]</f>
        <v>19412</v>
      </c>
      <c r="O946">
        <f>Table_socioeca8.sandag.org_ws_abm2_f4[[#This Row],[flow_pm]]</f>
        <v>29097</v>
      </c>
    </row>
    <row r="947" spans="5:15" x14ac:dyDescent="0.25">
      <c r="E947">
        <v>20700</v>
      </c>
      <c r="F947">
        <f t="shared" si="14"/>
        <v>259</v>
      </c>
      <c r="G947">
        <f>IFERROR(VLOOKUP(Table_socioeca8.sandag.org_ws_abm2_f4[[#This Row],[hwycov_id]],[2]flow_freeway!$A$2:$E$1643,3,FALSE),0)</f>
        <v>86606</v>
      </c>
      <c r="H947">
        <f>IFERROR(VLOOKUP(Table_socioeca8.sandag.org_ws_abm2_f4[[#This Row],[hwycov_id]],[2]flow_freeway!$A$2:$E$1643,4,FALSE),0)</f>
        <v>15456</v>
      </c>
      <c r="I947">
        <f>IFERROR(VLOOKUP(Table_socioeca8.sandag.org_ws_abm2_f4[[#This Row],[hwycov_id]],[2]flow_freeway!$A$2:$E$1643,5,FALSE),0)</f>
        <v>25700</v>
      </c>
      <c r="K947">
        <f>Table_socioeca8.sandag.org_ws_abm2_f4[[#This Row],[hwycov_id]]</f>
        <v>20700</v>
      </c>
      <c r="L947">
        <f>Table_socioeca8.sandag.org_ws_abm2_f4[[#This Row],[scenario_id]]</f>
        <v>259</v>
      </c>
      <c r="M947">
        <f>Table_socioeca8.sandag.org_ws_abm2_f4[[#This Row],[flow_day]]</f>
        <v>86606</v>
      </c>
      <c r="N947">
        <f>Table_socioeca8.sandag.org_ws_abm2_f4[[#This Row],[flow_am]]</f>
        <v>15456</v>
      </c>
      <c r="O947">
        <f>Table_socioeca8.sandag.org_ws_abm2_f4[[#This Row],[flow_pm]]</f>
        <v>25700</v>
      </c>
    </row>
    <row r="948" spans="5:15" x14ac:dyDescent="0.25">
      <c r="E948">
        <v>20701</v>
      </c>
      <c r="F948">
        <f t="shared" si="14"/>
        <v>259</v>
      </c>
      <c r="G948">
        <f>IFERROR(VLOOKUP(Table_socioeca8.sandag.org_ws_abm2_f4[[#This Row],[hwycov_id]],[2]flow_freeway!$A$2:$E$1643,3,FALSE),0)</f>
        <v>117943</v>
      </c>
      <c r="H948">
        <f>IFERROR(VLOOKUP(Table_socioeca8.sandag.org_ws_abm2_f4[[#This Row],[hwycov_id]],[2]flow_freeway!$A$2:$E$1643,4,FALSE),0)</f>
        <v>19768</v>
      </c>
      <c r="I948">
        <f>IFERROR(VLOOKUP(Table_socioeca8.sandag.org_ws_abm2_f4[[#This Row],[hwycov_id]],[2]flow_freeway!$A$2:$E$1643,5,FALSE),0)</f>
        <v>32944</v>
      </c>
      <c r="K948">
        <f>Table_socioeca8.sandag.org_ws_abm2_f4[[#This Row],[hwycov_id]]</f>
        <v>20701</v>
      </c>
      <c r="L948">
        <f>Table_socioeca8.sandag.org_ws_abm2_f4[[#This Row],[scenario_id]]</f>
        <v>259</v>
      </c>
      <c r="M948">
        <f>Table_socioeca8.sandag.org_ws_abm2_f4[[#This Row],[flow_day]]</f>
        <v>117943</v>
      </c>
      <c r="N948">
        <f>Table_socioeca8.sandag.org_ws_abm2_f4[[#This Row],[flow_am]]</f>
        <v>19768</v>
      </c>
      <c r="O948">
        <f>Table_socioeca8.sandag.org_ws_abm2_f4[[#This Row],[flow_pm]]</f>
        <v>32944</v>
      </c>
    </row>
    <row r="949" spans="5:15" x14ac:dyDescent="0.25">
      <c r="E949">
        <v>20703</v>
      </c>
      <c r="F949">
        <f t="shared" si="14"/>
        <v>259</v>
      </c>
      <c r="G949">
        <f>IFERROR(VLOOKUP(Table_socioeca8.sandag.org_ws_abm2_f4[[#This Row],[hwycov_id]],[2]flow_freeway!$A$2:$E$1643,3,FALSE),0)</f>
        <v>138523</v>
      </c>
      <c r="H949">
        <f>IFERROR(VLOOKUP(Table_socioeca8.sandag.org_ws_abm2_f4[[#This Row],[hwycov_id]],[2]flow_freeway!$A$2:$E$1643,4,FALSE),0)</f>
        <v>22440</v>
      </c>
      <c r="I949">
        <f>IFERROR(VLOOKUP(Table_socioeca8.sandag.org_ws_abm2_f4[[#This Row],[hwycov_id]],[2]flow_freeway!$A$2:$E$1643,5,FALSE),0)</f>
        <v>38943</v>
      </c>
      <c r="K949">
        <f>Table_socioeca8.sandag.org_ws_abm2_f4[[#This Row],[hwycov_id]]</f>
        <v>20703</v>
      </c>
      <c r="L949">
        <f>Table_socioeca8.sandag.org_ws_abm2_f4[[#This Row],[scenario_id]]</f>
        <v>259</v>
      </c>
      <c r="M949">
        <f>Table_socioeca8.sandag.org_ws_abm2_f4[[#This Row],[flow_day]]</f>
        <v>138523</v>
      </c>
      <c r="N949">
        <f>Table_socioeca8.sandag.org_ws_abm2_f4[[#This Row],[flow_am]]</f>
        <v>22440</v>
      </c>
      <c r="O949">
        <f>Table_socioeca8.sandag.org_ws_abm2_f4[[#This Row],[flow_pm]]</f>
        <v>38943</v>
      </c>
    </row>
    <row r="950" spans="5:15" x14ac:dyDescent="0.25">
      <c r="E950">
        <v>20705</v>
      </c>
      <c r="F950">
        <f t="shared" si="14"/>
        <v>259</v>
      </c>
      <c r="G950">
        <f>IFERROR(VLOOKUP(Table_socioeca8.sandag.org_ws_abm2_f4[[#This Row],[hwycov_id]],[2]flow_freeway!$A$2:$E$1643,3,FALSE),0)</f>
        <v>54089</v>
      </c>
      <c r="H950">
        <f>IFERROR(VLOOKUP(Table_socioeca8.sandag.org_ws_abm2_f4[[#This Row],[hwycov_id]],[2]flow_freeway!$A$2:$E$1643,4,FALSE),0)</f>
        <v>9293</v>
      </c>
      <c r="I950">
        <f>IFERROR(VLOOKUP(Table_socioeca8.sandag.org_ws_abm2_f4[[#This Row],[hwycov_id]],[2]flow_freeway!$A$2:$E$1643,5,FALSE),0)</f>
        <v>16233</v>
      </c>
      <c r="K950">
        <f>Table_socioeca8.sandag.org_ws_abm2_f4[[#This Row],[hwycov_id]]</f>
        <v>20705</v>
      </c>
      <c r="L950">
        <f>Table_socioeca8.sandag.org_ws_abm2_f4[[#This Row],[scenario_id]]</f>
        <v>259</v>
      </c>
      <c r="M950">
        <f>Table_socioeca8.sandag.org_ws_abm2_f4[[#This Row],[flow_day]]</f>
        <v>54089</v>
      </c>
      <c r="N950">
        <f>Table_socioeca8.sandag.org_ws_abm2_f4[[#This Row],[flow_am]]</f>
        <v>9293</v>
      </c>
      <c r="O950">
        <f>Table_socioeca8.sandag.org_ws_abm2_f4[[#This Row],[flow_pm]]</f>
        <v>16233</v>
      </c>
    </row>
    <row r="951" spans="5:15" x14ac:dyDescent="0.25">
      <c r="E951">
        <v>20706</v>
      </c>
      <c r="F951">
        <f t="shared" si="14"/>
        <v>259</v>
      </c>
      <c r="G951">
        <f>IFERROR(VLOOKUP(Table_socioeca8.sandag.org_ws_abm2_f4[[#This Row],[hwycov_id]],[2]flow_freeway!$A$2:$E$1643,3,FALSE),0)</f>
        <v>87632</v>
      </c>
      <c r="H951">
        <f>IFERROR(VLOOKUP(Table_socioeca8.sandag.org_ws_abm2_f4[[#This Row],[hwycov_id]],[2]flow_freeway!$A$2:$E$1643,4,FALSE),0)</f>
        <v>14426</v>
      </c>
      <c r="I951">
        <f>IFERROR(VLOOKUP(Table_socioeca8.sandag.org_ws_abm2_f4[[#This Row],[hwycov_id]],[2]flow_freeway!$A$2:$E$1643,5,FALSE),0)</f>
        <v>26158</v>
      </c>
      <c r="K951">
        <f>Table_socioeca8.sandag.org_ws_abm2_f4[[#This Row],[hwycov_id]]</f>
        <v>20706</v>
      </c>
      <c r="L951">
        <f>Table_socioeca8.sandag.org_ws_abm2_f4[[#This Row],[scenario_id]]</f>
        <v>259</v>
      </c>
      <c r="M951">
        <f>Table_socioeca8.sandag.org_ws_abm2_f4[[#This Row],[flow_day]]</f>
        <v>87632</v>
      </c>
      <c r="N951">
        <f>Table_socioeca8.sandag.org_ws_abm2_f4[[#This Row],[flow_am]]</f>
        <v>14426</v>
      </c>
      <c r="O951">
        <f>Table_socioeca8.sandag.org_ws_abm2_f4[[#This Row],[flow_pm]]</f>
        <v>26158</v>
      </c>
    </row>
    <row r="952" spans="5:15" x14ac:dyDescent="0.25">
      <c r="E952">
        <v>20709</v>
      </c>
      <c r="F952">
        <f t="shared" si="14"/>
        <v>259</v>
      </c>
      <c r="G952">
        <f>IFERROR(VLOOKUP(Table_socioeca8.sandag.org_ws_abm2_f4[[#This Row],[hwycov_id]],[2]flow_freeway!$A$2:$E$1643,3,FALSE),0)</f>
        <v>99029</v>
      </c>
      <c r="H952">
        <f>IFERROR(VLOOKUP(Table_socioeca8.sandag.org_ws_abm2_f4[[#This Row],[hwycov_id]],[2]flow_freeway!$A$2:$E$1643,4,FALSE),0)</f>
        <v>16438</v>
      </c>
      <c r="I952">
        <f>IFERROR(VLOOKUP(Table_socioeca8.sandag.org_ws_abm2_f4[[#This Row],[hwycov_id]],[2]flow_freeway!$A$2:$E$1643,5,FALSE),0)</f>
        <v>29122</v>
      </c>
      <c r="K952">
        <f>Table_socioeca8.sandag.org_ws_abm2_f4[[#This Row],[hwycov_id]]</f>
        <v>20709</v>
      </c>
      <c r="L952">
        <f>Table_socioeca8.sandag.org_ws_abm2_f4[[#This Row],[scenario_id]]</f>
        <v>259</v>
      </c>
      <c r="M952">
        <f>Table_socioeca8.sandag.org_ws_abm2_f4[[#This Row],[flow_day]]</f>
        <v>99029</v>
      </c>
      <c r="N952">
        <f>Table_socioeca8.sandag.org_ws_abm2_f4[[#This Row],[flow_am]]</f>
        <v>16438</v>
      </c>
      <c r="O952">
        <f>Table_socioeca8.sandag.org_ws_abm2_f4[[#This Row],[flow_pm]]</f>
        <v>29122</v>
      </c>
    </row>
    <row r="953" spans="5:15" x14ac:dyDescent="0.25">
      <c r="E953">
        <v>20710</v>
      </c>
      <c r="F953">
        <f t="shared" si="14"/>
        <v>259</v>
      </c>
      <c r="G953">
        <f>IFERROR(VLOOKUP(Table_socioeca8.sandag.org_ws_abm2_f4[[#This Row],[hwycov_id]],[2]flow_freeway!$A$2:$E$1643,3,FALSE),0)</f>
        <v>78475</v>
      </c>
      <c r="H953">
        <f>IFERROR(VLOOKUP(Table_socioeca8.sandag.org_ws_abm2_f4[[#This Row],[hwycov_id]],[2]flow_freeway!$A$2:$E$1643,4,FALSE),0)</f>
        <v>11926</v>
      </c>
      <c r="I953">
        <f>IFERROR(VLOOKUP(Table_socioeca8.sandag.org_ws_abm2_f4[[#This Row],[hwycov_id]],[2]flow_freeway!$A$2:$E$1643,5,FALSE),0)</f>
        <v>24133</v>
      </c>
      <c r="K953">
        <f>Table_socioeca8.sandag.org_ws_abm2_f4[[#This Row],[hwycov_id]]</f>
        <v>20710</v>
      </c>
      <c r="L953">
        <f>Table_socioeca8.sandag.org_ws_abm2_f4[[#This Row],[scenario_id]]</f>
        <v>259</v>
      </c>
      <c r="M953">
        <f>Table_socioeca8.sandag.org_ws_abm2_f4[[#This Row],[flow_day]]</f>
        <v>78475</v>
      </c>
      <c r="N953">
        <f>Table_socioeca8.sandag.org_ws_abm2_f4[[#This Row],[flow_am]]</f>
        <v>11926</v>
      </c>
      <c r="O953">
        <f>Table_socioeca8.sandag.org_ws_abm2_f4[[#This Row],[flow_pm]]</f>
        <v>24133</v>
      </c>
    </row>
    <row r="954" spans="5:15" x14ac:dyDescent="0.25">
      <c r="E954">
        <v>20711</v>
      </c>
      <c r="F954">
        <f t="shared" si="14"/>
        <v>259</v>
      </c>
      <c r="G954">
        <f>IFERROR(VLOOKUP(Table_socioeca8.sandag.org_ws_abm2_f4[[#This Row],[hwycov_id]],[2]flow_freeway!$A$2:$E$1643,3,FALSE),0)</f>
        <v>90155</v>
      </c>
      <c r="H954">
        <f>IFERROR(VLOOKUP(Table_socioeca8.sandag.org_ws_abm2_f4[[#This Row],[hwycov_id]],[2]flow_freeway!$A$2:$E$1643,4,FALSE),0)</f>
        <v>12736</v>
      </c>
      <c r="I954">
        <f>IFERROR(VLOOKUP(Table_socioeca8.sandag.org_ws_abm2_f4[[#This Row],[hwycov_id]],[2]flow_freeway!$A$2:$E$1643,5,FALSE),0)</f>
        <v>28341</v>
      </c>
      <c r="K954">
        <f>Table_socioeca8.sandag.org_ws_abm2_f4[[#This Row],[hwycov_id]]</f>
        <v>20711</v>
      </c>
      <c r="L954">
        <f>Table_socioeca8.sandag.org_ws_abm2_f4[[#This Row],[scenario_id]]</f>
        <v>259</v>
      </c>
      <c r="M954">
        <f>Table_socioeca8.sandag.org_ws_abm2_f4[[#This Row],[flow_day]]</f>
        <v>90155</v>
      </c>
      <c r="N954">
        <f>Table_socioeca8.sandag.org_ws_abm2_f4[[#This Row],[flow_am]]</f>
        <v>12736</v>
      </c>
      <c r="O954">
        <f>Table_socioeca8.sandag.org_ws_abm2_f4[[#This Row],[flow_pm]]</f>
        <v>28341</v>
      </c>
    </row>
    <row r="955" spans="5:15" x14ac:dyDescent="0.25">
      <c r="E955">
        <v>20713</v>
      </c>
      <c r="F955">
        <f t="shared" si="14"/>
        <v>259</v>
      </c>
      <c r="G955">
        <f>IFERROR(VLOOKUP(Table_socioeca8.sandag.org_ws_abm2_f4[[#This Row],[hwycov_id]],[2]flow_freeway!$A$2:$E$1643,3,FALSE),0)</f>
        <v>87203</v>
      </c>
      <c r="H955">
        <f>IFERROR(VLOOKUP(Table_socioeca8.sandag.org_ws_abm2_f4[[#This Row],[hwycov_id]],[2]flow_freeway!$A$2:$E$1643,4,FALSE),0)</f>
        <v>12371</v>
      </c>
      <c r="I955">
        <f>IFERROR(VLOOKUP(Table_socioeca8.sandag.org_ws_abm2_f4[[#This Row],[hwycov_id]],[2]flow_freeway!$A$2:$E$1643,5,FALSE),0)</f>
        <v>26906</v>
      </c>
      <c r="K955">
        <f>Table_socioeca8.sandag.org_ws_abm2_f4[[#This Row],[hwycov_id]]</f>
        <v>20713</v>
      </c>
      <c r="L955">
        <f>Table_socioeca8.sandag.org_ws_abm2_f4[[#This Row],[scenario_id]]</f>
        <v>259</v>
      </c>
      <c r="M955">
        <f>Table_socioeca8.sandag.org_ws_abm2_f4[[#This Row],[flow_day]]</f>
        <v>87203</v>
      </c>
      <c r="N955">
        <f>Table_socioeca8.sandag.org_ws_abm2_f4[[#This Row],[flow_am]]</f>
        <v>12371</v>
      </c>
      <c r="O955">
        <f>Table_socioeca8.sandag.org_ws_abm2_f4[[#This Row],[flow_pm]]</f>
        <v>26906</v>
      </c>
    </row>
    <row r="956" spans="5:15" x14ac:dyDescent="0.25">
      <c r="E956">
        <v>20717</v>
      </c>
      <c r="F956">
        <f t="shared" si="14"/>
        <v>259</v>
      </c>
      <c r="G956">
        <f>IFERROR(VLOOKUP(Table_socioeca8.sandag.org_ws_abm2_f4[[#This Row],[hwycov_id]],[2]flow_freeway!$A$2:$E$1643,3,FALSE),0)</f>
        <v>105261</v>
      </c>
      <c r="H956">
        <f>IFERROR(VLOOKUP(Table_socioeca8.sandag.org_ws_abm2_f4[[#This Row],[hwycov_id]],[2]flow_freeway!$A$2:$E$1643,4,FALSE),0)</f>
        <v>16049</v>
      </c>
      <c r="I956">
        <f>IFERROR(VLOOKUP(Table_socioeca8.sandag.org_ws_abm2_f4[[#This Row],[hwycov_id]],[2]flow_freeway!$A$2:$E$1643,5,FALSE),0)</f>
        <v>31415</v>
      </c>
      <c r="K956">
        <f>Table_socioeca8.sandag.org_ws_abm2_f4[[#This Row],[hwycov_id]]</f>
        <v>20717</v>
      </c>
      <c r="L956">
        <f>Table_socioeca8.sandag.org_ws_abm2_f4[[#This Row],[scenario_id]]</f>
        <v>259</v>
      </c>
      <c r="M956">
        <f>Table_socioeca8.sandag.org_ws_abm2_f4[[#This Row],[flow_day]]</f>
        <v>105261</v>
      </c>
      <c r="N956">
        <f>Table_socioeca8.sandag.org_ws_abm2_f4[[#This Row],[flow_am]]</f>
        <v>16049</v>
      </c>
      <c r="O956">
        <f>Table_socioeca8.sandag.org_ws_abm2_f4[[#This Row],[flow_pm]]</f>
        <v>31415</v>
      </c>
    </row>
    <row r="957" spans="5:15" x14ac:dyDescent="0.25">
      <c r="E957">
        <v>20719</v>
      </c>
      <c r="F957">
        <f t="shared" si="14"/>
        <v>259</v>
      </c>
      <c r="G957">
        <f>IFERROR(VLOOKUP(Table_socioeca8.sandag.org_ws_abm2_f4[[#This Row],[hwycov_id]],[2]flow_freeway!$A$2:$E$1643,3,FALSE),0)</f>
        <v>79407</v>
      </c>
      <c r="H957">
        <f>IFERROR(VLOOKUP(Table_socioeca8.sandag.org_ws_abm2_f4[[#This Row],[hwycov_id]],[2]flow_freeway!$A$2:$E$1643,4,FALSE),0)</f>
        <v>12372</v>
      </c>
      <c r="I957">
        <f>IFERROR(VLOOKUP(Table_socioeca8.sandag.org_ws_abm2_f4[[#This Row],[hwycov_id]],[2]flow_freeway!$A$2:$E$1643,5,FALSE),0)</f>
        <v>24128</v>
      </c>
      <c r="K957">
        <f>Table_socioeca8.sandag.org_ws_abm2_f4[[#This Row],[hwycov_id]]</f>
        <v>20719</v>
      </c>
      <c r="L957">
        <f>Table_socioeca8.sandag.org_ws_abm2_f4[[#This Row],[scenario_id]]</f>
        <v>259</v>
      </c>
      <c r="M957">
        <f>Table_socioeca8.sandag.org_ws_abm2_f4[[#This Row],[flow_day]]</f>
        <v>79407</v>
      </c>
      <c r="N957">
        <f>Table_socioeca8.sandag.org_ws_abm2_f4[[#This Row],[flow_am]]</f>
        <v>12372</v>
      </c>
      <c r="O957">
        <f>Table_socioeca8.sandag.org_ws_abm2_f4[[#This Row],[flow_pm]]</f>
        <v>24128</v>
      </c>
    </row>
    <row r="958" spans="5:15" x14ac:dyDescent="0.25">
      <c r="E958">
        <v>20725</v>
      </c>
      <c r="F958">
        <f t="shared" si="14"/>
        <v>259</v>
      </c>
      <c r="G958">
        <f>IFERROR(VLOOKUP(Table_socioeca8.sandag.org_ws_abm2_f4[[#This Row],[hwycov_id]],[2]flow_freeway!$A$2:$E$1643,3,FALSE),0)</f>
        <v>47713</v>
      </c>
      <c r="H958">
        <f>IFERROR(VLOOKUP(Table_socioeca8.sandag.org_ws_abm2_f4[[#This Row],[hwycov_id]],[2]flow_freeway!$A$2:$E$1643,4,FALSE),0)</f>
        <v>7169</v>
      </c>
      <c r="I958">
        <f>IFERROR(VLOOKUP(Table_socioeca8.sandag.org_ws_abm2_f4[[#This Row],[hwycov_id]],[2]flow_freeway!$A$2:$E$1643,5,FALSE),0)</f>
        <v>14490</v>
      </c>
      <c r="K958">
        <f>Table_socioeca8.sandag.org_ws_abm2_f4[[#This Row],[hwycov_id]]</f>
        <v>20725</v>
      </c>
      <c r="L958">
        <f>Table_socioeca8.sandag.org_ws_abm2_f4[[#This Row],[scenario_id]]</f>
        <v>259</v>
      </c>
      <c r="M958">
        <f>Table_socioeca8.sandag.org_ws_abm2_f4[[#This Row],[flow_day]]</f>
        <v>47713</v>
      </c>
      <c r="N958">
        <f>Table_socioeca8.sandag.org_ws_abm2_f4[[#This Row],[flow_am]]</f>
        <v>7169</v>
      </c>
      <c r="O958">
        <f>Table_socioeca8.sandag.org_ws_abm2_f4[[#This Row],[flow_pm]]</f>
        <v>14490</v>
      </c>
    </row>
    <row r="959" spans="5:15" x14ac:dyDescent="0.25">
      <c r="E959">
        <v>20726</v>
      </c>
      <c r="F959">
        <f t="shared" si="14"/>
        <v>259</v>
      </c>
      <c r="G959">
        <f>IFERROR(VLOOKUP(Table_socioeca8.sandag.org_ws_abm2_f4[[#This Row],[hwycov_id]],[2]flow_freeway!$A$2:$E$1643,3,FALSE),0)</f>
        <v>42976</v>
      </c>
      <c r="H959">
        <f>IFERROR(VLOOKUP(Table_socioeca8.sandag.org_ws_abm2_f4[[#This Row],[hwycov_id]],[2]flow_freeway!$A$2:$E$1643,4,FALSE),0)</f>
        <v>6387</v>
      </c>
      <c r="I959">
        <f>IFERROR(VLOOKUP(Table_socioeca8.sandag.org_ws_abm2_f4[[#This Row],[hwycov_id]],[2]flow_freeway!$A$2:$E$1643,5,FALSE),0)</f>
        <v>13112</v>
      </c>
      <c r="K959">
        <f>Table_socioeca8.sandag.org_ws_abm2_f4[[#This Row],[hwycov_id]]</f>
        <v>20726</v>
      </c>
      <c r="L959">
        <f>Table_socioeca8.sandag.org_ws_abm2_f4[[#This Row],[scenario_id]]</f>
        <v>259</v>
      </c>
      <c r="M959">
        <f>Table_socioeca8.sandag.org_ws_abm2_f4[[#This Row],[flow_day]]</f>
        <v>42976</v>
      </c>
      <c r="N959">
        <f>Table_socioeca8.sandag.org_ws_abm2_f4[[#This Row],[flow_am]]</f>
        <v>6387</v>
      </c>
      <c r="O959">
        <f>Table_socioeca8.sandag.org_ws_abm2_f4[[#This Row],[flow_pm]]</f>
        <v>13112</v>
      </c>
    </row>
    <row r="960" spans="5:15" x14ac:dyDescent="0.25">
      <c r="E960">
        <v>20727</v>
      </c>
      <c r="F960">
        <f t="shared" si="14"/>
        <v>259</v>
      </c>
      <c r="G960">
        <f>IFERROR(VLOOKUP(Table_socioeca8.sandag.org_ws_abm2_f4[[#This Row],[hwycov_id]],[2]flow_freeway!$A$2:$E$1643,3,FALSE),0)</f>
        <v>44928</v>
      </c>
      <c r="H960">
        <f>IFERROR(VLOOKUP(Table_socioeca8.sandag.org_ws_abm2_f4[[#This Row],[hwycov_id]],[2]flow_freeway!$A$2:$E$1643,4,FALSE),0)</f>
        <v>11894</v>
      </c>
      <c r="I960">
        <f>IFERROR(VLOOKUP(Table_socioeca8.sandag.org_ws_abm2_f4[[#This Row],[hwycov_id]],[2]flow_freeway!$A$2:$E$1643,5,FALSE),0)</f>
        <v>8404</v>
      </c>
      <c r="K960">
        <f>Table_socioeca8.sandag.org_ws_abm2_f4[[#This Row],[hwycov_id]]</f>
        <v>20727</v>
      </c>
      <c r="L960">
        <f>Table_socioeca8.sandag.org_ws_abm2_f4[[#This Row],[scenario_id]]</f>
        <v>259</v>
      </c>
      <c r="M960">
        <f>Table_socioeca8.sandag.org_ws_abm2_f4[[#This Row],[flow_day]]</f>
        <v>44928</v>
      </c>
      <c r="N960">
        <f>Table_socioeca8.sandag.org_ws_abm2_f4[[#This Row],[flow_am]]</f>
        <v>11894</v>
      </c>
      <c r="O960">
        <f>Table_socioeca8.sandag.org_ws_abm2_f4[[#This Row],[flow_pm]]</f>
        <v>8404</v>
      </c>
    </row>
    <row r="961" spans="5:15" x14ac:dyDescent="0.25">
      <c r="E961">
        <v>20730</v>
      </c>
      <c r="F961">
        <f t="shared" si="14"/>
        <v>259</v>
      </c>
      <c r="G961">
        <f>IFERROR(VLOOKUP(Table_socioeca8.sandag.org_ws_abm2_f4[[#This Row],[hwycov_id]],[2]flow_freeway!$A$2:$E$1643,3,FALSE),0)</f>
        <v>81371</v>
      </c>
      <c r="H961">
        <f>IFERROR(VLOOKUP(Table_socioeca8.sandag.org_ws_abm2_f4[[#This Row],[hwycov_id]],[2]flow_freeway!$A$2:$E$1643,4,FALSE),0)</f>
        <v>20509</v>
      </c>
      <c r="I961">
        <f>IFERROR(VLOOKUP(Table_socioeca8.sandag.org_ws_abm2_f4[[#This Row],[hwycov_id]],[2]flow_freeway!$A$2:$E$1643,5,FALSE),0)</f>
        <v>17464</v>
      </c>
      <c r="K961">
        <f>Table_socioeca8.sandag.org_ws_abm2_f4[[#This Row],[hwycov_id]]</f>
        <v>20730</v>
      </c>
      <c r="L961">
        <f>Table_socioeca8.sandag.org_ws_abm2_f4[[#This Row],[scenario_id]]</f>
        <v>259</v>
      </c>
      <c r="M961">
        <f>Table_socioeca8.sandag.org_ws_abm2_f4[[#This Row],[flow_day]]</f>
        <v>81371</v>
      </c>
      <c r="N961">
        <f>Table_socioeca8.sandag.org_ws_abm2_f4[[#This Row],[flow_am]]</f>
        <v>20509</v>
      </c>
      <c r="O961">
        <f>Table_socioeca8.sandag.org_ws_abm2_f4[[#This Row],[flow_pm]]</f>
        <v>17464</v>
      </c>
    </row>
    <row r="962" spans="5:15" x14ac:dyDescent="0.25">
      <c r="E962">
        <v>20731</v>
      </c>
      <c r="F962">
        <f t="shared" si="14"/>
        <v>259</v>
      </c>
      <c r="G962">
        <f>IFERROR(VLOOKUP(Table_socioeca8.sandag.org_ws_abm2_f4[[#This Row],[hwycov_id]],[2]flow_freeway!$A$2:$E$1643,3,FALSE),0)</f>
        <v>75960</v>
      </c>
      <c r="H962">
        <f>IFERROR(VLOOKUP(Table_socioeca8.sandag.org_ws_abm2_f4[[#This Row],[hwycov_id]],[2]flow_freeway!$A$2:$E$1643,4,FALSE),0)</f>
        <v>20106</v>
      </c>
      <c r="I962">
        <f>IFERROR(VLOOKUP(Table_socioeca8.sandag.org_ws_abm2_f4[[#This Row],[hwycov_id]],[2]flow_freeway!$A$2:$E$1643,5,FALSE),0)</f>
        <v>15464</v>
      </c>
      <c r="K962">
        <f>Table_socioeca8.sandag.org_ws_abm2_f4[[#This Row],[hwycov_id]]</f>
        <v>20731</v>
      </c>
      <c r="L962">
        <f>Table_socioeca8.sandag.org_ws_abm2_f4[[#This Row],[scenario_id]]</f>
        <v>259</v>
      </c>
      <c r="M962">
        <f>Table_socioeca8.sandag.org_ws_abm2_f4[[#This Row],[flow_day]]</f>
        <v>75960</v>
      </c>
      <c r="N962">
        <f>Table_socioeca8.sandag.org_ws_abm2_f4[[#This Row],[flow_am]]</f>
        <v>20106</v>
      </c>
      <c r="O962">
        <f>Table_socioeca8.sandag.org_ws_abm2_f4[[#This Row],[flow_pm]]</f>
        <v>15464</v>
      </c>
    </row>
    <row r="963" spans="5:15" x14ac:dyDescent="0.25">
      <c r="E963">
        <v>20741</v>
      </c>
      <c r="F963">
        <f t="shared" si="14"/>
        <v>259</v>
      </c>
      <c r="G963">
        <f>IFERROR(VLOOKUP(Table_socioeca8.sandag.org_ws_abm2_f4[[#This Row],[hwycov_id]],[2]flow_freeway!$A$2:$E$1643,3,FALSE),0)</f>
        <v>114292</v>
      </c>
      <c r="H963">
        <f>IFERROR(VLOOKUP(Table_socioeca8.sandag.org_ws_abm2_f4[[#This Row],[hwycov_id]],[2]flow_freeway!$A$2:$E$1643,4,FALSE),0)</f>
        <v>27392</v>
      </c>
      <c r="I963">
        <f>IFERROR(VLOOKUP(Table_socioeca8.sandag.org_ws_abm2_f4[[#This Row],[hwycov_id]],[2]flow_freeway!$A$2:$E$1643,5,FALSE),0)</f>
        <v>23314</v>
      </c>
      <c r="K963">
        <f>Table_socioeca8.sandag.org_ws_abm2_f4[[#This Row],[hwycov_id]]</f>
        <v>20741</v>
      </c>
      <c r="L963">
        <f>Table_socioeca8.sandag.org_ws_abm2_f4[[#This Row],[scenario_id]]</f>
        <v>259</v>
      </c>
      <c r="M963">
        <f>Table_socioeca8.sandag.org_ws_abm2_f4[[#This Row],[flow_day]]</f>
        <v>114292</v>
      </c>
      <c r="N963">
        <f>Table_socioeca8.sandag.org_ws_abm2_f4[[#This Row],[flow_am]]</f>
        <v>27392</v>
      </c>
      <c r="O963">
        <f>Table_socioeca8.sandag.org_ws_abm2_f4[[#This Row],[flow_pm]]</f>
        <v>23314</v>
      </c>
    </row>
    <row r="964" spans="5:15" x14ac:dyDescent="0.25">
      <c r="E964">
        <v>20743</v>
      </c>
      <c r="F964">
        <f t="shared" ref="F964:F1027" si="15">F963</f>
        <v>259</v>
      </c>
      <c r="G964">
        <f>IFERROR(VLOOKUP(Table_socioeca8.sandag.org_ws_abm2_f4[[#This Row],[hwycov_id]],[2]flow_freeway!$A$2:$E$1643,3,FALSE),0)</f>
        <v>102719</v>
      </c>
      <c r="H964">
        <f>IFERROR(VLOOKUP(Table_socioeca8.sandag.org_ws_abm2_f4[[#This Row],[hwycov_id]],[2]flow_freeway!$A$2:$E$1643,4,FALSE),0)</f>
        <v>25392</v>
      </c>
      <c r="I964">
        <f>IFERROR(VLOOKUP(Table_socioeca8.sandag.org_ws_abm2_f4[[#This Row],[hwycov_id]],[2]flow_freeway!$A$2:$E$1643,5,FALSE),0)</f>
        <v>20660</v>
      </c>
      <c r="K964">
        <f>Table_socioeca8.sandag.org_ws_abm2_f4[[#This Row],[hwycov_id]]</f>
        <v>20743</v>
      </c>
      <c r="L964">
        <f>Table_socioeca8.sandag.org_ws_abm2_f4[[#This Row],[scenario_id]]</f>
        <v>259</v>
      </c>
      <c r="M964">
        <f>Table_socioeca8.sandag.org_ws_abm2_f4[[#This Row],[flow_day]]</f>
        <v>102719</v>
      </c>
      <c r="N964">
        <f>Table_socioeca8.sandag.org_ws_abm2_f4[[#This Row],[flow_am]]</f>
        <v>25392</v>
      </c>
      <c r="O964">
        <f>Table_socioeca8.sandag.org_ws_abm2_f4[[#This Row],[flow_pm]]</f>
        <v>20660</v>
      </c>
    </row>
    <row r="965" spans="5:15" x14ac:dyDescent="0.25">
      <c r="E965">
        <v>20747</v>
      </c>
      <c r="F965">
        <f t="shared" si="15"/>
        <v>259</v>
      </c>
      <c r="G965">
        <f>IFERROR(VLOOKUP(Table_socioeca8.sandag.org_ws_abm2_f4[[#This Row],[hwycov_id]],[2]flow_freeway!$A$2:$E$1643,3,FALSE),0)</f>
        <v>107973</v>
      </c>
      <c r="H965">
        <f>IFERROR(VLOOKUP(Table_socioeca8.sandag.org_ws_abm2_f4[[#This Row],[hwycov_id]],[2]flow_freeway!$A$2:$E$1643,4,FALSE),0)</f>
        <v>25791</v>
      </c>
      <c r="I965">
        <f>IFERROR(VLOOKUP(Table_socioeca8.sandag.org_ws_abm2_f4[[#This Row],[hwycov_id]],[2]flow_freeway!$A$2:$E$1643,5,FALSE),0)</f>
        <v>20783</v>
      </c>
      <c r="K965">
        <f>Table_socioeca8.sandag.org_ws_abm2_f4[[#This Row],[hwycov_id]]</f>
        <v>20747</v>
      </c>
      <c r="L965">
        <f>Table_socioeca8.sandag.org_ws_abm2_f4[[#This Row],[scenario_id]]</f>
        <v>259</v>
      </c>
      <c r="M965">
        <f>Table_socioeca8.sandag.org_ws_abm2_f4[[#This Row],[flow_day]]</f>
        <v>107973</v>
      </c>
      <c r="N965">
        <f>Table_socioeca8.sandag.org_ws_abm2_f4[[#This Row],[flow_am]]</f>
        <v>25791</v>
      </c>
      <c r="O965">
        <f>Table_socioeca8.sandag.org_ws_abm2_f4[[#This Row],[flow_pm]]</f>
        <v>20783</v>
      </c>
    </row>
    <row r="966" spans="5:15" x14ac:dyDescent="0.25">
      <c r="E966">
        <v>20749</v>
      </c>
      <c r="F966">
        <f t="shared" si="15"/>
        <v>259</v>
      </c>
      <c r="G966">
        <f>IFERROR(VLOOKUP(Table_socioeca8.sandag.org_ws_abm2_f4[[#This Row],[hwycov_id]],[2]flow_freeway!$A$2:$E$1643,3,FALSE),0)</f>
        <v>127401</v>
      </c>
      <c r="H966">
        <f>IFERROR(VLOOKUP(Table_socioeca8.sandag.org_ws_abm2_f4[[#This Row],[hwycov_id]],[2]flow_freeway!$A$2:$E$1643,4,FALSE),0)</f>
        <v>34368</v>
      </c>
      <c r="I966">
        <f>IFERROR(VLOOKUP(Table_socioeca8.sandag.org_ws_abm2_f4[[#This Row],[hwycov_id]],[2]flow_freeway!$A$2:$E$1643,5,FALSE),0)</f>
        <v>24522</v>
      </c>
      <c r="K966">
        <f>Table_socioeca8.sandag.org_ws_abm2_f4[[#This Row],[hwycov_id]]</f>
        <v>20749</v>
      </c>
      <c r="L966">
        <f>Table_socioeca8.sandag.org_ws_abm2_f4[[#This Row],[scenario_id]]</f>
        <v>259</v>
      </c>
      <c r="M966">
        <f>Table_socioeca8.sandag.org_ws_abm2_f4[[#This Row],[flow_day]]</f>
        <v>127401</v>
      </c>
      <c r="N966">
        <f>Table_socioeca8.sandag.org_ws_abm2_f4[[#This Row],[flow_am]]</f>
        <v>34368</v>
      </c>
      <c r="O966">
        <f>Table_socioeca8.sandag.org_ws_abm2_f4[[#This Row],[flow_pm]]</f>
        <v>24522</v>
      </c>
    </row>
    <row r="967" spans="5:15" x14ac:dyDescent="0.25">
      <c r="E967">
        <v>20750</v>
      </c>
      <c r="F967">
        <f t="shared" si="15"/>
        <v>259</v>
      </c>
      <c r="G967">
        <f>IFERROR(VLOOKUP(Table_socioeca8.sandag.org_ws_abm2_f4[[#This Row],[hwycov_id]],[2]flow_freeway!$A$2:$E$1643,3,FALSE),0)</f>
        <v>88488</v>
      </c>
      <c r="H967">
        <f>IFERROR(VLOOKUP(Table_socioeca8.sandag.org_ws_abm2_f4[[#This Row],[hwycov_id]],[2]flow_freeway!$A$2:$E$1643,4,FALSE),0)</f>
        <v>25410</v>
      </c>
      <c r="I967">
        <f>IFERROR(VLOOKUP(Table_socioeca8.sandag.org_ws_abm2_f4[[#This Row],[hwycov_id]],[2]flow_freeway!$A$2:$E$1643,5,FALSE),0)</f>
        <v>16088</v>
      </c>
      <c r="K967">
        <f>Table_socioeca8.sandag.org_ws_abm2_f4[[#This Row],[hwycov_id]]</f>
        <v>20750</v>
      </c>
      <c r="L967">
        <f>Table_socioeca8.sandag.org_ws_abm2_f4[[#This Row],[scenario_id]]</f>
        <v>259</v>
      </c>
      <c r="M967">
        <f>Table_socioeca8.sandag.org_ws_abm2_f4[[#This Row],[flow_day]]</f>
        <v>88488</v>
      </c>
      <c r="N967">
        <f>Table_socioeca8.sandag.org_ws_abm2_f4[[#This Row],[flow_am]]</f>
        <v>25410</v>
      </c>
      <c r="O967">
        <f>Table_socioeca8.sandag.org_ws_abm2_f4[[#This Row],[flow_pm]]</f>
        <v>16088</v>
      </c>
    </row>
    <row r="968" spans="5:15" x14ac:dyDescent="0.25">
      <c r="E968">
        <v>20755</v>
      </c>
      <c r="F968">
        <f t="shared" si="15"/>
        <v>259</v>
      </c>
      <c r="G968">
        <f>IFERROR(VLOOKUP(Table_socioeca8.sandag.org_ws_abm2_f4[[#This Row],[hwycov_id]],[2]flow_freeway!$A$2:$E$1643,3,FALSE),0)</f>
        <v>81359</v>
      </c>
      <c r="H968">
        <f>IFERROR(VLOOKUP(Table_socioeca8.sandag.org_ws_abm2_f4[[#This Row],[hwycov_id]],[2]flow_freeway!$A$2:$E$1643,4,FALSE),0)</f>
        <v>23816</v>
      </c>
      <c r="I968">
        <f>IFERROR(VLOOKUP(Table_socioeca8.sandag.org_ws_abm2_f4[[#This Row],[hwycov_id]],[2]flow_freeway!$A$2:$E$1643,5,FALSE),0)</f>
        <v>14110</v>
      </c>
      <c r="K968">
        <f>Table_socioeca8.sandag.org_ws_abm2_f4[[#This Row],[hwycov_id]]</f>
        <v>20755</v>
      </c>
      <c r="L968">
        <f>Table_socioeca8.sandag.org_ws_abm2_f4[[#This Row],[scenario_id]]</f>
        <v>259</v>
      </c>
      <c r="M968">
        <f>Table_socioeca8.sandag.org_ws_abm2_f4[[#This Row],[flow_day]]</f>
        <v>81359</v>
      </c>
      <c r="N968">
        <f>Table_socioeca8.sandag.org_ws_abm2_f4[[#This Row],[flow_am]]</f>
        <v>23816</v>
      </c>
      <c r="O968">
        <f>Table_socioeca8.sandag.org_ws_abm2_f4[[#This Row],[flow_pm]]</f>
        <v>14110</v>
      </c>
    </row>
    <row r="969" spans="5:15" x14ac:dyDescent="0.25">
      <c r="E969">
        <v>20762</v>
      </c>
      <c r="F969">
        <f t="shared" si="15"/>
        <v>259</v>
      </c>
      <c r="G969">
        <f>IFERROR(VLOOKUP(Table_socioeca8.sandag.org_ws_abm2_f4[[#This Row],[hwycov_id]],[2]flow_freeway!$A$2:$E$1643,3,FALSE),0)</f>
        <v>83278</v>
      </c>
      <c r="H969">
        <f>IFERROR(VLOOKUP(Table_socioeca8.sandag.org_ws_abm2_f4[[#This Row],[hwycov_id]],[2]flow_freeway!$A$2:$E$1643,4,FALSE),0)</f>
        <v>13085</v>
      </c>
      <c r="I969">
        <f>IFERROR(VLOOKUP(Table_socioeca8.sandag.org_ws_abm2_f4[[#This Row],[hwycov_id]],[2]flow_freeway!$A$2:$E$1643,5,FALSE),0)</f>
        <v>23360</v>
      </c>
      <c r="K969">
        <f>Table_socioeca8.sandag.org_ws_abm2_f4[[#This Row],[hwycov_id]]</f>
        <v>20762</v>
      </c>
      <c r="L969">
        <f>Table_socioeca8.sandag.org_ws_abm2_f4[[#This Row],[scenario_id]]</f>
        <v>259</v>
      </c>
      <c r="M969">
        <f>Table_socioeca8.sandag.org_ws_abm2_f4[[#This Row],[flow_day]]</f>
        <v>83278</v>
      </c>
      <c r="N969">
        <f>Table_socioeca8.sandag.org_ws_abm2_f4[[#This Row],[flow_am]]</f>
        <v>13085</v>
      </c>
      <c r="O969">
        <f>Table_socioeca8.sandag.org_ws_abm2_f4[[#This Row],[flow_pm]]</f>
        <v>23360</v>
      </c>
    </row>
    <row r="970" spans="5:15" x14ac:dyDescent="0.25">
      <c r="E970">
        <v>20781</v>
      </c>
      <c r="F970">
        <f t="shared" si="15"/>
        <v>259</v>
      </c>
      <c r="G970">
        <f>IFERROR(VLOOKUP(Table_socioeca8.sandag.org_ws_abm2_f4[[#This Row],[hwycov_id]],[2]flow_freeway!$A$2:$E$1643,3,FALSE),0)</f>
        <v>83013</v>
      </c>
      <c r="H970">
        <f>IFERROR(VLOOKUP(Table_socioeca8.sandag.org_ws_abm2_f4[[#This Row],[hwycov_id]],[2]flow_freeway!$A$2:$E$1643,4,FALSE),0)</f>
        <v>20994</v>
      </c>
      <c r="I970">
        <f>IFERROR(VLOOKUP(Table_socioeca8.sandag.org_ws_abm2_f4[[#This Row],[hwycov_id]],[2]flow_freeway!$A$2:$E$1643,5,FALSE),0)</f>
        <v>16500</v>
      </c>
      <c r="K970">
        <f>Table_socioeca8.sandag.org_ws_abm2_f4[[#This Row],[hwycov_id]]</f>
        <v>20781</v>
      </c>
      <c r="L970">
        <f>Table_socioeca8.sandag.org_ws_abm2_f4[[#This Row],[scenario_id]]</f>
        <v>259</v>
      </c>
      <c r="M970">
        <f>Table_socioeca8.sandag.org_ws_abm2_f4[[#This Row],[flow_day]]</f>
        <v>83013</v>
      </c>
      <c r="N970">
        <f>Table_socioeca8.sandag.org_ws_abm2_f4[[#This Row],[flow_am]]</f>
        <v>20994</v>
      </c>
      <c r="O970">
        <f>Table_socioeca8.sandag.org_ws_abm2_f4[[#This Row],[flow_pm]]</f>
        <v>16500</v>
      </c>
    </row>
    <row r="971" spans="5:15" x14ac:dyDescent="0.25">
      <c r="E971">
        <v>20782</v>
      </c>
      <c r="F971">
        <f t="shared" si="15"/>
        <v>259</v>
      </c>
      <c r="G971">
        <f>IFERROR(VLOOKUP(Table_socioeca8.sandag.org_ws_abm2_f4[[#This Row],[hwycov_id]],[2]flow_freeway!$A$2:$E$1643,3,FALSE),0)</f>
        <v>83019</v>
      </c>
      <c r="H971">
        <f>IFERROR(VLOOKUP(Table_socioeca8.sandag.org_ws_abm2_f4[[#This Row],[hwycov_id]],[2]flow_freeway!$A$2:$E$1643,4,FALSE),0)</f>
        <v>12906</v>
      </c>
      <c r="I971">
        <f>IFERROR(VLOOKUP(Table_socioeca8.sandag.org_ws_abm2_f4[[#This Row],[hwycov_id]],[2]flow_freeway!$A$2:$E$1643,5,FALSE),0)</f>
        <v>26238</v>
      </c>
      <c r="K971">
        <f>Table_socioeca8.sandag.org_ws_abm2_f4[[#This Row],[hwycov_id]]</f>
        <v>20782</v>
      </c>
      <c r="L971">
        <f>Table_socioeca8.sandag.org_ws_abm2_f4[[#This Row],[scenario_id]]</f>
        <v>259</v>
      </c>
      <c r="M971">
        <f>Table_socioeca8.sandag.org_ws_abm2_f4[[#This Row],[flow_day]]</f>
        <v>83019</v>
      </c>
      <c r="N971">
        <f>Table_socioeca8.sandag.org_ws_abm2_f4[[#This Row],[flow_am]]</f>
        <v>12906</v>
      </c>
      <c r="O971">
        <f>Table_socioeca8.sandag.org_ws_abm2_f4[[#This Row],[flow_pm]]</f>
        <v>26238</v>
      </c>
    </row>
    <row r="972" spans="5:15" x14ac:dyDescent="0.25">
      <c r="E972">
        <v>20787</v>
      </c>
      <c r="F972">
        <f t="shared" si="15"/>
        <v>259</v>
      </c>
      <c r="G972">
        <f>IFERROR(VLOOKUP(Table_socioeca8.sandag.org_ws_abm2_f4[[#This Row],[hwycov_id]],[2]flow_freeway!$A$2:$E$1643,3,FALSE),0)</f>
        <v>96300</v>
      </c>
      <c r="H972">
        <f>IFERROR(VLOOKUP(Table_socioeca8.sandag.org_ws_abm2_f4[[#This Row],[hwycov_id]],[2]flow_freeway!$A$2:$E$1643,4,FALSE),0)</f>
        <v>13999</v>
      </c>
      <c r="I972">
        <f>IFERROR(VLOOKUP(Table_socioeca8.sandag.org_ws_abm2_f4[[#This Row],[hwycov_id]],[2]flow_freeway!$A$2:$E$1643,5,FALSE),0)</f>
        <v>30999</v>
      </c>
      <c r="K972">
        <f>Table_socioeca8.sandag.org_ws_abm2_f4[[#This Row],[hwycov_id]]</f>
        <v>20787</v>
      </c>
      <c r="L972">
        <f>Table_socioeca8.sandag.org_ws_abm2_f4[[#This Row],[scenario_id]]</f>
        <v>259</v>
      </c>
      <c r="M972">
        <f>Table_socioeca8.sandag.org_ws_abm2_f4[[#This Row],[flow_day]]</f>
        <v>96300</v>
      </c>
      <c r="N972">
        <f>Table_socioeca8.sandag.org_ws_abm2_f4[[#This Row],[flow_am]]</f>
        <v>13999</v>
      </c>
      <c r="O972">
        <f>Table_socioeca8.sandag.org_ws_abm2_f4[[#This Row],[flow_pm]]</f>
        <v>30999</v>
      </c>
    </row>
    <row r="973" spans="5:15" x14ac:dyDescent="0.25">
      <c r="E973">
        <v>20788</v>
      </c>
      <c r="F973">
        <f t="shared" si="15"/>
        <v>259</v>
      </c>
      <c r="G973">
        <f>IFERROR(VLOOKUP(Table_socioeca8.sandag.org_ws_abm2_f4[[#This Row],[hwycov_id]],[2]flow_freeway!$A$2:$E$1643,3,FALSE),0)</f>
        <v>111643</v>
      </c>
      <c r="H973">
        <f>IFERROR(VLOOKUP(Table_socioeca8.sandag.org_ws_abm2_f4[[#This Row],[hwycov_id]],[2]flow_freeway!$A$2:$E$1643,4,FALSE),0)</f>
        <v>17848</v>
      </c>
      <c r="I973">
        <f>IFERROR(VLOOKUP(Table_socioeca8.sandag.org_ws_abm2_f4[[#This Row],[hwycov_id]],[2]flow_freeway!$A$2:$E$1643,5,FALSE),0)</f>
        <v>29715</v>
      </c>
      <c r="K973">
        <f>Table_socioeca8.sandag.org_ws_abm2_f4[[#This Row],[hwycov_id]]</f>
        <v>20788</v>
      </c>
      <c r="L973">
        <f>Table_socioeca8.sandag.org_ws_abm2_f4[[#This Row],[scenario_id]]</f>
        <v>259</v>
      </c>
      <c r="M973">
        <f>Table_socioeca8.sandag.org_ws_abm2_f4[[#This Row],[flow_day]]</f>
        <v>111643</v>
      </c>
      <c r="N973">
        <f>Table_socioeca8.sandag.org_ws_abm2_f4[[#This Row],[flow_am]]</f>
        <v>17848</v>
      </c>
      <c r="O973">
        <f>Table_socioeca8.sandag.org_ws_abm2_f4[[#This Row],[flow_pm]]</f>
        <v>29715</v>
      </c>
    </row>
    <row r="974" spans="5:15" x14ac:dyDescent="0.25">
      <c r="E974">
        <v>20789</v>
      </c>
      <c r="F974">
        <f t="shared" si="15"/>
        <v>259</v>
      </c>
      <c r="G974">
        <f>IFERROR(VLOOKUP(Table_socioeca8.sandag.org_ws_abm2_f4[[#This Row],[hwycov_id]],[2]flow_freeway!$A$2:$E$1643,3,FALSE),0)</f>
        <v>106723</v>
      </c>
      <c r="H974">
        <f>IFERROR(VLOOKUP(Table_socioeca8.sandag.org_ws_abm2_f4[[#This Row],[hwycov_id]],[2]flow_freeway!$A$2:$E$1643,4,FALSE),0)</f>
        <v>18027</v>
      </c>
      <c r="I974">
        <f>IFERROR(VLOOKUP(Table_socioeca8.sandag.org_ws_abm2_f4[[#This Row],[hwycov_id]],[2]flow_freeway!$A$2:$E$1643,5,FALSE),0)</f>
        <v>28869</v>
      </c>
      <c r="K974">
        <f>Table_socioeca8.sandag.org_ws_abm2_f4[[#This Row],[hwycov_id]]</f>
        <v>20789</v>
      </c>
      <c r="L974">
        <f>Table_socioeca8.sandag.org_ws_abm2_f4[[#This Row],[scenario_id]]</f>
        <v>259</v>
      </c>
      <c r="M974">
        <f>Table_socioeca8.sandag.org_ws_abm2_f4[[#This Row],[flow_day]]</f>
        <v>106723</v>
      </c>
      <c r="N974">
        <f>Table_socioeca8.sandag.org_ws_abm2_f4[[#This Row],[flow_am]]</f>
        <v>18027</v>
      </c>
      <c r="O974">
        <f>Table_socioeca8.sandag.org_ws_abm2_f4[[#This Row],[flow_pm]]</f>
        <v>28869</v>
      </c>
    </row>
    <row r="975" spans="5:15" x14ac:dyDescent="0.25">
      <c r="E975">
        <v>20790</v>
      </c>
      <c r="F975">
        <f t="shared" si="15"/>
        <v>259</v>
      </c>
      <c r="G975">
        <f>IFERROR(VLOOKUP(Table_socioeca8.sandag.org_ws_abm2_f4[[#This Row],[hwycov_id]],[2]flow_freeway!$A$2:$E$1643,3,FALSE),0)</f>
        <v>118231</v>
      </c>
      <c r="H975">
        <f>IFERROR(VLOOKUP(Table_socioeca8.sandag.org_ws_abm2_f4[[#This Row],[hwycov_id]],[2]flow_freeway!$A$2:$E$1643,4,FALSE),0)</f>
        <v>19513</v>
      </c>
      <c r="I975">
        <f>IFERROR(VLOOKUP(Table_socioeca8.sandag.org_ws_abm2_f4[[#This Row],[hwycov_id]],[2]flow_freeway!$A$2:$E$1643,5,FALSE),0)</f>
        <v>31161</v>
      </c>
      <c r="K975">
        <f>Table_socioeca8.sandag.org_ws_abm2_f4[[#This Row],[hwycov_id]]</f>
        <v>20790</v>
      </c>
      <c r="L975">
        <f>Table_socioeca8.sandag.org_ws_abm2_f4[[#This Row],[scenario_id]]</f>
        <v>259</v>
      </c>
      <c r="M975">
        <f>Table_socioeca8.sandag.org_ws_abm2_f4[[#This Row],[flow_day]]</f>
        <v>118231</v>
      </c>
      <c r="N975">
        <f>Table_socioeca8.sandag.org_ws_abm2_f4[[#This Row],[flow_am]]</f>
        <v>19513</v>
      </c>
      <c r="O975">
        <f>Table_socioeca8.sandag.org_ws_abm2_f4[[#This Row],[flow_pm]]</f>
        <v>31161</v>
      </c>
    </row>
    <row r="976" spans="5:15" x14ac:dyDescent="0.25">
      <c r="E976">
        <v>21781</v>
      </c>
      <c r="F976">
        <f t="shared" si="15"/>
        <v>259</v>
      </c>
      <c r="G976">
        <f>IFERROR(VLOOKUP(Table_socioeca8.sandag.org_ws_abm2_f4[[#This Row],[hwycov_id]],[2]flow_freeway!$A$2:$E$1643,3,FALSE),0)</f>
        <v>17954</v>
      </c>
      <c r="H976">
        <f>IFERROR(VLOOKUP(Table_socioeca8.sandag.org_ws_abm2_f4[[#This Row],[hwycov_id]],[2]flow_freeway!$A$2:$E$1643,4,FALSE),0)</f>
        <v>3013</v>
      </c>
      <c r="I976">
        <f>IFERROR(VLOOKUP(Table_socioeca8.sandag.org_ws_abm2_f4[[#This Row],[hwycov_id]],[2]flow_freeway!$A$2:$E$1643,5,FALSE),0)</f>
        <v>5254</v>
      </c>
      <c r="K976">
        <f>Table_socioeca8.sandag.org_ws_abm2_f4[[#This Row],[hwycov_id]]</f>
        <v>21781</v>
      </c>
      <c r="L976">
        <f>Table_socioeca8.sandag.org_ws_abm2_f4[[#This Row],[scenario_id]]</f>
        <v>259</v>
      </c>
      <c r="M976">
        <f>Table_socioeca8.sandag.org_ws_abm2_f4[[#This Row],[flow_day]]</f>
        <v>17954</v>
      </c>
      <c r="N976">
        <f>Table_socioeca8.sandag.org_ws_abm2_f4[[#This Row],[flow_am]]</f>
        <v>3013</v>
      </c>
      <c r="O976">
        <f>Table_socioeca8.sandag.org_ws_abm2_f4[[#This Row],[flow_pm]]</f>
        <v>5254</v>
      </c>
    </row>
    <row r="977" spans="5:15" x14ac:dyDescent="0.25">
      <c r="E977">
        <v>21782</v>
      </c>
      <c r="F977">
        <f t="shared" si="15"/>
        <v>259</v>
      </c>
      <c r="G977">
        <f>IFERROR(VLOOKUP(Table_socioeca8.sandag.org_ws_abm2_f4[[#This Row],[hwycov_id]],[2]flow_freeway!$A$2:$E$1643,3,FALSE),0)</f>
        <v>57689</v>
      </c>
      <c r="H977">
        <f>IFERROR(VLOOKUP(Table_socioeca8.sandag.org_ws_abm2_f4[[#This Row],[hwycov_id]],[2]flow_freeway!$A$2:$E$1643,4,FALSE),0)</f>
        <v>10025</v>
      </c>
      <c r="I977">
        <f>IFERROR(VLOOKUP(Table_socioeca8.sandag.org_ws_abm2_f4[[#This Row],[hwycov_id]],[2]flow_freeway!$A$2:$E$1643,5,FALSE),0)</f>
        <v>13904</v>
      </c>
      <c r="K977">
        <f>Table_socioeca8.sandag.org_ws_abm2_f4[[#This Row],[hwycov_id]]</f>
        <v>21782</v>
      </c>
      <c r="L977">
        <f>Table_socioeca8.sandag.org_ws_abm2_f4[[#This Row],[scenario_id]]</f>
        <v>259</v>
      </c>
      <c r="M977">
        <f>Table_socioeca8.sandag.org_ws_abm2_f4[[#This Row],[flow_day]]</f>
        <v>57689</v>
      </c>
      <c r="N977">
        <f>Table_socioeca8.sandag.org_ws_abm2_f4[[#This Row],[flow_am]]</f>
        <v>10025</v>
      </c>
      <c r="O977">
        <f>Table_socioeca8.sandag.org_ws_abm2_f4[[#This Row],[flow_pm]]</f>
        <v>13904</v>
      </c>
    </row>
    <row r="978" spans="5:15" x14ac:dyDescent="0.25">
      <c r="E978">
        <v>21822</v>
      </c>
      <c r="F978">
        <f t="shared" si="15"/>
        <v>259</v>
      </c>
      <c r="G978">
        <f>IFERROR(VLOOKUP(Table_socioeca8.sandag.org_ws_abm2_f4[[#This Row],[hwycov_id]],[2]flow_freeway!$A$2:$E$1643,3,FALSE),0)</f>
        <v>55425</v>
      </c>
      <c r="H978">
        <f>IFERROR(VLOOKUP(Table_socioeca8.sandag.org_ws_abm2_f4[[#This Row],[hwycov_id]],[2]flow_freeway!$A$2:$E$1643,4,FALSE),0)</f>
        <v>12269</v>
      </c>
      <c r="I978">
        <f>IFERROR(VLOOKUP(Table_socioeca8.sandag.org_ws_abm2_f4[[#This Row],[hwycov_id]],[2]flow_freeway!$A$2:$E$1643,5,FALSE),0)</f>
        <v>13729</v>
      </c>
      <c r="K978">
        <f>Table_socioeca8.sandag.org_ws_abm2_f4[[#This Row],[hwycov_id]]</f>
        <v>21822</v>
      </c>
      <c r="L978">
        <f>Table_socioeca8.sandag.org_ws_abm2_f4[[#This Row],[scenario_id]]</f>
        <v>259</v>
      </c>
      <c r="M978">
        <f>Table_socioeca8.sandag.org_ws_abm2_f4[[#This Row],[flow_day]]</f>
        <v>55425</v>
      </c>
      <c r="N978">
        <f>Table_socioeca8.sandag.org_ws_abm2_f4[[#This Row],[flow_am]]</f>
        <v>12269</v>
      </c>
      <c r="O978">
        <f>Table_socioeca8.sandag.org_ws_abm2_f4[[#This Row],[flow_pm]]</f>
        <v>13729</v>
      </c>
    </row>
    <row r="979" spans="5:15" x14ac:dyDescent="0.25">
      <c r="E979">
        <v>21848</v>
      </c>
      <c r="F979">
        <f t="shared" si="15"/>
        <v>259</v>
      </c>
      <c r="G979">
        <f>IFERROR(VLOOKUP(Table_socioeca8.sandag.org_ws_abm2_f4[[#This Row],[hwycov_id]],[2]flow_freeway!$A$2:$E$1643,3,FALSE),0)</f>
        <v>57513</v>
      </c>
      <c r="H979">
        <f>IFERROR(VLOOKUP(Table_socioeca8.sandag.org_ws_abm2_f4[[#This Row],[hwycov_id]],[2]flow_freeway!$A$2:$E$1643,4,FALSE),0)</f>
        <v>12016</v>
      </c>
      <c r="I979">
        <f>IFERROR(VLOOKUP(Table_socioeca8.sandag.org_ws_abm2_f4[[#This Row],[hwycov_id]],[2]flow_freeway!$A$2:$E$1643,5,FALSE),0)</f>
        <v>13057</v>
      </c>
      <c r="K979">
        <f>Table_socioeca8.sandag.org_ws_abm2_f4[[#This Row],[hwycov_id]]</f>
        <v>21848</v>
      </c>
      <c r="L979">
        <f>Table_socioeca8.sandag.org_ws_abm2_f4[[#This Row],[scenario_id]]</f>
        <v>259</v>
      </c>
      <c r="M979">
        <f>Table_socioeca8.sandag.org_ws_abm2_f4[[#This Row],[flow_day]]</f>
        <v>57513</v>
      </c>
      <c r="N979">
        <f>Table_socioeca8.sandag.org_ws_abm2_f4[[#This Row],[flow_am]]</f>
        <v>12016</v>
      </c>
      <c r="O979">
        <f>Table_socioeca8.sandag.org_ws_abm2_f4[[#This Row],[flow_pm]]</f>
        <v>13057</v>
      </c>
    </row>
    <row r="980" spans="5:15" x14ac:dyDescent="0.25">
      <c r="E980">
        <v>21849</v>
      </c>
      <c r="F980">
        <f t="shared" si="15"/>
        <v>259</v>
      </c>
      <c r="G980">
        <f>IFERROR(VLOOKUP(Table_socioeca8.sandag.org_ws_abm2_f4[[#This Row],[hwycov_id]],[2]flow_freeway!$A$2:$E$1643,3,FALSE),0)</f>
        <v>66633</v>
      </c>
      <c r="H980">
        <f>IFERROR(VLOOKUP(Table_socioeca8.sandag.org_ws_abm2_f4[[#This Row],[hwycov_id]],[2]flow_freeway!$A$2:$E$1643,4,FALSE),0)</f>
        <v>13151</v>
      </c>
      <c r="I980">
        <f>IFERROR(VLOOKUP(Table_socioeca8.sandag.org_ws_abm2_f4[[#This Row],[hwycov_id]],[2]flow_freeway!$A$2:$E$1643,5,FALSE),0)</f>
        <v>15713</v>
      </c>
      <c r="K980">
        <f>Table_socioeca8.sandag.org_ws_abm2_f4[[#This Row],[hwycov_id]]</f>
        <v>21849</v>
      </c>
      <c r="L980">
        <f>Table_socioeca8.sandag.org_ws_abm2_f4[[#This Row],[scenario_id]]</f>
        <v>259</v>
      </c>
      <c r="M980">
        <f>Table_socioeca8.sandag.org_ws_abm2_f4[[#This Row],[flow_day]]</f>
        <v>66633</v>
      </c>
      <c r="N980">
        <f>Table_socioeca8.sandag.org_ws_abm2_f4[[#This Row],[flow_am]]</f>
        <v>13151</v>
      </c>
      <c r="O980">
        <f>Table_socioeca8.sandag.org_ws_abm2_f4[[#This Row],[flow_pm]]</f>
        <v>15713</v>
      </c>
    </row>
    <row r="981" spans="5:15" x14ac:dyDescent="0.25">
      <c r="E981">
        <v>21850</v>
      </c>
      <c r="F981">
        <f t="shared" si="15"/>
        <v>259</v>
      </c>
      <c r="G981">
        <f>IFERROR(VLOOKUP(Table_socioeca8.sandag.org_ws_abm2_f4[[#This Row],[hwycov_id]],[2]flow_freeway!$A$2:$E$1643,3,FALSE),0)</f>
        <v>16049</v>
      </c>
      <c r="H981">
        <f>IFERROR(VLOOKUP(Table_socioeca8.sandag.org_ws_abm2_f4[[#This Row],[hwycov_id]],[2]flow_freeway!$A$2:$E$1643,4,FALSE),0)</f>
        <v>4067</v>
      </c>
      <c r="I981">
        <f>IFERROR(VLOOKUP(Table_socioeca8.sandag.org_ws_abm2_f4[[#This Row],[hwycov_id]],[2]flow_freeway!$A$2:$E$1643,5,FALSE),0)</f>
        <v>3463</v>
      </c>
      <c r="K981">
        <f>Table_socioeca8.sandag.org_ws_abm2_f4[[#This Row],[hwycov_id]]</f>
        <v>21850</v>
      </c>
      <c r="L981">
        <f>Table_socioeca8.sandag.org_ws_abm2_f4[[#This Row],[scenario_id]]</f>
        <v>259</v>
      </c>
      <c r="M981">
        <f>Table_socioeca8.sandag.org_ws_abm2_f4[[#This Row],[flow_day]]</f>
        <v>16049</v>
      </c>
      <c r="N981">
        <f>Table_socioeca8.sandag.org_ws_abm2_f4[[#This Row],[flow_am]]</f>
        <v>4067</v>
      </c>
      <c r="O981">
        <f>Table_socioeca8.sandag.org_ws_abm2_f4[[#This Row],[flow_pm]]</f>
        <v>3463</v>
      </c>
    </row>
    <row r="982" spans="5:15" x14ac:dyDescent="0.25">
      <c r="E982">
        <v>21860</v>
      </c>
      <c r="F982">
        <f t="shared" si="15"/>
        <v>259</v>
      </c>
      <c r="G982">
        <f>IFERROR(VLOOKUP(Table_socioeca8.sandag.org_ws_abm2_f4[[#This Row],[hwycov_id]],[2]flow_freeway!$A$2:$E$1643,3,FALSE),0)</f>
        <v>28903</v>
      </c>
      <c r="H982">
        <f>IFERROR(VLOOKUP(Table_socioeca8.sandag.org_ws_abm2_f4[[#This Row],[hwycov_id]],[2]flow_freeway!$A$2:$E$1643,4,FALSE),0)</f>
        <v>4996</v>
      </c>
      <c r="I982">
        <f>IFERROR(VLOOKUP(Table_socioeca8.sandag.org_ws_abm2_f4[[#This Row],[hwycov_id]],[2]flow_freeway!$A$2:$E$1643,5,FALSE),0)</f>
        <v>7749</v>
      </c>
      <c r="K982">
        <f>Table_socioeca8.sandag.org_ws_abm2_f4[[#This Row],[hwycov_id]]</f>
        <v>21860</v>
      </c>
      <c r="L982">
        <f>Table_socioeca8.sandag.org_ws_abm2_f4[[#This Row],[scenario_id]]</f>
        <v>259</v>
      </c>
      <c r="M982">
        <f>Table_socioeca8.sandag.org_ws_abm2_f4[[#This Row],[flow_day]]</f>
        <v>28903</v>
      </c>
      <c r="N982">
        <f>Table_socioeca8.sandag.org_ws_abm2_f4[[#This Row],[flow_am]]</f>
        <v>4996</v>
      </c>
      <c r="O982">
        <f>Table_socioeca8.sandag.org_ws_abm2_f4[[#This Row],[flow_pm]]</f>
        <v>7749</v>
      </c>
    </row>
    <row r="983" spans="5:15" x14ac:dyDescent="0.25">
      <c r="E983">
        <v>21880</v>
      </c>
      <c r="F983">
        <f t="shared" si="15"/>
        <v>259</v>
      </c>
      <c r="G983">
        <f>IFERROR(VLOOKUP(Table_socioeca8.sandag.org_ws_abm2_f4[[#This Row],[hwycov_id]],[2]flow_freeway!$A$2:$E$1643,3,FALSE),0)</f>
        <v>27140</v>
      </c>
      <c r="H983">
        <f>IFERROR(VLOOKUP(Table_socioeca8.sandag.org_ws_abm2_f4[[#This Row],[hwycov_id]],[2]flow_freeway!$A$2:$E$1643,4,FALSE),0)</f>
        <v>6330</v>
      </c>
      <c r="I983">
        <f>IFERROR(VLOOKUP(Table_socioeca8.sandag.org_ws_abm2_f4[[#This Row],[hwycov_id]],[2]flow_freeway!$A$2:$E$1643,5,FALSE),0)</f>
        <v>6292</v>
      </c>
      <c r="K983">
        <f>Table_socioeca8.sandag.org_ws_abm2_f4[[#This Row],[hwycov_id]]</f>
        <v>21880</v>
      </c>
      <c r="L983">
        <f>Table_socioeca8.sandag.org_ws_abm2_f4[[#This Row],[scenario_id]]</f>
        <v>259</v>
      </c>
      <c r="M983">
        <f>Table_socioeca8.sandag.org_ws_abm2_f4[[#This Row],[flow_day]]</f>
        <v>27140</v>
      </c>
      <c r="N983">
        <f>Table_socioeca8.sandag.org_ws_abm2_f4[[#This Row],[flow_am]]</f>
        <v>6330</v>
      </c>
      <c r="O983">
        <f>Table_socioeca8.sandag.org_ws_abm2_f4[[#This Row],[flow_pm]]</f>
        <v>6292</v>
      </c>
    </row>
    <row r="984" spans="5:15" x14ac:dyDescent="0.25">
      <c r="E984">
        <v>21940</v>
      </c>
      <c r="F984">
        <f t="shared" si="15"/>
        <v>259</v>
      </c>
      <c r="G984">
        <f>IFERROR(VLOOKUP(Table_socioeca8.sandag.org_ws_abm2_f4[[#This Row],[hwycov_id]],[2]flow_freeway!$A$2:$E$1643,3,FALSE),0)</f>
        <v>43160</v>
      </c>
      <c r="H984">
        <f>IFERROR(VLOOKUP(Table_socioeca8.sandag.org_ws_abm2_f4[[#This Row],[hwycov_id]],[2]flow_freeway!$A$2:$E$1643,4,FALSE),0)</f>
        <v>9029</v>
      </c>
      <c r="I984">
        <f>IFERROR(VLOOKUP(Table_socioeca8.sandag.org_ws_abm2_f4[[#This Row],[hwycov_id]],[2]flow_freeway!$A$2:$E$1643,5,FALSE),0)</f>
        <v>10598</v>
      </c>
      <c r="K984">
        <f>Table_socioeca8.sandag.org_ws_abm2_f4[[#This Row],[hwycov_id]]</f>
        <v>21940</v>
      </c>
      <c r="L984">
        <f>Table_socioeca8.sandag.org_ws_abm2_f4[[#This Row],[scenario_id]]</f>
        <v>259</v>
      </c>
      <c r="M984">
        <f>Table_socioeca8.sandag.org_ws_abm2_f4[[#This Row],[flow_day]]</f>
        <v>43160</v>
      </c>
      <c r="N984">
        <f>Table_socioeca8.sandag.org_ws_abm2_f4[[#This Row],[flow_am]]</f>
        <v>9029</v>
      </c>
      <c r="O984">
        <f>Table_socioeca8.sandag.org_ws_abm2_f4[[#This Row],[flow_pm]]</f>
        <v>10598</v>
      </c>
    </row>
    <row r="985" spans="5:15" x14ac:dyDescent="0.25">
      <c r="E985">
        <v>21941</v>
      </c>
      <c r="F985">
        <f t="shared" si="15"/>
        <v>259</v>
      </c>
      <c r="G985">
        <f>IFERROR(VLOOKUP(Table_socioeca8.sandag.org_ws_abm2_f4[[#This Row],[hwycov_id]],[2]flow_freeway!$A$2:$E$1643,3,FALSE),0)</f>
        <v>33578</v>
      </c>
      <c r="H985">
        <f>IFERROR(VLOOKUP(Table_socioeca8.sandag.org_ws_abm2_f4[[#This Row],[hwycov_id]],[2]flow_freeway!$A$2:$E$1643,4,FALSE),0)</f>
        <v>5015</v>
      </c>
      <c r="I985">
        <f>IFERROR(VLOOKUP(Table_socioeca8.sandag.org_ws_abm2_f4[[#This Row],[hwycov_id]],[2]flow_freeway!$A$2:$E$1643,5,FALSE),0)</f>
        <v>8715</v>
      </c>
      <c r="K985">
        <f>Table_socioeca8.sandag.org_ws_abm2_f4[[#This Row],[hwycov_id]]</f>
        <v>21941</v>
      </c>
      <c r="L985">
        <f>Table_socioeca8.sandag.org_ws_abm2_f4[[#This Row],[scenario_id]]</f>
        <v>259</v>
      </c>
      <c r="M985">
        <f>Table_socioeca8.sandag.org_ws_abm2_f4[[#This Row],[flow_day]]</f>
        <v>33578</v>
      </c>
      <c r="N985">
        <f>Table_socioeca8.sandag.org_ws_abm2_f4[[#This Row],[flow_am]]</f>
        <v>5015</v>
      </c>
      <c r="O985">
        <f>Table_socioeca8.sandag.org_ws_abm2_f4[[#This Row],[flow_pm]]</f>
        <v>8715</v>
      </c>
    </row>
    <row r="986" spans="5:15" x14ac:dyDescent="0.25">
      <c r="E986">
        <v>21942</v>
      </c>
      <c r="F986">
        <f t="shared" si="15"/>
        <v>259</v>
      </c>
      <c r="G986">
        <f>IFERROR(VLOOKUP(Table_socioeca8.sandag.org_ws_abm2_f4[[#This Row],[hwycov_id]],[2]flow_freeway!$A$2:$E$1643,3,FALSE),0)</f>
        <v>32666</v>
      </c>
      <c r="H986">
        <f>IFERROR(VLOOKUP(Table_socioeca8.sandag.org_ws_abm2_f4[[#This Row],[hwycov_id]],[2]flow_freeway!$A$2:$E$1643,4,FALSE),0)</f>
        <v>7884</v>
      </c>
      <c r="I986">
        <f>IFERROR(VLOOKUP(Table_socioeca8.sandag.org_ws_abm2_f4[[#This Row],[hwycov_id]],[2]flow_freeway!$A$2:$E$1643,5,FALSE),0)</f>
        <v>7717</v>
      </c>
      <c r="K986">
        <f>Table_socioeca8.sandag.org_ws_abm2_f4[[#This Row],[hwycov_id]]</f>
        <v>21942</v>
      </c>
      <c r="L986">
        <f>Table_socioeca8.sandag.org_ws_abm2_f4[[#This Row],[scenario_id]]</f>
        <v>259</v>
      </c>
      <c r="M986">
        <f>Table_socioeca8.sandag.org_ws_abm2_f4[[#This Row],[flow_day]]</f>
        <v>32666</v>
      </c>
      <c r="N986">
        <f>Table_socioeca8.sandag.org_ws_abm2_f4[[#This Row],[flow_am]]</f>
        <v>7884</v>
      </c>
      <c r="O986">
        <f>Table_socioeca8.sandag.org_ws_abm2_f4[[#This Row],[flow_pm]]</f>
        <v>7717</v>
      </c>
    </row>
    <row r="987" spans="5:15" x14ac:dyDescent="0.25">
      <c r="E987">
        <v>22146</v>
      </c>
      <c r="F987">
        <f t="shared" si="15"/>
        <v>259</v>
      </c>
      <c r="G987">
        <f>IFERROR(VLOOKUP(Table_socioeca8.sandag.org_ws_abm2_f4[[#This Row],[hwycov_id]],[2]flow_freeway!$A$2:$E$1643,3,FALSE),0)</f>
        <v>82248</v>
      </c>
      <c r="H987">
        <f>IFERROR(VLOOKUP(Table_socioeca8.sandag.org_ws_abm2_f4[[#This Row],[hwycov_id]],[2]flow_freeway!$A$2:$E$1643,4,FALSE),0)</f>
        <v>16214</v>
      </c>
      <c r="I987">
        <f>IFERROR(VLOOKUP(Table_socioeca8.sandag.org_ws_abm2_f4[[#This Row],[hwycov_id]],[2]flow_freeway!$A$2:$E$1643,5,FALSE),0)</f>
        <v>17032</v>
      </c>
      <c r="K987">
        <f>Table_socioeca8.sandag.org_ws_abm2_f4[[#This Row],[hwycov_id]]</f>
        <v>22146</v>
      </c>
      <c r="L987">
        <f>Table_socioeca8.sandag.org_ws_abm2_f4[[#This Row],[scenario_id]]</f>
        <v>259</v>
      </c>
      <c r="M987">
        <f>Table_socioeca8.sandag.org_ws_abm2_f4[[#This Row],[flow_day]]</f>
        <v>82248</v>
      </c>
      <c r="N987">
        <f>Table_socioeca8.sandag.org_ws_abm2_f4[[#This Row],[flow_am]]</f>
        <v>16214</v>
      </c>
      <c r="O987">
        <f>Table_socioeca8.sandag.org_ws_abm2_f4[[#This Row],[flow_pm]]</f>
        <v>17032</v>
      </c>
    </row>
    <row r="988" spans="5:15" x14ac:dyDescent="0.25">
      <c r="E988">
        <v>22157</v>
      </c>
      <c r="F988">
        <f t="shared" si="15"/>
        <v>259</v>
      </c>
      <c r="G988">
        <f>IFERROR(VLOOKUP(Table_socioeca8.sandag.org_ws_abm2_f4[[#This Row],[hwycov_id]],[2]flow_freeway!$A$2:$E$1643,3,FALSE),0)</f>
        <v>98549</v>
      </c>
      <c r="H988">
        <f>IFERROR(VLOOKUP(Table_socioeca8.sandag.org_ws_abm2_f4[[#This Row],[hwycov_id]],[2]flow_freeway!$A$2:$E$1643,4,FALSE),0)</f>
        <v>16348</v>
      </c>
      <c r="I988">
        <f>IFERROR(VLOOKUP(Table_socioeca8.sandag.org_ws_abm2_f4[[#This Row],[hwycov_id]],[2]flow_freeway!$A$2:$E$1643,5,FALSE),0)</f>
        <v>24298</v>
      </c>
      <c r="K988">
        <f>Table_socioeca8.sandag.org_ws_abm2_f4[[#This Row],[hwycov_id]]</f>
        <v>22157</v>
      </c>
      <c r="L988">
        <f>Table_socioeca8.sandag.org_ws_abm2_f4[[#This Row],[scenario_id]]</f>
        <v>259</v>
      </c>
      <c r="M988">
        <f>Table_socioeca8.sandag.org_ws_abm2_f4[[#This Row],[flow_day]]</f>
        <v>98549</v>
      </c>
      <c r="N988">
        <f>Table_socioeca8.sandag.org_ws_abm2_f4[[#This Row],[flow_am]]</f>
        <v>16348</v>
      </c>
      <c r="O988">
        <f>Table_socioeca8.sandag.org_ws_abm2_f4[[#This Row],[flow_pm]]</f>
        <v>24298</v>
      </c>
    </row>
    <row r="989" spans="5:15" x14ac:dyDescent="0.25">
      <c r="E989">
        <v>22158</v>
      </c>
      <c r="F989">
        <f t="shared" si="15"/>
        <v>259</v>
      </c>
      <c r="G989">
        <f>IFERROR(VLOOKUP(Table_socioeca8.sandag.org_ws_abm2_f4[[#This Row],[hwycov_id]],[2]flow_freeway!$A$2:$E$1643,3,FALSE),0)</f>
        <v>98549</v>
      </c>
      <c r="H989">
        <f>IFERROR(VLOOKUP(Table_socioeca8.sandag.org_ws_abm2_f4[[#This Row],[hwycov_id]],[2]flow_freeway!$A$2:$E$1643,4,FALSE),0)</f>
        <v>16348</v>
      </c>
      <c r="I989">
        <f>IFERROR(VLOOKUP(Table_socioeca8.sandag.org_ws_abm2_f4[[#This Row],[hwycov_id]],[2]flow_freeway!$A$2:$E$1643,5,FALSE),0)</f>
        <v>24298</v>
      </c>
      <c r="K989">
        <f>Table_socioeca8.sandag.org_ws_abm2_f4[[#This Row],[hwycov_id]]</f>
        <v>22158</v>
      </c>
      <c r="L989">
        <f>Table_socioeca8.sandag.org_ws_abm2_f4[[#This Row],[scenario_id]]</f>
        <v>259</v>
      </c>
      <c r="M989">
        <f>Table_socioeca8.sandag.org_ws_abm2_f4[[#This Row],[flow_day]]</f>
        <v>98549</v>
      </c>
      <c r="N989">
        <f>Table_socioeca8.sandag.org_ws_abm2_f4[[#This Row],[flow_am]]</f>
        <v>16348</v>
      </c>
      <c r="O989">
        <f>Table_socioeca8.sandag.org_ws_abm2_f4[[#This Row],[flow_pm]]</f>
        <v>24298</v>
      </c>
    </row>
    <row r="990" spans="5:15" x14ac:dyDescent="0.25">
      <c r="E990">
        <v>22275</v>
      </c>
      <c r="F990">
        <f t="shared" si="15"/>
        <v>259</v>
      </c>
      <c r="G990">
        <f>IFERROR(VLOOKUP(Table_socioeca8.sandag.org_ws_abm2_f4[[#This Row],[hwycov_id]],[2]flow_freeway!$A$2:$E$1643,3,FALSE),0)</f>
        <v>18066</v>
      </c>
      <c r="H990">
        <f>IFERROR(VLOOKUP(Table_socioeca8.sandag.org_ws_abm2_f4[[#This Row],[hwycov_id]],[2]flow_freeway!$A$2:$E$1643,4,FALSE),0)</f>
        <v>6824</v>
      </c>
      <c r="I990">
        <f>IFERROR(VLOOKUP(Table_socioeca8.sandag.org_ws_abm2_f4[[#This Row],[hwycov_id]],[2]flow_freeway!$A$2:$E$1643,5,FALSE),0)</f>
        <v>2869</v>
      </c>
      <c r="K990">
        <f>Table_socioeca8.sandag.org_ws_abm2_f4[[#This Row],[hwycov_id]]</f>
        <v>22275</v>
      </c>
      <c r="L990">
        <f>Table_socioeca8.sandag.org_ws_abm2_f4[[#This Row],[scenario_id]]</f>
        <v>259</v>
      </c>
      <c r="M990">
        <f>Table_socioeca8.sandag.org_ws_abm2_f4[[#This Row],[flow_day]]</f>
        <v>18066</v>
      </c>
      <c r="N990">
        <f>Table_socioeca8.sandag.org_ws_abm2_f4[[#This Row],[flow_am]]</f>
        <v>6824</v>
      </c>
      <c r="O990">
        <f>Table_socioeca8.sandag.org_ws_abm2_f4[[#This Row],[flow_pm]]</f>
        <v>2869</v>
      </c>
    </row>
    <row r="991" spans="5:15" x14ac:dyDescent="0.25">
      <c r="E991">
        <v>22715</v>
      </c>
      <c r="F991">
        <f t="shared" si="15"/>
        <v>259</v>
      </c>
      <c r="G991">
        <f>IFERROR(VLOOKUP(Table_socioeca8.sandag.org_ws_abm2_f4[[#This Row],[hwycov_id]],[2]flow_freeway!$A$2:$E$1643,3,FALSE),0)</f>
        <v>81327</v>
      </c>
      <c r="H991">
        <f>IFERROR(VLOOKUP(Table_socioeca8.sandag.org_ws_abm2_f4[[#This Row],[hwycov_id]],[2]flow_freeway!$A$2:$E$1643,4,FALSE),0)</f>
        <v>21689</v>
      </c>
      <c r="I991">
        <f>IFERROR(VLOOKUP(Table_socioeca8.sandag.org_ws_abm2_f4[[#This Row],[hwycov_id]],[2]flow_freeway!$A$2:$E$1643,5,FALSE),0)</f>
        <v>15889</v>
      </c>
      <c r="K991">
        <f>Table_socioeca8.sandag.org_ws_abm2_f4[[#This Row],[hwycov_id]]</f>
        <v>22715</v>
      </c>
      <c r="L991">
        <f>Table_socioeca8.sandag.org_ws_abm2_f4[[#This Row],[scenario_id]]</f>
        <v>259</v>
      </c>
      <c r="M991">
        <f>Table_socioeca8.sandag.org_ws_abm2_f4[[#This Row],[flow_day]]</f>
        <v>81327</v>
      </c>
      <c r="N991">
        <f>Table_socioeca8.sandag.org_ws_abm2_f4[[#This Row],[flow_am]]</f>
        <v>21689</v>
      </c>
      <c r="O991">
        <f>Table_socioeca8.sandag.org_ws_abm2_f4[[#This Row],[flow_pm]]</f>
        <v>15889</v>
      </c>
    </row>
    <row r="992" spans="5:15" x14ac:dyDescent="0.25">
      <c r="E992">
        <v>22716</v>
      </c>
      <c r="F992">
        <f t="shared" si="15"/>
        <v>259</v>
      </c>
      <c r="G992">
        <f>IFERROR(VLOOKUP(Table_socioeca8.sandag.org_ws_abm2_f4[[#This Row],[hwycov_id]],[2]flow_freeway!$A$2:$E$1643,3,FALSE),0)</f>
        <v>81053</v>
      </c>
      <c r="H992">
        <f>IFERROR(VLOOKUP(Table_socioeca8.sandag.org_ws_abm2_f4[[#This Row],[hwycov_id]],[2]flow_freeway!$A$2:$E$1643,4,FALSE),0)</f>
        <v>14147</v>
      </c>
      <c r="I992">
        <f>IFERROR(VLOOKUP(Table_socioeca8.sandag.org_ws_abm2_f4[[#This Row],[hwycov_id]],[2]flow_freeway!$A$2:$E$1643,5,FALSE),0)</f>
        <v>24689</v>
      </c>
      <c r="K992">
        <f>Table_socioeca8.sandag.org_ws_abm2_f4[[#This Row],[hwycov_id]]</f>
        <v>22716</v>
      </c>
      <c r="L992">
        <f>Table_socioeca8.sandag.org_ws_abm2_f4[[#This Row],[scenario_id]]</f>
        <v>259</v>
      </c>
      <c r="M992">
        <f>Table_socioeca8.sandag.org_ws_abm2_f4[[#This Row],[flow_day]]</f>
        <v>81053</v>
      </c>
      <c r="N992">
        <f>Table_socioeca8.sandag.org_ws_abm2_f4[[#This Row],[flow_am]]</f>
        <v>14147</v>
      </c>
      <c r="O992">
        <f>Table_socioeca8.sandag.org_ws_abm2_f4[[#This Row],[flow_pm]]</f>
        <v>24689</v>
      </c>
    </row>
    <row r="993" spans="5:15" x14ac:dyDescent="0.25">
      <c r="E993">
        <v>22740</v>
      </c>
      <c r="F993">
        <f t="shared" si="15"/>
        <v>259</v>
      </c>
      <c r="G993">
        <f>IFERROR(VLOOKUP(Table_socioeca8.sandag.org_ws_abm2_f4[[#This Row],[hwycov_id]],[2]flow_freeway!$A$2:$E$1643,3,FALSE),0)</f>
        <v>73757</v>
      </c>
      <c r="H993">
        <f>IFERROR(VLOOKUP(Table_socioeca8.sandag.org_ws_abm2_f4[[#This Row],[hwycov_id]],[2]flow_freeway!$A$2:$E$1643,4,FALSE),0)</f>
        <v>18744</v>
      </c>
      <c r="I993">
        <f>IFERROR(VLOOKUP(Table_socioeca8.sandag.org_ws_abm2_f4[[#This Row],[hwycov_id]],[2]flow_freeway!$A$2:$E$1643,5,FALSE),0)</f>
        <v>16280</v>
      </c>
      <c r="K993">
        <f>Table_socioeca8.sandag.org_ws_abm2_f4[[#This Row],[hwycov_id]]</f>
        <v>22740</v>
      </c>
      <c r="L993">
        <f>Table_socioeca8.sandag.org_ws_abm2_f4[[#This Row],[scenario_id]]</f>
        <v>259</v>
      </c>
      <c r="M993">
        <f>Table_socioeca8.sandag.org_ws_abm2_f4[[#This Row],[flow_day]]</f>
        <v>73757</v>
      </c>
      <c r="N993">
        <f>Table_socioeca8.sandag.org_ws_abm2_f4[[#This Row],[flow_am]]</f>
        <v>18744</v>
      </c>
      <c r="O993">
        <f>Table_socioeca8.sandag.org_ws_abm2_f4[[#This Row],[flow_pm]]</f>
        <v>16280</v>
      </c>
    </row>
    <row r="994" spans="5:15" x14ac:dyDescent="0.25">
      <c r="E994">
        <v>22743</v>
      </c>
      <c r="F994">
        <f t="shared" si="15"/>
        <v>259</v>
      </c>
      <c r="G994">
        <f>IFERROR(VLOOKUP(Table_socioeca8.sandag.org_ws_abm2_f4[[#This Row],[hwycov_id]],[2]flow_freeway!$A$2:$E$1643,3,FALSE),0)</f>
        <v>73800</v>
      </c>
      <c r="H994">
        <f>IFERROR(VLOOKUP(Table_socioeca8.sandag.org_ws_abm2_f4[[#This Row],[hwycov_id]],[2]flow_freeway!$A$2:$E$1643,4,FALSE),0)</f>
        <v>15863</v>
      </c>
      <c r="I994">
        <f>IFERROR(VLOOKUP(Table_socioeca8.sandag.org_ws_abm2_f4[[#This Row],[hwycov_id]],[2]flow_freeway!$A$2:$E$1643,5,FALSE),0)</f>
        <v>19262</v>
      </c>
      <c r="K994">
        <f>Table_socioeca8.sandag.org_ws_abm2_f4[[#This Row],[hwycov_id]]</f>
        <v>22743</v>
      </c>
      <c r="L994">
        <f>Table_socioeca8.sandag.org_ws_abm2_f4[[#This Row],[scenario_id]]</f>
        <v>259</v>
      </c>
      <c r="M994">
        <f>Table_socioeca8.sandag.org_ws_abm2_f4[[#This Row],[flow_day]]</f>
        <v>73800</v>
      </c>
      <c r="N994">
        <f>Table_socioeca8.sandag.org_ws_abm2_f4[[#This Row],[flow_am]]</f>
        <v>15863</v>
      </c>
      <c r="O994">
        <f>Table_socioeca8.sandag.org_ws_abm2_f4[[#This Row],[flow_pm]]</f>
        <v>19262</v>
      </c>
    </row>
    <row r="995" spans="5:15" x14ac:dyDescent="0.25">
      <c r="E995">
        <v>22756</v>
      </c>
      <c r="F995">
        <f t="shared" si="15"/>
        <v>259</v>
      </c>
      <c r="G995">
        <f>IFERROR(VLOOKUP(Table_socioeca8.sandag.org_ws_abm2_f4[[#This Row],[hwycov_id]],[2]flow_freeway!$A$2:$E$1643,3,FALSE),0)</f>
        <v>74190</v>
      </c>
      <c r="H995">
        <f>IFERROR(VLOOKUP(Table_socioeca8.sandag.org_ws_abm2_f4[[#This Row],[hwycov_id]],[2]flow_freeway!$A$2:$E$1643,4,FALSE),0)</f>
        <v>16665</v>
      </c>
      <c r="I995">
        <f>IFERROR(VLOOKUP(Table_socioeca8.sandag.org_ws_abm2_f4[[#This Row],[hwycov_id]],[2]flow_freeway!$A$2:$E$1643,5,FALSE),0)</f>
        <v>18238</v>
      </c>
      <c r="K995">
        <f>Table_socioeca8.sandag.org_ws_abm2_f4[[#This Row],[hwycov_id]]</f>
        <v>22756</v>
      </c>
      <c r="L995">
        <f>Table_socioeca8.sandag.org_ws_abm2_f4[[#This Row],[scenario_id]]</f>
        <v>259</v>
      </c>
      <c r="M995">
        <f>Table_socioeca8.sandag.org_ws_abm2_f4[[#This Row],[flow_day]]</f>
        <v>74190</v>
      </c>
      <c r="N995">
        <f>Table_socioeca8.sandag.org_ws_abm2_f4[[#This Row],[flow_am]]</f>
        <v>16665</v>
      </c>
      <c r="O995">
        <f>Table_socioeca8.sandag.org_ws_abm2_f4[[#This Row],[flow_pm]]</f>
        <v>18238</v>
      </c>
    </row>
    <row r="996" spans="5:15" x14ac:dyDescent="0.25">
      <c r="E996">
        <v>22757</v>
      </c>
      <c r="F996">
        <f t="shared" si="15"/>
        <v>259</v>
      </c>
      <c r="G996">
        <f>IFERROR(VLOOKUP(Table_socioeca8.sandag.org_ws_abm2_f4[[#This Row],[hwycov_id]],[2]flow_freeway!$A$2:$E$1643,3,FALSE),0)</f>
        <v>43390</v>
      </c>
      <c r="H996">
        <f>IFERROR(VLOOKUP(Table_socioeca8.sandag.org_ws_abm2_f4[[#This Row],[hwycov_id]],[2]flow_freeway!$A$2:$E$1643,4,FALSE),0)</f>
        <v>9076</v>
      </c>
      <c r="I996">
        <f>IFERROR(VLOOKUP(Table_socioeca8.sandag.org_ws_abm2_f4[[#This Row],[hwycov_id]],[2]flow_freeway!$A$2:$E$1643,5,FALSE),0)</f>
        <v>10451</v>
      </c>
      <c r="K996">
        <f>Table_socioeca8.sandag.org_ws_abm2_f4[[#This Row],[hwycov_id]]</f>
        <v>22757</v>
      </c>
      <c r="L996">
        <f>Table_socioeca8.sandag.org_ws_abm2_f4[[#This Row],[scenario_id]]</f>
        <v>259</v>
      </c>
      <c r="M996">
        <f>Table_socioeca8.sandag.org_ws_abm2_f4[[#This Row],[flow_day]]</f>
        <v>43390</v>
      </c>
      <c r="N996">
        <f>Table_socioeca8.sandag.org_ws_abm2_f4[[#This Row],[flow_am]]</f>
        <v>9076</v>
      </c>
      <c r="O996">
        <f>Table_socioeca8.sandag.org_ws_abm2_f4[[#This Row],[flow_pm]]</f>
        <v>10451</v>
      </c>
    </row>
    <row r="997" spans="5:15" x14ac:dyDescent="0.25">
      <c r="E997">
        <v>22761</v>
      </c>
      <c r="F997">
        <f t="shared" si="15"/>
        <v>259</v>
      </c>
      <c r="G997">
        <f>IFERROR(VLOOKUP(Table_socioeca8.sandag.org_ws_abm2_f4[[#This Row],[hwycov_id]],[2]flow_freeway!$A$2:$E$1643,3,FALSE),0)</f>
        <v>64245</v>
      </c>
      <c r="H997">
        <f>IFERROR(VLOOKUP(Table_socioeca8.sandag.org_ws_abm2_f4[[#This Row],[hwycov_id]],[2]flow_freeway!$A$2:$E$1643,4,FALSE),0)</f>
        <v>19780</v>
      </c>
      <c r="I997">
        <f>IFERROR(VLOOKUP(Table_socioeca8.sandag.org_ws_abm2_f4[[#This Row],[hwycov_id]],[2]flow_freeway!$A$2:$E$1643,5,FALSE),0)</f>
        <v>11090</v>
      </c>
      <c r="K997">
        <f>Table_socioeca8.sandag.org_ws_abm2_f4[[#This Row],[hwycov_id]]</f>
        <v>22761</v>
      </c>
      <c r="L997">
        <f>Table_socioeca8.sandag.org_ws_abm2_f4[[#This Row],[scenario_id]]</f>
        <v>259</v>
      </c>
      <c r="M997">
        <f>Table_socioeca8.sandag.org_ws_abm2_f4[[#This Row],[flow_day]]</f>
        <v>64245</v>
      </c>
      <c r="N997">
        <f>Table_socioeca8.sandag.org_ws_abm2_f4[[#This Row],[flow_am]]</f>
        <v>19780</v>
      </c>
      <c r="O997">
        <f>Table_socioeca8.sandag.org_ws_abm2_f4[[#This Row],[flow_pm]]</f>
        <v>11090</v>
      </c>
    </row>
    <row r="998" spans="5:15" x14ac:dyDescent="0.25">
      <c r="E998">
        <v>22937</v>
      </c>
      <c r="F998">
        <f t="shared" si="15"/>
        <v>259</v>
      </c>
      <c r="G998">
        <f>IFERROR(VLOOKUP(Table_socioeca8.sandag.org_ws_abm2_f4[[#This Row],[hwycov_id]],[2]flow_freeway!$A$2:$E$1643,3,FALSE),0)</f>
        <v>55425</v>
      </c>
      <c r="H998">
        <f>IFERROR(VLOOKUP(Table_socioeca8.sandag.org_ws_abm2_f4[[#This Row],[hwycov_id]],[2]flow_freeway!$A$2:$E$1643,4,FALSE),0)</f>
        <v>12269</v>
      </c>
      <c r="I998">
        <f>IFERROR(VLOOKUP(Table_socioeca8.sandag.org_ws_abm2_f4[[#This Row],[hwycov_id]],[2]flow_freeway!$A$2:$E$1643,5,FALSE),0)</f>
        <v>13729</v>
      </c>
      <c r="K998">
        <f>Table_socioeca8.sandag.org_ws_abm2_f4[[#This Row],[hwycov_id]]</f>
        <v>22937</v>
      </c>
      <c r="L998">
        <f>Table_socioeca8.sandag.org_ws_abm2_f4[[#This Row],[scenario_id]]</f>
        <v>259</v>
      </c>
      <c r="M998">
        <f>Table_socioeca8.sandag.org_ws_abm2_f4[[#This Row],[flow_day]]</f>
        <v>55425</v>
      </c>
      <c r="N998">
        <f>Table_socioeca8.sandag.org_ws_abm2_f4[[#This Row],[flow_am]]</f>
        <v>12269</v>
      </c>
      <c r="O998">
        <f>Table_socioeca8.sandag.org_ws_abm2_f4[[#This Row],[flow_pm]]</f>
        <v>13729</v>
      </c>
    </row>
    <row r="999" spans="5:15" x14ac:dyDescent="0.25">
      <c r="E999">
        <v>22953</v>
      </c>
      <c r="F999">
        <f t="shared" si="15"/>
        <v>259</v>
      </c>
      <c r="G999">
        <f>IFERROR(VLOOKUP(Table_socioeca8.sandag.org_ws_abm2_f4[[#This Row],[hwycov_id]],[2]flow_freeway!$A$2:$E$1643,3,FALSE),0)</f>
        <v>77894</v>
      </c>
      <c r="H999">
        <f>IFERROR(VLOOKUP(Table_socioeca8.sandag.org_ws_abm2_f4[[#This Row],[hwycov_id]],[2]flow_freeway!$A$2:$E$1643,4,FALSE),0)</f>
        <v>15890</v>
      </c>
      <c r="I999">
        <f>IFERROR(VLOOKUP(Table_socioeca8.sandag.org_ws_abm2_f4[[#This Row],[hwycov_id]],[2]flow_freeway!$A$2:$E$1643,5,FALSE),0)</f>
        <v>21126</v>
      </c>
      <c r="K999">
        <f>Table_socioeca8.sandag.org_ws_abm2_f4[[#This Row],[hwycov_id]]</f>
        <v>22953</v>
      </c>
      <c r="L999">
        <f>Table_socioeca8.sandag.org_ws_abm2_f4[[#This Row],[scenario_id]]</f>
        <v>259</v>
      </c>
      <c r="M999">
        <f>Table_socioeca8.sandag.org_ws_abm2_f4[[#This Row],[flow_day]]</f>
        <v>77894</v>
      </c>
      <c r="N999">
        <f>Table_socioeca8.sandag.org_ws_abm2_f4[[#This Row],[flow_am]]</f>
        <v>15890</v>
      </c>
      <c r="O999">
        <f>Table_socioeca8.sandag.org_ws_abm2_f4[[#This Row],[flow_pm]]</f>
        <v>21126</v>
      </c>
    </row>
    <row r="1000" spans="5:15" x14ac:dyDescent="0.25">
      <c r="E1000">
        <v>23000</v>
      </c>
      <c r="F1000">
        <f t="shared" si="15"/>
        <v>259</v>
      </c>
      <c r="G1000">
        <f>IFERROR(VLOOKUP(Table_socioeca8.sandag.org_ws_abm2_f4[[#This Row],[hwycov_id]],[2]flow_freeway!$A$2:$E$1643,3,FALSE),0)</f>
        <v>57513</v>
      </c>
      <c r="H1000">
        <f>IFERROR(VLOOKUP(Table_socioeca8.sandag.org_ws_abm2_f4[[#This Row],[hwycov_id]],[2]flow_freeway!$A$2:$E$1643,4,FALSE),0)</f>
        <v>12016</v>
      </c>
      <c r="I1000">
        <f>IFERROR(VLOOKUP(Table_socioeca8.sandag.org_ws_abm2_f4[[#This Row],[hwycov_id]],[2]flow_freeway!$A$2:$E$1643,5,FALSE),0)</f>
        <v>13057</v>
      </c>
      <c r="K1000">
        <f>Table_socioeca8.sandag.org_ws_abm2_f4[[#This Row],[hwycov_id]]</f>
        <v>23000</v>
      </c>
      <c r="L1000">
        <f>Table_socioeca8.sandag.org_ws_abm2_f4[[#This Row],[scenario_id]]</f>
        <v>259</v>
      </c>
      <c r="M1000">
        <f>Table_socioeca8.sandag.org_ws_abm2_f4[[#This Row],[flow_day]]</f>
        <v>57513</v>
      </c>
      <c r="N1000">
        <f>Table_socioeca8.sandag.org_ws_abm2_f4[[#This Row],[flow_am]]</f>
        <v>12016</v>
      </c>
      <c r="O1000">
        <f>Table_socioeca8.sandag.org_ws_abm2_f4[[#This Row],[flow_pm]]</f>
        <v>13057</v>
      </c>
    </row>
    <row r="1001" spans="5:15" x14ac:dyDescent="0.25">
      <c r="E1001">
        <v>23044</v>
      </c>
      <c r="F1001">
        <f t="shared" si="15"/>
        <v>259</v>
      </c>
      <c r="G1001">
        <f>IFERROR(VLOOKUP(Table_socioeca8.sandag.org_ws_abm2_f4[[#This Row],[hwycov_id]],[2]flow_freeway!$A$2:$E$1643,3,FALSE),0)</f>
        <v>24019</v>
      </c>
      <c r="H1001">
        <f>IFERROR(VLOOKUP(Table_socioeca8.sandag.org_ws_abm2_f4[[#This Row],[hwycov_id]],[2]flow_freeway!$A$2:$E$1643,4,FALSE),0)</f>
        <v>3783</v>
      </c>
      <c r="I1001">
        <f>IFERROR(VLOOKUP(Table_socioeca8.sandag.org_ws_abm2_f4[[#This Row],[hwycov_id]],[2]flow_freeway!$A$2:$E$1643,5,FALSE),0)</f>
        <v>10258</v>
      </c>
      <c r="K1001">
        <f>Table_socioeca8.sandag.org_ws_abm2_f4[[#This Row],[hwycov_id]]</f>
        <v>23044</v>
      </c>
      <c r="L1001">
        <f>Table_socioeca8.sandag.org_ws_abm2_f4[[#This Row],[scenario_id]]</f>
        <v>259</v>
      </c>
      <c r="M1001">
        <f>Table_socioeca8.sandag.org_ws_abm2_f4[[#This Row],[flow_day]]</f>
        <v>24019</v>
      </c>
      <c r="N1001">
        <f>Table_socioeca8.sandag.org_ws_abm2_f4[[#This Row],[flow_am]]</f>
        <v>3783</v>
      </c>
      <c r="O1001">
        <f>Table_socioeca8.sandag.org_ws_abm2_f4[[#This Row],[flow_pm]]</f>
        <v>10258</v>
      </c>
    </row>
    <row r="1002" spans="5:15" x14ac:dyDescent="0.25">
      <c r="E1002">
        <v>23053</v>
      </c>
      <c r="F1002">
        <f t="shared" si="15"/>
        <v>259</v>
      </c>
      <c r="G1002">
        <f>IFERROR(VLOOKUP(Table_socioeca8.sandag.org_ws_abm2_f4[[#This Row],[hwycov_id]],[2]flow_freeway!$A$2:$E$1643,3,FALSE),0)</f>
        <v>24358</v>
      </c>
      <c r="H1002">
        <f>IFERROR(VLOOKUP(Table_socioeca8.sandag.org_ws_abm2_f4[[#This Row],[hwycov_id]],[2]flow_freeway!$A$2:$E$1643,4,FALSE),0)</f>
        <v>3123</v>
      </c>
      <c r="I1002">
        <f>IFERROR(VLOOKUP(Table_socioeca8.sandag.org_ws_abm2_f4[[#This Row],[hwycov_id]],[2]flow_freeway!$A$2:$E$1643,5,FALSE),0)</f>
        <v>10825</v>
      </c>
      <c r="K1002">
        <f>Table_socioeca8.sandag.org_ws_abm2_f4[[#This Row],[hwycov_id]]</f>
        <v>23053</v>
      </c>
      <c r="L1002">
        <f>Table_socioeca8.sandag.org_ws_abm2_f4[[#This Row],[scenario_id]]</f>
        <v>259</v>
      </c>
      <c r="M1002">
        <f>Table_socioeca8.sandag.org_ws_abm2_f4[[#This Row],[flow_day]]</f>
        <v>24358</v>
      </c>
      <c r="N1002">
        <f>Table_socioeca8.sandag.org_ws_abm2_f4[[#This Row],[flow_am]]</f>
        <v>3123</v>
      </c>
      <c r="O1002">
        <f>Table_socioeca8.sandag.org_ws_abm2_f4[[#This Row],[flow_pm]]</f>
        <v>10825</v>
      </c>
    </row>
    <row r="1003" spans="5:15" x14ac:dyDescent="0.25">
      <c r="E1003">
        <v>23128</v>
      </c>
      <c r="F1003">
        <f t="shared" si="15"/>
        <v>259</v>
      </c>
      <c r="G1003">
        <f>IFERROR(VLOOKUP(Table_socioeca8.sandag.org_ws_abm2_f4[[#This Row],[hwycov_id]],[2]flow_freeway!$A$2:$E$1643,3,FALSE),0)</f>
        <v>21895</v>
      </c>
      <c r="H1003">
        <f>IFERROR(VLOOKUP(Table_socioeca8.sandag.org_ws_abm2_f4[[#This Row],[hwycov_id]],[2]flow_freeway!$A$2:$E$1643,4,FALSE),0)</f>
        <v>8652</v>
      </c>
      <c r="I1003">
        <f>IFERROR(VLOOKUP(Table_socioeca8.sandag.org_ws_abm2_f4[[#This Row],[hwycov_id]],[2]flow_freeway!$A$2:$E$1643,5,FALSE),0)</f>
        <v>3721</v>
      </c>
      <c r="K1003">
        <f>Table_socioeca8.sandag.org_ws_abm2_f4[[#This Row],[hwycov_id]]</f>
        <v>23128</v>
      </c>
      <c r="L1003">
        <f>Table_socioeca8.sandag.org_ws_abm2_f4[[#This Row],[scenario_id]]</f>
        <v>259</v>
      </c>
      <c r="M1003">
        <f>Table_socioeca8.sandag.org_ws_abm2_f4[[#This Row],[flow_day]]</f>
        <v>21895</v>
      </c>
      <c r="N1003">
        <f>Table_socioeca8.sandag.org_ws_abm2_f4[[#This Row],[flow_am]]</f>
        <v>8652</v>
      </c>
      <c r="O1003">
        <f>Table_socioeca8.sandag.org_ws_abm2_f4[[#This Row],[flow_pm]]</f>
        <v>3721</v>
      </c>
    </row>
    <row r="1004" spans="5:15" x14ac:dyDescent="0.25">
      <c r="E1004">
        <v>23142</v>
      </c>
      <c r="F1004">
        <f t="shared" si="15"/>
        <v>259</v>
      </c>
      <c r="G1004">
        <f>IFERROR(VLOOKUP(Table_socioeca8.sandag.org_ws_abm2_f4[[#This Row],[hwycov_id]],[2]flow_freeway!$A$2:$E$1643,3,FALSE),0)</f>
        <v>23104</v>
      </c>
      <c r="H1004">
        <f>IFERROR(VLOOKUP(Table_socioeca8.sandag.org_ws_abm2_f4[[#This Row],[hwycov_id]],[2]flow_freeway!$A$2:$E$1643,4,FALSE),0)</f>
        <v>9406</v>
      </c>
      <c r="I1004">
        <f>IFERROR(VLOOKUP(Table_socioeca8.sandag.org_ws_abm2_f4[[#This Row],[hwycov_id]],[2]flow_freeway!$A$2:$E$1643,5,FALSE),0)</f>
        <v>5212</v>
      </c>
      <c r="K1004">
        <f>Table_socioeca8.sandag.org_ws_abm2_f4[[#This Row],[hwycov_id]]</f>
        <v>23142</v>
      </c>
      <c r="L1004">
        <f>Table_socioeca8.sandag.org_ws_abm2_f4[[#This Row],[scenario_id]]</f>
        <v>259</v>
      </c>
      <c r="M1004">
        <f>Table_socioeca8.sandag.org_ws_abm2_f4[[#This Row],[flow_day]]</f>
        <v>23104</v>
      </c>
      <c r="N1004">
        <f>Table_socioeca8.sandag.org_ws_abm2_f4[[#This Row],[flow_am]]</f>
        <v>9406</v>
      </c>
      <c r="O1004">
        <f>Table_socioeca8.sandag.org_ws_abm2_f4[[#This Row],[flow_pm]]</f>
        <v>5212</v>
      </c>
    </row>
    <row r="1005" spans="5:15" x14ac:dyDescent="0.25">
      <c r="E1005">
        <v>23435</v>
      </c>
      <c r="F1005">
        <f t="shared" si="15"/>
        <v>259</v>
      </c>
      <c r="G1005">
        <f>IFERROR(VLOOKUP(Table_socioeca8.sandag.org_ws_abm2_f4[[#This Row],[hwycov_id]],[2]flow_freeway!$A$2:$E$1643,3,FALSE),0)</f>
        <v>20393</v>
      </c>
      <c r="H1005">
        <f>IFERROR(VLOOKUP(Table_socioeca8.sandag.org_ws_abm2_f4[[#This Row],[hwycov_id]],[2]flow_freeway!$A$2:$E$1643,4,FALSE),0)</f>
        <v>3638</v>
      </c>
      <c r="I1005">
        <f>IFERROR(VLOOKUP(Table_socioeca8.sandag.org_ws_abm2_f4[[#This Row],[hwycov_id]],[2]flow_freeway!$A$2:$E$1643,5,FALSE),0)</f>
        <v>4327</v>
      </c>
      <c r="K1005">
        <f>Table_socioeca8.sandag.org_ws_abm2_f4[[#This Row],[hwycov_id]]</f>
        <v>23435</v>
      </c>
      <c r="L1005">
        <f>Table_socioeca8.sandag.org_ws_abm2_f4[[#This Row],[scenario_id]]</f>
        <v>259</v>
      </c>
      <c r="M1005">
        <f>Table_socioeca8.sandag.org_ws_abm2_f4[[#This Row],[flow_day]]</f>
        <v>20393</v>
      </c>
      <c r="N1005">
        <f>Table_socioeca8.sandag.org_ws_abm2_f4[[#This Row],[flow_am]]</f>
        <v>3638</v>
      </c>
      <c r="O1005">
        <f>Table_socioeca8.sandag.org_ws_abm2_f4[[#This Row],[flow_pm]]</f>
        <v>4327</v>
      </c>
    </row>
    <row r="1006" spans="5:15" x14ac:dyDescent="0.25">
      <c r="E1006">
        <v>23851</v>
      </c>
      <c r="F1006">
        <f t="shared" si="15"/>
        <v>259</v>
      </c>
      <c r="G1006">
        <f>IFERROR(VLOOKUP(Table_socioeca8.sandag.org_ws_abm2_f4[[#This Row],[hwycov_id]],[2]flow_freeway!$A$2:$E$1643,3,FALSE),0)</f>
        <v>83492</v>
      </c>
      <c r="H1006">
        <f>IFERROR(VLOOKUP(Table_socioeca8.sandag.org_ws_abm2_f4[[#This Row],[hwycov_id]],[2]flow_freeway!$A$2:$E$1643,4,FALSE),0)</f>
        <v>18432</v>
      </c>
      <c r="I1006">
        <f>IFERROR(VLOOKUP(Table_socioeca8.sandag.org_ws_abm2_f4[[#This Row],[hwycov_id]],[2]flow_freeway!$A$2:$E$1643,5,FALSE),0)</f>
        <v>18155</v>
      </c>
      <c r="K1006">
        <f>Table_socioeca8.sandag.org_ws_abm2_f4[[#This Row],[hwycov_id]]</f>
        <v>23851</v>
      </c>
      <c r="L1006">
        <f>Table_socioeca8.sandag.org_ws_abm2_f4[[#This Row],[scenario_id]]</f>
        <v>259</v>
      </c>
      <c r="M1006">
        <f>Table_socioeca8.sandag.org_ws_abm2_f4[[#This Row],[flow_day]]</f>
        <v>83492</v>
      </c>
      <c r="N1006">
        <f>Table_socioeca8.sandag.org_ws_abm2_f4[[#This Row],[flow_am]]</f>
        <v>18432</v>
      </c>
      <c r="O1006">
        <f>Table_socioeca8.sandag.org_ws_abm2_f4[[#This Row],[flow_pm]]</f>
        <v>18155</v>
      </c>
    </row>
    <row r="1007" spans="5:15" x14ac:dyDescent="0.25">
      <c r="E1007">
        <v>23867</v>
      </c>
      <c r="F1007">
        <f t="shared" si="15"/>
        <v>259</v>
      </c>
      <c r="G1007">
        <f>IFERROR(VLOOKUP(Table_socioeca8.sandag.org_ws_abm2_f4[[#This Row],[hwycov_id]],[2]flow_freeway!$A$2:$E$1643,3,FALSE),0)</f>
        <v>41659</v>
      </c>
      <c r="H1007">
        <f>IFERROR(VLOOKUP(Table_socioeca8.sandag.org_ws_abm2_f4[[#This Row],[hwycov_id]],[2]flow_freeway!$A$2:$E$1643,4,FALSE),0)</f>
        <v>12898</v>
      </c>
      <c r="I1007">
        <f>IFERROR(VLOOKUP(Table_socioeca8.sandag.org_ws_abm2_f4[[#This Row],[hwycov_id]],[2]flow_freeway!$A$2:$E$1643,5,FALSE),0)</f>
        <v>7752</v>
      </c>
      <c r="K1007">
        <f>Table_socioeca8.sandag.org_ws_abm2_f4[[#This Row],[hwycov_id]]</f>
        <v>23867</v>
      </c>
      <c r="L1007">
        <f>Table_socioeca8.sandag.org_ws_abm2_f4[[#This Row],[scenario_id]]</f>
        <v>259</v>
      </c>
      <c r="M1007">
        <f>Table_socioeca8.sandag.org_ws_abm2_f4[[#This Row],[flow_day]]</f>
        <v>41659</v>
      </c>
      <c r="N1007">
        <f>Table_socioeca8.sandag.org_ws_abm2_f4[[#This Row],[flow_am]]</f>
        <v>12898</v>
      </c>
      <c r="O1007">
        <f>Table_socioeca8.sandag.org_ws_abm2_f4[[#This Row],[flow_pm]]</f>
        <v>7752</v>
      </c>
    </row>
    <row r="1008" spans="5:15" x14ac:dyDescent="0.25">
      <c r="E1008">
        <v>23885</v>
      </c>
      <c r="F1008">
        <f t="shared" si="15"/>
        <v>259</v>
      </c>
      <c r="G1008">
        <f>IFERROR(VLOOKUP(Table_socioeca8.sandag.org_ws_abm2_f4[[#This Row],[hwycov_id]],[2]flow_freeway!$A$2:$E$1643,3,FALSE),0)</f>
        <v>31249</v>
      </c>
      <c r="H1008">
        <f>IFERROR(VLOOKUP(Table_socioeca8.sandag.org_ws_abm2_f4[[#This Row],[hwycov_id]],[2]flow_freeway!$A$2:$E$1643,4,FALSE),0)</f>
        <v>9812</v>
      </c>
      <c r="I1008">
        <f>IFERROR(VLOOKUP(Table_socioeca8.sandag.org_ws_abm2_f4[[#This Row],[hwycov_id]],[2]flow_freeway!$A$2:$E$1643,5,FALSE),0)</f>
        <v>5751</v>
      </c>
      <c r="K1008">
        <f>Table_socioeca8.sandag.org_ws_abm2_f4[[#This Row],[hwycov_id]]</f>
        <v>23885</v>
      </c>
      <c r="L1008">
        <f>Table_socioeca8.sandag.org_ws_abm2_f4[[#This Row],[scenario_id]]</f>
        <v>259</v>
      </c>
      <c r="M1008">
        <f>Table_socioeca8.sandag.org_ws_abm2_f4[[#This Row],[flow_day]]</f>
        <v>31249</v>
      </c>
      <c r="N1008">
        <f>Table_socioeca8.sandag.org_ws_abm2_f4[[#This Row],[flow_am]]</f>
        <v>9812</v>
      </c>
      <c r="O1008">
        <f>Table_socioeca8.sandag.org_ws_abm2_f4[[#This Row],[flow_pm]]</f>
        <v>5751</v>
      </c>
    </row>
    <row r="1009" spans="5:15" x14ac:dyDescent="0.25">
      <c r="E1009">
        <v>24091</v>
      </c>
      <c r="F1009">
        <f t="shared" si="15"/>
        <v>259</v>
      </c>
      <c r="G1009">
        <f>IFERROR(VLOOKUP(Table_socioeca8.sandag.org_ws_abm2_f4[[#This Row],[hwycov_id]],[2]flow_freeway!$A$2:$E$1643,3,FALSE),0)</f>
        <v>62572</v>
      </c>
      <c r="H1009">
        <f>IFERROR(VLOOKUP(Table_socioeca8.sandag.org_ws_abm2_f4[[#This Row],[hwycov_id]],[2]flow_freeway!$A$2:$E$1643,4,FALSE),0)</f>
        <v>16363</v>
      </c>
      <c r="I1009">
        <f>IFERROR(VLOOKUP(Table_socioeca8.sandag.org_ws_abm2_f4[[#This Row],[hwycov_id]],[2]flow_freeway!$A$2:$E$1643,5,FALSE),0)</f>
        <v>13596</v>
      </c>
      <c r="K1009">
        <f>Table_socioeca8.sandag.org_ws_abm2_f4[[#This Row],[hwycov_id]]</f>
        <v>24091</v>
      </c>
      <c r="L1009">
        <f>Table_socioeca8.sandag.org_ws_abm2_f4[[#This Row],[scenario_id]]</f>
        <v>259</v>
      </c>
      <c r="M1009">
        <f>Table_socioeca8.sandag.org_ws_abm2_f4[[#This Row],[flow_day]]</f>
        <v>62572</v>
      </c>
      <c r="N1009">
        <f>Table_socioeca8.sandag.org_ws_abm2_f4[[#This Row],[flow_am]]</f>
        <v>16363</v>
      </c>
      <c r="O1009">
        <f>Table_socioeca8.sandag.org_ws_abm2_f4[[#This Row],[flow_pm]]</f>
        <v>13596</v>
      </c>
    </row>
    <row r="1010" spans="5:15" x14ac:dyDescent="0.25">
      <c r="E1010">
        <v>24140</v>
      </c>
      <c r="F1010">
        <f t="shared" si="15"/>
        <v>259</v>
      </c>
      <c r="G1010">
        <f>IFERROR(VLOOKUP(Table_socioeca8.sandag.org_ws_abm2_f4[[#This Row],[hwycov_id]],[2]flow_freeway!$A$2:$E$1643,3,FALSE),0)</f>
        <v>80790</v>
      </c>
      <c r="H1010">
        <f>IFERROR(VLOOKUP(Table_socioeca8.sandag.org_ws_abm2_f4[[#This Row],[hwycov_id]],[2]flow_freeway!$A$2:$E$1643,4,FALSE),0)</f>
        <v>17623</v>
      </c>
      <c r="I1010">
        <f>IFERROR(VLOOKUP(Table_socioeca8.sandag.org_ws_abm2_f4[[#This Row],[hwycov_id]],[2]flow_freeway!$A$2:$E$1643,5,FALSE),0)</f>
        <v>17614</v>
      </c>
      <c r="K1010">
        <f>Table_socioeca8.sandag.org_ws_abm2_f4[[#This Row],[hwycov_id]]</f>
        <v>24140</v>
      </c>
      <c r="L1010">
        <f>Table_socioeca8.sandag.org_ws_abm2_f4[[#This Row],[scenario_id]]</f>
        <v>259</v>
      </c>
      <c r="M1010">
        <f>Table_socioeca8.sandag.org_ws_abm2_f4[[#This Row],[flow_day]]</f>
        <v>80790</v>
      </c>
      <c r="N1010">
        <f>Table_socioeca8.sandag.org_ws_abm2_f4[[#This Row],[flow_am]]</f>
        <v>17623</v>
      </c>
      <c r="O1010">
        <f>Table_socioeca8.sandag.org_ws_abm2_f4[[#This Row],[flow_pm]]</f>
        <v>17614</v>
      </c>
    </row>
    <row r="1011" spans="5:15" x14ac:dyDescent="0.25">
      <c r="E1011">
        <v>24143</v>
      </c>
      <c r="F1011">
        <f t="shared" si="15"/>
        <v>259</v>
      </c>
      <c r="G1011">
        <f>IFERROR(VLOOKUP(Table_socioeca8.sandag.org_ws_abm2_f4[[#This Row],[hwycov_id]],[2]flow_freeway!$A$2:$E$1643,3,FALSE),0)</f>
        <v>79625</v>
      </c>
      <c r="H1011">
        <f>IFERROR(VLOOKUP(Table_socioeca8.sandag.org_ws_abm2_f4[[#This Row],[hwycov_id]],[2]flow_freeway!$A$2:$E$1643,4,FALSE),0)</f>
        <v>14561</v>
      </c>
      <c r="I1011">
        <f>IFERROR(VLOOKUP(Table_socioeca8.sandag.org_ws_abm2_f4[[#This Row],[hwycov_id]],[2]flow_freeway!$A$2:$E$1643,5,FALSE),0)</f>
        <v>19654</v>
      </c>
      <c r="K1011">
        <f>Table_socioeca8.sandag.org_ws_abm2_f4[[#This Row],[hwycov_id]]</f>
        <v>24143</v>
      </c>
      <c r="L1011">
        <f>Table_socioeca8.sandag.org_ws_abm2_f4[[#This Row],[scenario_id]]</f>
        <v>259</v>
      </c>
      <c r="M1011">
        <f>Table_socioeca8.sandag.org_ws_abm2_f4[[#This Row],[flow_day]]</f>
        <v>79625</v>
      </c>
      <c r="N1011">
        <f>Table_socioeca8.sandag.org_ws_abm2_f4[[#This Row],[flow_am]]</f>
        <v>14561</v>
      </c>
      <c r="O1011">
        <f>Table_socioeca8.sandag.org_ws_abm2_f4[[#This Row],[flow_pm]]</f>
        <v>19654</v>
      </c>
    </row>
    <row r="1012" spans="5:15" x14ac:dyDescent="0.25">
      <c r="E1012">
        <v>24158</v>
      </c>
      <c r="F1012">
        <f t="shared" si="15"/>
        <v>259</v>
      </c>
      <c r="G1012">
        <f>IFERROR(VLOOKUP(Table_socioeca8.sandag.org_ws_abm2_f4[[#This Row],[hwycov_id]],[2]flow_freeway!$A$2:$E$1643,3,FALSE),0)</f>
        <v>61862</v>
      </c>
      <c r="H1012">
        <f>IFERROR(VLOOKUP(Table_socioeca8.sandag.org_ws_abm2_f4[[#This Row],[hwycov_id]],[2]flow_freeway!$A$2:$E$1643,4,FALSE),0)</f>
        <v>9302</v>
      </c>
      <c r="I1012">
        <f>IFERROR(VLOOKUP(Table_socioeca8.sandag.org_ws_abm2_f4[[#This Row],[hwycov_id]],[2]flow_freeway!$A$2:$E$1643,5,FALSE),0)</f>
        <v>20362</v>
      </c>
      <c r="K1012">
        <f>Table_socioeca8.sandag.org_ws_abm2_f4[[#This Row],[hwycov_id]]</f>
        <v>24158</v>
      </c>
      <c r="L1012">
        <f>Table_socioeca8.sandag.org_ws_abm2_f4[[#This Row],[scenario_id]]</f>
        <v>259</v>
      </c>
      <c r="M1012">
        <f>Table_socioeca8.sandag.org_ws_abm2_f4[[#This Row],[flow_day]]</f>
        <v>61862</v>
      </c>
      <c r="N1012">
        <f>Table_socioeca8.sandag.org_ws_abm2_f4[[#This Row],[flow_am]]</f>
        <v>9302</v>
      </c>
      <c r="O1012">
        <f>Table_socioeca8.sandag.org_ws_abm2_f4[[#This Row],[flow_pm]]</f>
        <v>20362</v>
      </c>
    </row>
    <row r="1013" spans="5:15" x14ac:dyDescent="0.25">
      <c r="E1013">
        <v>24173</v>
      </c>
      <c r="F1013">
        <f t="shared" si="15"/>
        <v>259</v>
      </c>
      <c r="G1013">
        <f>IFERROR(VLOOKUP(Table_socioeca8.sandag.org_ws_abm2_f4[[#This Row],[hwycov_id]],[2]flow_freeway!$A$2:$E$1643,3,FALSE),0)</f>
        <v>3840</v>
      </c>
      <c r="H1013">
        <f>IFERROR(VLOOKUP(Table_socioeca8.sandag.org_ws_abm2_f4[[#This Row],[hwycov_id]],[2]flow_freeway!$A$2:$E$1643,4,FALSE),0)</f>
        <v>1390</v>
      </c>
      <c r="I1013">
        <f>IFERROR(VLOOKUP(Table_socioeca8.sandag.org_ws_abm2_f4[[#This Row],[hwycov_id]],[2]flow_freeway!$A$2:$E$1643,5,FALSE),0)</f>
        <v>222</v>
      </c>
      <c r="K1013">
        <f>Table_socioeca8.sandag.org_ws_abm2_f4[[#This Row],[hwycov_id]]</f>
        <v>24173</v>
      </c>
      <c r="L1013">
        <f>Table_socioeca8.sandag.org_ws_abm2_f4[[#This Row],[scenario_id]]</f>
        <v>259</v>
      </c>
      <c r="M1013">
        <f>Table_socioeca8.sandag.org_ws_abm2_f4[[#This Row],[flow_day]]</f>
        <v>3840</v>
      </c>
      <c r="N1013">
        <f>Table_socioeca8.sandag.org_ws_abm2_f4[[#This Row],[flow_am]]</f>
        <v>1390</v>
      </c>
      <c r="O1013">
        <f>Table_socioeca8.sandag.org_ws_abm2_f4[[#This Row],[flow_pm]]</f>
        <v>222</v>
      </c>
    </row>
    <row r="1014" spans="5:15" x14ac:dyDescent="0.25">
      <c r="E1014">
        <v>24186</v>
      </c>
      <c r="F1014">
        <f t="shared" si="15"/>
        <v>259</v>
      </c>
      <c r="G1014">
        <f>IFERROR(VLOOKUP(Table_socioeca8.sandag.org_ws_abm2_f4[[#This Row],[hwycov_id]],[2]flow_freeway!$A$2:$E$1643,3,FALSE),0)</f>
        <v>67709</v>
      </c>
      <c r="H1014">
        <f>IFERROR(VLOOKUP(Table_socioeca8.sandag.org_ws_abm2_f4[[#This Row],[hwycov_id]],[2]flow_freeway!$A$2:$E$1643,4,FALSE),0)</f>
        <v>18931</v>
      </c>
      <c r="I1014">
        <f>IFERROR(VLOOKUP(Table_socioeca8.sandag.org_ws_abm2_f4[[#This Row],[hwycov_id]],[2]flow_freeway!$A$2:$E$1643,5,FALSE),0)</f>
        <v>13450</v>
      </c>
      <c r="K1014">
        <f>Table_socioeca8.sandag.org_ws_abm2_f4[[#This Row],[hwycov_id]]</f>
        <v>24186</v>
      </c>
      <c r="L1014">
        <f>Table_socioeca8.sandag.org_ws_abm2_f4[[#This Row],[scenario_id]]</f>
        <v>259</v>
      </c>
      <c r="M1014">
        <f>Table_socioeca8.sandag.org_ws_abm2_f4[[#This Row],[flow_day]]</f>
        <v>67709</v>
      </c>
      <c r="N1014">
        <f>Table_socioeca8.sandag.org_ws_abm2_f4[[#This Row],[flow_am]]</f>
        <v>18931</v>
      </c>
      <c r="O1014">
        <f>Table_socioeca8.sandag.org_ws_abm2_f4[[#This Row],[flow_pm]]</f>
        <v>13450</v>
      </c>
    </row>
    <row r="1015" spans="5:15" x14ac:dyDescent="0.25">
      <c r="E1015">
        <v>24212</v>
      </c>
      <c r="F1015">
        <f t="shared" si="15"/>
        <v>259</v>
      </c>
      <c r="G1015">
        <f>IFERROR(VLOOKUP(Table_socioeca8.sandag.org_ws_abm2_f4[[#This Row],[hwycov_id]],[2]flow_freeway!$A$2:$E$1643,3,FALSE),0)</f>
        <v>1833</v>
      </c>
      <c r="H1015">
        <f>IFERROR(VLOOKUP(Table_socioeca8.sandag.org_ws_abm2_f4[[#This Row],[hwycov_id]],[2]flow_freeway!$A$2:$E$1643,4,FALSE),0)</f>
        <v>1833</v>
      </c>
      <c r="I1015">
        <f>IFERROR(VLOOKUP(Table_socioeca8.sandag.org_ws_abm2_f4[[#This Row],[hwycov_id]],[2]flow_freeway!$A$2:$E$1643,5,FALSE),0)</f>
        <v>0</v>
      </c>
      <c r="K1015">
        <f>Table_socioeca8.sandag.org_ws_abm2_f4[[#This Row],[hwycov_id]]</f>
        <v>24212</v>
      </c>
      <c r="L1015">
        <f>Table_socioeca8.sandag.org_ws_abm2_f4[[#This Row],[scenario_id]]</f>
        <v>259</v>
      </c>
      <c r="M1015">
        <f>Table_socioeca8.sandag.org_ws_abm2_f4[[#This Row],[flow_day]]</f>
        <v>1833</v>
      </c>
      <c r="N1015">
        <f>Table_socioeca8.sandag.org_ws_abm2_f4[[#This Row],[flow_am]]</f>
        <v>1833</v>
      </c>
      <c r="O1015">
        <f>Table_socioeca8.sandag.org_ws_abm2_f4[[#This Row],[flow_pm]]</f>
        <v>0</v>
      </c>
    </row>
    <row r="1016" spans="5:15" x14ac:dyDescent="0.25">
      <c r="E1016">
        <v>24224</v>
      </c>
      <c r="F1016">
        <f t="shared" si="15"/>
        <v>259</v>
      </c>
      <c r="G1016">
        <f>IFERROR(VLOOKUP(Table_socioeca8.sandag.org_ws_abm2_f4[[#This Row],[hwycov_id]],[2]flow_freeway!$A$2:$E$1643,3,FALSE),0)</f>
        <v>2132</v>
      </c>
      <c r="H1016">
        <f>IFERROR(VLOOKUP(Table_socioeca8.sandag.org_ws_abm2_f4[[#This Row],[hwycov_id]],[2]flow_freeway!$A$2:$E$1643,4,FALSE),0)</f>
        <v>0</v>
      </c>
      <c r="I1016">
        <f>IFERROR(VLOOKUP(Table_socioeca8.sandag.org_ws_abm2_f4[[#This Row],[hwycov_id]],[2]flow_freeway!$A$2:$E$1643,5,FALSE),0)</f>
        <v>2132</v>
      </c>
      <c r="K1016">
        <f>Table_socioeca8.sandag.org_ws_abm2_f4[[#This Row],[hwycov_id]]</f>
        <v>24224</v>
      </c>
      <c r="L1016">
        <f>Table_socioeca8.sandag.org_ws_abm2_f4[[#This Row],[scenario_id]]</f>
        <v>259</v>
      </c>
      <c r="M1016">
        <f>Table_socioeca8.sandag.org_ws_abm2_f4[[#This Row],[flow_day]]</f>
        <v>2132</v>
      </c>
      <c r="N1016">
        <f>Table_socioeca8.sandag.org_ws_abm2_f4[[#This Row],[flow_am]]</f>
        <v>0</v>
      </c>
      <c r="O1016">
        <f>Table_socioeca8.sandag.org_ws_abm2_f4[[#This Row],[flow_pm]]</f>
        <v>2132</v>
      </c>
    </row>
    <row r="1017" spans="5:15" x14ac:dyDescent="0.25">
      <c r="E1017">
        <v>24499</v>
      </c>
      <c r="F1017">
        <f t="shared" si="15"/>
        <v>259</v>
      </c>
      <c r="G1017">
        <f>IFERROR(VLOOKUP(Table_socioeca8.sandag.org_ws_abm2_f4[[#This Row],[hwycov_id]],[2]flow_freeway!$A$2:$E$1643,3,FALSE),0)</f>
        <v>92163</v>
      </c>
      <c r="H1017">
        <f>IFERROR(VLOOKUP(Table_socioeca8.sandag.org_ws_abm2_f4[[#This Row],[hwycov_id]],[2]flow_freeway!$A$2:$E$1643,4,FALSE),0)</f>
        <v>20387</v>
      </c>
      <c r="I1017">
        <f>IFERROR(VLOOKUP(Table_socioeca8.sandag.org_ws_abm2_f4[[#This Row],[hwycov_id]],[2]flow_freeway!$A$2:$E$1643,5,FALSE),0)</f>
        <v>22278</v>
      </c>
      <c r="K1017">
        <f>Table_socioeca8.sandag.org_ws_abm2_f4[[#This Row],[hwycov_id]]</f>
        <v>24499</v>
      </c>
      <c r="L1017">
        <f>Table_socioeca8.sandag.org_ws_abm2_f4[[#This Row],[scenario_id]]</f>
        <v>259</v>
      </c>
      <c r="M1017">
        <f>Table_socioeca8.sandag.org_ws_abm2_f4[[#This Row],[flow_day]]</f>
        <v>92163</v>
      </c>
      <c r="N1017">
        <f>Table_socioeca8.sandag.org_ws_abm2_f4[[#This Row],[flow_am]]</f>
        <v>20387</v>
      </c>
      <c r="O1017">
        <f>Table_socioeca8.sandag.org_ws_abm2_f4[[#This Row],[flow_pm]]</f>
        <v>22278</v>
      </c>
    </row>
    <row r="1018" spans="5:15" x14ac:dyDescent="0.25">
      <c r="E1018">
        <v>24523</v>
      </c>
      <c r="F1018">
        <f t="shared" si="15"/>
        <v>259</v>
      </c>
      <c r="G1018">
        <f>IFERROR(VLOOKUP(Table_socioeca8.sandag.org_ws_abm2_f4[[#This Row],[hwycov_id]],[2]flow_freeway!$A$2:$E$1643,3,FALSE),0)</f>
        <v>112613</v>
      </c>
      <c r="H1018">
        <f>IFERROR(VLOOKUP(Table_socioeca8.sandag.org_ws_abm2_f4[[#This Row],[hwycov_id]],[2]flow_freeway!$A$2:$E$1643,4,FALSE),0)</f>
        <v>22113</v>
      </c>
      <c r="I1018">
        <f>IFERROR(VLOOKUP(Table_socioeca8.sandag.org_ws_abm2_f4[[#This Row],[hwycov_id]],[2]flow_freeway!$A$2:$E$1643,5,FALSE),0)</f>
        <v>29152</v>
      </c>
      <c r="K1018">
        <f>Table_socioeca8.sandag.org_ws_abm2_f4[[#This Row],[hwycov_id]]</f>
        <v>24523</v>
      </c>
      <c r="L1018">
        <f>Table_socioeca8.sandag.org_ws_abm2_f4[[#This Row],[scenario_id]]</f>
        <v>259</v>
      </c>
      <c r="M1018">
        <f>Table_socioeca8.sandag.org_ws_abm2_f4[[#This Row],[flow_day]]</f>
        <v>112613</v>
      </c>
      <c r="N1018">
        <f>Table_socioeca8.sandag.org_ws_abm2_f4[[#This Row],[flow_am]]</f>
        <v>22113</v>
      </c>
      <c r="O1018">
        <f>Table_socioeca8.sandag.org_ws_abm2_f4[[#This Row],[flow_pm]]</f>
        <v>29152</v>
      </c>
    </row>
    <row r="1019" spans="5:15" x14ac:dyDescent="0.25">
      <c r="E1019">
        <v>24696</v>
      </c>
      <c r="F1019">
        <f t="shared" si="15"/>
        <v>259</v>
      </c>
      <c r="G1019">
        <f>IFERROR(VLOOKUP(Table_socioeca8.sandag.org_ws_abm2_f4[[#This Row],[hwycov_id]],[2]flow_freeway!$A$2:$E$1643,3,FALSE),0)</f>
        <v>59322</v>
      </c>
      <c r="H1019">
        <f>IFERROR(VLOOKUP(Table_socioeca8.sandag.org_ws_abm2_f4[[#This Row],[hwycov_id]],[2]flow_freeway!$A$2:$E$1643,4,FALSE),0)</f>
        <v>12256</v>
      </c>
      <c r="I1019">
        <f>IFERROR(VLOOKUP(Table_socioeca8.sandag.org_ws_abm2_f4[[#This Row],[hwycov_id]],[2]flow_freeway!$A$2:$E$1643,5,FALSE),0)</f>
        <v>14668</v>
      </c>
      <c r="K1019">
        <f>Table_socioeca8.sandag.org_ws_abm2_f4[[#This Row],[hwycov_id]]</f>
        <v>24696</v>
      </c>
      <c r="L1019">
        <f>Table_socioeca8.sandag.org_ws_abm2_f4[[#This Row],[scenario_id]]</f>
        <v>259</v>
      </c>
      <c r="M1019">
        <f>Table_socioeca8.sandag.org_ws_abm2_f4[[#This Row],[flow_day]]</f>
        <v>59322</v>
      </c>
      <c r="N1019">
        <f>Table_socioeca8.sandag.org_ws_abm2_f4[[#This Row],[flow_am]]</f>
        <v>12256</v>
      </c>
      <c r="O1019">
        <f>Table_socioeca8.sandag.org_ws_abm2_f4[[#This Row],[flow_pm]]</f>
        <v>14668</v>
      </c>
    </row>
    <row r="1020" spans="5:15" x14ac:dyDescent="0.25">
      <c r="E1020">
        <v>24703</v>
      </c>
      <c r="F1020">
        <f t="shared" si="15"/>
        <v>259</v>
      </c>
      <c r="G1020">
        <f>IFERROR(VLOOKUP(Table_socioeca8.sandag.org_ws_abm2_f4[[#This Row],[hwycov_id]],[2]flow_freeway!$A$2:$E$1643,3,FALSE),0)</f>
        <v>83716</v>
      </c>
      <c r="H1020">
        <f>IFERROR(VLOOKUP(Table_socioeca8.sandag.org_ws_abm2_f4[[#This Row],[hwycov_id]],[2]flow_freeway!$A$2:$E$1643,4,FALSE),0)</f>
        <v>15594</v>
      </c>
      <c r="I1020">
        <f>IFERROR(VLOOKUP(Table_socioeca8.sandag.org_ws_abm2_f4[[#This Row],[hwycov_id]],[2]flow_freeway!$A$2:$E$1643,5,FALSE),0)</f>
        <v>20828</v>
      </c>
      <c r="K1020">
        <f>Table_socioeca8.sandag.org_ws_abm2_f4[[#This Row],[hwycov_id]]</f>
        <v>24703</v>
      </c>
      <c r="L1020">
        <f>Table_socioeca8.sandag.org_ws_abm2_f4[[#This Row],[scenario_id]]</f>
        <v>259</v>
      </c>
      <c r="M1020">
        <f>Table_socioeca8.sandag.org_ws_abm2_f4[[#This Row],[flow_day]]</f>
        <v>83716</v>
      </c>
      <c r="N1020">
        <f>Table_socioeca8.sandag.org_ws_abm2_f4[[#This Row],[flow_am]]</f>
        <v>15594</v>
      </c>
      <c r="O1020">
        <f>Table_socioeca8.sandag.org_ws_abm2_f4[[#This Row],[flow_pm]]</f>
        <v>20828</v>
      </c>
    </row>
    <row r="1021" spans="5:15" x14ac:dyDescent="0.25">
      <c r="E1021">
        <v>24704</v>
      </c>
      <c r="F1021">
        <f t="shared" si="15"/>
        <v>259</v>
      </c>
      <c r="G1021">
        <f>IFERROR(VLOOKUP(Table_socioeca8.sandag.org_ws_abm2_f4[[#This Row],[hwycov_id]],[2]flow_freeway!$A$2:$E$1643,3,FALSE),0)</f>
        <v>120195</v>
      </c>
      <c r="H1021">
        <f>IFERROR(VLOOKUP(Table_socioeca8.sandag.org_ws_abm2_f4[[#This Row],[hwycov_id]],[2]flow_freeway!$A$2:$E$1643,4,FALSE),0)</f>
        <v>20459</v>
      </c>
      <c r="I1021">
        <f>IFERROR(VLOOKUP(Table_socioeca8.sandag.org_ws_abm2_f4[[#This Row],[hwycov_id]],[2]flow_freeway!$A$2:$E$1643,5,FALSE),0)</f>
        <v>31284</v>
      </c>
      <c r="K1021">
        <f>Table_socioeca8.sandag.org_ws_abm2_f4[[#This Row],[hwycov_id]]</f>
        <v>24704</v>
      </c>
      <c r="L1021">
        <f>Table_socioeca8.sandag.org_ws_abm2_f4[[#This Row],[scenario_id]]</f>
        <v>259</v>
      </c>
      <c r="M1021">
        <f>Table_socioeca8.sandag.org_ws_abm2_f4[[#This Row],[flow_day]]</f>
        <v>120195</v>
      </c>
      <c r="N1021">
        <f>Table_socioeca8.sandag.org_ws_abm2_f4[[#This Row],[flow_am]]</f>
        <v>20459</v>
      </c>
      <c r="O1021">
        <f>Table_socioeca8.sandag.org_ws_abm2_f4[[#This Row],[flow_pm]]</f>
        <v>31284</v>
      </c>
    </row>
    <row r="1022" spans="5:15" x14ac:dyDescent="0.25">
      <c r="E1022">
        <v>24714</v>
      </c>
      <c r="F1022">
        <f t="shared" si="15"/>
        <v>259</v>
      </c>
      <c r="G1022">
        <f>IFERROR(VLOOKUP(Table_socioeca8.sandag.org_ws_abm2_f4[[#This Row],[hwycov_id]],[2]flow_freeway!$A$2:$E$1643,3,FALSE),0)</f>
        <v>13363</v>
      </c>
      <c r="H1022">
        <f>IFERROR(VLOOKUP(Table_socioeca8.sandag.org_ws_abm2_f4[[#This Row],[hwycov_id]],[2]flow_freeway!$A$2:$E$1643,4,FALSE),0)</f>
        <v>3734</v>
      </c>
      <c r="I1022">
        <f>IFERROR(VLOOKUP(Table_socioeca8.sandag.org_ws_abm2_f4[[#This Row],[hwycov_id]],[2]flow_freeway!$A$2:$E$1643,5,FALSE),0)</f>
        <v>3061</v>
      </c>
      <c r="K1022">
        <f>Table_socioeca8.sandag.org_ws_abm2_f4[[#This Row],[hwycov_id]]</f>
        <v>24714</v>
      </c>
      <c r="L1022">
        <f>Table_socioeca8.sandag.org_ws_abm2_f4[[#This Row],[scenario_id]]</f>
        <v>259</v>
      </c>
      <c r="M1022">
        <f>Table_socioeca8.sandag.org_ws_abm2_f4[[#This Row],[flow_day]]</f>
        <v>13363</v>
      </c>
      <c r="N1022">
        <f>Table_socioeca8.sandag.org_ws_abm2_f4[[#This Row],[flow_am]]</f>
        <v>3734</v>
      </c>
      <c r="O1022">
        <f>Table_socioeca8.sandag.org_ws_abm2_f4[[#This Row],[flow_pm]]</f>
        <v>3061</v>
      </c>
    </row>
    <row r="1023" spans="5:15" x14ac:dyDescent="0.25">
      <c r="E1023">
        <v>24750</v>
      </c>
      <c r="F1023">
        <f t="shared" si="15"/>
        <v>259</v>
      </c>
      <c r="G1023">
        <f>IFERROR(VLOOKUP(Table_socioeca8.sandag.org_ws_abm2_f4[[#This Row],[hwycov_id]],[2]flow_freeway!$A$2:$E$1643,3,FALSE),0)</f>
        <v>14381</v>
      </c>
      <c r="H1023">
        <f>IFERROR(VLOOKUP(Table_socioeca8.sandag.org_ws_abm2_f4[[#This Row],[hwycov_id]],[2]flow_freeway!$A$2:$E$1643,4,FALSE),0)</f>
        <v>4001</v>
      </c>
      <c r="I1023">
        <f>IFERROR(VLOOKUP(Table_socioeca8.sandag.org_ws_abm2_f4[[#This Row],[hwycov_id]],[2]flow_freeway!$A$2:$E$1643,5,FALSE),0)</f>
        <v>4527</v>
      </c>
      <c r="K1023">
        <f>Table_socioeca8.sandag.org_ws_abm2_f4[[#This Row],[hwycov_id]]</f>
        <v>24750</v>
      </c>
      <c r="L1023">
        <f>Table_socioeca8.sandag.org_ws_abm2_f4[[#This Row],[scenario_id]]</f>
        <v>259</v>
      </c>
      <c r="M1023">
        <f>Table_socioeca8.sandag.org_ws_abm2_f4[[#This Row],[flow_day]]</f>
        <v>14381</v>
      </c>
      <c r="N1023">
        <f>Table_socioeca8.sandag.org_ws_abm2_f4[[#This Row],[flow_am]]</f>
        <v>4001</v>
      </c>
      <c r="O1023">
        <f>Table_socioeca8.sandag.org_ws_abm2_f4[[#This Row],[flow_pm]]</f>
        <v>4527</v>
      </c>
    </row>
    <row r="1024" spans="5:15" x14ac:dyDescent="0.25">
      <c r="E1024">
        <v>24770</v>
      </c>
      <c r="F1024">
        <f t="shared" si="15"/>
        <v>259</v>
      </c>
      <c r="G1024">
        <f>IFERROR(VLOOKUP(Table_socioeca8.sandag.org_ws_abm2_f4[[#This Row],[hwycov_id]],[2]flow_freeway!$A$2:$E$1643,3,FALSE),0)</f>
        <v>16309</v>
      </c>
      <c r="H1024">
        <f>IFERROR(VLOOKUP(Table_socioeca8.sandag.org_ws_abm2_f4[[#This Row],[hwycov_id]],[2]flow_freeway!$A$2:$E$1643,4,FALSE),0)</f>
        <v>3966</v>
      </c>
      <c r="I1024">
        <f>IFERROR(VLOOKUP(Table_socioeca8.sandag.org_ws_abm2_f4[[#This Row],[hwycov_id]],[2]flow_freeway!$A$2:$E$1643,5,FALSE),0)</f>
        <v>5287</v>
      </c>
      <c r="K1024">
        <f>Table_socioeca8.sandag.org_ws_abm2_f4[[#This Row],[hwycov_id]]</f>
        <v>24770</v>
      </c>
      <c r="L1024">
        <f>Table_socioeca8.sandag.org_ws_abm2_f4[[#This Row],[scenario_id]]</f>
        <v>259</v>
      </c>
      <c r="M1024">
        <f>Table_socioeca8.sandag.org_ws_abm2_f4[[#This Row],[flow_day]]</f>
        <v>16309</v>
      </c>
      <c r="N1024">
        <f>Table_socioeca8.sandag.org_ws_abm2_f4[[#This Row],[flow_am]]</f>
        <v>3966</v>
      </c>
      <c r="O1024">
        <f>Table_socioeca8.sandag.org_ws_abm2_f4[[#This Row],[flow_pm]]</f>
        <v>5287</v>
      </c>
    </row>
    <row r="1025" spans="5:15" x14ac:dyDescent="0.25">
      <c r="E1025">
        <v>25025</v>
      </c>
      <c r="F1025">
        <f t="shared" si="15"/>
        <v>259</v>
      </c>
      <c r="G1025">
        <f>IFERROR(VLOOKUP(Table_socioeca8.sandag.org_ws_abm2_f4[[#This Row],[hwycov_id]],[2]flow_freeway!$A$2:$E$1643,3,FALSE),0)</f>
        <v>64245</v>
      </c>
      <c r="H1025">
        <f>IFERROR(VLOOKUP(Table_socioeca8.sandag.org_ws_abm2_f4[[#This Row],[hwycov_id]],[2]flow_freeway!$A$2:$E$1643,4,FALSE),0)</f>
        <v>19780</v>
      </c>
      <c r="I1025">
        <f>IFERROR(VLOOKUP(Table_socioeca8.sandag.org_ws_abm2_f4[[#This Row],[hwycov_id]],[2]flow_freeway!$A$2:$E$1643,5,FALSE),0)</f>
        <v>11090</v>
      </c>
      <c r="K1025">
        <f>Table_socioeca8.sandag.org_ws_abm2_f4[[#This Row],[hwycov_id]]</f>
        <v>25025</v>
      </c>
      <c r="L1025">
        <f>Table_socioeca8.sandag.org_ws_abm2_f4[[#This Row],[scenario_id]]</f>
        <v>259</v>
      </c>
      <c r="M1025">
        <f>Table_socioeca8.sandag.org_ws_abm2_f4[[#This Row],[flow_day]]</f>
        <v>64245</v>
      </c>
      <c r="N1025">
        <f>Table_socioeca8.sandag.org_ws_abm2_f4[[#This Row],[flow_am]]</f>
        <v>19780</v>
      </c>
      <c r="O1025">
        <f>Table_socioeca8.sandag.org_ws_abm2_f4[[#This Row],[flow_pm]]</f>
        <v>11090</v>
      </c>
    </row>
    <row r="1026" spans="5:15" x14ac:dyDescent="0.25">
      <c r="E1026">
        <v>25099</v>
      </c>
      <c r="F1026">
        <f t="shared" si="15"/>
        <v>259</v>
      </c>
      <c r="G1026">
        <f>IFERROR(VLOOKUP(Table_socioeca8.sandag.org_ws_abm2_f4[[#This Row],[hwycov_id]],[2]flow_freeway!$A$2:$E$1643,3,FALSE),0)</f>
        <v>128543</v>
      </c>
      <c r="H1026">
        <f>IFERROR(VLOOKUP(Table_socioeca8.sandag.org_ws_abm2_f4[[#This Row],[hwycov_id]],[2]flow_freeway!$A$2:$E$1643,4,FALSE),0)</f>
        <v>20239</v>
      </c>
      <c r="I1026">
        <f>IFERROR(VLOOKUP(Table_socioeca8.sandag.org_ws_abm2_f4[[#This Row],[hwycov_id]],[2]flow_freeway!$A$2:$E$1643,5,FALSE),0)</f>
        <v>37626</v>
      </c>
      <c r="K1026">
        <f>Table_socioeca8.sandag.org_ws_abm2_f4[[#This Row],[hwycov_id]]</f>
        <v>25099</v>
      </c>
      <c r="L1026">
        <f>Table_socioeca8.sandag.org_ws_abm2_f4[[#This Row],[scenario_id]]</f>
        <v>259</v>
      </c>
      <c r="M1026">
        <f>Table_socioeca8.sandag.org_ws_abm2_f4[[#This Row],[flow_day]]</f>
        <v>128543</v>
      </c>
      <c r="N1026">
        <f>Table_socioeca8.sandag.org_ws_abm2_f4[[#This Row],[flow_am]]</f>
        <v>20239</v>
      </c>
      <c r="O1026">
        <f>Table_socioeca8.sandag.org_ws_abm2_f4[[#This Row],[flow_pm]]</f>
        <v>37626</v>
      </c>
    </row>
    <row r="1027" spans="5:15" x14ac:dyDescent="0.25">
      <c r="E1027">
        <v>25100</v>
      </c>
      <c r="F1027">
        <f t="shared" si="15"/>
        <v>259</v>
      </c>
      <c r="G1027">
        <f>IFERROR(VLOOKUP(Table_socioeca8.sandag.org_ws_abm2_f4[[#This Row],[hwycov_id]],[2]flow_freeway!$A$2:$E$1643,3,FALSE),0)</f>
        <v>130073</v>
      </c>
      <c r="H1027">
        <f>IFERROR(VLOOKUP(Table_socioeca8.sandag.org_ws_abm2_f4[[#This Row],[hwycov_id]],[2]flow_freeway!$A$2:$E$1643,4,FALSE),0)</f>
        <v>30787</v>
      </c>
      <c r="I1027">
        <f>IFERROR(VLOOKUP(Table_socioeca8.sandag.org_ws_abm2_f4[[#This Row],[hwycov_id]],[2]flow_freeway!$A$2:$E$1643,5,FALSE),0)</f>
        <v>23415</v>
      </c>
      <c r="K1027">
        <f>Table_socioeca8.sandag.org_ws_abm2_f4[[#This Row],[hwycov_id]]</f>
        <v>25100</v>
      </c>
      <c r="L1027">
        <f>Table_socioeca8.sandag.org_ws_abm2_f4[[#This Row],[scenario_id]]</f>
        <v>259</v>
      </c>
      <c r="M1027">
        <f>Table_socioeca8.sandag.org_ws_abm2_f4[[#This Row],[flow_day]]</f>
        <v>130073</v>
      </c>
      <c r="N1027">
        <f>Table_socioeca8.sandag.org_ws_abm2_f4[[#This Row],[flow_am]]</f>
        <v>30787</v>
      </c>
      <c r="O1027">
        <f>Table_socioeca8.sandag.org_ws_abm2_f4[[#This Row],[flow_pm]]</f>
        <v>23415</v>
      </c>
    </row>
    <row r="1028" spans="5:15" x14ac:dyDescent="0.25">
      <c r="E1028">
        <v>25104</v>
      </c>
      <c r="F1028">
        <f t="shared" ref="F1028:F1091" si="16">F1027</f>
        <v>259</v>
      </c>
      <c r="G1028">
        <f>IFERROR(VLOOKUP(Table_socioeca8.sandag.org_ws_abm2_f4[[#This Row],[hwycov_id]],[2]flow_freeway!$A$2:$E$1643,3,FALSE),0)</f>
        <v>129312</v>
      </c>
      <c r="H1028">
        <f>IFERROR(VLOOKUP(Table_socioeca8.sandag.org_ws_abm2_f4[[#This Row],[hwycov_id]],[2]flow_freeway!$A$2:$E$1643,4,FALSE),0)</f>
        <v>30947</v>
      </c>
      <c r="I1028">
        <f>IFERROR(VLOOKUP(Table_socioeca8.sandag.org_ws_abm2_f4[[#This Row],[hwycov_id]],[2]flow_freeway!$A$2:$E$1643,5,FALSE),0)</f>
        <v>23856</v>
      </c>
      <c r="K1028">
        <f>Table_socioeca8.sandag.org_ws_abm2_f4[[#This Row],[hwycov_id]]</f>
        <v>25104</v>
      </c>
      <c r="L1028">
        <f>Table_socioeca8.sandag.org_ws_abm2_f4[[#This Row],[scenario_id]]</f>
        <v>259</v>
      </c>
      <c r="M1028">
        <f>Table_socioeca8.sandag.org_ws_abm2_f4[[#This Row],[flow_day]]</f>
        <v>129312</v>
      </c>
      <c r="N1028">
        <f>Table_socioeca8.sandag.org_ws_abm2_f4[[#This Row],[flow_am]]</f>
        <v>30947</v>
      </c>
      <c r="O1028">
        <f>Table_socioeca8.sandag.org_ws_abm2_f4[[#This Row],[flow_pm]]</f>
        <v>23856</v>
      </c>
    </row>
    <row r="1029" spans="5:15" x14ac:dyDescent="0.25">
      <c r="E1029">
        <v>25105</v>
      </c>
      <c r="F1029">
        <f t="shared" si="16"/>
        <v>259</v>
      </c>
      <c r="G1029">
        <f>IFERROR(VLOOKUP(Table_socioeca8.sandag.org_ws_abm2_f4[[#This Row],[hwycov_id]],[2]flow_freeway!$A$2:$E$1643,3,FALSE),0)</f>
        <v>161590</v>
      </c>
      <c r="H1029">
        <f>IFERROR(VLOOKUP(Table_socioeca8.sandag.org_ws_abm2_f4[[#This Row],[hwycov_id]],[2]flow_freeway!$A$2:$E$1643,4,FALSE),0)</f>
        <v>34757</v>
      </c>
      <c r="I1029">
        <f>IFERROR(VLOOKUP(Table_socioeca8.sandag.org_ws_abm2_f4[[#This Row],[hwycov_id]],[2]flow_freeway!$A$2:$E$1643,5,FALSE),0)</f>
        <v>31950</v>
      </c>
      <c r="K1029">
        <f>Table_socioeca8.sandag.org_ws_abm2_f4[[#This Row],[hwycov_id]]</f>
        <v>25105</v>
      </c>
      <c r="L1029">
        <f>Table_socioeca8.sandag.org_ws_abm2_f4[[#This Row],[scenario_id]]</f>
        <v>259</v>
      </c>
      <c r="M1029">
        <f>Table_socioeca8.sandag.org_ws_abm2_f4[[#This Row],[flow_day]]</f>
        <v>161590</v>
      </c>
      <c r="N1029">
        <f>Table_socioeca8.sandag.org_ws_abm2_f4[[#This Row],[flow_am]]</f>
        <v>34757</v>
      </c>
      <c r="O1029">
        <f>Table_socioeca8.sandag.org_ws_abm2_f4[[#This Row],[flow_pm]]</f>
        <v>31950</v>
      </c>
    </row>
    <row r="1030" spans="5:15" x14ac:dyDescent="0.25">
      <c r="E1030">
        <v>25128</v>
      </c>
      <c r="F1030">
        <f t="shared" si="16"/>
        <v>259</v>
      </c>
      <c r="G1030">
        <f>IFERROR(VLOOKUP(Table_socioeca8.sandag.org_ws_abm2_f4[[#This Row],[hwycov_id]],[2]flow_freeway!$A$2:$E$1643,3,FALSE),0)</f>
        <v>116306</v>
      </c>
      <c r="H1030">
        <f>IFERROR(VLOOKUP(Table_socioeca8.sandag.org_ws_abm2_f4[[#This Row],[hwycov_id]],[2]flow_freeway!$A$2:$E$1643,4,FALSE),0)</f>
        <v>24879</v>
      </c>
      <c r="I1030">
        <f>IFERROR(VLOOKUP(Table_socioeca8.sandag.org_ws_abm2_f4[[#This Row],[hwycov_id]],[2]flow_freeway!$A$2:$E$1643,5,FALSE),0)</f>
        <v>29005</v>
      </c>
      <c r="K1030">
        <f>Table_socioeca8.sandag.org_ws_abm2_f4[[#This Row],[hwycov_id]]</f>
        <v>25128</v>
      </c>
      <c r="L1030">
        <f>Table_socioeca8.sandag.org_ws_abm2_f4[[#This Row],[scenario_id]]</f>
        <v>259</v>
      </c>
      <c r="M1030">
        <f>Table_socioeca8.sandag.org_ws_abm2_f4[[#This Row],[flow_day]]</f>
        <v>116306</v>
      </c>
      <c r="N1030">
        <f>Table_socioeca8.sandag.org_ws_abm2_f4[[#This Row],[flow_am]]</f>
        <v>24879</v>
      </c>
      <c r="O1030">
        <f>Table_socioeca8.sandag.org_ws_abm2_f4[[#This Row],[flow_pm]]</f>
        <v>29005</v>
      </c>
    </row>
    <row r="1031" spans="5:15" x14ac:dyDescent="0.25">
      <c r="E1031">
        <v>25142</v>
      </c>
      <c r="F1031">
        <f t="shared" si="16"/>
        <v>259</v>
      </c>
      <c r="G1031">
        <f>IFERROR(VLOOKUP(Table_socioeca8.sandag.org_ws_abm2_f4[[#This Row],[hwycov_id]],[2]flow_freeway!$A$2:$E$1643,3,FALSE),0)</f>
        <v>100090</v>
      </c>
      <c r="H1031">
        <f>IFERROR(VLOOKUP(Table_socioeca8.sandag.org_ws_abm2_f4[[#This Row],[hwycov_id]],[2]flow_freeway!$A$2:$E$1643,4,FALSE),0)</f>
        <v>20993</v>
      </c>
      <c r="I1031">
        <f>IFERROR(VLOOKUP(Table_socioeca8.sandag.org_ws_abm2_f4[[#This Row],[hwycov_id]],[2]flow_freeway!$A$2:$E$1643,5,FALSE),0)</f>
        <v>25473</v>
      </c>
      <c r="K1031">
        <f>Table_socioeca8.sandag.org_ws_abm2_f4[[#This Row],[hwycov_id]]</f>
        <v>25142</v>
      </c>
      <c r="L1031">
        <f>Table_socioeca8.sandag.org_ws_abm2_f4[[#This Row],[scenario_id]]</f>
        <v>259</v>
      </c>
      <c r="M1031">
        <f>Table_socioeca8.sandag.org_ws_abm2_f4[[#This Row],[flow_day]]</f>
        <v>100090</v>
      </c>
      <c r="N1031">
        <f>Table_socioeca8.sandag.org_ws_abm2_f4[[#This Row],[flow_am]]</f>
        <v>20993</v>
      </c>
      <c r="O1031">
        <f>Table_socioeca8.sandag.org_ws_abm2_f4[[#This Row],[flow_pm]]</f>
        <v>25473</v>
      </c>
    </row>
    <row r="1032" spans="5:15" x14ac:dyDescent="0.25">
      <c r="E1032">
        <v>25162</v>
      </c>
      <c r="F1032">
        <f t="shared" si="16"/>
        <v>259</v>
      </c>
      <c r="G1032">
        <f>IFERROR(VLOOKUP(Table_socioeca8.sandag.org_ws_abm2_f4[[#This Row],[hwycov_id]],[2]flow_freeway!$A$2:$E$1643,3,FALSE),0)</f>
        <v>17156</v>
      </c>
      <c r="H1032">
        <f>IFERROR(VLOOKUP(Table_socioeca8.sandag.org_ws_abm2_f4[[#This Row],[hwycov_id]],[2]flow_freeway!$A$2:$E$1643,4,FALSE),0)</f>
        <v>3635</v>
      </c>
      <c r="I1032">
        <f>IFERROR(VLOOKUP(Table_socioeca8.sandag.org_ws_abm2_f4[[#This Row],[hwycov_id]],[2]flow_freeway!$A$2:$E$1643,5,FALSE),0)</f>
        <v>3446</v>
      </c>
      <c r="K1032">
        <f>Table_socioeca8.sandag.org_ws_abm2_f4[[#This Row],[hwycov_id]]</f>
        <v>25162</v>
      </c>
      <c r="L1032">
        <f>Table_socioeca8.sandag.org_ws_abm2_f4[[#This Row],[scenario_id]]</f>
        <v>259</v>
      </c>
      <c r="M1032">
        <f>Table_socioeca8.sandag.org_ws_abm2_f4[[#This Row],[flow_day]]</f>
        <v>17156</v>
      </c>
      <c r="N1032">
        <f>Table_socioeca8.sandag.org_ws_abm2_f4[[#This Row],[flow_am]]</f>
        <v>3635</v>
      </c>
      <c r="O1032">
        <f>Table_socioeca8.sandag.org_ws_abm2_f4[[#This Row],[flow_pm]]</f>
        <v>3446</v>
      </c>
    </row>
    <row r="1033" spans="5:15" x14ac:dyDescent="0.25">
      <c r="E1033">
        <v>25163</v>
      </c>
      <c r="F1033">
        <f t="shared" si="16"/>
        <v>259</v>
      </c>
      <c r="G1033">
        <f>IFERROR(VLOOKUP(Table_socioeca8.sandag.org_ws_abm2_f4[[#This Row],[hwycov_id]],[2]flow_freeway!$A$2:$E$1643,3,FALSE),0)</f>
        <v>82437</v>
      </c>
      <c r="H1033">
        <f>IFERROR(VLOOKUP(Table_socioeca8.sandag.org_ws_abm2_f4[[#This Row],[hwycov_id]],[2]flow_freeway!$A$2:$E$1643,4,FALSE),0)</f>
        <v>18092</v>
      </c>
      <c r="I1033">
        <f>IFERROR(VLOOKUP(Table_socioeca8.sandag.org_ws_abm2_f4[[#This Row],[hwycov_id]],[2]flow_freeway!$A$2:$E$1643,5,FALSE),0)</f>
        <v>21316</v>
      </c>
      <c r="K1033">
        <f>Table_socioeca8.sandag.org_ws_abm2_f4[[#This Row],[hwycov_id]]</f>
        <v>25163</v>
      </c>
      <c r="L1033">
        <f>Table_socioeca8.sandag.org_ws_abm2_f4[[#This Row],[scenario_id]]</f>
        <v>259</v>
      </c>
      <c r="M1033">
        <f>Table_socioeca8.sandag.org_ws_abm2_f4[[#This Row],[flow_day]]</f>
        <v>82437</v>
      </c>
      <c r="N1033">
        <f>Table_socioeca8.sandag.org_ws_abm2_f4[[#This Row],[flow_am]]</f>
        <v>18092</v>
      </c>
      <c r="O1033">
        <f>Table_socioeca8.sandag.org_ws_abm2_f4[[#This Row],[flow_pm]]</f>
        <v>21316</v>
      </c>
    </row>
    <row r="1034" spans="5:15" x14ac:dyDescent="0.25">
      <c r="E1034">
        <v>25259</v>
      </c>
      <c r="F1034">
        <f t="shared" si="16"/>
        <v>259</v>
      </c>
      <c r="G1034">
        <f>IFERROR(VLOOKUP(Table_socioeca8.sandag.org_ws_abm2_f4[[#This Row],[hwycov_id]],[2]flow_freeway!$A$2:$E$1643,3,FALSE),0)</f>
        <v>17156</v>
      </c>
      <c r="H1034">
        <f>IFERROR(VLOOKUP(Table_socioeca8.sandag.org_ws_abm2_f4[[#This Row],[hwycov_id]],[2]flow_freeway!$A$2:$E$1643,4,FALSE),0)</f>
        <v>3635</v>
      </c>
      <c r="I1034">
        <f>IFERROR(VLOOKUP(Table_socioeca8.sandag.org_ws_abm2_f4[[#This Row],[hwycov_id]],[2]flow_freeway!$A$2:$E$1643,5,FALSE),0)</f>
        <v>3446</v>
      </c>
      <c r="K1034">
        <f>Table_socioeca8.sandag.org_ws_abm2_f4[[#This Row],[hwycov_id]]</f>
        <v>25259</v>
      </c>
      <c r="L1034">
        <f>Table_socioeca8.sandag.org_ws_abm2_f4[[#This Row],[scenario_id]]</f>
        <v>259</v>
      </c>
      <c r="M1034">
        <f>Table_socioeca8.sandag.org_ws_abm2_f4[[#This Row],[flow_day]]</f>
        <v>17156</v>
      </c>
      <c r="N1034">
        <f>Table_socioeca8.sandag.org_ws_abm2_f4[[#This Row],[flow_am]]</f>
        <v>3635</v>
      </c>
      <c r="O1034">
        <f>Table_socioeca8.sandag.org_ws_abm2_f4[[#This Row],[flow_pm]]</f>
        <v>3446</v>
      </c>
    </row>
    <row r="1035" spans="5:15" x14ac:dyDescent="0.25">
      <c r="E1035">
        <v>25357</v>
      </c>
      <c r="F1035">
        <f t="shared" si="16"/>
        <v>259</v>
      </c>
      <c r="G1035">
        <f>IFERROR(VLOOKUP(Table_socioeca8.sandag.org_ws_abm2_f4[[#This Row],[hwycov_id]],[2]flow_freeway!$A$2:$E$1643,3,FALSE),0)</f>
        <v>5380</v>
      </c>
      <c r="H1035">
        <f>IFERROR(VLOOKUP(Table_socioeca8.sandag.org_ws_abm2_f4[[#This Row],[hwycov_id]],[2]flow_freeway!$A$2:$E$1643,4,FALSE),0)</f>
        <v>888</v>
      </c>
      <c r="I1035">
        <f>IFERROR(VLOOKUP(Table_socioeca8.sandag.org_ws_abm2_f4[[#This Row],[hwycov_id]],[2]flow_freeway!$A$2:$E$1643,5,FALSE),0)</f>
        <v>2551</v>
      </c>
      <c r="K1035">
        <f>Table_socioeca8.sandag.org_ws_abm2_f4[[#This Row],[hwycov_id]]</f>
        <v>25357</v>
      </c>
      <c r="L1035">
        <f>Table_socioeca8.sandag.org_ws_abm2_f4[[#This Row],[scenario_id]]</f>
        <v>259</v>
      </c>
      <c r="M1035">
        <f>Table_socioeca8.sandag.org_ws_abm2_f4[[#This Row],[flow_day]]</f>
        <v>5380</v>
      </c>
      <c r="N1035">
        <f>Table_socioeca8.sandag.org_ws_abm2_f4[[#This Row],[flow_am]]</f>
        <v>888</v>
      </c>
      <c r="O1035">
        <f>Table_socioeca8.sandag.org_ws_abm2_f4[[#This Row],[flow_pm]]</f>
        <v>2551</v>
      </c>
    </row>
    <row r="1036" spans="5:15" x14ac:dyDescent="0.25">
      <c r="E1036">
        <v>25364</v>
      </c>
      <c r="F1036">
        <f t="shared" si="16"/>
        <v>259</v>
      </c>
      <c r="G1036">
        <f>IFERROR(VLOOKUP(Table_socioeca8.sandag.org_ws_abm2_f4[[#This Row],[hwycov_id]],[2]flow_freeway!$A$2:$E$1643,3,FALSE),0)</f>
        <v>4273</v>
      </c>
      <c r="H1036">
        <f>IFERROR(VLOOKUP(Table_socioeca8.sandag.org_ws_abm2_f4[[#This Row],[hwycov_id]],[2]flow_freeway!$A$2:$E$1643,4,FALSE),0)</f>
        <v>862</v>
      </c>
      <c r="I1036">
        <f>IFERROR(VLOOKUP(Table_socioeca8.sandag.org_ws_abm2_f4[[#This Row],[hwycov_id]],[2]flow_freeway!$A$2:$E$1643,5,FALSE),0)</f>
        <v>1753</v>
      </c>
      <c r="K1036">
        <f>Table_socioeca8.sandag.org_ws_abm2_f4[[#This Row],[hwycov_id]]</f>
        <v>25364</v>
      </c>
      <c r="L1036">
        <f>Table_socioeca8.sandag.org_ws_abm2_f4[[#This Row],[scenario_id]]</f>
        <v>259</v>
      </c>
      <c r="M1036">
        <f>Table_socioeca8.sandag.org_ws_abm2_f4[[#This Row],[flow_day]]</f>
        <v>4273</v>
      </c>
      <c r="N1036">
        <f>Table_socioeca8.sandag.org_ws_abm2_f4[[#This Row],[flow_am]]</f>
        <v>862</v>
      </c>
      <c r="O1036">
        <f>Table_socioeca8.sandag.org_ws_abm2_f4[[#This Row],[flow_pm]]</f>
        <v>1753</v>
      </c>
    </row>
    <row r="1037" spans="5:15" x14ac:dyDescent="0.25">
      <c r="E1037">
        <v>25381</v>
      </c>
      <c r="F1037">
        <f t="shared" si="16"/>
        <v>259</v>
      </c>
      <c r="G1037">
        <f>IFERROR(VLOOKUP(Table_socioeca8.sandag.org_ws_abm2_f4[[#This Row],[hwycov_id]],[2]flow_freeway!$A$2:$E$1643,3,FALSE),0)</f>
        <v>16034</v>
      </c>
      <c r="H1037">
        <f>IFERROR(VLOOKUP(Table_socioeca8.sandag.org_ws_abm2_f4[[#This Row],[hwycov_id]],[2]flow_freeway!$A$2:$E$1643,4,FALSE),0)</f>
        <v>2548</v>
      </c>
      <c r="I1037">
        <f>IFERROR(VLOOKUP(Table_socioeca8.sandag.org_ws_abm2_f4[[#This Row],[hwycov_id]],[2]flow_freeway!$A$2:$E$1643,5,FALSE),0)</f>
        <v>6872</v>
      </c>
      <c r="K1037">
        <f>Table_socioeca8.sandag.org_ws_abm2_f4[[#This Row],[hwycov_id]]</f>
        <v>25381</v>
      </c>
      <c r="L1037">
        <f>Table_socioeca8.sandag.org_ws_abm2_f4[[#This Row],[scenario_id]]</f>
        <v>259</v>
      </c>
      <c r="M1037">
        <f>Table_socioeca8.sandag.org_ws_abm2_f4[[#This Row],[flow_day]]</f>
        <v>16034</v>
      </c>
      <c r="N1037">
        <f>Table_socioeca8.sandag.org_ws_abm2_f4[[#This Row],[flow_am]]</f>
        <v>2548</v>
      </c>
      <c r="O1037">
        <f>Table_socioeca8.sandag.org_ws_abm2_f4[[#This Row],[flow_pm]]</f>
        <v>6872</v>
      </c>
    </row>
    <row r="1038" spans="5:15" x14ac:dyDescent="0.25">
      <c r="E1038">
        <v>25386</v>
      </c>
      <c r="F1038">
        <f t="shared" si="16"/>
        <v>259</v>
      </c>
      <c r="G1038">
        <f>IFERROR(VLOOKUP(Table_socioeca8.sandag.org_ws_abm2_f4[[#This Row],[hwycov_id]],[2]flow_freeway!$A$2:$E$1643,3,FALSE),0)</f>
        <v>11354</v>
      </c>
      <c r="H1038">
        <f>IFERROR(VLOOKUP(Table_socioeca8.sandag.org_ws_abm2_f4[[#This Row],[hwycov_id]],[2]flow_freeway!$A$2:$E$1643,4,FALSE),0)</f>
        <v>2013</v>
      </c>
      <c r="I1038">
        <f>IFERROR(VLOOKUP(Table_socioeca8.sandag.org_ws_abm2_f4[[#This Row],[hwycov_id]],[2]flow_freeway!$A$2:$E$1643,5,FALSE),0)</f>
        <v>4799</v>
      </c>
      <c r="K1038">
        <f>Table_socioeca8.sandag.org_ws_abm2_f4[[#This Row],[hwycov_id]]</f>
        <v>25386</v>
      </c>
      <c r="L1038">
        <f>Table_socioeca8.sandag.org_ws_abm2_f4[[#This Row],[scenario_id]]</f>
        <v>259</v>
      </c>
      <c r="M1038">
        <f>Table_socioeca8.sandag.org_ws_abm2_f4[[#This Row],[flow_day]]</f>
        <v>11354</v>
      </c>
      <c r="N1038">
        <f>Table_socioeca8.sandag.org_ws_abm2_f4[[#This Row],[flow_am]]</f>
        <v>2013</v>
      </c>
      <c r="O1038">
        <f>Table_socioeca8.sandag.org_ws_abm2_f4[[#This Row],[flow_pm]]</f>
        <v>4799</v>
      </c>
    </row>
    <row r="1039" spans="5:15" x14ac:dyDescent="0.25">
      <c r="E1039">
        <v>25387</v>
      </c>
      <c r="F1039">
        <f t="shared" si="16"/>
        <v>259</v>
      </c>
      <c r="G1039">
        <f>IFERROR(VLOOKUP(Table_socioeca8.sandag.org_ws_abm2_f4[[#This Row],[hwycov_id]],[2]flow_freeway!$A$2:$E$1643,3,FALSE),0)</f>
        <v>122212</v>
      </c>
      <c r="H1039">
        <f>IFERROR(VLOOKUP(Table_socioeca8.sandag.org_ws_abm2_f4[[#This Row],[hwycov_id]],[2]flow_freeway!$A$2:$E$1643,4,FALSE),0)</f>
        <v>18928</v>
      </c>
      <c r="I1039">
        <f>IFERROR(VLOOKUP(Table_socioeca8.sandag.org_ws_abm2_f4[[#This Row],[hwycov_id]],[2]flow_freeway!$A$2:$E$1643,5,FALSE),0)</f>
        <v>33798</v>
      </c>
      <c r="K1039">
        <f>Table_socioeca8.sandag.org_ws_abm2_f4[[#This Row],[hwycov_id]]</f>
        <v>25387</v>
      </c>
      <c r="L1039">
        <f>Table_socioeca8.sandag.org_ws_abm2_f4[[#This Row],[scenario_id]]</f>
        <v>259</v>
      </c>
      <c r="M1039">
        <f>Table_socioeca8.sandag.org_ws_abm2_f4[[#This Row],[flow_day]]</f>
        <v>122212</v>
      </c>
      <c r="N1039">
        <f>Table_socioeca8.sandag.org_ws_abm2_f4[[#This Row],[flow_am]]</f>
        <v>18928</v>
      </c>
      <c r="O1039">
        <f>Table_socioeca8.sandag.org_ws_abm2_f4[[#This Row],[flow_pm]]</f>
        <v>33798</v>
      </c>
    </row>
    <row r="1040" spans="5:15" x14ac:dyDescent="0.25">
      <c r="E1040">
        <v>25406</v>
      </c>
      <c r="F1040">
        <f t="shared" si="16"/>
        <v>259</v>
      </c>
      <c r="G1040">
        <f>IFERROR(VLOOKUP(Table_socioeca8.sandag.org_ws_abm2_f4[[#This Row],[hwycov_id]],[2]flow_freeway!$A$2:$E$1643,3,FALSE),0)</f>
        <v>120741</v>
      </c>
      <c r="H1040">
        <f>IFERROR(VLOOKUP(Table_socioeca8.sandag.org_ws_abm2_f4[[#This Row],[hwycov_id]],[2]flow_freeway!$A$2:$E$1643,4,FALSE),0)</f>
        <v>28548</v>
      </c>
      <c r="I1040">
        <f>IFERROR(VLOOKUP(Table_socioeca8.sandag.org_ws_abm2_f4[[#This Row],[hwycov_id]],[2]flow_freeway!$A$2:$E$1643,5,FALSE),0)</f>
        <v>23062</v>
      </c>
      <c r="K1040">
        <f>Table_socioeca8.sandag.org_ws_abm2_f4[[#This Row],[hwycov_id]]</f>
        <v>25406</v>
      </c>
      <c r="L1040">
        <f>Table_socioeca8.sandag.org_ws_abm2_f4[[#This Row],[scenario_id]]</f>
        <v>259</v>
      </c>
      <c r="M1040">
        <f>Table_socioeca8.sandag.org_ws_abm2_f4[[#This Row],[flow_day]]</f>
        <v>120741</v>
      </c>
      <c r="N1040">
        <f>Table_socioeca8.sandag.org_ws_abm2_f4[[#This Row],[flow_am]]</f>
        <v>28548</v>
      </c>
      <c r="O1040">
        <f>Table_socioeca8.sandag.org_ws_abm2_f4[[#This Row],[flow_pm]]</f>
        <v>23062</v>
      </c>
    </row>
    <row r="1041" spans="5:15" x14ac:dyDescent="0.25">
      <c r="E1041">
        <v>25409</v>
      </c>
      <c r="F1041">
        <f t="shared" si="16"/>
        <v>259</v>
      </c>
      <c r="G1041">
        <f>IFERROR(VLOOKUP(Table_socioeca8.sandag.org_ws_abm2_f4[[#This Row],[hwycov_id]],[2]flow_freeway!$A$2:$E$1643,3,FALSE),0)</f>
        <v>64558</v>
      </c>
      <c r="H1041">
        <f>IFERROR(VLOOKUP(Table_socioeca8.sandag.org_ws_abm2_f4[[#This Row],[hwycov_id]],[2]flow_freeway!$A$2:$E$1643,4,FALSE),0)</f>
        <v>10201</v>
      </c>
      <c r="I1041">
        <f>IFERROR(VLOOKUP(Table_socioeca8.sandag.org_ws_abm2_f4[[#This Row],[hwycov_id]],[2]flow_freeway!$A$2:$E$1643,5,FALSE),0)</f>
        <v>17708</v>
      </c>
      <c r="K1041">
        <f>Table_socioeca8.sandag.org_ws_abm2_f4[[#This Row],[hwycov_id]]</f>
        <v>25409</v>
      </c>
      <c r="L1041">
        <f>Table_socioeca8.sandag.org_ws_abm2_f4[[#This Row],[scenario_id]]</f>
        <v>259</v>
      </c>
      <c r="M1041">
        <f>Table_socioeca8.sandag.org_ws_abm2_f4[[#This Row],[flow_day]]</f>
        <v>64558</v>
      </c>
      <c r="N1041">
        <f>Table_socioeca8.sandag.org_ws_abm2_f4[[#This Row],[flow_am]]</f>
        <v>10201</v>
      </c>
      <c r="O1041">
        <f>Table_socioeca8.sandag.org_ws_abm2_f4[[#This Row],[flow_pm]]</f>
        <v>17708</v>
      </c>
    </row>
    <row r="1042" spans="5:15" x14ac:dyDescent="0.25">
      <c r="E1042">
        <v>25467</v>
      </c>
      <c r="F1042">
        <f t="shared" si="16"/>
        <v>259</v>
      </c>
      <c r="G1042">
        <f>IFERROR(VLOOKUP(Table_socioeca8.sandag.org_ws_abm2_f4[[#This Row],[hwycov_id]],[2]flow_freeway!$A$2:$E$1643,3,FALSE),0)</f>
        <v>12324</v>
      </c>
      <c r="H1042">
        <f>IFERROR(VLOOKUP(Table_socioeca8.sandag.org_ws_abm2_f4[[#This Row],[hwycov_id]],[2]flow_freeway!$A$2:$E$1643,4,FALSE),0)</f>
        <v>6623</v>
      </c>
      <c r="I1042">
        <f>IFERROR(VLOOKUP(Table_socioeca8.sandag.org_ws_abm2_f4[[#This Row],[hwycov_id]],[2]flow_freeway!$A$2:$E$1643,5,FALSE),0)</f>
        <v>1510</v>
      </c>
      <c r="K1042">
        <f>Table_socioeca8.sandag.org_ws_abm2_f4[[#This Row],[hwycov_id]]</f>
        <v>25467</v>
      </c>
      <c r="L1042">
        <f>Table_socioeca8.sandag.org_ws_abm2_f4[[#This Row],[scenario_id]]</f>
        <v>259</v>
      </c>
      <c r="M1042">
        <f>Table_socioeca8.sandag.org_ws_abm2_f4[[#This Row],[flow_day]]</f>
        <v>12324</v>
      </c>
      <c r="N1042">
        <f>Table_socioeca8.sandag.org_ws_abm2_f4[[#This Row],[flow_am]]</f>
        <v>6623</v>
      </c>
      <c r="O1042">
        <f>Table_socioeca8.sandag.org_ws_abm2_f4[[#This Row],[flow_pm]]</f>
        <v>1510</v>
      </c>
    </row>
    <row r="1043" spans="5:15" x14ac:dyDescent="0.25">
      <c r="E1043">
        <v>25531</v>
      </c>
      <c r="F1043">
        <f t="shared" si="16"/>
        <v>259</v>
      </c>
      <c r="G1043">
        <f>IFERROR(VLOOKUP(Table_socioeca8.sandag.org_ws_abm2_f4[[#This Row],[hwycov_id]],[2]flow_freeway!$A$2:$E$1643,3,FALSE),0)</f>
        <v>29731</v>
      </c>
      <c r="H1043">
        <f>IFERROR(VLOOKUP(Table_socioeca8.sandag.org_ws_abm2_f4[[#This Row],[hwycov_id]],[2]flow_freeway!$A$2:$E$1643,4,FALSE),0)</f>
        <v>5176</v>
      </c>
      <c r="I1043">
        <f>IFERROR(VLOOKUP(Table_socioeca8.sandag.org_ws_abm2_f4[[#This Row],[hwycov_id]],[2]flow_freeway!$A$2:$E$1643,5,FALSE),0)</f>
        <v>6773</v>
      </c>
      <c r="K1043">
        <f>Table_socioeca8.sandag.org_ws_abm2_f4[[#This Row],[hwycov_id]]</f>
        <v>25531</v>
      </c>
      <c r="L1043">
        <f>Table_socioeca8.sandag.org_ws_abm2_f4[[#This Row],[scenario_id]]</f>
        <v>259</v>
      </c>
      <c r="M1043">
        <f>Table_socioeca8.sandag.org_ws_abm2_f4[[#This Row],[flow_day]]</f>
        <v>29731</v>
      </c>
      <c r="N1043">
        <f>Table_socioeca8.sandag.org_ws_abm2_f4[[#This Row],[flow_am]]</f>
        <v>5176</v>
      </c>
      <c r="O1043">
        <f>Table_socioeca8.sandag.org_ws_abm2_f4[[#This Row],[flow_pm]]</f>
        <v>6773</v>
      </c>
    </row>
    <row r="1044" spans="5:15" x14ac:dyDescent="0.25">
      <c r="E1044">
        <v>25532</v>
      </c>
      <c r="F1044">
        <f t="shared" si="16"/>
        <v>259</v>
      </c>
      <c r="G1044">
        <f>IFERROR(VLOOKUP(Table_socioeca8.sandag.org_ws_abm2_f4[[#This Row],[hwycov_id]],[2]flow_freeway!$A$2:$E$1643,3,FALSE),0)</f>
        <v>29731</v>
      </c>
      <c r="H1044">
        <f>IFERROR(VLOOKUP(Table_socioeca8.sandag.org_ws_abm2_f4[[#This Row],[hwycov_id]],[2]flow_freeway!$A$2:$E$1643,4,FALSE),0)</f>
        <v>5176</v>
      </c>
      <c r="I1044">
        <f>IFERROR(VLOOKUP(Table_socioeca8.sandag.org_ws_abm2_f4[[#This Row],[hwycov_id]],[2]flow_freeway!$A$2:$E$1643,5,FALSE),0)</f>
        <v>6773</v>
      </c>
      <c r="K1044">
        <f>Table_socioeca8.sandag.org_ws_abm2_f4[[#This Row],[hwycov_id]]</f>
        <v>25532</v>
      </c>
      <c r="L1044">
        <f>Table_socioeca8.sandag.org_ws_abm2_f4[[#This Row],[scenario_id]]</f>
        <v>259</v>
      </c>
      <c r="M1044">
        <f>Table_socioeca8.sandag.org_ws_abm2_f4[[#This Row],[flow_day]]</f>
        <v>29731</v>
      </c>
      <c r="N1044">
        <f>Table_socioeca8.sandag.org_ws_abm2_f4[[#This Row],[flow_am]]</f>
        <v>5176</v>
      </c>
      <c r="O1044">
        <f>Table_socioeca8.sandag.org_ws_abm2_f4[[#This Row],[flow_pm]]</f>
        <v>6773</v>
      </c>
    </row>
    <row r="1045" spans="5:15" x14ac:dyDescent="0.25">
      <c r="E1045">
        <v>25533</v>
      </c>
      <c r="F1045">
        <f t="shared" si="16"/>
        <v>259</v>
      </c>
      <c r="G1045">
        <f>IFERROR(VLOOKUP(Table_socioeca8.sandag.org_ws_abm2_f4[[#This Row],[hwycov_id]],[2]flow_freeway!$A$2:$E$1643,3,FALSE),0)</f>
        <v>31675</v>
      </c>
      <c r="H1045">
        <f>IFERROR(VLOOKUP(Table_socioeca8.sandag.org_ws_abm2_f4[[#This Row],[hwycov_id]],[2]flow_freeway!$A$2:$E$1643,4,FALSE),0)</f>
        <v>5349</v>
      </c>
      <c r="I1045">
        <f>IFERROR(VLOOKUP(Table_socioeca8.sandag.org_ws_abm2_f4[[#This Row],[hwycov_id]],[2]flow_freeway!$A$2:$E$1643,5,FALSE),0)</f>
        <v>7397</v>
      </c>
      <c r="K1045">
        <f>Table_socioeca8.sandag.org_ws_abm2_f4[[#This Row],[hwycov_id]]</f>
        <v>25533</v>
      </c>
      <c r="L1045">
        <f>Table_socioeca8.sandag.org_ws_abm2_f4[[#This Row],[scenario_id]]</f>
        <v>259</v>
      </c>
      <c r="M1045">
        <f>Table_socioeca8.sandag.org_ws_abm2_f4[[#This Row],[flow_day]]</f>
        <v>31675</v>
      </c>
      <c r="N1045">
        <f>Table_socioeca8.sandag.org_ws_abm2_f4[[#This Row],[flow_am]]</f>
        <v>5349</v>
      </c>
      <c r="O1045">
        <f>Table_socioeca8.sandag.org_ws_abm2_f4[[#This Row],[flow_pm]]</f>
        <v>7397</v>
      </c>
    </row>
    <row r="1046" spans="5:15" x14ac:dyDescent="0.25">
      <c r="E1046">
        <v>25742</v>
      </c>
      <c r="F1046">
        <f t="shared" si="16"/>
        <v>259</v>
      </c>
      <c r="G1046">
        <f>IFERROR(VLOOKUP(Table_socioeca8.sandag.org_ws_abm2_f4[[#This Row],[hwycov_id]],[2]flow_freeway!$A$2:$E$1643,3,FALSE),0)</f>
        <v>69842</v>
      </c>
      <c r="H1046">
        <f>IFERROR(VLOOKUP(Table_socioeca8.sandag.org_ws_abm2_f4[[#This Row],[hwycov_id]],[2]flow_freeway!$A$2:$E$1643,4,FALSE),0)</f>
        <v>16741</v>
      </c>
      <c r="I1046">
        <f>IFERROR(VLOOKUP(Table_socioeca8.sandag.org_ws_abm2_f4[[#This Row],[hwycov_id]],[2]flow_freeway!$A$2:$E$1643,5,FALSE),0)</f>
        <v>14575</v>
      </c>
      <c r="K1046">
        <f>Table_socioeca8.sandag.org_ws_abm2_f4[[#This Row],[hwycov_id]]</f>
        <v>25742</v>
      </c>
      <c r="L1046">
        <f>Table_socioeca8.sandag.org_ws_abm2_f4[[#This Row],[scenario_id]]</f>
        <v>259</v>
      </c>
      <c r="M1046">
        <f>Table_socioeca8.sandag.org_ws_abm2_f4[[#This Row],[flow_day]]</f>
        <v>69842</v>
      </c>
      <c r="N1046">
        <f>Table_socioeca8.sandag.org_ws_abm2_f4[[#This Row],[flow_am]]</f>
        <v>16741</v>
      </c>
      <c r="O1046">
        <f>Table_socioeca8.sandag.org_ws_abm2_f4[[#This Row],[flow_pm]]</f>
        <v>14575</v>
      </c>
    </row>
    <row r="1047" spans="5:15" x14ac:dyDescent="0.25">
      <c r="E1047">
        <v>25749</v>
      </c>
      <c r="F1047">
        <f t="shared" si="16"/>
        <v>259</v>
      </c>
      <c r="G1047">
        <f>IFERROR(VLOOKUP(Table_socioeca8.sandag.org_ws_abm2_f4[[#This Row],[hwycov_id]],[2]flow_freeway!$A$2:$E$1643,3,FALSE),0)</f>
        <v>16420</v>
      </c>
      <c r="H1047">
        <f>IFERROR(VLOOKUP(Table_socioeca8.sandag.org_ws_abm2_f4[[#This Row],[hwycov_id]],[2]flow_freeway!$A$2:$E$1643,4,FALSE),0)</f>
        <v>6433</v>
      </c>
      <c r="I1047">
        <f>IFERROR(VLOOKUP(Table_socioeca8.sandag.org_ws_abm2_f4[[#This Row],[hwycov_id]],[2]flow_freeway!$A$2:$E$1643,5,FALSE),0)</f>
        <v>2504</v>
      </c>
      <c r="K1047">
        <f>Table_socioeca8.sandag.org_ws_abm2_f4[[#This Row],[hwycov_id]]</f>
        <v>25749</v>
      </c>
      <c r="L1047">
        <f>Table_socioeca8.sandag.org_ws_abm2_f4[[#This Row],[scenario_id]]</f>
        <v>259</v>
      </c>
      <c r="M1047">
        <f>Table_socioeca8.sandag.org_ws_abm2_f4[[#This Row],[flow_day]]</f>
        <v>16420</v>
      </c>
      <c r="N1047">
        <f>Table_socioeca8.sandag.org_ws_abm2_f4[[#This Row],[flow_am]]</f>
        <v>6433</v>
      </c>
      <c r="O1047">
        <f>Table_socioeca8.sandag.org_ws_abm2_f4[[#This Row],[flow_pm]]</f>
        <v>2504</v>
      </c>
    </row>
    <row r="1048" spans="5:15" x14ac:dyDescent="0.25">
      <c r="E1048">
        <v>25750</v>
      </c>
      <c r="F1048">
        <f t="shared" si="16"/>
        <v>259</v>
      </c>
      <c r="G1048">
        <f>IFERROR(VLOOKUP(Table_socioeca8.sandag.org_ws_abm2_f4[[#This Row],[hwycov_id]],[2]flow_freeway!$A$2:$E$1643,3,FALSE),0)</f>
        <v>109382</v>
      </c>
      <c r="H1048">
        <f>IFERROR(VLOOKUP(Table_socioeca8.sandag.org_ws_abm2_f4[[#This Row],[hwycov_id]],[2]flow_freeway!$A$2:$E$1643,4,FALSE),0)</f>
        <v>18123</v>
      </c>
      <c r="I1048">
        <f>IFERROR(VLOOKUP(Table_socioeca8.sandag.org_ws_abm2_f4[[#This Row],[hwycov_id]],[2]flow_freeway!$A$2:$E$1643,5,FALSE),0)</f>
        <v>30954</v>
      </c>
      <c r="K1048">
        <f>Table_socioeca8.sandag.org_ws_abm2_f4[[#This Row],[hwycov_id]]</f>
        <v>25750</v>
      </c>
      <c r="L1048">
        <f>Table_socioeca8.sandag.org_ws_abm2_f4[[#This Row],[scenario_id]]</f>
        <v>259</v>
      </c>
      <c r="M1048">
        <f>Table_socioeca8.sandag.org_ws_abm2_f4[[#This Row],[flow_day]]</f>
        <v>109382</v>
      </c>
      <c r="N1048">
        <f>Table_socioeca8.sandag.org_ws_abm2_f4[[#This Row],[flow_am]]</f>
        <v>18123</v>
      </c>
      <c r="O1048">
        <f>Table_socioeca8.sandag.org_ws_abm2_f4[[#This Row],[flow_pm]]</f>
        <v>30954</v>
      </c>
    </row>
    <row r="1049" spans="5:15" x14ac:dyDescent="0.25">
      <c r="E1049">
        <v>25751</v>
      </c>
      <c r="F1049">
        <f t="shared" si="16"/>
        <v>259</v>
      </c>
      <c r="G1049">
        <f>IFERROR(VLOOKUP(Table_socioeca8.sandag.org_ws_abm2_f4[[#This Row],[hwycov_id]],[2]flow_freeway!$A$2:$E$1643,3,FALSE),0)</f>
        <v>116673</v>
      </c>
      <c r="H1049">
        <f>IFERROR(VLOOKUP(Table_socioeca8.sandag.org_ws_abm2_f4[[#This Row],[hwycov_id]],[2]flow_freeway!$A$2:$E$1643,4,FALSE),0)</f>
        <v>25737</v>
      </c>
      <c r="I1049">
        <f>IFERROR(VLOOKUP(Table_socioeca8.sandag.org_ws_abm2_f4[[#This Row],[hwycov_id]],[2]flow_freeway!$A$2:$E$1643,5,FALSE),0)</f>
        <v>22961</v>
      </c>
      <c r="K1049">
        <f>Table_socioeca8.sandag.org_ws_abm2_f4[[#This Row],[hwycov_id]]</f>
        <v>25751</v>
      </c>
      <c r="L1049">
        <f>Table_socioeca8.sandag.org_ws_abm2_f4[[#This Row],[scenario_id]]</f>
        <v>259</v>
      </c>
      <c r="M1049">
        <f>Table_socioeca8.sandag.org_ws_abm2_f4[[#This Row],[flow_day]]</f>
        <v>116673</v>
      </c>
      <c r="N1049">
        <f>Table_socioeca8.sandag.org_ws_abm2_f4[[#This Row],[flow_am]]</f>
        <v>25737</v>
      </c>
      <c r="O1049">
        <f>Table_socioeca8.sandag.org_ws_abm2_f4[[#This Row],[flow_pm]]</f>
        <v>22961</v>
      </c>
    </row>
    <row r="1050" spans="5:15" x14ac:dyDescent="0.25">
      <c r="E1050">
        <v>25811</v>
      </c>
      <c r="F1050">
        <f t="shared" si="16"/>
        <v>259</v>
      </c>
      <c r="G1050">
        <f>IFERROR(VLOOKUP(Table_socioeca8.sandag.org_ws_abm2_f4[[#This Row],[hwycov_id]],[2]flow_freeway!$A$2:$E$1643,3,FALSE),0)</f>
        <v>37415</v>
      </c>
      <c r="H1050">
        <f>IFERROR(VLOOKUP(Table_socioeca8.sandag.org_ws_abm2_f4[[#This Row],[hwycov_id]],[2]flow_freeway!$A$2:$E$1643,4,FALSE),0)</f>
        <v>8240</v>
      </c>
      <c r="I1050">
        <f>IFERROR(VLOOKUP(Table_socioeca8.sandag.org_ws_abm2_f4[[#This Row],[hwycov_id]],[2]flow_freeway!$A$2:$E$1643,5,FALSE),0)</f>
        <v>9278</v>
      </c>
      <c r="K1050">
        <f>Table_socioeca8.sandag.org_ws_abm2_f4[[#This Row],[hwycov_id]]</f>
        <v>25811</v>
      </c>
      <c r="L1050">
        <f>Table_socioeca8.sandag.org_ws_abm2_f4[[#This Row],[scenario_id]]</f>
        <v>259</v>
      </c>
      <c r="M1050">
        <f>Table_socioeca8.sandag.org_ws_abm2_f4[[#This Row],[flow_day]]</f>
        <v>37415</v>
      </c>
      <c r="N1050">
        <f>Table_socioeca8.sandag.org_ws_abm2_f4[[#This Row],[flow_am]]</f>
        <v>8240</v>
      </c>
      <c r="O1050">
        <f>Table_socioeca8.sandag.org_ws_abm2_f4[[#This Row],[flow_pm]]</f>
        <v>9278</v>
      </c>
    </row>
    <row r="1051" spans="5:15" x14ac:dyDescent="0.25">
      <c r="E1051">
        <v>25812</v>
      </c>
      <c r="F1051">
        <f t="shared" si="16"/>
        <v>259</v>
      </c>
      <c r="G1051">
        <f>IFERROR(VLOOKUP(Table_socioeca8.sandag.org_ws_abm2_f4[[#This Row],[hwycov_id]],[2]flow_freeway!$A$2:$E$1643,3,FALSE),0)</f>
        <v>37415</v>
      </c>
      <c r="H1051">
        <f>IFERROR(VLOOKUP(Table_socioeca8.sandag.org_ws_abm2_f4[[#This Row],[hwycov_id]],[2]flow_freeway!$A$2:$E$1643,4,FALSE),0)</f>
        <v>8240</v>
      </c>
      <c r="I1051">
        <f>IFERROR(VLOOKUP(Table_socioeca8.sandag.org_ws_abm2_f4[[#This Row],[hwycov_id]],[2]flow_freeway!$A$2:$E$1643,5,FALSE),0)</f>
        <v>9278</v>
      </c>
      <c r="K1051">
        <f>Table_socioeca8.sandag.org_ws_abm2_f4[[#This Row],[hwycov_id]]</f>
        <v>25812</v>
      </c>
      <c r="L1051">
        <f>Table_socioeca8.sandag.org_ws_abm2_f4[[#This Row],[scenario_id]]</f>
        <v>259</v>
      </c>
      <c r="M1051">
        <f>Table_socioeca8.sandag.org_ws_abm2_f4[[#This Row],[flow_day]]</f>
        <v>37415</v>
      </c>
      <c r="N1051">
        <f>Table_socioeca8.sandag.org_ws_abm2_f4[[#This Row],[flow_am]]</f>
        <v>8240</v>
      </c>
      <c r="O1051">
        <f>Table_socioeca8.sandag.org_ws_abm2_f4[[#This Row],[flow_pm]]</f>
        <v>9278</v>
      </c>
    </row>
    <row r="1052" spans="5:15" x14ac:dyDescent="0.25">
      <c r="E1052">
        <v>25821</v>
      </c>
      <c r="F1052">
        <f t="shared" si="16"/>
        <v>259</v>
      </c>
      <c r="G1052">
        <f>IFERROR(VLOOKUP(Table_socioeca8.sandag.org_ws_abm2_f4[[#This Row],[hwycov_id]],[2]flow_freeway!$A$2:$E$1643,3,FALSE),0)</f>
        <v>24260</v>
      </c>
      <c r="H1052">
        <f>IFERROR(VLOOKUP(Table_socioeca8.sandag.org_ws_abm2_f4[[#This Row],[hwycov_id]],[2]flow_freeway!$A$2:$E$1643,4,FALSE),0)</f>
        <v>3140</v>
      </c>
      <c r="I1052">
        <f>IFERROR(VLOOKUP(Table_socioeca8.sandag.org_ws_abm2_f4[[#This Row],[hwycov_id]],[2]flow_freeway!$A$2:$E$1643,5,FALSE),0)</f>
        <v>7499</v>
      </c>
      <c r="K1052">
        <f>Table_socioeca8.sandag.org_ws_abm2_f4[[#This Row],[hwycov_id]]</f>
        <v>25821</v>
      </c>
      <c r="L1052">
        <f>Table_socioeca8.sandag.org_ws_abm2_f4[[#This Row],[scenario_id]]</f>
        <v>259</v>
      </c>
      <c r="M1052">
        <f>Table_socioeca8.sandag.org_ws_abm2_f4[[#This Row],[flow_day]]</f>
        <v>24260</v>
      </c>
      <c r="N1052">
        <f>Table_socioeca8.sandag.org_ws_abm2_f4[[#This Row],[flow_am]]</f>
        <v>3140</v>
      </c>
      <c r="O1052">
        <f>Table_socioeca8.sandag.org_ws_abm2_f4[[#This Row],[flow_pm]]</f>
        <v>7499</v>
      </c>
    </row>
    <row r="1053" spans="5:15" x14ac:dyDescent="0.25">
      <c r="E1053">
        <v>25822</v>
      </c>
      <c r="F1053">
        <f t="shared" si="16"/>
        <v>259</v>
      </c>
      <c r="G1053">
        <f>IFERROR(VLOOKUP(Table_socioeca8.sandag.org_ws_abm2_f4[[#This Row],[hwycov_id]],[2]flow_freeway!$A$2:$E$1643,3,FALSE),0)</f>
        <v>10019</v>
      </c>
      <c r="H1053">
        <f>IFERROR(VLOOKUP(Table_socioeca8.sandag.org_ws_abm2_f4[[#This Row],[hwycov_id]],[2]flow_freeway!$A$2:$E$1643,4,FALSE),0)</f>
        <v>1087</v>
      </c>
      <c r="I1053">
        <f>IFERROR(VLOOKUP(Table_socioeca8.sandag.org_ws_abm2_f4[[#This Row],[hwycov_id]],[2]flow_freeway!$A$2:$E$1643,5,FALSE),0)</f>
        <v>3264</v>
      </c>
      <c r="K1053">
        <f>Table_socioeca8.sandag.org_ws_abm2_f4[[#This Row],[hwycov_id]]</f>
        <v>25822</v>
      </c>
      <c r="L1053">
        <f>Table_socioeca8.sandag.org_ws_abm2_f4[[#This Row],[scenario_id]]</f>
        <v>259</v>
      </c>
      <c r="M1053">
        <f>Table_socioeca8.sandag.org_ws_abm2_f4[[#This Row],[flow_day]]</f>
        <v>10019</v>
      </c>
      <c r="N1053">
        <f>Table_socioeca8.sandag.org_ws_abm2_f4[[#This Row],[flow_am]]</f>
        <v>1087</v>
      </c>
      <c r="O1053">
        <f>Table_socioeca8.sandag.org_ws_abm2_f4[[#This Row],[flow_pm]]</f>
        <v>3264</v>
      </c>
    </row>
    <row r="1054" spans="5:15" x14ac:dyDescent="0.25">
      <c r="E1054">
        <v>25842</v>
      </c>
      <c r="F1054">
        <f t="shared" si="16"/>
        <v>259</v>
      </c>
      <c r="G1054">
        <f>IFERROR(VLOOKUP(Table_socioeca8.sandag.org_ws_abm2_f4[[#This Row],[hwycov_id]],[2]flow_freeway!$A$2:$E$1643,3,FALSE),0)</f>
        <v>107368</v>
      </c>
      <c r="H1054">
        <f>IFERROR(VLOOKUP(Table_socioeca8.sandag.org_ws_abm2_f4[[#This Row],[hwycov_id]],[2]flow_freeway!$A$2:$E$1643,4,FALSE),0)</f>
        <v>17032</v>
      </c>
      <c r="I1054">
        <f>IFERROR(VLOOKUP(Table_socioeca8.sandag.org_ws_abm2_f4[[#This Row],[hwycov_id]],[2]flow_freeway!$A$2:$E$1643,5,FALSE),0)</f>
        <v>30620</v>
      </c>
      <c r="K1054">
        <f>Table_socioeca8.sandag.org_ws_abm2_f4[[#This Row],[hwycov_id]]</f>
        <v>25842</v>
      </c>
      <c r="L1054">
        <f>Table_socioeca8.sandag.org_ws_abm2_f4[[#This Row],[scenario_id]]</f>
        <v>259</v>
      </c>
      <c r="M1054">
        <f>Table_socioeca8.sandag.org_ws_abm2_f4[[#This Row],[flow_day]]</f>
        <v>107368</v>
      </c>
      <c r="N1054">
        <f>Table_socioeca8.sandag.org_ws_abm2_f4[[#This Row],[flow_am]]</f>
        <v>17032</v>
      </c>
      <c r="O1054">
        <f>Table_socioeca8.sandag.org_ws_abm2_f4[[#This Row],[flow_pm]]</f>
        <v>30620</v>
      </c>
    </row>
    <row r="1055" spans="5:15" x14ac:dyDescent="0.25">
      <c r="E1055">
        <v>25843</v>
      </c>
      <c r="F1055">
        <f t="shared" si="16"/>
        <v>259</v>
      </c>
      <c r="G1055">
        <f>IFERROR(VLOOKUP(Table_socioeca8.sandag.org_ws_abm2_f4[[#This Row],[hwycov_id]],[2]flow_freeway!$A$2:$E$1643,3,FALSE),0)</f>
        <v>106837</v>
      </c>
      <c r="H1055">
        <f>IFERROR(VLOOKUP(Table_socioeca8.sandag.org_ws_abm2_f4[[#This Row],[hwycov_id]],[2]flow_freeway!$A$2:$E$1643,4,FALSE),0)</f>
        <v>25627</v>
      </c>
      <c r="I1055">
        <f>IFERROR(VLOOKUP(Table_socioeca8.sandag.org_ws_abm2_f4[[#This Row],[hwycov_id]],[2]flow_freeway!$A$2:$E$1643,5,FALSE),0)</f>
        <v>19956</v>
      </c>
      <c r="K1055">
        <f>Table_socioeca8.sandag.org_ws_abm2_f4[[#This Row],[hwycov_id]]</f>
        <v>25843</v>
      </c>
      <c r="L1055">
        <f>Table_socioeca8.sandag.org_ws_abm2_f4[[#This Row],[scenario_id]]</f>
        <v>259</v>
      </c>
      <c r="M1055">
        <f>Table_socioeca8.sandag.org_ws_abm2_f4[[#This Row],[flow_day]]</f>
        <v>106837</v>
      </c>
      <c r="N1055">
        <f>Table_socioeca8.sandag.org_ws_abm2_f4[[#This Row],[flow_am]]</f>
        <v>25627</v>
      </c>
      <c r="O1055">
        <f>Table_socioeca8.sandag.org_ws_abm2_f4[[#This Row],[flow_pm]]</f>
        <v>19956</v>
      </c>
    </row>
    <row r="1056" spans="5:15" x14ac:dyDescent="0.25">
      <c r="E1056">
        <v>25848</v>
      </c>
      <c r="F1056">
        <f t="shared" si="16"/>
        <v>259</v>
      </c>
      <c r="G1056">
        <f>IFERROR(VLOOKUP(Table_socioeca8.sandag.org_ws_abm2_f4[[#This Row],[hwycov_id]],[2]flow_freeway!$A$2:$E$1643,3,FALSE),0)</f>
        <v>111962</v>
      </c>
      <c r="H1056">
        <f>IFERROR(VLOOKUP(Table_socioeca8.sandag.org_ws_abm2_f4[[#This Row],[hwycov_id]],[2]flow_freeway!$A$2:$E$1643,4,FALSE),0)</f>
        <v>23553</v>
      </c>
      <c r="I1056">
        <f>IFERROR(VLOOKUP(Table_socioeca8.sandag.org_ws_abm2_f4[[#This Row],[hwycov_id]],[2]flow_freeway!$A$2:$E$1643,5,FALSE),0)</f>
        <v>22891</v>
      </c>
      <c r="K1056">
        <f>Table_socioeca8.sandag.org_ws_abm2_f4[[#This Row],[hwycov_id]]</f>
        <v>25848</v>
      </c>
      <c r="L1056">
        <f>Table_socioeca8.sandag.org_ws_abm2_f4[[#This Row],[scenario_id]]</f>
        <v>259</v>
      </c>
      <c r="M1056">
        <f>Table_socioeca8.sandag.org_ws_abm2_f4[[#This Row],[flow_day]]</f>
        <v>111962</v>
      </c>
      <c r="N1056">
        <f>Table_socioeca8.sandag.org_ws_abm2_f4[[#This Row],[flow_am]]</f>
        <v>23553</v>
      </c>
      <c r="O1056">
        <f>Table_socioeca8.sandag.org_ws_abm2_f4[[#This Row],[flow_pm]]</f>
        <v>22891</v>
      </c>
    </row>
    <row r="1057" spans="5:15" x14ac:dyDescent="0.25">
      <c r="E1057">
        <v>25849</v>
      </c>
      <c r="F1057">
        <f t="shared" si="16"/>
        <v>259</v>
      </c>
      <c r="G1057">
        <f>IFERROR(VLOOKUP(Table_socioeca8.sandag.org_ws_abm2_f4[[#This Row],[hwycov_id]],[2]flow_freeway!$A$2:$E$1643,3,FALSE),0)</f>
        <v>91522</v>
      </c>
      <c r="H1057">
        <f>IFERROR(VLOOKUP(Table_socioeca8.sandag.org_ws_abm2_f4[[#This Row],[hwycov_id]],[2]flow_freeway!$A$2:$E$1643,4,FALSE),0)</f>
        <v>24386</v>
      </c>
      <c r="I1057">
        <f>IFERROR(VLOOKUP(Table_socioeca8.sandag.org_ws_abm2_f4[[#This Row],[hwycov_id]],[2]flow_freeway!$A$2:$E$1643,5,FALSE),0)</f>
        <v>14663</v>
      </c>
      <c r="K1057">
        <f>Table_socioeca8.sandag.org_ws_abm2_f4[[#This Row],[hwycov_id]]</f>
        <v>25849</v>
      </c>
      <c r="L1057">
        <f>Table_socioeca8.sandag.org_ws_abm2_f4[[#This Row],[scenario_id]]</f>
        <v>259</v>
      </c>
      <c r="M1057">
        <f>Table_socioeca8.sandag.org_ws_abm2_f4[[#This Row],[flow_day]]</f>
        <v>91522</v>
      </c>
      <c r="N1057">
        <f>Table_socioeca8.sandag.org_ws_abm2_f4[[#This Row],[flow_am]]</f>
        <v>24386</v>
      </c>
      <c r="O1057">
        <f>Table_socioeca8.sandag.org_ws_abm2_f4[[#This Row],[flow_pm]]</f>
        <v>14663</v>
      </c>
    </row>
    <row r="1058" spans="5:15" x14ac:dyDescent="0.25">
      <c r="E1058">
        <v>25866</v>
      </c>
      <c r="F1058">
        <f t="shared" si="16"/>
        <v>259</v>
      </c>
      <c r="G1058">
        <f>IFERROR(VLOOKUP(Table_socioeca8.sandag.org_ws_abm2_f4[[#This Row],[hwycov_id]],[2]flow_freeway!$A$2:$E$1643,3,FALSE),0)</f>
        <v>59647</v>
      </c>
      <c r="H1058">
        <f>IFERROR(VLOOKUP(Table_socioeca8.sandag.org_ws_abm2_f4[[#This Row],[hwycov_id]],[2]flow_freeway!$A$2:$E$1643,4,FALSE),0)</f>
        <v>16613</v>
      </c>
      <c r="I1058">
        <f>IFERROR(VLOOKUP(Table_socioeca8.sandag.org_ws_abm2_f4[[#This Row],[hwycov_id]],[2]flow_freeway!$A$2:$E$1643,5,FALSE),0)</f>
        <v>11597</v>
      </c>
      <c r="K1058">
        <f>Table_socioeca8.sandag.org_ws_abm2_f4[[#This Row],[hwycov_id]]</f>
        <v>25866</v>
      </c>
      <c r="L1058">
        <f>Table_socioeca8.sandag.org_ws_abm2_f4[[#This Row],[scenario_id]]</f>
        <v>259</v>
      </c>
      <c r="M1058">
        <f>Table_socioeca8.sandag.org_ws_abm2_f4[[#This Row],[flow_day]]</f>
        <v>59647</v>
      </c>
      <c r="N1058">
        <f>Table_socioeca8.sandag.org_ws_abm2_f4[[#This Row],[flow_am]]</f>
        <v>16613</v>
      </c>
      <c r="O1058">
        <f>Table_socioeca8.sandag.org_ws_abm2_f4[[#This Row],[flow_pm]]</f>
        <v>11597</v>
      </c>
    </row>
    <row r="1059" spans="5:15" x14ac:dyDescent="0.25">
      <c r="E1059">
        <v>25867</v>
      </c>
      <c r="F1059">
        <f t="shared" si="16"/>
        <v>259</v>
      </c>
      <c r="G1059">
        <f>IFERROR(VLOOKUP(Table_socioeca8.sandag.org_ws_abm2_f4[[#This Row],[hwycov_id]],[2]flow_freeway!$A$2:$E$1643,3,FALSE),0)</f>
        <v>117232</v>
      </c>
      <c r="H1059">
        <f>IFERROR(VLOOKUP(Table_socioeca8.sandag.org_ws_abm2_f4[[#This Row],[hwycov_id]],[2]flow_freeway!$A$2:$E$1643,4,FALSE),0)</f>
        <v>18208</v>
      </c>
      <c r="I1059">
        <f>IFERROR(VLOOKUP(Table_socioeca8.sandag.org_ws_abm2_f4[[#This Row],[hwycov_id]],[2]flow_freeway!$A$2:$E$1643,5,FALSE),0)</f>
        <v>33670</v>
      </c>
      <c r="K1059">
        <f>Table_socioeca8.sandag.org_ws_abm2_f4[[#This Row],[hwycov_id]]</f>
        <v>25867</v>
      </c>
      <c r="L1059">
        <f>Table_socioeca8.sandag.org_ws_abm2_f4[[#This Row],[scenario_id]]</f>
        <v>259</v>
      </c>
      <c r="M1059">
        <f>Table_socioeca8.sandag.org_ws_abm2_f4[[#This Row],[flow_day]]</f>
        <v>117232</v>
      </c>
      <c r="N1059">
        <f>Table_socioeca8.sandag.org_ws_abm2_f4[[#This Row],[flow_am]]</f>
        <v>18208</v>
      </c>
      <c r="O1059">
        <f>Table_socioeca8.sandag.org_ws_abm2_f4[[#This Row],[flow_pm]]</f>
        <v>33670</v>
      </c>
    </row>
    <row r="1060" spans="5:15" x14ac:dyDescent="0.25">
      <c r="E1060">
        <v>25868</v>
      </c>
      <c r="F1060">
        <f t="shared" si="16"/>
        <v>259</v>
      </c>
      <c r="G1060">
        <f>IFERROR(VLOOKUP(Table_socioeca8.sandag.org_ws_abm2_f4[[#This Row],[hwycov_id]],[2]flow_freeway!$A$2:$E$1643,3,FALSE),0)</f>
        <v>112551</v>
      </c>
      <c r="H1060">
        <f>IFERROR(VLOOKUP(Table_socioeca8.sandag.org_ws_abm2_f4[[#This Row],[hwycov_id]],[2]flow_freeway!$A$2:$E$1643,4,FALSE),0)</f>
        <v>17672</v>
      </c>
      <c r="I1060">
        <f>IFERROR(VLOOKUP(Table_socioeca8.sandag.org_ws_abm2_f4[[#This Row],[hwycov_id]],[2]flow_freeway!$A$2:$E$1643,5,FALSE),0)</f>
        <v>31597</v>
      </c>
      <c r="K1060">
        <f>Table_socioeca8.sandag.org_ws_abm2_f4[[#This Row],[hwycov_id]]</f>
        <v>25868</v>
      </c>
      <c r="L1060">
        <f>Table_socioeca8.sandag.org_ws_abm2_f4[[#This Row],[scenario_id]]</f>
        <v>259</v>
      </c>
      <c r="M1060">
        <f>Table_socioeca8.sandag.org_ws_abm2_f4[[#This Row],[flow_day]]</f>
        <v>112551</v>
      </c>
      <c r="N1060">
        <f>Table_socioeca8.sandag.org_ws_abm2_f4[[#This Row],[flow_am]]</f>
        <v>17672</v>
      </c>
      <c r="O1060">
        <f>Table_socioeca8.sandag.org_ws_abm2_f4[[#This Row],[flow_pm]]</f>
        <v>31597</v>
      </c>
    </row>
    <row r="1061" spans="5:15" x14ac:dyDescent="0.25">
      <c r="E1061">
        <v>25869</v>
      </c>
      <c r="F1061">
        <f t="shared" si="16"/>
        <v>259</v>
      </c>
      <c r="G1061">
        <f>IFERROR(VLOOKUP(Table_socioeca8.sandag.org_ws_abm2_f4[[#This Row],[hwycov_id]],[2]flow_freeway!$A$2:$E$1643,3,FALSE),0)</f>
        <v>110988</v>
      </c>
      <c r="H1061">
        <f>IFERROR(VLOOKUP(Table_socioeca8.sandag.org_ws_abm2_f4[[#This Row],[hwycov_id]],[2]flow_freeway!$A$2:$E$1643,4,FALSE),0)</f>
        <v>23790</v>
      </c>
      <c r="I1061">
        <f>IFERROR(VLOOKUP(Table_socioeca8.sandag.org_ws_abm2_f4[[#This Row],[hwycov_id]],[2]flow_freeway!$A$2:$E$1643,5,FALSE),0)</f>
        <v>21928</v>
      </c>
      <c r="K1061">
        <f>Table_socioeca8.sandag.org_ws_abm2_f4[[#This Row],[hwycov_id]]</f>
        <v>25869</v>
      </c>
      <c r="L1061">
        <f>Table_socioeca8.sandag.org_ws_abm2_f4[[#This Row],[scenario_id]]</f>
        <v>259</v>
      </c>
      <c r="M1061">
        <f>Table_socioeca8.sandag.org_ws_abm2_f4[[#This Row],[flow_day]]</f>
        <v>110988</v>
      </c>
      <c r="N1061">
        <f>Table_socioeca8.sandag.org_ws_abm2_f4[[#This Row],[flow_am]]</f>
        <v>23790</v>
      </c>
      <c r="O1061">
        <f>Table_socioeca8.sandag.org_ws_abm2_f4[[#This Row],[flow_pm]]</f>
        <v>21928</v>
      </c>
    </row>
    <row r="1062" spans="5:15" x14ac:dyDescent="0.25">
      <c r="E1062">
        <v>25878</v>
      </c>
      <c r="F1062">
        <f t="shared" si="16"/>
        <v>259</v>
      </c>
      <c r="G1062">
        <f>IFERROR(VLOOKUP(Table_socioeca8.sandag.org_ws_abm2_f4[[#This Row],[hwycov_id]],[2]flow_freeway!$A$2:$E$1643,3,FALSE),0)</f>
        <v>95857</v>
      </c>
      <c r="H1062">
        <f>IFERROR(VLOOKUP(Table_socioeca8.sandag.org_ws_abm2_f4[[#This Row],[hwycov_id]],[2]flow_freeway!$A$2:$E$1643,4,FALSE),0)</f>
        <v>16022</v>
      </c>
      <c r="I1062">
        <f>IFERROR(VLOOKUP(Table_socioeca8.sandag.org_ws_abm2_f4[[#This Row],[hwycov_id]],[2]flow_freeway!$A$2:$E$1643,5,FALSE),0)</f>
        <v>28171</v>
      </c>
      <c r="K1062">
        <f>Table_socioeca8.sandag.org_ws_abm2_f4[[#This Row],[hwycov_id]]</f>
        <v>25878</v>
      </c>
      <c r="L1062">
        <f>Table_socioeca8.sandag.org_ws_abm2_f4[[#This Row],[scenario_id]]</f>
        <v>259</v>
      </c>
      <c r="M1062">
        <f>Table_socioeca8.sandag.org_ws_abm2_f4[[#This Row],[flow_day]]</f>
        <v>95857</v>
      </c>
      <c r="N1062">
        <f>Table_socioeca8.sandag.org_ws_abm2_f4[[#This Row],[flow_am]]</f>
        <v>16022</v>
      </c>
      <c r="O1062">
        <f>Table_socioeca8.sandag.org_ws_abm2_f4[[#This Row],[flow_pm]]</f>
        <v>28171</v>
      </c>
    </row>
    <row r="1063" spans="5:15" x14ac:dyDescent="0.25">
      <c r="E1063">
        <v>25879</v>
      </c>
      <c r="F1063">
        <f t="shared" si="16"/>
        <v>259</v>
      </c>
      <c r="G1063">
        <f>IFERROR(VLOOKUP(Table_socioeca8.sandag.org_ws_abm2_f4[[#This Row],[hwycov_id]],[2]flow_freeway!$A$2:$E$1643,3,FALSE),0)</f>
        <v>90918</v>
      </c>
      <c r="H1063">
        <f>IFERROR(VLOOKUP(Table_socioeca8.sandag.org_ws_abm2_f4[[#This Row],[hwycov_id]],[2]flow_freeway!$A$2:$E$1643,4,FALSE),0)</f>
        <v>22850</v>
      </c>
      <c r="I1063">
        <f>IFERROR(VLOOKUP(Table_socioeca8.sandag.org_ws_abm2_f4[[#This Row],[hwycov_id]],[2]flow_freeway!$A$2:$E$1643,5,FALSE),0)</f>
        <v>19697</v>
      </c>
      <c r="K1063">
        <f>Table_socioeca8.sandag.org_ws_abm2_f4[[#This Row],[hwycov_id]]</f>
        <v>25879</v>
      </c>
      <c r="L1063">
        <f>Table_socioeca8.sandag.org_ws_abm2_f4[[#This Row],[scenario_id]]</f>
        <v>259</v>
      </c>
      <c r="M1063">
        <f>Table_socioeca8.sandag.org_ws_abm2_f4[[#This Row],[flow_day]]</f>
        <v>90918</v>
      </c>
      <c r="N1063">
        <f>Table_socioeca8.sandag.org_ws_abm2_f4[[#This Row],[flow_am]]</f>
        <v>22850</v>
      </c>
      <c r="O1063">
        <f>Table_socioeca8.sandag.org_ws_abm2_f4[[#This Row],[flow_pm]]</f>
        <v>19697</v>
      </c>
    </row>
    <row r="1064" spans="5:15" x14ac:dyDescent="0.25">
      <c r="E1064">
        <v>25883</v>
      </c>
      <c r="F1064">
        <f t="shared" si="16"/>
        <v>259</v>
      </c>
      <c r="G1064">
        <f>IFERROR(VLOOKUP(Table_socioeca8.sandag.org_ws_abm2_f4[[#This Row],[hwycov_id]],[2]flow_freeway!$A$2:$E$1643,3,FALSE),0)</f>
        <v>47817</v>
      </c>
      <c r="H1064">
        <f>IFERROR(VLOOKUP(Table_socioeca8.sandag.org_ws_abm2_f4[[#This Row],[hwycov_id]],[2]flow_freeway!$A$2:$E$1643,4,FALSE),0)</f>
        <v>10287</v>
      </c>
      <c r="I1064">
        <f>IFERROR(VLOOKUP(Table_socioeca8.sandag.org_ws_abm2_f4[[#This Row],[hwycov_id]],[2]flow_freeway!$A$2:$E$1643,5,FALSE),0)</f>
        <v>11672</v>
      </c>
      <c r="K1064">
        <f>Table_socioeca8.sandag.org_ws_abm2_f4[[#This Row],[hwycov_id]]</f>
        <v>25883</v>
      </c>
      <c r="L1064">
        <f>Table_socioeca8.sandag.org_ws_abm2_f4[[#This Row],[scenario_id]]</f>
        <v>259</v>
      </c>
      <c r="M1064">
        <f>Table_socioeca8.sandag.org_ws_abm2_f4[[#This Row],[flow_day]]</f>
        <v>47817</v>
      </c>
      <c r="N1064">
        <f>Table_socioeca8.sandag.org_ws_abm2_f4[[#This Row],[flow_am]]</f>
        <v>10287</v>
      </c>
      <c r="O1064">
        <f>Table_socioeca8.sandag.org_ws_abm2_f4[[#This Row],[flow_pm]]</f>
        <v>11672</v>
      </c>
    </row>
    <row r="1065" spans="5:15" x14ac:dyDescent="0.25">
      <c r="E1065">
        <v>25886</v>
      </c>
      <c r="F1065">
        <f t="shared" si="16"/>
        <v>259</v>
      </c>
      <c r="G1065">
        <f>IFERROR(VLOOKUP(Table_socioeca8.sandag.org_ws_abm2_f4[[#This Row],[hwycov_id]],[2]flow_freeway!$A$2:$E$1643,3,FALSE),0)</f>
        <v>5861</v>
      </c>
      <c r="H1065">
        <f>IFERROR(VLOOKUP(Table_socioeca8.sandag.org_ws_abm2_f4[[#This Row],[hwycov_id]],[2]flow_freeway!$A$2:$E$1643,4,FALSE),0)</f>
        <v>1327</v>
      </c>
      <c r="I1065">
        <f>IFERROR(VLOOKUP(Table_socioeca8.sandag.org_ws_abm2_f4[[#This Row],[hwycov_id]],[2]flow_freeway!$A$2:$E$1643,5,FALSE),0)</f>
        <v>1511</v>
      </c>
      <c r="K1065">
        <f>Table_socioeca8.sandag.org_ws_abm2_f4[[#This Row],[hwycov_id]]</f>
        <v>25886</v>
      </c>
      <c r="L1065">
        <f>Table_socioeca8.sandag.org_ws_abm2_f4[[#This Row],[scenario_id]]</f>
        <v>259</v>
      </c>
      <c r="M1065">
        <f>Table_socioeca8.sandag.org_ws_abm2_f4[[#This Row],[flow_day]]</f>
        <v>5861</v>
      </c>
      <c r="N1065">
        <f>Table_socioeca8.sandag.org_ws_abm2_f4[[#This Row],[flow_am]]</f>
        <v>1327</v>
      </c>
      <c r="O1065">
        <f>Table_socioeca8.sandag.org_ws_abm2_f4[[#This Row],[flow_pm]]</f>
        <v>1511</v>
      </c>
    </row>
    <row r="1066" spans="5:15" x14ac:dyDescent="0.25">
      <c r="E1066">
        <v>25887</v>
      </c>
      <c r="F1066">
        <f t="shared" si="16"/>
        <v>259</v>
      </c>
      <c r="G1066">
        <f>IFERROR(VLOOKUP(Table_socioeca8.sandag.org_ws_abm2_f4[[#This Row],[hwycov_id]],[2]flow_freeway!$A$2:$E$1643,3,FALSE),0)</f>
        <v>43456</v>
      </c>
      <c r="H1066">
        <f>IFERROR(VLOOKUP(Table_socioeca8.sandag.org_ws_abm2_f4[[#This Row],[hwycov_id]],[2]flow_freeway!$A$2:$E$1643,4,FALSE),0)</f>
        <v>8032</v>
      </c>
      <c r="I1066">
        <f>IFERROR(VLOOKUP(Table_socioeca8.sandag.org_ws_abm2_f4[[#This Row],[hwycov_id]],[2]flow_freeway!$A$2:$E$1643,5,FALSE),0)</f>
        <v>11908</v>
      </c>
      <c r="K1066">
        <f>Table_socioeca8.sandag.org_ws_abm2_f4[[#This Row],[hwycov_id]]</f>
        <v>25887</v>
      </c>
      <c r="L1066">
        <f>Table_socioeca8.sandag.org_ws_abm2_f4[[#This Row],[scenario_id]]</f>
        <v>259</v>
      </c>
      <c r="M1066">
        <f>Table_socioeca8.sandag.org_ws_abm2_f4[[#This Row],[flow_day]]</f>
        <v>43456</v>
      </c>
      <c r="N1066">
        <f>Table_socioeca8.sandag.org_ws_abm2_f4[[#This Row],[flow_am]]</f>
        <v>8032</v>
      </c>
      <c r="O1066">
        <f>Table_socioeca8.sandag.org_ws_abm2_f4[[#This Row],[flow_pm]]</f>
        <v>11908</v>
      </c>
    </row>
    <row r="1067" spans="5:15" x14ac:dyDescent="0.25">
      <c r="E1067">
        <v>25889</v>
      </c>
      <c r="F1067">
        <f t="shared" si="16"/>
        <v>259</v>
      </c>
      <c r="G1067">
        <f>IFERROR(VLOOKUP(Table_socioeca8.sandag.org_ws_abm2_f4[[#This Row],[hwycov_id]],[2]flow_freeway!$A$2:$E$1643,3,FALSE),0)</f>
        <v>43456</v>
      </c>
      <c r="H1067">
        <f>IFERROR(VLOOKUP(Table_socioeca8.sandag.org_ws_abm2_f4[[#This Row],[hwycov_id]],[2]flow_freeway!$A$2:$E$1643,4,FALSE),0)</f>
        <v>8032</v>
      </c>
      <c r="I1067">
        <f>IFERROR(VLOOKUP(Table_socioeca8.sandag.org_ws_abm2_f4[[#This Row],[hwycov_id]],[2]flow_freeway!$A$2:$E$1643,5,FALSE),0)</f>
        <v>11908</v>
      </c>
      <c r="K1067">
        <f>Table_socioeca8.sandag.org_ws_abm2_f4[[#This Row],[hwycov_id]]</f>
        <v>25889</v>
      </c>
      <c r="L1067">
        <f>Table_socioeca8.sandag.org_ws_abm2_f4[[#This Row],[scenario_id]]</f>
        <v>259</v>
      </c>
      <c r="M1067">
        <f>Table_socioeca8.sandag.org_ws_abm2_f4[[#This Row],[flow_day]]</f>
        <v>43456</v>
      </c>
      <c r="N1067">
        <f>Table_socioeca8.sandag.org_ws_abm2_f4[[#This Row],[flow_am]]</f>
        <v>8032</v>
      </c>
      <c r="O1067">
        <f>Table_socioeca8.sandag.org_ws_abm2_f4[[#This Row],[flow_pm]]</f>
        <v>11908</v>
      </c>
    </row>
    <row r="1068" spans="5:15" x14ac:dyDescent="0.25">
      <c r="E1068">
        <v>25890</v>
      </c>
      <c r="F1068">
        <f t="shared" si="16"/>
        <v>259</v>
      </c>
      <c r="G1068">
        <f>IFERROR(VLOOKUP(Table_socioeca8.sandag.org_ws_abm2_f4[[#This Row],[hwycov_id]],[2]flow_freeway!$A$2:$E$1643,3,FALSE),0)</f>
        <v>43160</v>
      </c>
      <c r="H1068">
        <f>IFERROR(VLOOKUP(Table_socioeca8.sandag.org_ws_abm2_f4[[#This Row],[hwycov_id]],[2]flow_freeway!$A$2:$E$1643,4,FALSE),0)</f>
        <v>9029</v>
      </c>
      <c r="I1068">
        <f>IFERROR(VLOOKUP(Table_socioeca8.sandag.org_ws_abm2_f4[[#This Row],[hwycov_id]],[2]flow_freeway!$A$2:$E$1643,5,FALSE),0)</f>
        <v>10598</v>
      </c>
      <c r="K1068">
        <f>Table_socioeca8.sandag.org_ws_abm2_f4[[#This Row],[hwycov_id]]</f>
        <v>25890</v>
      </c>
      <c r="L1068">
        <f>Table_socioeca8.sandag.org_ws_abm2_f4[[#This Row],[scenario_id]]</f>
        <v>259</v>
      </c>
      <c r="M1068">
        <f>Table_socioeca8.sandag.org_ws_abm2_f4[[#This Row],[flow_day]]</f>
        <v>43160</v>
      </c>
      <c r="N1068">
        <f>Table_socioeca8.sandag.org_ws_abm2_f4[[#This Row],[flow_am]]</f>
        <v>9029</v>
      </c>
      <c r="O1068">
        <f>Table_socioeca8.sandag.org_ws_abm2_f4[[#This Row],[flow_pm]]</f>
        <v>10598</v>
      </c>
    </row>
    <row r="1069" spans="5:15" x14ac:dyDescent="0.25">
      <c r="E1069">
        <v>25891</v>
      </c>
      <c r="F1069">
        <f t="shared" si="16"/>
        <v>259</v>
      </c>
      <c r="G1069">
        <f>IFERROR(VLOOKUP(Table_socioeca8.sandag.org_ws_abm2_f4[[#This Row],[hwycov_id]],[2]flow_freeway!$A$2:$E$1643,3,FALSE),0)</f>
        <v>43160</v>
      </c>
      <c r="H1069">
        <f>IFERROR(VLOOKUP(Table_socioeca8.sandag.org_ws_abm2_f4[[#This Row],[hwycov_id]],[2]flow_freeway!$A$2:$E$1643,4,FALSE),0)</f>
        <v>9029</v>
      </c>
      <c r="I1069">
        <f>IFERROR(VLOOKUP(Table_socioeca8.sandag.org_ws_abm2_f4[[#This Row],[hwycov_id]],[2]flow_freeway!$A$2:$E$1643,5,FALSE),0)</f>
        <v>10598</v>
      </c>
      <c r="K1069">
        <f>Table_socioeca8.sandag.org_ws_abm2_f4[[#This Row],[hwycov_id]]</f>
        <v>25891</v>
      </c>
      <c r="L1069">
        <f>Table_socioeca8.sandag.org_ws_abm2_f4[[#This Row],[scenario_id]]</f>
        <v>259</v>
      </c>
      <c r="M1069">
        <f>Table_socioeca8.sandag.org_ws_abm2_f4[[#This Row],[flow_day]]</f>
        <v>43160</v>
      </c>
      <c r="N1069">
        <f>Table_socioeca8.sandag.org_ws_abm2_f4[[#This Row],[flow_am]]</f>
        <v>9029</v>
      </c>
      <c r="O1069">
        <f>Table_socioeca8.sandag.org_ws_abm2_f4[[#This Row],[flow_pm]]</f>
        <v>10598</v>
      </c>
    </row>
    <row r="1070" spans="5:15" x14ac:dyDescent="0.25">
      <c r="E1070">
        <v>25938</v>
      </c>
      <c r="F1070">
        <f t="shared" si="16"/>
        <v>259</v>
      </c>
      <c r="G1070">
        <f>IFERROR(VLOOKUP(Table_socioeca8.sandag.org_ws_abm2_f4[[#This Row],[hwycov_id]],[2]flow_freeway!$A$2:$E$1643,3,FALSE),0)</f>
        <v>70359</v>
      </c>
      <c r="H1070">
        <f>IFERROR(VLOOKUP(Table_socioeca8.sandag.org_ws_abm2_f4[[#This Row],[hwycov_id]],[2]flow_freeway!$A$2:$E$1643,4,FALSE),0)</f>
        <v>19717</v>
      </c>
      <c r="I1070">
        <f>IFERROR(VLOOKUP(Table_socioeca8.sandag.org_ws_abm2_f4[[#This Row],[hwycov_id]],[2]flow_freeway!$A$2:$E$1643,5,FALSE),0)</f>
        <v>14515</v>
      </c>
      <c r="K1070">
        <f>Table_socioeca8.sandag.org_ws_abm2_f4[[#This Row],[hwycov_id]]</f>
        <v>25938</v>
      </c>
      <c r="L1070">
        <f>Table_socioeca8.sandag.org_ws_abm2_f4[[#This Row],[scenario_id]]</f>
        <v>259</v>
      </c>
      <c r="M1070">
        <f>Table_socioeca8.sandag.org_ws_abm2_f4[[#This Row],[flow_day]]</f>
        <v>70359</v>
      </c>
      <c r="N1070">
        <f>Table_socioeca8.sandag.org_ws_abm2_f4[[#This Row],[flow_am]]</f>
        <v>19717</v>
      </c>
      <c r="O1070">
        <f>Table_socioeca8.sandag.org_ws_abm2_f4[[#This Row],[flow_pm]]</f>
        <v>14515</v>
      </c>
    </row>
    <row r="1071" spans="5:15" x14ac:dyDescent="0.25">
      <c r="E1071">
        <v>26014</v>
      </c>
      <c r="F1071">
        <f t="shared" si="16"/>
        <v>259</v>
      </c>
      <c r="G1071">
        <f>IFERROR(VLOOKUP(Table_socioeca8.sandag.org_ws_abm2_f4[[#This Row],[hwycov_id]],[2]flow_freeway!$A$2:$E$1643,3,FALSE),0)</f>
        <v>93455</v>
      </c>
      <c r="H1071">
        <f>IFERROR(VLOOKUP(Table_socioeca8.sandag.org_ws_abm2_f4[[#This Row],[hwycov_id]],[2]flow_freeway!$A$2:$E$1643,4,FALSE),0)</f>
        <v>21021</v>
      </c>
      <c r="I1071">
        <f>IFERROR(VLOOKUP(Table_socioeca8.sandag.org_ws_abm2_f4[[#This Row],[hwycov_id]],[2]flow_freeway!$A$2:$E$1643,5,FALSE),0)</f>
        <v>21577</v>
      </c>
      <c r="K1071">
        <f>Table_socioeca8.sandag.org_ws_abm2_f4[[#This Row],[hwycov_id]]</f>
        <v>26014</v>
      </c>
      <c r="L1071">
        <f>Table_socioeca8.sandag.org_ws_abm2_f4[[#This Row],[scenario_id]]</f>
        <v>259</v>
      </c>
      <c r="M1071">
        <f>Table_socioeca8.sandag.org_ws_abm2_f4[[#This Row],[flow_day]]</f>
        <v>93455</v>
      </c>
      <c r="N1071">
        <f>Table_socioeca8.sandag.org_ws_abm2_f4[[#This Row],[flow_am]]</f>
        <v>21021</v>
      </c>
      <c r="O1071">
        <f>Table_socioeca8.sandag.org_ws_abm2_f4[[#This Row],[flow_pm]]</f>
        <v>21577</v>
      </c>
    </row>
    <row r="1072" spans="5:15" x14ac:dyDescent="0.25">
      <c r="E1072">
        <v>26017</v>
      </c>
      <c r="F1072">
        <f t="shared" si="16"/>
        <v>259</v>
      </c>
      <c r="G1072">
        <f>IFERROR(VLOOKUP(Table_socioeca8.sandag.org_ws_abm2_f4[[#This Row],[hwycov_id]],[2]flow_freeway!$A$2:$E$1643,3,FALSE),0)</f>
        <v>98228</v>
      </c>
      <c r="H1072">
        <f>IFERROR(VLOOKUP(Table_socioeca8.sandag.org_ws_abm2_f4[[#This Row],[hwycov_id]],[2]flow_freeway!$A$2:$E$1643,4,FALSE),0)</f>
        <v>20030</v>
      </c>
      <c r="I1072">
        <f>IFERROR(VLOOKUP(Table_socioeca8.sandag.org_ws_abm2_f4[[#This Row],[hwycov_id]],[2]flow_freeway!$A$2:$E$1643,5,FALSE),0)</f>
        <v>27492</v>
      </c>
      <c r="K1072">
        <f>Table_socioeca8.sandag.org_ws_abm2_f4[[#This Row],[hwycov_id]]</f>
        <v>26017</v>
      </c>
      <c r="L1072">
        <f>Table_socioeca8.sandag.org_ws_abm2_f4[[#This Row],[scenario_id]]</f>
        <v>259</v>
      </c>
      <c r="M1072">
        <f>Table_socioeca8.sandag.org_ws_abm2_f4[[#This Row],[flow_day]]</f>
        <v>98228</v>
      </c>
      <c r="N1072">
        <f>Table_socioeca8.sandag.org_ws_abm2_f4[[#This Row],[flow_am]]</f>
        <v>20030</v>
      </c>
      <c r="O1072">
        <f>Table_socioeca8.sandag.org_ws_abm2_f4[[#This Row],[flow_pm]]</f>
        <v>27492</v>
      </c>
    </row>
    <row r="1073" spans="5:15" x14ac:dyDescent="0.25">
      <c r="E1073">
        <v>26064</v>
      </c>
      <c r="F1073">
        <f t="shared" si="16"/>
        <v>259</v>
      </c>
      <c r="G1073">
        <f>IFERROR(VLOOKUP(Table_socioeca8.sandag.org_ws_abm2_f4[[#This Row],[hwycov_id]],[2]flow_freeway!$A$2:$E$1643,3,FALSE),0)</f>
        <v>93455</v>
      </c>
      <c r="H1073">
        <f>IFERROR(VLOOKUP(Table_socioeca8.sandag.org_ws_abm2_f4[[#This Row],[hwycov_id]],[2]flow_freeway!$A$2:$E$1643,4,FALSE),0)</f>
        <v>21021</v>
      </c>
      <c r="I1073">
        <f>IFERROR(VLOOKUP(Table_socioeca8.sandag.org_ws_abm2_f4[[#This Row],[hwycov_id]],[2]flow_freeway!$A$2:$E$1643,5,FALSE),0)</f>
        <v>21577</v>
      </c>
      <c r="K1073">
        <f>Table_socioeca8.sandag.org_ws_abm2_f4[[#This Row],[hwycov_id]]</f>
        <v>26064</v>
      </c>
      <c r="L1073">
        <f>Table_socioeca8.sandag.org_ws_abm2_f4[[#This Row],[scenario_id]]</f>
        <v>259</v>
      </c>
      <c r="M1073">
        <f>Table_socioeca8.sandag.org_ws_abm2_f4[[#This Row],[flow_day]]</f>
        <v>93455</v>
      </c>
      <c r="N1073">
        <f>Table_socioeca8.sandag.org_ws_abm2_f4[[#This Row],[flow_am]]</f>
        <v>21021</v>
      </c>
      <c r="O1073">
        <f>Table_socioeca8.sandag.org_ws_abm2_f4[[#This Row],[flow_pm]]</f>
        <v>21577</v>
      </c>
    </row>
    <row r="1074" spans="5:15" x14ac:dyDescent="0.25">
      <c r="E1074">
        <v>26065</v>
      </c>
      <c r="F1074">
        <f t="shared" si="16"/>
        <v>259</v>
      </c>
      <c r="G1074">
        <f>IFERROR(VLOOKUP(Table_socioeca8.sandag.org_ws_abm2_f4[[#This Row],[hwycov_id]],[2]flow_freeway!$A$2:$E$1643,3,FALSE),0)</f>
        <v>98228</v>
      </c>
      <c r="H1074">
        <f>IFERROR(VLOOKUP(Table_socioeca8.sandag.org_ws_abm2_f4[[#This Row],[hwycov_id]],[2]flow_freeway!$A$2:$E$1643,4,FALSE),0)</f>
        <v>20030</v>
      </c>
      <c r="I1074">
        <f>IFERROR(VLOOKUP(Table_socioeca8.sandag.org_ws_abm2_f4[[#This Row],[hwycov_id]],[2]flow_freeway!$A$2:$E$1643,5,FALSE),0)</f>
        <v>27492</v>
      </c>
      <c r="K1074">
        <f>Table_socioeca8.sandag.org_ws_abm2_f4[[#This Row],[hwycov_id]]</f>
        <v>26065</v>
      </c>
      <c r="L1074">
        <f>Table_socioeca8.sandag.org_ws_abm2_f4[[#This Row],[scenario_id]]</f>
        <v>259</v>
      </c>
      <c r="M1074">
        <f>Table_socioeca8.sandag.org_ws_abm2_f4[[#This Row],[flow_day]]</f>
        <v>98228</v>
      </c>
      <c r="N1074">
        <f>Table_socioeca8.sandag.org_ws_abm2_f4[[#This Row],[flow_am]]</f>
        <v>20030</v>
      </c>
      <c r="O1074">
        <f>Table_socioeca8.sandag.org_ws_abm2_f4[[#This Row],[flow_pm]]</f>
        <v>27492</v>
      </c>
    </row>
    <row r="1075" spans="5:15" x14ac:dyDescent="0.25">
      <c r="E1075">
        <v>26117</v>
      </c>
      <c r="F1075">
        <f t="shared" si="16"/>
        <v>259</v>
      </c>
      <c r="G1075">
        <f>IFERROR(VLOOKUP(Table_socioeca8.sandag.org_ws_abm2_f4[[#This Row],[hwycov_id]],[2]flow_freeway!$A$2:$E$1643,3,FALSE),0)</f>
        <v>16751</v>
      </c>
      <c r="H1075">
        <f>IFERROR(VLOOKUP(Table_socioeca8.sandag.org_ws_abm2_f4[[#This Row],[hwycov_id]],[2]flow_freeway!$A$2:$E$1643,4,FALSE),0)</f>
        <v>5400</v>
      </c>
      <c r="I1075">
        <f>IFERROR(VLOOKUP(Table_socioeca8.sandag.org_ws_abm2_f4[[#This Row],[hwycov_id]],[2]flow_freeway!$A$2:$E$1643,5,FALSE),0)</f>
        <v>3163</v>
      </c>
      <c r="K1075">
        <f>Table_socioeca8.sandag.org_ws_abm2_f4[[#This Row],[hwycov_id]]</f>
        <v>26117</v>
      </c>
      <c r="L1075">
        <f>Table_socioeca8.sandag.org_ws_abm2_f4[[#This Row],[scenario_id]]</f>
        <v>259</v>
      </c>
      <c r="M1075">
        <f>Table_socioeca8.sandag.org_ws_abm2_f4[[#This Row],[flow_day]]</f>
        <v>16751</v>
      </c>
      <c r="N1075">
        <f>Table_socioeca8.sandag.org_ws_abm2_f4[[#This Row],[flow_am]]</f>
        <v>5400</v>
      </c>
      <c r="O1075">
        <f>Table_socioeca8.sandag.org_ws_abm2_f4[[#This Row],[flow_pm]]</f>
        <v>3163</v>
      </c>
    </row>
    <row r="1076" spans="5:15" x14ac:dyDescent="0.25">
      <c r="E1076">
        <v>26279</v>
      </c>
      <c r="F1076">
        <f t="shared" si="16"/>
        <v>259</v>
      </c>
      <c r="G1076">
        <f>IFERROR(VLOOKUP(Table_socioeca8.sandag.org_ws_abm2_f4[[#This Row],[hwycov_id]],[2]flow_freeway!$A$2:$E$1643,3,FALSE),0)</f>
        <v>117232</v>
      </c>
      <c r="H1076">
        <f>IFERROR(VLOOKUP(Table_socioeca8.sandag.org_ws_abm2_f4[[#This Row],[hwycov_id]],[2]flow_freeway!$A$2:$E$1643,4,FALSE),0)</f>
        <v>18208</v>
      </c>
      <c r="I1076">
        <f>IFERROR(VLOOKUP(Table_socioeca8.sandag.org_ws_abm2_f4[[#This Row],[hwycov_id]],[2]flow_freeway!$A$2:$E$1643,5,FALSE),0)</f>
        <v>33670</v>
      </c>
      <c r="K1076">
        <f>Table_socioeca8.sandag.org_ws_abm2_f4[[#This Row],[hwycov_id]]</f>
        <v>26279</v>
      </c>
      <c r="L1076">
        <f>Table_socioeca8.sandag.org_ws_abm2_f4[[#This Row],[scenario_id]]</f>
        <v>259</v>
      </c>
      <c r="M1076">
        <f>Table_socioeca8.sandag.org_ws_abm2_f4[[#This Row],[flow_day]]</f>
        <v>117232</v>
      </c>
      <c r="N1076">
        <f>Table_socioeca8.sandag.org_ws_abm2_f4[[#This Row],[flow_am]]</f>
        <v>18208</v>
      </c>
      <c r="O1076">
        <f>Table_socioeca8.sandag.org_ws_abm2_f4[[#This Row],[flow_pm]]</f>
        <v>33670</v>
      </c>
    </row>
    <row r="1077" spans="5:15" x14ac:dyDescent="0.25">
      <c r="E1077">
        <v>26293</v>
      </c>
      <c r="F1077">
        <f t="shared" si="16"/>
        <v>259</v>
      </c>
      <c r="G1077">
        <f>IFERROR(VLOOKUP(Table_socioeca8.sandag.org_ws_abm2_f4[[#This Row],[hwycov_id]],[2]flow_freeway!$A$2:$E$1643,3,FALSE),0)</f>
        <v>106707</v>
      </c>
      <c r="H1077">
        <f>IFERROR(VLOOKUP(Table_socioeca8.sandag.org_ws_abm2_f4[[#This Row],[hwycov_id]],[2]flow_freeway!$A$2:$E$1643,4,FALSE),0)</f>
        <v>16370</v>
      </c>
      <c r="I1077">
        <f>IFERROR(VLOOKUP(Table_socioeca8.sandag.org_ws_abm2_f4[[#This Row],[hwycov_id]],[2]flow_freeway!$A$2:$E$1643,5,FALSE),0)</f>
        <v>29831</v>
      </c>
      <c r="K1077">
        <f>Table_socioeca8.sandag.org_ws_abm2_f4[[#This Row],[hwycov_id]]</f>
        <v>26293</v>
      </c>
      <c r="L1077">
        <f>Table_socioeca8.sandag.org_ws_abm2_f4[[#This Row],[scenario_id]]</f>
        <v>259</v>
      </c>
      <c r="M1077">
        <f>Table_socioeca8.sandag.org_ws_abm2_f4[[#This Row],[flow_day]]</f>
        <v>106707</v>
      </c>
      <c r="N1077">
        <f>Table_socioeca8.sandag.org_ws_abm2_f4[[#This Row],[flow_am]]</f>
        <v>16370</v>
      </c>
      <c r="O1077">
        <f>Table_socioeca8.sandag.org_ws_abm2_f4[[#This Row],[flow_pm]]</f>
        <v>29831</v>
      </c>
    </row>
    <row r="1078" spans="5:15" x14ac:dyDescent="0.25">
      <c r="E1078">
        <v>26294</v>
      </c>
      <c r="F1078">
        <f t="shared" si="16"/>
        <v>259</v>
      </c>
      <c r="G1078">
        <f>IFERROR(VLOOKUP(Table_socioeca8.sandag.org_ws_abm2_f4[[#This Row],[hwycov_id]],[2]flow_freeway!$A$2:$E$1643,3,FALSE),0)</f>
        <v>120814</v>
      </c>
      <c r="H1078">
        <f>IFERROR(VLOOKUP(Table_socioeca8.sandag.org_ws_abm2_f4[[#This Row],[hwycov_id]],[2]flow_freeway!$A$2:$E$1643,4,FALSE),0)</f>
        <v>29535</v>
      </c>
      <c r="I1078">
        <f>IFERROR(VLOOKUP(Table_socioeca8.sandag.org_ws_abm2_f4[[#This Row],[hwycov_id]],[2]flow_freeway!$A$2:$E$1643,5,FALSE),0)</f>
        <v>22218</v>
      </c>
      <c r="K1078">
        <f>Table_socioeca8.sandag.org_ws_abm2_f4[[#This Row],[hwycov_id]]</f>
        <v>26294</v>
      </c>
      <c r="L1078">
        <f>Table_socioeca8.sandag.org_ws_abm2_f4[[#This Row],[scenario_id]]</f>
        <v>259</v>
      </c>
      <c r="M1078">
        <f>Table_socioeca8.sandag.org_ws_abm2_f4[[#This Row],[flow_day]]</f>
        <v>120814</v>
      </c>
      <c r="N1078">
        <f>Table_socioeca8.sandag.org_ws_abm2_f4[[#This Row],[flow_am]]</f>
        <v>29535</v>
      </c>
      <c r="O1078">
        <f>Table_socioeca8.sandag.org_ws_abm2_f4[[#This Row],[flow_pm]]</f>
        <v>22218</v>
      </c>
    </row>
    <row r="1079" spans="5:15" x14ac:dyDescent="0.25">
      <c r="E1079">
        <v>26417</v>
      </c>
      <c r="F1079">
        <f t="shared" si="16"/>
        <v>259</v>
      </c>
      <c r="G1079">
        <f>IFERROR(VLOOKUP(Table_socioeca8.sandag.org_ws_abm2_f4[[#This Row],[hwycov_id]],[2]flow_freeway!$A$2:$E$1643,3,FALSE),0)</f>
        <v>107846</v>
      </c>
      <c r="H1079">
        <f>IFERROR(VLOOKUP(Table_socioeca8.sandag.org_ws_abm2_f4[[#This Row],[hwycov_id]],[2]flow_freeway!$A$2:$E$1643,4,FALSE),0)</f>
        <v>22369</v>
      </c>
      <c r="I1079">
        <f>IFERROR(VLOOKUP(Table_socioeca8.sandag.org_ws_abm2_f4[[#This Row],[hwycov_id]],[2]flow_freeway!$A$2:$E$1643,5,FALSE),0)</f>
        <v>21826</v>
      </c>
      <c r="K1079">
        <f>Table_socioeca8.sandag.org_ws_abm2_f4[[#This Row],[hwycov_id]]</f>
        <v>26417</v>
      </c>
      <c r="L1079">
        <f>Table_socioeca8.sandag.org_ws_abm2_f4[[#This Row],[scenario_id]]</f>
        <v>259</v>
      </c>
      <c r="M1079">
        <f>Table_socioeca8.sandag.org_ws_abm2_f4[[#This Row],[flow_day]]</f>
        <v>107846</v>
      </c>
      <c r="N1079">
        <f>Table_socioeca8.sandag.org_ws_abm2_f4[[#This Row],[flow_am]]</f>
        <v>22369</v>
      </c>
      <c r="O1079">
        <f>Table_socioeca8.sandag.org_ws_abm2_f4[[#This Row],[flow_pm]]</f>
        <v>21826</v>
      </c>
    </row>
    <row r="1080" spans="5:15" x14ac:dyDescent="0.25">
      <c r="E1080">
        <v>26523</v>
      </c>
      <c r="F1080">
        <f t="shared" si="16"/>
        <v>259</v>
      </c>
      <c r="G1080">
        <f>IFERROR(VLOOKUP(Table_socioeca8.sandag.org_ws_abm2_f4[[#This Row],[hwycov_id]],[2]flow_freeway!$A$2:$E$1643,3,FALSE),0)</f>
        <v>104258</v>
      </c>
      <c r="H1080">
        <f>IFERROR(VLOOKUP(Table_socioeca8.sandag.org_ws_abm2_f4[[#This Row],[hwycov_id]],[2]flow_freeway!$A$2:$E$1643,4,FALSE),0)</f>
        <v>16417</v>
      </c>
      <c r="I1080">
        <f>IFERROR(VLOOKUP(Table_socioeca8.sandag.org_ws_abm2_f4[[#This Row],[hwycov_id]],[2]flow_freeway!$A$2:$E$1643,5,FALSE),0)</f>
        <v>29806</v>
      </c>
      <c r="K1080">
        <f>Table_socioeca8.sandag.org_ws_abm2_f4[[#This Row],[hwycov_id]]</f>
        <v>26523</v>
      </c>
      <c r="L1080">
        <f>Table_socioeca8.sandag.org_ws_abm2_f4[[#This Row],[scenario_id]]</f>
        <v>259</v>
      </c>
      <c r="M1080">
        <f>Table_socioeca8.sandag.org_ws_abm2_f4[[#This Row],[flow_day]]</f>
        <v>104258</v>
      </c>
      <c r="N1080">
        <f>Table_socioeca8.sandag.org_ws_abm2_f4[[#This Row],[flow_am]]</f>
        <v>16417</v>
      </c>
      <c r="O1080">
        <f>Table_socioeca8.sandag.org_ws_abm2_f4[[#This Row],[flow_pm]]</f>
        <v>29806</v>
      </c>
    </row>
    <row r="1081" spans="5:15" x14ac:dyDescent="0.25">
      <c r="E1081">
        <v>26546</v>
      </c>
      <c r="F1081">
        <f t="shared" si="16"/>
        <v>259</v>
      </c>
      <c r="G1081">
        <f>IFERROR(VLOOKUP(Table_socioeca8.sandag.org_ws_abm2_f4[[#This Row],[hwycov_id]],[2]flow_freeway!$A$2:$E$1643,3,FALSE),0)</f>
        <v>94034</v>
      </c>
      <c r="H1081">
        <f>IFERROR(VLOOKUP(Table_socioeca8.sandag.org_ws_abm2_f4[[#This Row],[hwycov_id]],[2]flow_freeway!$A$2:$E$1643,4,FALSE),0)</f>
        <v>15196</v>
      </c>
      <c r="I1081">
        <f>IFERROR(VLOOKUP(Table_socioeca8.sandag.org_ws_abm2_f4[[#This Row],[hwycov_id]],[2]flow_freeway!$A$2:$E$1643,5,FALSE),0)</f>
        <v>26895</v>
      </c>
      <c r="K1081">
        <f>Table_socioeca8.sandag.org_ws_abm2_f4[[#This Row],[hwycov_id]]</f>
        <v>26546</v>
      </c>
      <c r="L1081">
        <f>Table_socioeca8.sandag.org_ws_abm2_f4[[#This Row],[scenario_id]]</f>
        <v>259</v>
      </c>
      <c r="M1081">
        <f>Table_socioeca8.sandag.org_ws_abm2_f4[[#This Row],[flow_day]]</f>
        <v>94034</v>
      </c>
      <c r="N1081">
        <f>Table_socioeca8.sandag.org_ws_abm2_f4[[#This Row],[flow_am]]</f>
        <v>15196</v>
      </c>
      <c r="O1081">
        <f>Table_socioeca8.sandag.org_ws_abm2_f4[[#This Row],[flow_pm]]</f>
        <v>26895</v>
      </c>
    </row>
    <row r="1082" spans="5:15" x14ac:dyDescent="0.25">
      <c r="E1082">
        <v>26547</v>
      </c>
      <c r="F1082">
        <f t="shared" si="16"/>
        <v>259</v>
      </c>
      <c r="G1082">
        <f>IFERROR(VLOOKUP(Table_socioeca8.sandag.org_ws_abm2_f4[[#This Row],[hwycov_id]],[2]flow_freeway!$A$2:$E$1643,3,FALSE),0)</f>
        <v>97768</v>
      </c>
      <c r="H1082">
        <f>IFERROR(VLOOKUP(Table_socioeca8.sandag.org_ws_abm2_f4[[#This Row],[hwycov_id]],[2]flow_freeway!$A$2:$E$1643,4,FALSE),0)</f>
        <v>14860</v>
      </c>
      <c r="I1082">
        <f>IFERROR(VLOOKUP(Table_socioeca8.sandag.org_ws_abm2_f4[[#This Row],[hwycov_id]],[2]flow_freeway!$A$2:$E$1643,5,FALSE),0)</f>
        <v>27822</v>
      </c>
      <c r="K1082">
        <f>Table_socioeca8.sandag.org_ws_abm2_f4[[#This Row],[hwycov_id]]</f>
        <v>26547</v>
      </c>
      <c r="L1082">
        <f>Table_socioeca8.sandag.org_ws_abm2_f4[[#This Row],[scenario_id]]</f>
        <v>259</v>
      </c>
      <c r="M1082">
        <f>Table_socioeca8.sandag.org_ws_abm2_f4[[#This Row],[flow_day]]</f>
        <v>97768</v>
      </c>
      <c r="N1082">
        <f>Table_socioeca8.sandag.org_ws_abm2_f4[[#This Row],[flow_am]]</f>
        <v>14860</v>
      </c>
      <c r="O1082">
        <f>Table_socioeca8.sandag.org_ws_abm2_f4[[#This Row],[flow_pm]]</f>
        <v>27822</v>
      </c>
    </row>
    <row r="1083" spans="5:15" x14ac:dyDescent="0.25">
      <c r="E1083">
        <v>26561</v>
      </c>
      <c r="F1083">
        <f t="shared" si="16"/>
        <v>259</v>
      </c>
      <c r="G1083">
        <f>IFERROR(VLOOKUP(Table_socioeca8.sandag.org_ws_abm2_f4[[#This Row],[hwycov_id]],[2]flow_freeway!$A$2:$E$1643,3,FALSE),0)</f>
        <v>94503</v>
      </c>
      <c r="H1083">
        <f>IFERROR(VLOOKUP(Table_socioeca8.sandag.org_ws_abm2_f4[[#This Row],[hwycov_id]],[2]flow_freeway!$A$2:$E$1643,4,FALSE),0)</f>
        <v>16884</v>
      </c>
      <c r="I1083">
        <f>IFERROR(VLOOKUP(Table_socioeca8.sandag.org_ws_abm2_f4[[#This Row],[hwycov_id]],[2]flow_freeway!$A$2:$E$1643,5,FALSE),0)</f>
        <v>24581</v>
      </c>
      <c r="K1083">
        <f>Table_socioeca8.sandag.org_ws_abm2_f4[[#This Row],[hwycov_id]]</f>
        <v>26561</v>
      </c>
      <c r="L1083">
        <f>Table_socioeca8.sandag.org_ws_abm2_f4[[#This Row],[scenario_id]]</f>
        <v>259</v>
      </c>
      <c r="M1083">
        <f>Table_socioeca8.sandag.org_ws_abm2_f4[[#This Row],[flow_day]]</f>
        <v>94503</v>
      </c>
      <c r="N1083">
        <f>Table_socioeca8.sandag.org_ws_abm2_f4[[#This Row],[flow_am]]</f>
        <v>16884</v>
      </c>
      <c r="O1083">
        <f>Table_socioeca8.sandag.org_ws_abm2_f4[[#This Row],[flow_pm]]</f>
        <v>24581</v>
      </c>
    </row>
    <row r="1084" spans="5:15" x14ac:dyDescent="0.25">
      <c r="E1084">
        <v>26562</v>
      </c>
      <c r="F1084">
        <f t="shared" si="16"/>
        <v>259</v>
      </c>
      <c r="G1084">
        <f>IFERROR(VLOOKUP(Table_socioeca8.sandag.org_ws_abm2_f4[[#This Row],[hwycov_id]],[2]flow_freeway!$A$2:$E$1643,3,FALSE),0)</f>
        <v>91335</v>
      </c>
      <c r="H1084">
        <f>IFERROR(VLOOKUP(Table_socioeca8.sandag.org_ws_abm2_f4[[#This Row],[hwycov_id]],[2]flow_freeway!$A$2:$E$1643,4,FALSE),0)</f>
        <v>19583</v>
      </c>
      <c r="I1084">
        <f>IFERROR(VLOOKUP(Table_socioeca8.sandag.org_ws_abm2_f4[[#This Row],[hwycov_id]],[2]flow_freeway!$A$2:$E$1643,5,FALSE),0)</f>
        <v>18128</v>
      </c>
      <c r="K1084">
        <f>Table_socioeca8.sandag.org_ws_abm2_f4[[#This Row],[hwycov_id]]</f>
        <v>26562</v>
      </c>
      <c r="L1084">
        <f>Table_socioeca8.sandag.org_ws_abm2_f4[[#This Row],[scenario_id]]</f>
        <v>259</v>
      </c>
      <c r="M1084">
        <f>Table_socioeca8.sandag.org_ws_abm2_f4[[#This Row],[flow_day]]</f>
        <v>91335</v>
      </c>
      <c r="N1084">
        <f>Table_socioeca8.sandag.org_ws_abm2_f4[[#This Row],[flow_am]]</f>
        <v>19583</v>
      </c>
      <c r="O1084">
        <f>Table_socioeca8.sandag.org_ws_abm2_f4[[#This Row],[flow_pm]]</f>
        <v>18128</v>
      </c>
    </row>
    <row r="1085" spans="5:15" x14ac:dyDescent="0.25">
      <c r="E1085">
        <v>26563</v>
      </c>
      <c r="F1085">
        <f t="shared" si="16"/>
        <v>259</v>
      </c>
      <c r="G1085">
        <f>IFERROR(VLOOKUP(Table_socioeca8.sandag.org_ws_abm2_f4[[#This Row],[hwycov_id]],[2]flow_freeway!$A$2:$E$1643,3,FALSE),0)</f>
        <v>96409</v>
      </c>
      <c r="H1085">
        <f>IFERROR(VLOOKUP(Table_socioeca8.sandag.org_ws_abm2_f4[[#This Row],[hwycov_id]],[2]flow_freeway!$A$2:$E$1643,4,FALSE),0)</f>
        <v>22683</v>
      </c>
      <c r="I1085">
        <f>IFERROR(VLOOKUP(Table_socioeca8.sandag.org_ws_abm2_f4[[#This Row],[hwycov_id]],[2]flow_freeway!$A$2:$E$1643,5,FALSE),0)</f>
        <v>17354</v>
      </c>
      <c r="K1085">
        <f>Table_socioeca8.sandag.org_ws_abm2_f4[[#This Row],[hwycov_id]]</f>
        <v>26563</v>
      </c>
      <c r="L1085">
        <f>Table_socioeca8.sandag.org_ws_abm2_f4[[#This Row],[scenario_id]]</f>
        <v>259</v>
      </c>
      <c r="M1085">
        <f>Table_socioeca8.sandag.org_ws_abm2_f4[[#This Row],[flow_day]]</f>
        <v>96409</v>
      </c>
      <c r="N1085">
        <f>Table_socioeca8.sandag.org_ws_abm2_f4[[#This Row],[flow_am]]</f>
        <v>22683</v>
      </c>
      <c r="O1085">
        <f>Table_socioeca8.sandag.org_ws_abm2_f4[[#This Row],[flow_pm]]</f>
        <v>17354</v>
      </c>
    </row>
    <row r="1086" spans="5:15" x14ac:dyDescent="0.25">
      <c r="E1086">
        <v>26564</v>
      </c>
      <c r="F1086">
        <f t="shared" si="16"/>
        <v>259</v>
      </c>
      <c r="G1086">
        <f>IFERROR(VLOOKUP(Table_socioeca8.sandag.org_ws_abm2_f4[[#This Row],[hwycov_id]],[2]flow_freeway!$A$2:$E$1643,3,FALSE),0)</f>
        <v>94018</v>
      </c>
      <c r="H1086">
        <f>IFERROR(VLOOKUP(Table_socioeca8.sandag.org_ws_abm2_f4[[#This Row],[hwycov_id]],[2]flow_freeway!$A$2:$E$1643,4,FALSE),0)</f>
        <v>21682</v>
      </c>
      <c r="I1086">
        <f>IFERROR(VLOOKUP(Table_socioeca8.sandag.org_ws_abm2_f4[[#This Row],[hwycov_id]],[2]flow_freeway!$A$2:$E$1643,5,FALSE),0)</f>
        <v>18053</v>
      </c>
      <c r="K1086">
        <f>Table_socioeca8.sandag.org_ws_abm2_f4[[#This Row],[hwycov_id]]</f>
        <v>26564</v>
      </c>
      <c r="L1086">
        <f>Table_socioeca8.sandag.org_ws_abm2_f4[[#This Row],[scenario_id]]</f>
        <v>259</v>
      </c>
      <c r="M1086">
        <f>Table_socioeca8.sandag.org_ws_abm2_f4[[#This Row],[flow_day]]</f>
        <v>94018</v>
      </c>
      <c r="N1086">
        <f>Table_socioeca8.sandag.org_ws_abm2_f4[[#This Row],[flow_am]]</f>
        <v>21682</v>
      </c>
      <c r="O1086">
        <f>Table_socioeca8.sandag.org_ws_abm2_f4[[#This Row],[flow_pm]]</f>
        <v>18053</v>
      </c>
    </row>
    <row r="1087" spans="5:15" x14ac:dyDescent="0.25">
      <c r="E1087">
        <v>26622</v>
      </c>
      <c r="F1087">
        <f t="shared" si="16"/>
        <v>259</v>
      </c>
      <c r="G1087">
        <f>IFERROR(VLOOKUP(Table_socioeca8.sandag.org_ws_abm2_f4[[#This Row],[hwycov_id]],[2]flow_freeway!$A$2:$E$1643,3,FALSE),0)</f>
        <v>104300</v>
      </c>
      <c r="H1087">
        <f>IFERROR(VLOOKUP(Table_socioeca8.sandag.org_ws_abm2_f4[[#This Row],[hwycov_id]],[2]flow_freeway!$A$2:$E$1643,4,FALSE),0)</f>
        <v>24721</v>
      </c>
      <c r="I1087">
        <f>IFERROR(VLOOKUP(Table_socioeca8.sandag.org_ws_abm2_f4[[#This Row],[hwycov_id]],[2]flow_freeway!$A$2:$E$1643,5,FALSE),0)</f>
        <v>19406</v>
      </c>
      <c r="K1087">
        <f>Table_socioeca8.sandag.org_ws_abm2_f4[[#This Row],[hwycov_id]]</f>
        <v>26622</v>
      </c>
      <c r="L1087">
        <f>Table_socioeca8.sandag.org_ws_abm2_f4[[#This Row],[scenario_id]]</f>
        <v>259</v>
      </c>
      <c r="M1087">
        <f>Table_socioeca8.sandag.org_ws_abm2_f4[[#This Row],[flow_day]]</f>
        <v>104300</v>
      </c>
      <c r="N1087">
        <f>Table_socioeca8.sandag.org_ws_abm2_f4[[#This Row],[flow_am]]</f>
        <v>24721</v>
      </c>
      <c r="O1087">
        <f>Table_socioeca8.sandag.org_ws_abm2_f4[[#This Row],[flow_pm]]</f>
        <v>19406</v>
      </c>
    </row>
    <row r="1088" spans="5:15" x14ac:dyDescent="0.25">
      <c r="E1088">
        <v>26623</v>
      </c>
      <c r="F1088">
        <f t="shared" si="16"/>
        <v>259</v>
      </c>
      <c r="G1088">
        <f>IFERROR(VLOOKUP(Table_socioeca8.sandag.org_ws_abm2_f4[[#This Row],[hwycov_id]],[2]flow_freeway!$A$2:$E$1643,3,FALSE),0)</f>
        <v>60881</v>
      </c>
      <c r="H1088">
        <f>IFERROR(VLOOKUP(Table_socioeca8.sandag.org_ws_abm2_f4[[#This Row],[hwycov_id]],[2]flow_freeway!$A$2:$E$1643,4,FALSE),0)</f>
        <v>12175</v>
      </c>
      <c r="I1088">
        <f>IFERROR(VLOOKUP(Table_socioeca8.sandag.org_ws_abm2_f4[[#This Row],[hwycov_id]],[2]flow_freeway!$A$2:$E$1643,5,FALSE),0)</f>
        <v>12636</v>
      </c>
      <c r="K1088">
        <f>Table_socioeca8.sandag.org_ws_abm2_f4[[#This Row],[hwycov_id]]</f>
        <v>26623</v>
      </c>
      <c r="L1088">
        <f>Table_socioeca8.sandag.org_ws_abm2_f4[[#This Row],[scenario_id]]</f>
        <v>259</v>
      </c>
      <c r="M1088">
        <f>Table_socioeca8.sandag.org_ws_abm2_f4[[#This Row],[flow_day]]</f>
        <v>60881</v>
      </c>
      <c r="N1088">
        <f>Table_socioeca8.sandag.org_ws_abm2_f4[[#This Row],[flow_am]]</f>
        <v>12175</v>
      </c>
      <c r="O1088">
        <f>Table_socioeca8.sandag.org_ws_abm2_f4[[#This Row],[flow_pm]]</f>
        <v>12636</v>
      </c>
    </row>
    <row r="1089" spans="5:15" x14ac:dyDescent="0.25">
      <c r="E1089">
        <v>26667</v>
      </c>
      <c r="F1089">
        <f t="shared" si="16"/>
        <v>259</v>
      </c>
      <c r="G1089">
        <f>IFERROR(VLOOKUP(Table_socioeca8.sandag.org_ws_abm2_f4[[#This Row],[hwycov_id]],[2]flow_freeway!$A$2:$E$1643,3,FALSE),0)</f>
        <v>59673</v>
      </c>
      <c r="H1089">
        <f>IFERROR(VLOOKUP(Table_socioeca8.sandag.org_ws_abm2_f4[[#This Row],[hwycov_id]],[2]flow_freeway!$A$2:$E$1643,4,FALSE),0)</f>
        <v>11631</v>
      </c>
      <c r="I1089">
        <f>IFERROR(VLOOKUP(Table_socioeca8.sandag.org_ws_abm2_f4[[#This Row],[hwycov_id]],[2]flow_freeway!$A$2:$E$1643,5,FALSE),0)</f>
        <v>17045</v>
      </c>
      <c r="K1089">
        <f>Table_socioeca8.sandag.org_ws_abm2_f4[[#This Row],[hwycov_id]]</f>
        <v>26667</v>
      </c>
      <c r="L1089">
        <f>Table_socioeca8.sandag.org_ws_abm2_f4[[#This Row],[scenario_id]]</f>
        <v>259</v>
      </c>
      <c r="M1089">
        <f>Table_socioeca8.sandag.org_ws_abm2_f4[[#This Row],[flow_day]]</f>
        <v>59673</v>
      </c>
      <c r="N1089">
        <f>Table_socioeca8.sandag.org_ws_abm2_f4[[#This Row],[flow_am]]</f>
        <v>11631</v>
      </c>
      <c r="O1089">
        <f>Table_socioeca8.sandag.org_ws_abm2_f4[[#This Row],[flow_pm]]</f>
        <v>17045</v>
      </c>
    </row>
    <row r="1090" spans="5:15" x14ac:dyDescent="0.25">
      <c r="E1090">
        <v>26675</v>
      </c>
      <c r="F1090">
        <f t="shared" si="16"/>
        <v>259</v>
      </c>
      <c r="G1090">
        <f>IFERROR(VLOOKUP(Table_socioeca8.sandag.org_ws_abm2_f4[[#This Row],[hwycov_id]],[2]flow_freeway!$A$2:$E$1643,3,FALSE),0)</f>
        <v>59371</v>
      </c>
      <c r="H1090">
        <f>IFERROR(VLOOKUP(Table_socioeca8.sandag.org_ws_abm2_f4[[#This Row],[hwycov_id]],[2]flow_freeway!$A$2:$E$1643,4,FALSE),0)</f>
        <v>12779</v>
      </c>
      <c r="I1090">
        <f>IFERROR(VLOOKUP(Table_socioeca8.sandag.org_ws_abm2_f4[[#This Row],[hwycov_id]],[2]flow_freeway!$A$2:$E$1643,5,FALSE),0)</f>
        <v>11709</v>
      </c>
      <c r="K1090">
        <f>Table_socioeca8.sandag.org_ws_abm2_f4[[#This Row],[hwycov_id]]</f>
        <v>26675</v>
      </c>
      <c r="L1090">
        <f>Table_socioeca8.sandag.org_ws_abm2_f4[[#This Row],[scenario_id]]</f>
        <v>259</v>
      </c>
      <c r="M1090">
        <f>Table_socioeca8.sandag.org_ws_abm2_f4[[#This Row],[flow_day]]</f>
        <v>59371</v>
      </c>
      <c r="N1090">
        <f>Table_socioeca8.sandag.org_ws_abm2_f4[[#This Row],[flow_am]]</f>
        <v>12779</v>
      </c>
      <c r="O1090">
        <f>Table_socioeca8.sandag.org_ws_abm2_f4[[#This Row],[flow_pm]]</f>
        <v>11709</v>
      </c>
    </row>
    <row r="1091" spans="5:15" x14ac:dyDescent="0.25">
      <c r="E1091">
        <v>26707</v>
      </c>
      <c r="F1091">
        <f t="shared" si="16"/>
        <v>259</v>
      </c>
      <c r="G1091">
        <f>IFERROR(VLOOKUP(Table_socioeca8.sandag.org_ws_abm2_f4[[#This Row],[hwycov_id]],[2]flow_freeway!$A$2:$E$1643,3,FALSE),0)</f>
        <v>111304</v>
      </c>
      <c r="H1091">
        <f>IFERROR(VLOOKUP(Table_socioeca8.sandag.org_ws_abm2_f4[[#This Row],[hwycov_id]],[2]flow_freeway!$A$2:$E$1643,4,FALSE),0)</f>
        <v>24145</v>
      </c>
      <c r="I1091">
        <f>IFERROR(VLOOKUP(Table_socioeca8.sandag.org_ws_abm2_f4[[#This Row],[hwycov_id]],[2]flow_freeway!$A$2:$E$1643,5,FALSE),0)</f>
        <v>27945</v>
      </c>
      <c r="K1091">
        <f>Table_socioeca8.sandag.org_ws_abm2_f4[[#This Row],[hwycov_id]]</f>
        <v>26707</v>
      </c>
      <c r="L1091">
        <f>Table_socioeca8.sandag.org_ws_abm2_f4[[#This Row],[scenario_id]]</f>
        <v>259</v>
      </c>
      <c r="M1091">
        <f>Table_socioeca8.sandag.org_ws_abm2_f4[[#This Row],[flow_day]]</f>
        <v>111304</v>
      </c>
      <c r="N1091">
        <f>Table_socioeca8.sandag.org_ws_abm2_f4[[#This Row],[flow_am]]</f>
        <v>24145</v>
      </c>
      <c r="O1091">
        <f>Table_socioeca8.sandag.org_ws_abm2_f4[[#This Row],[flow_pm]]</f>
        <v>27945</v>
      </c>
    </row>
    <row r="1092" spans="5:15" x14ac:dyDescent="0.25">
      <c r="E1092">
        <v>26708</v>
      </c>
      <c r="F1092">
        <f t="shared" ref="F1092:F1155" si="17">F1091</f>
        <v>259</v>
      </c>
      <c r="G1092">
        <f>IFERROR(VLOOKUP(Table_socioeca8.sandag.org_ws_abm2_f4[[#This Row],[hwycov_id]],[2]flow_freeway!$A$2:$E$1643,3,FALSE),0)</f>
        <v>100921</v>
      </c>
      <c r="H1092">
        <f>IFERROR(VLOOKUP(Table_socioeca8.sandag.org_ws_abm2_f4[[#This Row],[hwycov_id]],[2]flow_freeway!$A$2:$E$1643,4,FALSE),0)</f>
        <v>22106</v>
      </c>
      <c r="I1092">
        <f>IFERROR(VLOOKUP(Table_socioeca8.sandag.org_ws_abm2_f4[[#This Row],[hwycov_id]],[2]flow_freeway!$A$2:$E$1643,5,FALSE),0)</f>
        <v>25625</v>
      </c>
      <c r="K1092">
        <f>Table_socioeca8.sandag.org_ws_abm2_f4[[#This Row],[hwycov_id]]</f>
        <v>26708</v>
      </c>
      <c r="L1092">
        <f>Table_socioeca8.sandag.org_ws_abm2_f4[[#This Row],[scenario_id]]</f>
        <v>259</v>
      </c>
      <c r="M1092">
        <f>Table_socioeca8.sandag.org_ws_abm2_f4[[#This Row],[flow_day]]</f>
        <v>100921</v>
      </c>
      <c r="N1092">
        <f>Table_socioeca8.sandag.org_ws_abm2_f4[[#This Row],[flow_am]]</f>
        <v>22106</v>
      </c>
      <c r="O1092">
        <f>Table_socioeca8.sandag.org_ws_abm2_f4[[#This Row],[flow_pm]]</f>
        <v>25625</v>
      </c>
    </row>
    <row r="1093" spans="5:15" x14ac:dyDescent="0.25">
      <c r="E1093">
        <v>26722</v>
      </c>
      <c r="F1093">
        <f t="shared" si="17"/>
        <v>259</v>
      </c>
      <c r="G1093">
        <f>IFERROR(VLOOKUP(Table_socioeca8.sandag.org_ws_abm2_f4[[#This Row],[hwycov_id]],[2]flow_freeway!$A$2:$E$1643,3,FALSE),0)</f>
        <v>114334</v>
      </c>
      <c r="H1093">
        <f>IFERROR(VLOOKUP(Table_socioeca8.sandag.org_ws_abm2_f4[[#This Row],[hwycov_id]],[2]flow_freeway!$A$2:$E$1643,4,FALSE),0)</f>
        <v>24225</v>
      </c>
      <c r="I1093">
        <f>IFERROR(VLOOKUP(Table_socioeca8.sandag.org_ws_abm2_f4[[#This Row],[hwycov_id]],[2]flow_freeway!$A$2:$E$1643,5,FALSE),0)</f>
        <v>28193</v>
      </c>
      <c r="K1093">
        <f>Table_socioeca8.sandag.org_ws_abm2_f4[[#This Row],[hwycov_id]]</f>
        <v>26722</v>
      </c>
      <c r="L1093">
        <f>Table_socioeca8.sandag.org_ws_abm2_f4[[#This Row],[scenario_id]]</f>
        <v>259</v>
      </c>
      <c r="M1093">
        <f>Table_socioeca8.sandag.org_ws_abm2_f4[[#This Row],[flow_day]]</f>
        <v>114334</v>
      </c>
      <c r="N1093">
        <f>Table_socioeca8.sandag.org_ws_abm2_f4[[#This Row],[flow_am]]</f>
        <v>24225</v>
      </c>
      <c r="O1093">
        <f>Table_socioeca8.sandag.org_ws_abm2_f4[[#This Row],[flow_pm]]</f>
        <v>28193</v>
      </c>
    </row>
    <row r="1094" spans="5:15" x14ac:dyDescent="0.25">
      <c r="E1094">
        <v>26788</v>
      </c>
      <c r="F1094">
        <f t="shared" si="17"/>
        <v>259</v>
      </c>
      <c r="G1094">
        <f>IFERROR(VLOOKUP(Table_socioeca8.sandag.org_ws_abm2_f4[[#This Row],[hwycov_id]],[2]flow_freeway!$A$2:$E$1643,3,FALSE),0)</f>
        <v>99801</v>
      </c>
      <c r="H1094">
        <f>IFERROR(VLOOKUP(Table_socioeca8.sandag.org_ws_abm2_f4[[#This Row],[hwycov_id]],[2]flow_freeway!$A$2:$E$1643,4,FALSE),0)</f>
        <v>20534</v>
      </c>
      <c r="I1094">
        <f>IFERROR(VLOOKUP(Table_socioeca8.sandag.org_ws_abm2_f4[[#This Row],[hwycov_id]],[2]flow_freeway!$A$2:$E$1643,5,FALSE),0)</f>
        <v>23260</v>
      </c>
      <c r="K1094">
        <f>Table_socioeca8.sandag.org_ws_abm2_f4[[#This Row],[hwycov_id]]</f>
        <v>26788</v>
      </c>
      <c r="L1094">
        <f>Table_socioeca8.sandag.org_ws_abm2_f4[[#This Row],[scenario_id]]</f>
        <v>259</v>
      </c>
      <c r="M1094">
        <f>Table_socioeca8.sandag.org_ws_abm2_f4[[#This Row],[flow_day]]</f>
        <v>99801</v>
      </c>
      <c r="N1094">
        <f>Table_socioeca8.sandag.org_ws_abm2_f4[[#This Row],[flow_am]]</f>
        <v>20534</v>
      </c>
      <c r="O1094">
        <f>Table_socioeca8.sandag.org_ws_abm2_f4[[#This Row],[flow_pm]]</f>
        <v>23260</v>
      </c>
    </row>
    <row r="1095" spans="5:15" x14ac:dyDescent="0.25">
      <c r="E1095">
        <v>26791</v>
      </c>
      <c r="F1095">
        <f t="shared" si="17"/>
        <v>259</v>
      </c>
      <c r="G1095">
        <f>IFERROR(VLOOKUP(Table_socioeca8.sandag.org_ws_abm2_f4[[#This Row],[hwycov_id]],[2]flow_freeway!$A$2:$E$1643,3,FALSE),0)</f>
        <v>100531</v>
      </c>
      <c r="H1095">
        <f>IFERROR(VLOOKUP(Table_socioeca8.sandag.org_ws_abm2_f4[[#This Row],[hwycov_id]],[2]flow_freeway!$A$2:$E$1643,4,FALSE),0)</f>
        <v>20242</v>
      </c>
      <c r="I1095">
        <f>IFERROR(VLOOKUP(Table_socioeca8.sandag.org_ws_abm2_f4[[#This Row],[hwycov_id]],[2]flow_freeway!$A$2:$E$1643,5,FALSE),0)</f>
        <v>23863</v>
      </c>
      <c r="K1095">
        <f>Table_socioeca8.sandag.org_ws_abm2_f4[[#This Row],[hwycov_id]]</f>
        <v>26791</v>
      </c>
      <c r="L1095">
        <f>Table_socioeca8.sandag.org_ws_abm2_f4[[#This Row],[scenario_id]]</f>
        <v>259</v>
      </c>
      <c r="M1095">
        <f>Table_socioeca8.sandag.org_ws_abm2_f4[[#This Row],[flow_day]]</f>
        <v>100531</v>
      </c>
      <c r="N1095">
        <f>Table_socioeca8.sandag.org_ws_abm2_f4[[#This Row],[flow_am]]</f>
        <v>20242</v>
      </c>
      <c r="O1095">
        <f>Table_socioeca8.sandag.org_ws_abm2_f4[[#This Row],[flow_pm]]</f>
        <v>23863</v>
      </c>
    </row>
    <row r="1096" spans="5:15" x14ac:dyDescent="0.25">
      <c r="E1096">
        <v>26870</v>
      </c>
      <c r="F1096">
        <f t="shared" si="17"/>
        <v>259</v>
      </c>
      <c r="G1096">
        <f>IFERROR(VLOOKUP(Table_socioeca8.sandag.org_ws_abm2_f4[[#This Row],[hwycov_id]],[2]flow_freeway!$A$2:$E$1643,3,FALSE),0)</f>
        <v>112419</v>
      </c>
      <c r="H1096">
        <f>IFERROR(VLOOKUP(Table_socioeca8.sandag.org_ws_abm2_f4[[#This Row],[hwycov_id]],[2]flow_freeway!$A$2:$E$1643,4,FALSE),0)</f>
        <v>18570</v>
      </c>
      <c r="I1096">
        <f>IFERROR(VLOOKUP(Table_socioeca8.sandag.org_ws_abm2_f4[[#This Row],[hwycov_id]],[2]flow_freeway!$A$2:$E$1643,5,FALSE),0)</f>
        <v>32233</v>
      </c>
      <c r="K1096">
        <f>Table_socioeca8.sandag.org_ws_abm2_f4[[#This Row],[hwycov_id]]</f>
        <v>26870</v>
      </c>
      <c r="L1096">
        <f>Table_socioeca8.sandag.org_ws_abm2_f4[[#This Row],[scenario_id]]</f>
        <v>259</v>
      </c>
      <c r="M1096">
        <f>Table_socioeca8.sandag.org_ws_abm2_f4[[#This Row],[flow_day]]</f>
        <v>112419</v>
      </c>
      <c r="N1096">
        <f>Table_socioeca8.sandag.org_ws_abm2_f4[[#This Row],[flow_am]]</f>
        <v>18570</v>
      </c>
      <c r="O1096">
        <f>Table_socioeca8.sandag.org_ws_abm2_f4[[#This Row],[flow_pm]]</f>
        <v>32233</v>
      </c>
    </row>
    <row r="1097" spans="5:15" x14ac:dyDescent="0.25">
      <c r="E1097">
        <v>26879</v>
      </c>
      <c r="F1097">
        <f t="shared" si="17"/>
        <v>259</v>
      </c>
      <c r="G1097">
        <f>IFERROR(VLOOKUP(Table_socioeca8.sandag.org_ws_abm2_f4[[#This Row],[hwycov_id]],[2]flow_freeway!$A$2:$E$1643,3,FALSE),0)</f>
        <v>120679</v>
      </c>
      <c r="H1097">
        <f>IFERROR(VLOOKUP(Table_socioeca8.sandag.org_ws_abm2_f4[[#This Row],[hwycov_id]],[2]flow_freeway!$A$2:$E$1643,4,FALSE),0)</f>
        <v>27703</v>
      </c>
      <c r="I1097">
        <f>IFERROR(VLOOKUP(Table_socioeca8.sandag.org_ws_abm2_f4[[#This Row],[hwycov_id]],[2]flow_freeway!$A$2:$E$1643,5,FALSE),0)</f>
        <v>23465</v>
      </c>
      <c r="K1097">
        <f>Table_socioeca8.sandag.org_ws_abm2_f4[[#This Row],[hwycov_id]]</f>
        <v>26879</v>
      </c>
      <c r="L1097">
        <f>Table_socioeca8.sandag.org_ws_abm2_f4[[#This Row],[scenario_id]]</f>
        <v>259</v>
      </c>
      <c r="M1097">
        <f>Table_socioeca8.sandag.org_ws_abm2_f4[[#This Row],[flow_day]]</f>
        <v>120679</v>
      </c>
      <c r="N1097">
        <f>Table_socioeca8.sandag.org_ws_abm2_f4[[#This Row],[flow_am]]</f>
        <v>27703</v>
      </c>
      <c r="O1097">
        <f>Table_socioeca8.sandag.org_ws_abm2_f4[[#This Row],[flow_pm]]</f>
        <v>23465</v>
      </c>
    </row>
    <row r="1098" spans="5:15" x14ac:dyDescent="0.25">
      <c r="E1098">
        <v>26911</v>
      </c>
      <c r="F1098">
        <f t="shared" si="17"/>
        <v>259</v>
      </c>
      <c r="G1098">
        <f>IFERROR(VLOOKUP(Table_socioeca8.sandag.org_ws_abm2_f4[[#This Row],[hwycov_id]],[2]flow_freeway!$A$2:$E$1643,3,FALSE),0)</f>
        <v>58226</v>
      </c>
      <c r="H1098">
        <f>IFERROR(VLOOKUP(Table_socioeca8.sandag.org_ws_abm2_f4[[#This Row],[hwycov_id]],[2]flow_freeway!$A$2:$E$1643,4,FALSE),0)</f>
        <v>11421</v>
      </c>
      <c r="I1098">
        <f>IFERROR(VLOOKUP(Table_socioeca8.sandag.org_ws_abm2_f4[[#This Row],[hwycov_id]],[2]flow_freeway!$A$2:$E$1643,5,FALSE),0)</f>
        <v>16053</v>
      </c>
      <c r="K1098">
        <f>Table_socioeca8.sandag.org_ws_abm2_f4[[#This Row],[hwycov_id]]</f>
        <v>26911</v>
      </c>
      <c r="L1098">
        <f>Table_socioeca8.sandag.org_ws_abm2_f4[[#This Row],[scenario_id]]</f>
        <v>259</v>
      </c>
      <c r="M1098">
        <f>Table_socioeca8.sandag.org_ws_abm2_f4[[#This Row],[flow_day]]</f>
        <v>58226</v>
      </c>
      <c r="N1098">
        <f>Table_socioeca8.sandag.org_ws_abm2_f4[[#This Row],[flow_am]]</f>
        <v>11421</v>
      </c>
      <c r="O1098">
        <f>Table_socioeca8.sandag.org_ws_abm2_f4[[#This Row],[flow_pm]]</f>
        <v>16053</v>
      </c>
    </row>
    <row r="1099" spans="5:15" x14ac:dyDescent="0.25">
      <c r="E1099">
        <v>27014</v>
      </c>
      <c r="F1099">
        <f t="shared" si="17"/>
        <v>259</v>
      </c>
      <c r="G1099">
        <f>IFERROR(VLOOKUP(Table_socioeca8.sandag.org_ws_abm2_f4[[#This Row],[hwycov_id]],[2]flow_freeway!$A$2:$E$1643,3,FALSE),0)</f>
        <v>34292</v>
      </c>
      <c r="H1099">
        <f>IFERROR(VLOOKUP(Table_socioeca8.sandag.org_ws_abm2_f4[[#This Row],[hwycov_id]],[2]flow_freeway!$A$2:$E$1643,4,FALSE),0)</f>
        <v>7949</v>
      </c>
      <c r="I1099">
        <f>IFERROR(VLOOKUP(Table_socioeca8.sandag.org_ws_abm2_f4[[#This Row],[hwycov_id]],[2]flow_freeway!$A$2:$E$1643,5,FALSE),0)</f>
        <v>8282</v>
      </c>
      <c r="K1099">
        <f>Table_socioeca8.sandag.org_ws_abm2_f4[[#This Row],[hwycov_id]]</f>
        <v>27014</v>
      </c>
      <c r="L1099">
        <f>Table_socioeca8.sandag.org_ws_abm2_f4[[#This Row],[scenario_id]]</f>
        <v>259</v>
      </c>
      <c r="M1099">
        <f>Table_socioeca8.sandag.org_ws_abm2_f4[[#This Row],[flow_day]]</f>
        <v>34292</v>
      </c>
      <c r="N1099">
        <f>Table_socioeca8.sandag.org_ws_abm2_f4[[#This Row],[flow_am]]</f>
        <v>7949</v>
      </c>
      <c r="O1099">
        <f>Table_socioeca8.sandag.org_ws_abm2_f4[[#This Row],[flow_pm]]</f>
        <v>8282</v>
      </c>
    </row>
    <row r="1100" spans="5:15" x14ac:dyDescent="0.25">
      <c r="E1100">
        <v>27015</v>
      </c>
      <c r="F1100">
        <f t="shared" si="17"/>
        <v>259</v>
      </c>
      <c r="G1100">
        <f>IFERROR(VLOOKUP(Table_socioeca8.sandag.org_ws_abm2_f4[[#This Row],[hwycov_id]],[2]flow_freeway!$A$2:$E$1643,3,FALSE),0)</f>
        <v>18895</v>
      </c>
      <c r="H1100">
        <f>IFERROR(VLOOKUP(Table_socioeca8.sandag.org_ws_abm2_f4[[#This Row],[hwycov_id]],[2]flow_freeway!$A$2:$E$1643,4,FALSE),0)</f>
        <v>3905</v>
      </c>
      <c r="I1100">
        <f>IFERROR(VLOOKUP(Table_socioeca8.sandag.org_ws_abm2_f4[[#This Row],[hwycov_id]],[2]flow_freeway!$A$2:$E$1643,5,FALSE),0)</f>
        <v>5336</v>
      </c>
      <c r="K1100">
        <f>Table_socioeca8.sandag.org_ws_abm2_f4[[#This Row],[hwycov_id]]</f>
        <v>27015</v>
      </c>
      <c r="L1100">
        <f>Table_socioeca8.sandag.org_ws_abm2_f4[[#This Row],[scenario_id]]</f>
        <v>259</v>
      </c>
      <c r="M1100">
        <f>Table_socioeca8.sandag.org_ws_abm2_f4[[#This Row],[flow_day]]</f>
        <v>18895</v>
      </c>
      <c r="N1100">
        <f>Table_socioeca8.sandag.org_ws_abm2_f4[[#This Row],[flow_am]]</f>
        <v>3905</v>
      </c>
      <c r="O1100">
        <f>Table_socioeca8.sandag.org_ws_abm2_f4[[#This Row],[flow_pm]]</f>
        <v>5336</v>
      </c>
    </row>
    <row r="1101" spans="5:15" x14ac:dyDescent="0.25">
      <c r="E1101">
        <v>27131</v>
      </c>
      <c r="F1101">
        <f t="shared" si="17"/>
        <v>259</v>
      </c>
      <c r="G1101">
        <f>IFERROR(VLOOKUP(Table_socioeca8.sandag.org_ws_abm2_f4[[#This Row],[hwycov_id]],[2]flow_freeway!$A$2:$E$1643,3,FALSE),0)</f>
        <v>114708</v>
      </c>
      <c r="H1101">
        <f>IFERROR(VLOOKUP(Table_socioeca8.sandag.org_ws_abm2_f4[[#This Row],[hwycov_id]],[2]flow_freeway!$A$2:$E$1643,4,FALSE),0)</f>
        <v>18463</v>
      </c>
      <c r="I1101">
        <f>IFERROR(VLOOKUP(Table_socioeca8.sandag.org_ws_abm2_f4[[#This Row],[hwycov_id]],[2]flow_freeway!$A$2:$E$1643,5,FALSE),0)</f>
        <v>33970</v>
      </c>
      <c r="K1101">
        <f>Table_socioeca8.sandag.org_ws_abm2_f4[[#This Row],[hwycov_id]]</f>
        <v>27131</v>
      </c>
      <c r="L1101">
        <f>Table_socioeca8.sandag.org_ws_abm2_f4[[#This Row],[scenario_id]]</f>
        <v>259</v>
      </c>
      <c r="M1101">
        <f>Table_socioeca8.sandag.org_ws_abm2_f4[[#This Row],[flow_day]]</f>
        <v>114708</v>
      </c>
      <c r="N1101">
        <f>Table_socioeca8.sandag.org_ws_abm2_f4[[#This Row],[flow_am]]</f>
        <v>18463</v>
      </c>
      <c r="O1101">
        <f>Table_socioeca8.sandag.org_ws_abm2_f4[[#This Row],[flow_pm]]</f>
        <v>33970</v>
      </c>
    </row>
    <row r="1102" spans="5:15" x14ac:dyDescent="0.25">
      <c r="E1102">
        <v>27154</v>
      </c>
      <c r="F1102">
        <f t="shared" si="17"/>
        <v>259</v>
      </c>
      <c r="G1102">
        <f>IFERROR(VLOOKUP(Table_socioeca8.sandag.org_ws_abm2_f4[[#This Row],[hwycov_id]],[2]flow_freeway!$A$2:$E$1643,3,FALSE),0)</f>
        <v>14362</v>
      </c>
      <c r="H1102">
        <f>IFERROR(VLOOKUP(Table_socioeca8.sandag.org_ws_abm2_f4[[#This Row],[hwycov_id]],[2]flow_freeway!$A$2:$E$1643,4,FALSE),0)</f>
        <v>3351</v>
      </c>
      <c r="I1102">
        <f>IFERROR(VLOOKUP(Table_socioeca8.sandag.org_ws_abm2_f4[[#This Row],[hwycov_id]],[2]flow_freeway!$A$2:$E$1643,5,FALSE),0)</f>
        <v>1557</v>
      </c>
      <c r="K1102">
        <f>Table_socioeca8.sandag.org_ws_abm2_f4[[#This Row],[hwycov_id]]</f>
        <v>27154</v>
      </c>
      <c r="L1102">
        <f>Table_socioeca8.sandag.org_ws_abm2_f4[[#This Row],[scenario_id]]</f>
        <v>259</v>
      </c>
      <c r="M1102">
        <f>Table_socioeca8.sandag.org_ws_abm2_f4[[#This Row],[flow_day]]</f>
        <v>14362</v>
      </c>
      <c r="N1102">
        <f>Table_socioeca8.sandag.org_ws_abm2_f4[[#This Row],[flow_am]]</f>
        <v>3351</v>
      </c>
      <c r="O1102">
        <f>Table_socioeca8.sandag.org_ws_abm2_f4[[#This Row],[flow_pm]]</f>
        <v>1557</v>
      </c>
    </row>
    <row r="1103" spans="5:15" x14ac:dyDescent="0.25">
      <c r="E1103">
        <v>27155</v>
      </c>
      <c r="F1103">
        <f t="shared" si="17"/>
        <v>259</v>
      </c>
      <c r="G1103">
        <f>IFERROR(VLOOKUP(Table_socioeca8.sandag.org_ws_abm2_f4[[#This Row],[hwycov_id]],[2]flow_freeway!$A$2:$E$1643,3,FALSE),0)</f>
        <v>13695</v>
      </c>
      <c r="H1103">
        <f>IFERROR(VLOOKUP(Table_socioeca8.sandag.org_ws_abm2_f4[[#This Row],[hwycov_id]],[2]flow_freeway!$A$2:$E$1643,4,FALSE),0)</f>
        <v>1000</v>
      </c>
      <c r="I1103">
        <f>IFERROR(VLOOKUP(Table_socioeca8.sandag.org_ws_abm2_f4[[#This Row],[hwycov_id]],[2]flow_freeway!$A$2:$E$1643,5,FALSE),0)</f>
        <v>4635</v>
      </c>
      <c r="K1103">
        <f>Table_socioeca8.sandag.org_ws_abm2_f4[[#This Row],[hwycov_id]]</f>
        <v>27155</v>
      </c>
      <c r="L1103">
        <f>Table_socioeca8.sandag.org_ws_abm2_f4[[#This Row],[scenario_id]]</f>
        <v>259</v>
      </c>
      <c r="M1103">
        <f>Table_socioeca8.sandag.org_ws_abm2_f4[[#This Row],[flow_day]]</f>
        <v>13695</v>
      </c>
      <c r="N1103">
        <f>Table_socioeca8.sandag.org_ws_abm2_f4[[#This Row],[flow_am]]</f>
        <v>1000</v>
      </c>
      <c r="O1103">
        <f>Table_socioeca8.sandag.org_ws_abm2_f4[[#This Row],[flow_pm]]</f>
        <v>4635</v>
      </c>
    </row>
    <row r="1104" spans="5:15" x14ac:dyDescent="0.25">
      <c r="E1104">
        <v>27157</v>
      </c>
      <c r="F1104">
        <f t="shared" si="17"/>
        <v>259</v>
      </c>
      <c r="G1104">
        <f>IFERROR(VLOOKUP(Table_socioeca8.sandag.org_ws_abm2_f4[[#This Row],[hwycov_id]],[2]flow_freeway!$A$2:$E$1643,3,FALSE),0)</f>
        <v>28572</v>
      </c>
      <c r="H1104">
        <f>IFERROR(VLOOKUP(Table_socioeca8.sandag.org_ws_abm2_f4[[#This Row],[hwycov_id]],[2]flow_freeway!$A$2:$E$1643,4,FALSE),0)</f>
        <v>4803</v>
      </c>
      <c r="I1104">
        <f>IFERROR(VLOOKUP(Table_socioeca8.sandag.org_ws_abm2_f4[[#This Row],[hwycov_id]],[2]flow_freeway!$A$2:$E$1643,5,FALSE),0)</f>
        <v>8265</v>
      </c>
      <c r="K1104">
        <f>Table_socioeca8.sandag.org_ws_abm2_f4[[#This Row],[hwycov_id]]</f>
        <v>27157</v>
      </c>
      <c r="L1104">
        <f>Table_socioeca8.sandag.org_ws_abm2_f4[[#This Row],[scenario_id]]</f>
        <v>259</v>
      </c>
      <c r="M1104">
        <f>Table_socioeca8.sandag.org_ws_abm2_f4[[#This Row],[flow_day]]</f>
        <v>28572</v>
      </c>
      <c r="N1104">
        <f>Table_socioeca8.sandag.org_ws_abm2_f4[[#This Row],[flow_am]]</f>
        <v>4803</v>
      </c>
      <c r="O1104">
        <f>Table_socioeca8.sandag.org_ws_abm2_f4[[#This Row],[flow_pm]]</f>
        <v>8265</v>
      </c>
    </row>
    <row r="1105" spans="5:15" x14ac:dyDescent="0.25">
      <c r="E1105">
        <v>27161</v>
      </c>
      <c r="F1105">
        <f t="shared" si="17"/>
        <v>259</v>
      </c>
      <c r="G1105">
        <f>IFERROR(VLOOKUP(Table_socioeca8.sandag.org_ws_abm2_f4[[#This Row],[hwycov_id]],[2]flow_freeway!$A$2:$E$1643,3,FALSE),0)</f>
        <v>16339</v>
      </c>
      <c r="H1105">
        <f>IFERROR(VLOOKUP(Table_socioeca8.sandag.org_ws_abm2_f4[[#This Row],[hwycov_id]],[2]flow_freeway!$A$2:$E$1643,4,FALSE),0)</f>
        <v>4320</v>
      </c>
      <c r="I1105">
        <f>IFERROR(VLOOKUP(Table_socioeca8.sandag.org_ws_abm2_f4[[#This Row],[hwycov_id]],[2]flow_freeway!$A$2:$E$1643,5,FALSE),0)</f>
        <v>4668</v>
      </c>
      <c r="K1105">
        <f>Table_socioeca8.sandag.org_ws_abm2_f4[[#This Row],[hwycov_id]]</f>
        <v>27161</v>
      </c>
      <c r="L1105">
        <f>Table_socioeca8.sandag.org_ws_abm2_f4[[#This Row],[scenario_id]]</f>
        <v>259</v>
      </c>
      <c r="M1105">
        <f>Table_socioeca8.sandag.org_ws_abm2_f4[[#This Row],[flow_day]]</f>
        <v>16339</v>
      </c>
      <c r="N1105">
        <f>Table_socioeca8.sandag.org_ws_abm2_f4[[#This Row],[flow_am]]</f>
        <v>4320</v>
      </c>
      <c r="O1105">
        <f>Table_socioeca8.sandag.org_ws_abm2_f4[[#This Row],[flow_pm]]</f>
        <v>4668</v>
      </c>
    </row>
    <row r="1106" spans="5:15" x14ac:dyDescent="0.25">
      <c r="E1106">
        <v>27162</v>
      </c>
      <c r="F1106">
        <f t="shared" si="17"/>
        <v>259</v>
      </c>
      <c r="G1106">
        <f>IFERROR(VLOOKUP(Table_socioeca8.sandag.org_ws_abm2_f4[[#This Row],[hwycov_id]],[2]flow_freeway!$A$2:$E$1643,3,FALSE),0)</f>
        <v>30762</v>
      </c>
      <c r="H1106">
        <f>IFERROR(VLOOKUP(Table_socioeca8.sandag.org_ws_abm2_f4[[#This Row],[hwycov_id]],[2]flow_freeway!$A$2:$E$1643,4,FALSE),0)</f>
        <v>6436</v>
      </c>
      <c r="I1106">
        <f>IFERROR(VLOOKUP(Table_socioeca8.sandag.org_ws_abm2_f4[[#This Row],[hwycov_id]],[2]flow_freeway!$A$2:$E$1643,5,FALSE),0)</f>
        <v>6374</v>
      </c>
      <c r="K1106">
        <f>Table_socioeca8.sandag.org_ws_abm2_f4[[#This Row],[hwycov_id]]</f>
        <v>27162</v>
      </c>
      <c r="L1106">
        <f>Table_socioeca8.sandag.org_ws_abm2_f4[[#This Row],[scenario_id]]</f>
        <v>259</v>
      </c>
      <c r="M1106">
        <f>Table_socioeca8.sandag.org_ws_abm2_f4[[#This Row],[flow_day]]</f>
        <v>30762</v>
      </c>
      <c r="N1106">
        <f>Table_socioeca8.sandag.org_ws_abm2_f4[[#This Row],[flow_am]]</f>
        <v>6436</v>
      </c>
      <c r="O1106">
        <f>Table_socioeca8.sandag.org_ws_abm2_f4[[#This Row],[flow_pm]]</f>
        <v>6374</v>
      </c>
    </row>
    <row r="1107" spans="5:15" x14ac:dyDescent="0.25">
      <c r="E1107">
        <v>27165</v>
      </c>
      <c r="F1107">
        <f t="shared" si="17"/>
        <v>259</v>
      </c>
      <c r="G1107">
        <f>IFERROR(VLOOKUP(Table_socioeca8.sandag.org_ws_abm2_f4[[#This Row],[hwycov_id]],[2]flow_freeway!$A$2:$E$1643,3,FALSE),0)</f>
        <v>59277</v>
      </c>
      <c r="H1107">
        <f>IFERROR(VLOOKUP(Table_socioeca8.sandag.org_ws_abm2_f4[[#This Row],[hwycov_id]],[2]flow_freeway!$A$2:$E$1643,4,FALSE),0)</f>
        <v>9002</v>
      </c>
      <c r="I1107">
        <f>IFERROR(VLOOKUP(Table_socioeca8.sandag.org_ws_abm2_f4[[#This Row],[hwycov_id]],[2]flow_freeway!$A$2:$E$1643,5,FALSE),0)</f>
        <v>18254</v>
      </c>
      <c r="K1107">
        <f>Table_socioeca8.sandag.org_ws_abm2_f4[[#This Row],[hwycov_id]]</f>
        <v>27165</v>
      </c>
      <c r="L1107">
        <f>Table_socioeca8.sandag.org_ws_abm2_f4[[#This Row],[scenario_id]]</f>
        <v>259</v>
      </c>
      <c r="M1107">
        <f>Table_socioeca8.sandag.org_ws_abm2_f4[[#This Row],[flow_day]]</f>
        <v>59277</v>
      </c>
      <c r="N1107">
        <f>Table_socioeca8.sandag.org_ws_abm2_f4[[#This Row],[flow_am]]</f>
        <v>9002</v>
      </c>
      <c r="O1107">
        <f>Table_socioeca8.sandag.org_ws_abm2_f4[[#This Row],[flow_pm]]</f>
        <v>18254</v>
      </c>
    </row>
    <row r="1108" spans="5:15" x14ac:dyDescent="0.25">
      <c r="E1108">
        <v>27166</v>
      </c>
      <c r="F1108">
        <f t="shared" si="17"/>
        <v>259</v>
      </c>
      <c r="G1108">
        <f>IFERROR(VLOOKUP(Table_socioeca8.sandag.org_ws_abm2_f4[[#This Row],[hwycov_id]],[2]flow_freeway!$A$2:$E$1643,3,FALSE),0)</f>
        <v>64011</v>
      </c>
      <c r="H1108">
        <f>IFERROR(VLOOKUP(Table_socioeca8.sandag.org_ws_abm2_f4[[#This Row],[hwycov_id]],[2]flow_freeway!$A$2:$E$1643,4,FALSE),0)</f>
        <v>10833</v>
      </c>
      <c r="I1108">
        <f>IFERROR(VLOOKUP(Table_socioeca8.sandag.org_ws_abm2_f4[[#This Row],[hwycov_id]],[2]flow_freeway!$A$2:$E$1643,5,FALSE),0)</f>
        <v>19443</v>
      </c>
      <c r="K1108">
        <f>Table_socioeca8.sandag.org_ws_abm2_f4[[#This Row],[hwycov_id]]</f>
        <v>27166</v>
      </c>
      <c r="L1108">
        <f>Table_socioeca8.sandag.org_ws_abm2_f4[[#This Row],[scenario_id]]</f>
        <v>259</v>
      </c>
      <c r="M1108">
        <f>Table_socioeca8.sandag.org_ws_abm2_f4[[#This Row],[flow_day]]</f>
        <v>64011</v>
      </c>
      <c r="N1108">
        <f>Table_socioeca8.sandag.org_ws_abm2_f4[[#This Row],[flow_am]]</f>
        <v>10833</v>
      </c>
      <c r="O1108">
        <f>Table_socioeca8.sandag.org_ws_abm2_f4[[#This Row],[flow_pm]]</f>
        <v>19443</v>
      </c>
    </row>
    <row r="1109" spans="5:15" x14ac:dyDescent="0.25">
      <c r="E1109">
        <v>27167</v>
      </c>
      <c r="F1109">
        <f t="shared" si="17"/>
        <v>259</v>
      </c>
      <c r="G1109">
        <f>IFERROR(VLOOKUP(Table_socioeca8.sandag.org_ws_abm2_f4[[#This Row],[hwycov_id]],[2]flow_freeway!$A$2:$E$1643,3,FALSE),0)</f>
        <v>66200</v>
      </c>
      <c r="H1109">
        <f>IFERROR(VLOOKUP(Table_socioeca8.sandag.org_ws_abm2_f4[[#This Row],[hwycov_id]],[2]flow_freeway!$A$2:$E$1643,4,FALSE),0)</f>
        <v>15765</v>
      </c>
      <c r="I1109">
        <f>IFERROR(VLOOKUP(Table_socioeca8.sandag.org_ws_abm2_f4[[#This Row],[hwycov_id]],[2]flow_freeway!$A$2:$E$1643,5,FALSE),0)</f>
        <v>12107</v>
      </c>
      <c r="K1109">
        <f>Table_socioeca8.sandag.org_ws_abm2_f4[[#This Row],[hwycov_id]]</f>
        <v>27167</v>
      </c>
      <c r="L1109">
        <f>Table_socioeca8.sandag.org_ws_abm2_f4[[#This Row],[scenario_id]]</f>
        <v>259</v>
      </c>
      <c r="M1109">
        <f>Table_socioeca8.sandag.org_ws_abm2_f4[[#This Row],[flow_day]]</f>
        <v>66200</v>
      </c>
      <c r="N1109">
        <f>Table_socioeca8.sandag.org_ws_abm2_f4[[#This Row],[flow_am]]</f>
        <v>15765</v>
      </c>
      <c r="O1109">
        <f>Table_socioeca8.sandag.org_ws_abm2_f4[[#This Row],[flow_pm]]</f>
        <v>12107</v>
      </c>
    </row>
    <row r="1110" spans="5:15" x14ac:dyDescent="0.25">
      <c r="E1110">
        <v>27168</v>
      </c>
      <c r="F1110">
        <f t="shared" si="17"/>
        <v>259</v>
      </c>
      <c r="G1110">
        <f>IFERROR(VLOOKUP(Table_socioeca8.sandag.org_ws_abm2_f4[[#This Row],[hwycov_id]],[2]flow_freeway!$A$2:$E$1643,3,FALSE),0)</f>
        <v>69557</v>
      </c>
      <c r="H1110">
        <f>IFERROR(VLOOKUP(Table_socioeca8.sandag.org_ws_abm2_f4[[#This Row],[hwycov_id]],[2]flow_freeway!$A$2:$E$1643,4,FALSE),0)</f>
        <v>16820</v>
      </c>
      <c r="I1110">
        <f>IFERROR(VLOOKUP(Table_socioeca8.sandag.org_ws_abm2_f4[[#This Row],[hwycov_id]],[2]flow_freeway!$A$2:$E$1643,5,FALSE),0)</f>
        <v>12751</v>
      </c>
      <c r="K1110">
        <f>Table_socioeca8.sandag.org_ws_abm2_f4[[#This Row],[hwycov_id]]</f>
        <v>27168</v>
      </c>
      <c r="L1110">
        <f>Table_socioeca8.sandag.org_ws_abm2_f4[[#This Row],[scenario_id]]</f>
        <v>259</v>
      </c>
      <c r="M1110">
        <f>Table_socioeca8.sandag.org_ws_abm2_f4[[#This Row],[flow_day]]</f>
        <v>69557</v>
      </c>
      <c r="N1110">
        <f>Table_socioeca8.sandag.org_ws_abm2_f4[[#This Row],[flow_am]]</f>
        <v>16820</v>
      </c>
      <c r="O1110">
        <f>Table_socioeca8.sandag.org_ws_abm2_f4[[#This Row],[flow_pm]]</f>
        <v>12751</v>
      </c>
    </row>
    <row r="1111" spans="5:15" x14ac:dyDescent="0.25">
      <c r="E1111">
        <v>27169</v>
      </c>
      <c r="F1111">
        <f t="shared" si="17"/>
        <v>259</v>
      </c>
      <c r="G1111">
        <f>IFERROR(VLOOKUP(Table_socioeca8.sandag.org_ws_abm2_f4[[#This Row],[hwycov_id]],[2]flow_freeway!$A$2:$E$1643,3,FALSE),0)</f>
        <v>66962</v>
      </c>
      <c r="H1111">
        <f>IFERROR(VLOOKUP(Table_socioeca8.sandag.org_ws_abm2_f4[[#This Row],[hwycov_id]],[2]flow_freeway!$A$2:$E$1643,4,FALSE),0)</f>
        <v>12454</v>
      </c>
      <c r="I1111">
        <f>IFERROR(VLOOKUP(Table_socioeca8.sandag.org_ws_abm2_f4[[#This Row],[hwycov_id]],[2]flow_freeway!$A$2:$E$1643,5,FALSE),0)</f>
        <v>19567</v>
      </c>
      <c r="K1111">
        <f>Table_socioeca8.sandag.org_ws_abm2_f4[[#This Row],[hwycov_id]]</f>
        <v>27169</v>
      </c>
      <c r="L1111">
        <f>Table_socioeca8.sandag.org_ws_abm2_f4[[#This Row],[scenario_id]]</f>
        <v>259</v>
      </c>
      <c r="M1111">
        <f>Table_socioeca8.sandag.org_ws_abm2_f4[[#This Row],[flow_day]]</f>
        <v>66962</v>
      </c>
      <c r="N1111">
        <f>Table_socioeca8.sandag.org_ws_abm2_f4[[#This Row],[flow_am]]</f>
        <v>12454</v>
      </c>
      <c r="O1111">
        <f>Table_socioeca8.sandag.org_ws_abm2_f4[[#This Row],[flow_pm]]</f>
        <v>19567</v>
      </c>
    </row>
    <row r="1112" spans="5:15" x14ac:dyDescent="0.25">
      <c r="E1112">
        <v>27170</v>
      </c>
      <c r="F1112">
        <f t="shared" si="17"/>
        <v>259</v>
      </c>
      <c r="G1112">
        <f>IFERROR(VLOOKUP(Table_socioeca8.sandag.org_ws_abm2_f4[[#This Row],[hwycov_id]],[2]flow_freeway!$A$2:$E$1643,3,FALSE),0)</f>
        <v>61811</v>
      </c>
      <c r="H1112">
        <f>IFERROR(VLOOKUP(Table_socioeca8.sandag.org_ws_abm2_f4[[#This Row],[hwycov_id]],[2]flow_freeway!$A$2:$E$1643,4,FALSE),0)</f>
        <v>11043</v>
      </c>
      <c r="I1112">
        <f>IFERROR(VLOOKUP(Table_socioeca8.sandag.org_ws_abm2_f4[[#This Row],[hwycov_id]],[2]flow_freeway!$A$2:$E$1643,5,FALSE),0)</f>
        <v>18515</v>
      </c>
      <c r="K1112">
        <f>Table_socioeca8.sandag.org_ws_abm2_f4[[#This Row],[hwycov_id]]</f>
        <v>27170</v>
      </c>
      <c r="L1112">
        <f>Table_socioeca8.sandag.org_ws_abm2_f4[[#This Row],[scenario_id]]</f>
        <v>259</v>
      </c>
      <c r="M1112">
        <f>Table_socioeca8.sandag.org_ws_abm2_f4[[#This Row],[flow_day]]</f>
        <v>61811</v>
      </c>
      <c r="N1112">
        <f>Table_socioeca8.sandag.org_ws_abm2_f4[[#This Row],[flow_am]]</f>
        <v>11043</v>
      </c>
      <c r="O1112">
        <f>Table_socioeca8.sandag.org_ws_abm2_f4[[#This Row],[flow_pm]]</f>
        <v>18515</v>
      </c>
    </row>
    <row r="1113" spans="5:15" x14ac:dyDescent="0.25">
      <c r="E1113">
        <v>27171</v>
      </c>
      <c r="F1113">
        <f t="shared" si="17"/>
        <v>259</v>
      </c>
      <c r="G1113">
        <f>IFERROR(VLOOKUP(Table_socioeca8.sandag.org_ws_abm2_f4[[#This Row],[hwycov_id]],[2]flow_freeway!$A$2:$E$1643,3,FALSE),0)</f>
        <v>66437</v>
      </c>
      <c r="H1113">
        <f>IFERROR(VLOOKUP(Table_socioeca8.sandag.org_ws_abm2_f4[[#This Row],[hwycov_id]],[2]flow_freeway!$A$2:$E$1643,4,FALSE),0)</f>
        <v>14740</v>
      </c>
      <c r="I1113">
        <f>IFERROR(VLOOKUP(Table_socioeca8.sandag.org_ws_abm2_f4[[#This Row],[hwycov_id]],[2]flow_freeway!$A$2:$E$1643,5,FALSE),0)</f>
        <v>13091</v>
      </c>
      <c r="K1113">
        <f>Table_socioeca8.sandag.org_ws_abm2_f4[[#This Row],[hwycov_id]]</f>
        <v>27171</v>
      </c>
      <c r="L1113">
        <f>Table_socioeca8.sandag.org_ws_abm2_f4[[#This Row],[scenario_id]]</f>
        <v>259</v>
      </c>
      <c r="M1113">
        <f>Table_socioeca8.sandag.org_ws_abm2_f4[[#This Row],[flow_day]]</f>
        <v>66437</v>
      </c>
      <c r="N1113">
        <f>Table_socioeca8.sandag.org_ws_abm2_f4[[#This Row],[flow_am]]</f>
        <v>14740</v>
      </c>
      <c r="O1113">
        <f>Table_socioeca8.sandag.org_ws_abm2_f4[[#This Row],[flow_pm]]</f>
        <v>13091</v>
      </c>
    </row>
    <row r="1114" spans="5:15" x14ac:dyDescent="0.25">
      <c r="E1114">
        <v>27172</v>
      </c>
      <c r="F1114">
        <f t="shared" si="17"/>
        <v>259</v>
      </c>
      <c r="G1114">
        <f>IFERROR(VLOOKUP(Table_socioeca8.sandag.org_ws_abm2_f4[[#This Row],[hwycov_id]],[2]flow_freeway!$A$2:$E$1643,3,FALSE),0)</f>
        <v>66794</v>
      </c>
      <c r="H1114">
        <f>IFERROR(VLOOKUP(Table_socioeca8.sandag.org_ws_abm2_f4[[#This Row],[hwycov_id]],[2]flow_freeway!$A$2:$E$1643,4,FALSE),0)</f>
        <v>14790</v>
      </c>
      <c r="I1114">
        <f>IFERROR(VLOOKUP(Table_socioeca8.sandag.org_ws_abm2_f4[[#This Row],[hwycov_id]],[2]flow_freeway!$A$2:$E$1643,5,FALSE),0)</f>
        <v>13219</v>
      </c>
      <c r="K1114">
        <f>Table_socioeca8.sandag.org_ws_abm2_f4[[#This Row],[hwycov_id]]</f>
        <v>27172</v>
      </c>
      <c r="L1114">
        <f>Table_socioeca8.sandag.org_ws_abm2_f4[[#This Row],[scenario_id]]</f>
        <v>259</v>
      </c>
      <c r="M1114">
        <f>Table_socioeca8.sandag.org_ws_abm2_f4[[#This Row],[flow_day]]</f>
        <v>66794</v>
      </c>
      <c r="N1114">
        <f>Table_socioeca8.sandag.org_ws_abm2_f4[[#This Row],[flow_am]]</f>
        <v>14790</v>
      </c>
      <c r="O1114">
        <f>Table_socioeca8.sandag.org_ws_abm2_f4[[#This Row],[flow_pm]]</f>
        <v>13219</v>
      </c>
    </row>
    <row r="1115" spans="5:15" x14ac:dyDescent="0.25">
      <c r="E1115">
        <v>27173</v>
      </c>
      <c r="F1115">
        <f t="shared" si="17"/>
        <v>259</v>
      </c>
      <c r="G1115">
        <f>IFERROR(VLOOKUP(Table_socioeca8.sandag.org_ws_abm2_f4[[#This Row],[hwycov_id]],[2]flow_freeway!$A$2:$E$1643,3,FALSE),0)</f>
        <v>63361</v>
      </c>
      <c r="H1115">
        <f>IFERROR(VLOOKUP(Table_socioeca8.sandag.org_ws_abm2_f4[[#This Row],[hwycov_id]],[2]flow_freeway!$A$2:$E$1643,4,FALSE),0)</f>
        <v>14486</v>
      </c>
      <c r="I1115">
        <f>IFERROR(VLOOKUP(Table_socioeca8.sandag.org_ws_abm2_f4[[#This Row],[hwycov_id]],[2]flow_freeway!$A$2:$E$1643,5,FALSE),0)</f>
        <v>11854</v>
      </c>
      <c r="K1115">
        <f>Table_socioeca8.sandag.org_ws_abm2_f4[[#This Row],[hwycov_id]]</f>
        <v>27173</v>
      </c>
      <c r="L1115">
        <f>Table_socioeca8.sandag.org_ws_abm2_f4[[#This Row],[scenario_id]]</f>
        <v>259</v>
      </c>
      <c r="M1115">
        <f>Table_socioeca8.sandag.org_ws_abm2_f4[[#This Row],[flow_day]]</f>
        <v>63361</v>
      </c>
      <c r="N1115">
        <f>Table_socioeca8.sandag.org_ws_abm2_f4[[#This Row],[flow_am]]</f>
        <v>14486</v>
      </c>
      <c r="O1115">
        <f>Table_socioeca8.sandag.org_ws_abm2_f4[[#This Row],[flow_pm]]</f>
        <v>11854</v>
      </c>
    </row>
    <row r="1116" spans="5:15" x14ac:dyDescent="0.25">
      <c r="E1116">
        <v>27174</v>
      </c>
      <c r="F1116">
        <f t="shared" si="17"/>
        <v>259</v>
      </c>
      <c r="G1116">
        <f>IFERROR(VLOOKUP(Table_socioeca8.sandag.org_ws_abm2_f4[[#This Row],[hwycov_id]],[2]flow_freeway!$A$2:$E$1643,3,FALSE),0)</f>
        <v>59673</v>
      </c>
      <c r="H1116">
        <f>IFERROR(VLOOKUP(Table_socioeca8.sandag.org_ws_abm2_f4[[#This Row],[hwycov_id]],[2]flow_freeway!$A$2:$E$1643,4,FALSE),0)</f>
        <v>11631</v>
      </c>
      <c r="I1116">
        <f>IFERROR(VLOOKUP(Table_socioeca8.sandag.org_ws_abm2_f4[[#This Row],[hwycov_id]],[2]flow_freeway!$A$2:$E$1643,5,FALSE),0)</f>
        <v>17045</v>
      </c>
      <c r="K1116">
        <f>Table_socioeca8.sandag.org_ws_abm2_f4[[#This Row],[hwycov_id]]</f>
        <v>27174</v>
      </c>
      <c r="L1116">
        <f>Table_socioeca8.sandag.org_ws_abm2_f4[[#This Row],[scenario_id]]</f>
        <v>259</v>
      </c>
      <c r="M1116">
        <f>Table_socioeca8.sandag.org_ws_abm2_f4[[#This Row],[flow_day]]</f>
        <v>59673</v>
      </c>
      <c r="N1116">
        <f>Table_socioeca8.sandag.org_ws_abm2_f4[[#This Row],[flow_am]]</f>
        <v>11631</v>
      </c>
      <c r="O1116">
        <f>Table_socioeca8.sandag.org_ws_abm2_f4[[#This Row],[flow_pm]]</f>
        <v>17045</v>
      </c>
    </row>
    <row r="1117" spans="5:15" x14ac:dyDescent="0.25">
      <c r="E1117">
        <v>27175</v>
      </c>
      <c r="F1117">
        <f t="shared" si="17"/>
        <v>259</v>
      </c>
      <c r="G1117">
        <f>IFERROR(VLOOKUP(Table_socioeca8.sandag.org_ws_abm2_f4[[#This Row],[hwycov_id]],[2]flow_freeway!$A$2:$E$1643,3,FALSE),0)</f>
        <v>59371</v>
      </c>
      <c r="H1117">
        <f>IFERROR(VLOOKUP(Table_socioeca8.sandag.org_ws_abm2_f4[[#This Row],[hwycov_id]],[2]flow_freeway!$A$2:$E$1643,4,FALSE),0)</f>
        <v>12779</v>
      </c>
      <c r="I1117">
        <f>IFERROR(VLOOKUP(Table_socioeca8.sandag.org_ws_abm2_f4[[#This Row],[hwycov_id]],[2]flow_freeway!$A$2:$E$1643,5,FALSE),0)</f>
        <v>11709</v>
      </c>
      <c r="K1117">
        <f>Table_socioeca8.sandag.org_ws_abm2_f4[[#This Row],[hwycov_id]]</f>
        <v>27175</v>
      </c>
      <c r="L1117">
        <f>Table_socioeca8.sandag.org_ws_abm2_f4[[#This Row],[scenario_id]]</f>
        <v>259</v>
      </c>
      <c r="M1117">
        <f>Table_socioeca8.sandag.org_ws_abm2_f4[[#This Row],[flow_day]]</f>
        <v>59371</v>
      </c>
      <c r="N1117">
        <f>Table_socioeca8.sandag.org_ws_abm2_f4[[#This Row],[flow_am]]</f>
        <v>12779</v>
      </c>
      <c r="O1117">
        <f>Table_socioeca8.sandag.org_ws_abm2_f4[[#This Row],[flow_pm]]</f>
        <v>11709</v>
      </c>
    </row>
    <row r="1118" spans="5:15" x14ac:dyDescent="0.25">
      <c r="E1118">
        <v>27177</v>
      </c>
      <c r="F1118">
        <f t="shared" si="17"/>
        <v>259</v>
      </c>
      <c r="G1118">
        <f>IFERROR(VLOOKUP(Table_socioeca8.sandag.org_ws_abm2_f4[[#This Row],[hwycov_id]],[2]flow_freeway!$A$2:$E$1643,3,FALSE),0)</f>
        <v>63134</v>
      </c>
      <c r="H1118">
        <f>IFERROR(VLOOKUP(Table_socioeca8.sandag.org_ws_abm2_f4[[#This Row],[hwycov_id]],[2]flow_freeway!$A$2:$E$1643,4,FALSE),0)</f>
        <v>12498</v>
      </c>
      <c r="I1118">
        <f>IFERROR(VLOOKUP(Table_socioeca8.sandag.org_ws_abm2_f4[[#This Row],[hwycov_id]],[2]flow_freeway!$A$2:$E$1643,5,FALSE),0)</f>
        <v>12808</v>
      </c>
      <c r="K1118">
        <f>Table_socioeca8.sandag.org_ws_abm2_f4[[#This Row],[hwycov_id]]</f>
        <v>27177</v>
      </c>
      <c r="L1118">
        <f>Table_socioeca8.sandag.org_ws_abm2_f4[[#This Row],[scenario_id]]</f>
        <v>259</v>
      </c>
      <c r="M1118">
        <f>Table_socioeca8.sandag.org_ws_abm2_f4[[#This Row],[flow_day]]</f>
        <v>63134</v>
      </c>
      <c r="N1118">
        <f>Table_socioeca8.sandag.org_ws_abm2_f4[[#This Row],[flow_am]]</f>
        <v>12498</v>
      </c>
      <c r="O1118">
        <f>Table_socioeca8.sandag.org_ws_abm2_f4[[#This Row],[flow_pm]]</f>
        <v>12808</v>
      </c>
    </row>
    <row r="1119" spans="5:15" x14ac:dyDescent="0.25">
      <c r="E1119">
        <v>27178</v>
      </c>
      <c r="F1119">
        <f t="shared" si="17"/>
        <v>259</v>
      </c>
      <c r="G1119">
        <f>IFERROR(VLOOKUP(Table_socioeca8.sandag.org_ws_abm2_f4[[#This Row],[hwycov_id]],[2]flow_freeway!$A$2:$E$1643,3,FALSE),0)</f>
        <v>62478</v>
      </c>
      <c r="H1119">
        <f>IFERROR(VLOOKUP(Table_socioeca8.sandag.org_ws_abm2_f4[[#This Row],[hwycov_id]],[2]flow_freeway!$A$2:$E$1643,4,FALSE),0)</f>
        <v>12797</v>
      </c>
      <c r="I1119">
        <f>IFERROR(VLOOKUP(Table_socioeca8.sandag.org_ws_abm2_f4[[#This Row],[hwycov_id]],[2]flow_freeway!$A$2:$E$1643,5,FALSE),0)</f>
        <v>16859</v>
      </c>
      <c r="K1119">
        <f>Table_socioeca8.sandag.org_ws_abm2_f4[[#This Row],[hwycov_id]]</f>
        <v>27178</v>
      </c>
      <c r="L1119">
        <f>Table_socioeca8.sandag.org_ws_abm2_f4[[#This Row],[scenario_id]]</f>
        <v>259</v>
      </c>
      <c r="M1119">
        <f>Table_socioeca8.sandag.org_ws_abm2_f4[[#This Row],[flow_day]]</f>
        <v>62478</v>
      </c>
      <c r="N1119">
        <f>Table_socioeca8.sandag.org_ws_abm2_f4[[#This Row],[flow_am]]</f>
        <v>12797</v>
      </c>
      <c r="O1119">
        <f>Table_socioeca8.sandag.org_ws_abm2_f4[[#This Row],[flow_pm]]</f>
        <v>16859</v>
      </c>
    </row>
    <row r="1120" spans="5:15" x14ac:dyDescent="0.25">
      <c r="E1120">
        <v>27179</v>
      </c>
      <c r="F1120">
        <f t="shared" si="17"/>
        <v>259</v>
      </c>
      <c r="G1120">
        <f>IFERROR(VLOOKUP(Table_socioeca8.sandag.org_ws_abm2_f4[[#This Row],[hwycov_id]],[2]flow_freeway!$A$2:$E$1643,3,FALSE),0)</f>
        <v>65974</v>
      </c>
      <c r="H1120">
        <f>IFERROR(VLOOKUP(Table_socioeca8.sandag.org_ws_abm2_f4[[#This Row],[hwycov_id]],[2]flow_freeway!$A$2:$E$1643,4,FALSE),0)</f>
        <v>12523</v>
      </c>
      <c r="I1120">
        <f>IFERROR(VLOOKUP(Table_socioeca8.sandag.org_ws_abm2_f4[[#This Row],[hwycov_id]],[2]flow_freeway!$A$2:$E$1643,5,FALSE),0)</f>
        <v>19116</v>
      </c>
      <c r="K1120">
        <f>Table_socioeca8.sandag.org_ws_abm2_f4[[#This Row],[hwycov_id]]</f>
        <v>27179</v>
      </c>
      <c r="L1120">
        <f>Table_socioeca8.sandag.org_ws_abm2_f4[[#This Row],[scenario_id]]</f>
        <v>259</v>
      </c>
      <c r="M1120">
        <f>Table_socioeca8.sandag.org_ws_abm2_f4[[#This Row],[flow_day]]</f>
        <v>65974</v>
      </c>
      <c r="N1120">
        <f>Table_socioeca8.sandag.org_ws_abm2_f4[[#This Row],[flow_am]]</f>
        <v>12523</v>
      </c>
      <c r="O1120">
        <f>Table_socioeca8.sandag.org_ws_abm2_f4[[#This Row],[flow_pm]]</f>
        <v>19116</v>
      </c>
    </row>
    <row r="1121" spans="5:15" x14ac:dyDescent="0.25">
      <c r="E1121">
        <v>27180</v>
      </c>
      <c r="F1121">
        <f t="shared" si="17"/>
        <v>259</v>
      </c>
      <c r="G1121">
        <f>IFERROR(VLOOKUP(Table_socioeca8.sandag.org_ws_abm2_f4[[#This Row],[hwycov_id]],[2]flow_freeway!$A$2:$E$1643,3,FALSE),0)</f>
        <v>67971</v>
      </c>
      <c r="H1121">
        <f>IFERROR(VLOOKUP(Table_socioeca8.sandag.org_ws_abm2_f4[[#This Row],[hwycov_id]],[2]flow_freeway!$A$2:$E$1643,4,FALSE),0)</f>
        <v>15201</v>
      </c>
      <c r="I1121">
        <f>IFERROR(VLOOKUP(Table_socioeca8.sandag.org_ws_abm2_f4[[#This Row],[hwycov_id]],[2]flow_freeway!$A$2:$E$1643,5,FALSE),0)</f>
        <v>13402</v>
      </c>
      <c r="K1121">
        <f>Table_socioeca8.sandag.org_ws_abm2_f4[[#This Row],[hwycov_id]]</f>
        <v>27180</v>
      </c>
      <c r="L1121">
        <f>Table_socioeca8.sandag.org_ws_abm2_f4[[#This Row],[scenario_id]]</f>
        <v>259</v>
      </c>
      <c r="M1121">
        <f>Table_socioeca8.sandag.org_ws_abm2_f4[[#This Row],[flow_day]]</f>
        <v>67971</v>
      </c>
      <c r="N1121">
        <f>Table_socioeca8.sandag.org_ws_abm2_f4[[#This Row],[flow_am]]</f>
        <v>15201</v>
      </c>
      <c r="O1121">
        <f>Table_socioeca8.sandag.org_ws_abm2_f4[[#This Row],[flow_pm]]</f>
        <v>13402</v>
      </c>
    </row>
    <row r="1122" spans="5:15" x14ac:dyDescent="0.25">
      <c r="E1122">
        <v>27181</v>
      </c>
      <c r="F1122">
        <f t="shared" si="17"/>
        <v>259</v>
      </c>
      <c r="G1122">
        <f>IFERROR(VLOOKUP(Table_socioeca8.sandag.org_ws_abm2_f4[[#This Row],[hwycov_id]],[2]flow_freeway!$A$2:$E$1643,3,FALSE),0)</f>
        <v>67293</v>
      </c>
      <c r="H1122">
        <f>IFERROR(VLOOKUP(Table_socioeca8.sandag.org_ws_abm2_f4[[#This Row],[hwycov_id]],[2]flow_freeway!$A$2:$E$1643,4,FALSE),0)</f>
        <v>11179</v>
      </c>
      <c r="I1122">
        <f>IFERROR(VLOOKUP(Table_socioeca8.sandag.org_ws_abm2_f4[[#This Row],[hwycov_id]],[2]flow_freeway!$A$2:$E$1643,5,FALSE),0)</f>
        <v>20624</v>
      </c>
      <c r="K1122">
        <f>Table_socioeca8.sandag.org_ws_abm2_f4[[#This Row],[hwycov_id]]</f>
        <v>27181</v>
      </c>
      <c r="L1122">
        <f>Table_socioeca8.sandag.org_ws_abm2_f4[[#This Row],[scenario_id]]</f>
        <v>259</v>
      </c>
      <c r="M1122">
        <f>Table_socioeca8.sandag.org_ws_abm2_f4[[#This Row],[flow_day]]</f>
        <v>67293</v>
      </c>
      <c r="N1122">
        <f>Table_socioeca8.sandag.org_ws_abm2_f4[[#This Row],[flow_am]]</f>
        <v>11179</v>
      </c>
      <c r="O1122">
        <f>Table_socioeca8.sandag.org_ws_abm2_f4[[#This Row],[flow_pm]]</f>
        <v>20624</v>
      </c>
    </row>
    <row r="1123" spans="5:15" x14ac:dyDescent="0.25">
      <c r="E1123">
        <v>27182</v>
      </c>
      <c r="F1123">
        <f t="shared" si="17"/>
        <v>259</v>
      </c>
      <c r="G1123">
        <f>IFERROR(VLOOKUP(Table_socioeca8.sandag.org_ws_abm2_f4[[#This Row],[hwycov_id]],[2]flow_freeway!$A$2:$E$1643,3,FALSE),0)</f>
        <v>63368</v>
      </c>
      <c r="H1123">
        <f>IFERROR(VLOOKUP(Table_socioeca8.sandag.org_ws_abm2_f4[[#This Row],[hwycov_id]],[2]flow_freeway!$A$2:$E$1643,4,FALSE),0)</f>
        <v>15895</v>
      </c>
      <c r="I1123">
        <f>IFERROR(VLOOKUP(Table_socioeca8.sandag.org_ws_abm2_f4[[#This Row],[hwycov_id]],[2]flow_freeway!$A$2:$E$1643,5,FALSE),0)</f>
        <v>10845</v>
      </c>
      <c r="K1123">
        <f>Table_socioeca8.sandag.org_ws_abm2_f4[[#This Row],[hwycov_id]]</f>
        <v>27182</v>
      </c>
      <c r="L1123">
        <f>Table_socioeca8.sandag.org_ws_abm2_f4[[#This Row],[scenario_id]]</f>
        <v>259</v>
      </c>
      <c r="M1123">
        <f>Table_socioeca8.sandag.org_ws_abm2_f4[[#This Row],[flow_day]]</f>
        <v>63368</v>
      </c>
      <c r="N1123">
        <f>Table_socioeca8.sandag.org_ws_abm2_f4[[#This Row],[flow_am]]</f>
        <v>15895</v>
      </c>
      <c r="O1123">
        <f>Table_socioeca8.sandag.org_ws_abm2_f4[[#This Row],[flow_pm]]</f>
        <v>10845</v>
      </c>
    </row>
    <row r="1124" spans="5:15" x14ac:dyDescent="0.25">
      <c r="E1124">
        <v>27183</v>
      </c>
      <c r="F1124">
        <f t="shared" si="17"/>
        <v>259</v>
      </c>
      <c r="G1124">
        <f>IFERROR(VLOOKUP(Table_socioeca8.sandag.org_ws_abm2_f4[[#This Row],[hwycov_id]],[2]flow_freeway!$A$2:$E$1643,3,FALSE),0)</f>
        <v>62436</v>
      </c>
      <c r="H1124">
        <f>IFERROR(VLOOKUP(Table_socioeca8.sandag.org_ws_abm2_f4[[#This Row],[hwycov_id]],[2]flow_freeway!$A$2:$E$1643,4,FALSE),0)</f>
        <v>9725</v>
      </c>
      <c r="I1124">
        <f>IFERROR(VLOOKUP(Table_socioeca8.sandag.org_ws_abm2_f4[[#This Row],[hwycov_id]],[2]flow_freeway!$A$2:$E$1643,5,FALSE),0)</f>
        <v>19460</v>
      </c>
      <c r="K1124">
        <f>Table_socioeca8.sandag.org_ws_abm2_f4[[#This Row],[hwycov_id]]</f>
        <v>27183</v>
      </c>
      <c r="L1124">
        <f>Table_socioeca8.sandag.org_ws_abm2_f4[[#This Row],[scenario_id]]</f>
        <v>259</v>
      </c>
      <c r="M1124">
        <f>Table_socioeca8.sandag.org_ws_abm2_f4[[#This Row],[flow_day]]</f>
        <v>62436</v>
      </c>
      <c r="N1124">
        <f>Table_socioeca8.sandag.org_ws_abm2_f4[[#This Row],[flow_am]]</f>
        <v>9725</v>
      </c>
      <c r="O1124">
        <f>Table_socioeca8.sandag.org_ws_abm2_f4[[#This Row],[flow_pm]]</f>
        <v>19460</v>
      </c>
    </row>
    <row r="1125" spans="5:15" x14ac:dyDescent="0.25">
      <c r="E1125">
        <v>27184</v>
      </c>
      <c r="F1125">
        <f t="shared" si="17"/>
        <v>259</v>
      </c>
      <c r="G1125">
        <f>IFERROR(VLOOKUP(Table_socioeca8.sandag.org_ws_abm2_f4[[#This Row],[hwycov_id]],[2]flow_freeway!$A$2:$E$1643,3,FALSE),0)</f>
        <v>61765</v>
      </c>
      <c r="H1125">
        <f>IFERROR(VLOOKUP(Table_socioeca8.sandag.org_ws_abm2_f4[[#This Row],[hwycov_id]],[2]flow_freeway!$A$2:$E$1643,4,FALSE),0)</f>
        <v>15525</v>
      </c>
      <c r="I1125">
        <f>IFERROR(VLOOKUP(Table_socioeca8.sandag.org_ws_abm2_f4[[#This Row],[hwycov_id]],[2]flow_freeway!$A$2:$E$1643,5,FALSE),0)</f>
        <v>10460</v>
      </c>
      <c r="K1125">
        <f>Table_socioeca8.sandag.org_ws_abm2_f4[[#This Row],[hwycov_id]]</f>
        <v>27184</v>
      </c>
      <c r="L1125">
        <f>Table_socioeca8.sandag.org_ws_abm2_f4[[#This Row],[scenario_id]]</f>
        <v>259</v>
      </c>
      <c r="M1125">
        <f>Table_socioeca8.sandag.org_ws_abm2_f4[[#This Row],[flow_day]]</f>
        <v>61765</v>
      </c>
      <c r="N1125">
        <f>Table_socioeca8.sandag.org_ws_abm2_f4[[#This Row],[flow_am]]</f>
        <v>15525</v>
      </c>
      <c r="O1125">
        <f>Table_socioeca8.sandag.org_ws_abm2_f4[[#This Row],[flow_pm]]</f>
        <v>10460</v>
      </c>
    </row>
    <row r="1126" spans="5:15" x14ac:dyDescent="0.25">
      <c r="E1126">
        <v>27187</v>
      </c>
      <c r="F1126">
        <f t="shared" si="17"/>
        <v>259</v>
      </c>
      <c r="G1126">
        <f>IFERROR(VLOOKUP(Table_socioeca8.sandag.org_ws_abm2_f4[[#This Row],[hwycov_id]],[2]flow_freeway!$A$2:$E$1643,3,FALSE),0)</f>
        <v>64313</v>
      </c>
      <c r="H1126">
        <f>IFERROR(VLOOKUP(Table_socioeca8.sandag.org_ws_abm2_f4[[#This Row],[hwycov_id]],[2]flow_freeway!$A$2:$E$1643,4,FALSE),0)</f>
        <v>9508</v>
      </c>
      <c r="I1126">
        <f>IFERROR(VLOOKUP(Table_socioeca8.sandag.org_ws_abm2_f4[[#This Row],[hwycov_id]],[2]flow_freeway!$A$2:$E$1643,5,FALSE),0)</f>
        <v>20122</v>
      </c>
      <c r="K1126">
        <f>Table_socioeca8.sandag.org_ws_abm2_f4[[#This Row],[hwycov_id]]</f>
        <v>27187</v>
      </c>
      <c r="L1126">
        <f>Table_socioeca8.sandag.org_ws_abm2_f4[[#This Row],[scenario_id]]</f>
        <v>259</v>
      </c>
      <c r="M1126">
        <f>Table_socioeca8.sandag.org_ws_abm2_f4[[#This Row],[flow_day]]</f>
        <v>64313</v>
      </c>
      <c r="N1126">
        <f>Table_socioeca8.sandag.org_ws_abm2_f4[[#This Row],[flow_am]]</f>
        <v>9508</v>
      </c>
      <c r="O1126">
        <f>Table_socioeca8.sandag.org_ws_abm2_f4[[#This Row],[flow_pm]]</f>
        <v>20122</v>
      </c>
    </row>
    <row r="1127" spans="5:15" x14ac:dyDescent="0.25">
      <c r="E1127">
        <v>27188</v>
      </c>
      <c r="F1127">
        <f t="shared" si="17"/>
        <v>259</v>
      </c>
      <c r="G1127">
        <f>IFERROR(VLOOKUP(Table_socioeca8.sandag.org_ws_abm2_f4[[#This Row],[hwycov_id]],[2]flow_freeway!$A$2:$E$1643,3,FALSE),0)</f>
        <v>62274</v>
      </c>
      <c r="H1127">
        <f>IFERROR(VLOOKUP(Table_socioeca8.sandag.org_ws_abm2_f4[[#This Row],[hwycov_id]],[2]flow_freeway!$A$2:$E$1643,4,FALSE),0)</f>
        <v>14763</v>
      </c>
      <c r="I1127">
        <f>IFERROR(VLOOKUP(Table_socioeca8.sandag.org_ws_abm2_f4[[#This Row],[hwycov_id]],[2]flow_freeway!$A$2:$E$1643,5,FALSE),0)</f>
        <v>11509</v>
      </c>
      <c r="K1127">
        <f>Table_socioeca8.sandag.org_ws_abm2_f4[[#This Row],[hwycov_id]]</f>
        <v>27188</v>
      </c>
      <c r="L1127">
        <f>Table_socioeca8.sandag.org_ws_abm2_f4[[#This Row],[scenario_id]]</f>
        <v>259</v>
      </c>
      <c r="M1127">
        <f>Table_socioeca8.sandag.org_ws_abm2_f4[[#This Row],[flow_day]]</f>
        <v>62274</v>
      </c>
      <c r="N1127">
        <f>Table_socioeca8.sandag.org_ws_abm2_f4[[#This Row],[flow_am]]</f>
        <v>14763</v>
      </c>
      <c r="O1127">
        <f>Table_socioeca8.sandag.org_ws_abm2_f4[[#This Row],[flow_pm]]</f>
        <v>11509</v>
      </c>
    </row>
    <row r="1128" spans="5:15" x14ac:dyDescent="0.25">
      <c r="E1128">
        <v>27189</v>
      </c>
      <c r="F1128">
        <f t="shared" si="17"/>
        <v>259</v>
      </c>
      <c r="G1128">
        <f>IFERROR(VLOOKUP(Table_socioeca8.sandag.org_ws_abm2_f4[[#This Row],[hwycov_id]],[2]flow_freeway!$A$2:$E$1643,3,FALSE),0)</f>
        <v>68156</v>
      </c>
      <c r="H1128">
        <f>IFERROR(VLOOKUP(Table_socioeca8.sandag.org_ws_abm2_f4[[#This Row],[hwycov_id]],[2]flow_freeway!$A$2:$E$1643,4,FALSE),0)</f>
        <v>13829</v>
      </c>
      <c r="I1128">
        <f>IFERROR(VLOOKUP(Table_socioeca8.sandag.org_ws_abm2_f4[[#This Row],[hwycov_id]],[2]flow_freeway!$A$2:$E$1643,5,FALSE),0)</f>
        <v>13843</v>
      </c>
      <c r="K1128">
        <f>Table_socioeca8.sandag.org_ws_abm2_f4[[#This Row],[hwycov_id]]</f>
        <v>27189</v>
      </c>
      <c r="L1128">
        <f>Table_socioeca8.sandag.org_ws_abm2_f4[[#This Row],[scenario_id]]</f>
        <v>259</v>
      </c>
      <c r="M1128">
        <f>Table_socioeca8.sandag.org_ws_abm2_f4[[#This Row],[flow_day]]</f>
        <v>68156</v>
      </c>
      <c r="N1128">
        <f>Table_socioeca8.sandag.org_ws_abm2_f4[[#This Row],[flow_am]]</f>
        <v>13829</v>
      </c>
      <c r="O1128">
        <f>Table_socioeca8.sandag.org_ws_abm2_f4[[#This Row],[flow_pm]]</f>
        <v>13843</v>
      </c>
    </row>
    <row r="1129" spans="5:15" x14ac:dyDescent="0.25">
      <c r="E1129">
        <v>27190</v>
      </c>
      <c r="F1129">
        <f t="shared" si="17"/>
        <v>259</v>
      </c>
      <c r="G1129">
        <f>IFERROR(VLOOKUP(Table_socioeca8.sandag.org_ws_abm2_f4[[#This Row],[hwycov_id]],[2]flow_freeway!$A$2:$E$1643,3,FALSE),0)</f>
        <v>68156</v>
      </c>
      <c r="H1129">
        <f>IFERROR(VLOOKUP(Table_socioeca8.sandag.org_ws_abm2_f4[[#This Row],[hwycov_id]],[2]flow_freeway!$A$2:$E$1643,4,FALSE),0)</f>
        <v>13829</v>
      </c>
      <c r="I1129">
        <f>IFERROR(VLOOKUP(Table_socioeca8.sandag.org_ws_abm2_f4[[#This Row],[hwycov_id]],[2]flow_freeway!$A$2:$E$1643,5,FALSE),0)</f>
        <v>13843</v>
      </c>
      <c r="K1129">
        <f>Table_socioeca8.sandag.org_ws_abm2_f4[[#This Row],[hwycov_id]]</f>
        <v>27190</v>
      </c>
      <c r="L1129">
        <f>Table_socioeca8.sandag.org_ws_abm2_f4[[#This Row],[scenario_id]]</f>
        <v>259</v>
      </c>
      <c r="M1129">
        <f>Table_socioeca8.sandag.org_ws_abm2_f4[[#This Row],[flow_day]]</f>
        <v>68156</v>
      </c>
      <c r="N1129">
        <f>Table_socioeca8.sandag.org_ws_abm2_f4[[#This Row],[flow_am]]</f>
        <v>13829</v>
      </c>
      <c r="O1129">
        <f>Table_socioeca8.sandag.org_ws_abm2_f4[[#This Row],[flow_pm]]</f>
        <v>13843</v>
      </c>
    </row>
    <row r="1130" spans="5:15" x14ac:dyDescent="0.25">
      <c r="E1130">
        <v>27191</v>
      </c>
      <c r="F1130">
        <f t="shared" si="17"/>
        <v>259</v>
      </c>
      <c r="G1130">
        <f>IFERROR(VLOOKUP(Table_socioeca8.sandag.org_ws_abm2_f4[[#This Row],[hwycov_id]],[2]flow_freeway!$A$2:$E$1643,3,FALSE),0)</f>
        <v>67284</v>
      </c>
      <c r="H1130">
        <f>IFERROR(VLOOKUP(Table_socioeca8.sandag.org_ws_abm2_f4[[#This Row],[hwycov_id]],[2]flow_freeway!$A$2:$E$1643,4,FALSE),0)</f>
        <v>13522</v>
      </c>
      <c r="I1130">
        <f>IFERROR(VLOOKUP(Table_socioeca8.sandag.org_ws_abm2_f4[[#This Row],[hwycov_id]],[2]flow_freeway!$A$2:$E$1643,5,FALSE),0)</f>
        <v>18376</v>
      </c>
      <c r="K1130">
        <f>Table_socioeca8.sandag.org_ws_abm2_f4[[#This Row],[hwycov_id]]</f>
        <v>27191</v>
      </c>
      <c r="L1130">
        <f>Table_socioeca8.sandag.org_ws_abm2_f4[[#This Row],[scenario_id]]</f>
        <v>259</v>
      </c>
      <c r="M1130">
        <f>Table_socioeca8.sandag.org_ws_abm2_f4[[#This Row],[flow_day]]</f>
        <v>67284</v>
      </c>
      <c r="N1130">
        <f>Table_socioeca8.sandag.org_ws_abm2_f4[[#This Row],[flow_am]]</f>
        <v>13522</v>
      </c>
      <c r="O1130">
        <f>Table_socioeca8.sandag.org_ws_abm2_f4[[#This Row],[flow_pm]]</f>
        <v>18376</v>
      </c>
    </row>
    <row r="1131" spans="5:15" x14ac:dyDescent="0.25">
      <c r="E1131">
        <v>27192</v>
      </c>
      <c r="F1131">
        <f t="shared" si="17"/>
        <v>259</v>
      </c>
      <c r="G1131">
        <f>IFERROR(VLOOKUP(Table_socioeca8.sandag.org_ws_abm2_f4[[#This Row],[hwycov_id]],[2]flow_freeway!$A$2:$E$1643,3,FALSE),0)</f>
        <v>67284</v>
      </c>
      <c r="H1131">
        <f>IFERROR(VLOOKUP(Table_socioeca8.sandag.org_ws_abm2_f4[[#This Row],[hwycov_id]],[2]flow_freeway!$A$2:$E$1643,4,FALSE),0)</f>
        <v>13522</v>
      </c>
      <c r="I1131">
        <f>IFERROR(VLOOKUP(Table_socioeca8.sandag.org_ws_abm2_f4[[#This Row],[hwycov_id]],[2]flow_freeway!$A$2:$E$1643,5,FALSE),0)</f>
        <v>18376</v>
      </c>
      <c r="K1131">
        <f>Table_socioeca8.sandag.org_ws_abm2_f4[[#This Row],[hwycov_id]]</f>
        <v>27192</v>
      </c>
      <c r="L1131">
        <f>Table_socioeca8.sandag.org_ws_abm2_f4[[#This Row],[scenario_id]]</f>
        <v>259</v>
      </c>
      <c r="M1131">
        <f>Table_socioeca8.sandag.org_ws_abm2_f4[[#This Row],[flow_day]]</f>
        <v>67284</v>
      </c>
      <c r="N1131">
        <f>Table_socioeca8.sandag.org_ws_abm2_f4[[#This Row],[flow_am]]</f>
        <v>13522</v>
      </c>
      <c r="O1131">
        <f>Table_socioeca8.sandag.org_ws_abm2_f4[[#This Row],[flow_pm]]</f>
        <v>18376</v>
      </c>
    </row>
    <row r="1132" spans="5:15" x14ac:dyDescent="0.25">
      <c r="E1132">
        <v>27193</v>
      </c>
      <c r="F1132">
        <f t="shared" si="17"/>
        <v>259</v>
      </c>
      <c r="G1132">
        <f>IFERROR(VLOOKUP(Table_socioeca8.sandag.org_ws_abm2_f4[[#This Row],[hwycov_id]],[2]flow_freeway!$A$2:$E$1643,3,FALSE),0)</f>
        <v>67284</v>
      </c>
      <c r="H1132">
        <f>IFERROR(VLOOKUP(Table_socioeca8.sandag.org_ws_abm2_f4[[#This Row],[hwycov_id]],[2]flow_freeway!$A$2:$E$1643,4,FALSE),0)</f>
        <v>13522</v>
      </c>
      <c r="I1132">
        <f>IFERROR(VLOOKUP(Table_socioeca8.sandag.org_ws_abm2_f4[[#This Row],[hwycov_id]],[2]flow_freeway!$A$2:$E$1643,5,FALSE),0)</f>
        <v>18376</v>
      </c>
      <c r="K1132">
        <f>Table_socioeca8.sandag.org_ws_abm2_f4[[#This Row],[hwycov_id]]</f>
        <v>27193</v>
      </c>
      <c r="L1132">
        <f>Table_socioeca8.sandag.org_ws_abm2_f4[[#This Row],[scenario_id]]</f>
        <v>259</v>
      </c>
      <c r="M1132">
        <f>Table_socioeca8.sandag.org_ws_abm2_f4[[#This Row],[flow_day]]</f>
        <v>67284</v>
      </c>
      <c r="N1132">
        <f>Table_socioeca8.sandag.org_ws_abm2_f4[[#This Row],[flow_am]]</f>
        <v>13522</v>
      </c>
      <c r="O1132">
        <f>Table_socioeca8.sandag.org_ws_abm2_f4[[#This Row],[flow_pm]]</f>
        <v>18376</v>
      </c>
    </row>
    <row r="1133" spans="5:15" x14ac:dyDescent="0.25">
      <c r="E1133">
        <v>27194</v>
      </c>
      <c r="F1133">
        <f t="shared" si="17"/>
        <v>259</v>
      </c>
      <c r="G1133">
        <f>IFERROR(VLOOKUP(Table_socioeca8.sandag.org_ws_abm2_f4[[#This Row],[hwycov_id]],[2]flow_freeway!$A$2:$E$1643,3,FALSE),0)</f>
        <v>68156</v>
      </c>
      <c r="H1133">
        <f>IFERROR(VLOOKUP(Table_socioeca8.sandag.org_ws_abm2_f4[[#This Row],[hwycov_id]],[2]flow_freeway!$A$2:$E$1643,4,FALSE),0)</f>
        <v>13829</v>
      </c>
      <c r="I1133">
        <f>IFERROR(VLOOKUP(Table_socioeca8.sandag.org_ws_abm2_f4[[#This Row],[hwycov_id]],[2]flow_freeway!$A$2:$E$1643,5,FALSE),0)</f>
        <v>13843</v>
      </c>
      <c r="K1133">
        <f>Table_socioeca8.sandag.org_ws_abm2_f4[[#This Row],[hwycov_id]]</f>
        <v>27194</v>
      </c>
      <c r="L1133">
        <f>Table_socioeca8.sandag.org_ws_abm2_f4[[#This Row],[scenario_id]]</f>
        <v>259</v>
      </c>
      <c r="M1133">
        <f>Table_socioeca8.sandag.org_ws_abm2_f4[[#This Row],[flow_day]]</f>
        <v>68156</v>
      </c>
      <c r="N1133">
        <f>Table_socioeca8.sandag.org_ws_abm2_f4[[#This Row],[flow_am]]</f>
        <v>13829</v>
      </c>
      <c r="O1133">
        <f>Table_socioeca8.sandag.org_ws_abm2_f4[[#This Row],[flow_pm]]</f>
        <v>13843</v>
      </c>
    </row>
    <row r="1134" spans="5:15" x14ac:dyDescent="0.25">
      <c r="E1134">
        <v>27195</v>
      </c>
      <c r="F1134">
        <f t="shared" si="17"/>
        <v>259</v>
      </c>
      <c r="G1134">
        <f>IFERROR(VLOOKUP(Table_socioeca8.sandag.org_ws_abm2_f4[[#This Row],[hwycov_id]],[2]flow_freeway!$A$2:$E$1643,3,FALSE),0)</f>
        <v>66051</v>
      </c>
      <c r="H1134">
        <f>IFERROR(VLOOKUP(Table_socioeca8.sandag.org_ws_abm2_f4[[#This Row],[hwycov_id]],[2]flow_freeway!$A$2:$E$1643,4,FALSE),0)</f>
        <v>13838</v>
      </c>
      <c r="I1134">
        <f>IFERROR(VLOOKUP(Table_socioeca8.sandag.org_ws_abm2_f4[[#This Row],[hwycov_id]],[2]flow_freeway!$A$2:$E$1643,5,FALSE),0)</f>
        <v>17526</v>
      </c>
      <c r="K1134">
        <f>Table_socioeca8.sandag.org_ws_abm2_f4[[#This Row],[hwycov_id]]</f>
        <v>27195</v>
      </c>
      <c r="L1134">
        <f>Table_socioeca8.sandag.org_ws_abm2_f4[[#This Row],[scenario_id]]</f>
        <v>259</v>
      </c>
      <c r="M1134">
        <f>Table_socioeca8.sandag.org_ws_abm2_f4[[#This Row],[flow_day]]</f>
        <v>66051</v>
      </c>
      <c r="N1134">
        <f>Table_socioeca8.sandag.org_ws_abm2_f4[[#This Row],[flow_am]]</f>
        <v>13838</v>
      </c>
      <c r="O1134">
        <f>Table_socioeca8.sandag.org_ws_abm2_f4[[#This Row],[flow_pm]]</f>
        <v>17526</v>
      </c>
    </row>
    <row r="1135" spans="5:15" x14ac:dyDescent="0.25">
      <c r="E1135">
        <v>27196</v>
      </c>
      <c r="F1135">
        <f t="shared" si="17"/>
        <v>259</v>
      </c>
      <c r="G1135">
        <f>IFERROR(VLOOKUP(Table_socioeca8.sandag.org_ws_abm2_f4[[#This Row],[hwycov_id]],[2]flow_freeway!$A$2:$E$1643,3,FALSE),0)</f>
        <v>66720</v>
      </c>
      <c r="H1135">
        <f>IFERROR(VLOOKUP(Table_socioeca8.sandag.org_ws_abm2_f4[[#This Row],[hwycov_id]],[2]flow_freeway!$A$2:$E$1643,4,FALSE),0)</f>
        <v>12907</v>
      </c>
      <c r="I1135">
        <f>IFERROR(VLOOKUP(Table_socioeca8.sandag.org_ws_abm2_f4[[#This Row],[hwycov_id]],[2]flow_freeway!$A$2:$E$1643,5,FALSE),0)</f>
        <v>13971</v>
      </c>
      <c r="K1135">
        <f>Table_socioeca8.sandag.org_ws_abm2_f4[[#This Row],[hwycov_id]]</f>
        <v>27196</v>
      </c>
      <c r="L1135">
        <f>Table_socioeca8.sandag.org_ws_abm2_f4[[#This Row],[scenario_id]]</f>
        <v>259</v>
      </c>
      <c r="M1135">
        <f>Table_socioeca8.sandag.org_ws_abm2_f4[[#This Row],[flow_day]]</f>
        <v>66720</v>
      </c>
      <c r="N1135">
        <f>Table_socioeca8.sandag.org_ws_abm2_f4[[#This Row],[flow_am]]</f>
        <v>12907</v>
      </c>
      <c r="O1135">
        <f>Table_socioeca8.sandag.org_ws_abm2_f4[[#This Row],[flow_pm]]</f>
        <v>13971</v>
      </c>
    </row>
    <row r="1136" spans="5:15" x14ac:dyDescent="0.25">
      <c r="E1136">
        <v>27204</v>
      </c>
      <c r="F1136">
        <f t="shared" si="17"/>
        <v>259</v>
      </c>
      <c r="G1136">
        <f>IFERROR(VLOOKUP(Table_socioeca8.sandag.org_ws_abm2_f4[[#This Row],[hwycov_id]],[2]flow_freeway!$A$2:$E$1643,3,FALSE),0)</f>
        <v>5818</v>
      </c>
      <c r="H1136">
        <f>IFERROR(VLOOKUP(Table_socioeca8.sandag.org_ws_abm2_f4[[#This Row],[hwycov_id]],[2]flow_freeway!$A$2:$E$1643,4,FALSE),0)</f>
        <v>819</v>
      </c>
      <c r="I1136">
        <f>IFERROR(VLOOKUP(Table_socioeca8.sandag.org_ws_abm2_f4[[#This Row],[hwycov_id]],[2]flow_freeway!$A$2:$E$1643,5,FALSE),0)</f>
        <v>1782</v>
      </c>
      <c r="K1136">
        <f>Table_socioeca8.sandag.org_ws_abm2_f4[[#This Row],[hwycov_id]]</f>
        <v>27204</v>
      </c>
      <c r="L1136">
        <f>Table_socioeca8.sandag.org_ws_abm2_f4[[#This Row],[scenario_id]]</f>
        <v>259</v>
      </c>
      <c r="M1136">
        <f>Table_socioeca8.sandag.org_ws_abm2_f4[[#This Row],[flow_day]]</f>
        <v>5818</v>
      </c>
      <c r="N1136">
        <f>Table_socioeca8.sandag.org_ws_abm2_f4[[#This Row],[flow_am]]</f>
        <v>819</v>
      </c>
      <c r="O1136">
        <f>Table_socioeca8.sandag.org_ws_abm2_f4[[#This Row],[flow_pm]]</f>
        <v>1782</v>
      </c>
    </row>
    <row r="1137" spans="5:15" x14ac:dyDescent="0.25">
      <c r="E1137">
        <v>27205</v>
      </c>
      <c r="F1137">
        <f t="shared" si="17"/>
        <v>259</v>
      </c>
      <c r="G1137">
        <f>IFERROR(VLOOKUP(Table_socioeca8.sandag.org_ws_abm2_f4[[#This Row],[hwycov_id]],[2]flow_freeway!$A$2:$E$1643,3,FALSE),0)</f>
        <v>7312</v>
      </c>
      <c r="H1137">
        <f>IFERROR(VLOOKUP(Table_socioeca8.sandag.org_ws_abm2_f4[[#This Row],[hwycov_id]],[2]flow_freeway!$A$2:$E$1643,4,FALSE),0)</f>
        <v>1887</v>
      </c>
      <c r="I1137">
        <f>IFERROR(VLOOKUP(Table_socioeca8.sandag.org_ws_abm2_f4[[#This Row],[hwycov_id]],[2]flow_freeway!$A$2:$E$1643,5,FALSE),0)</f>
        <v>926</v>
      </c>
      <c r="K1137">
        <f>Table_socioeca8.sandag.org_ws_abm2_f4[[#This Row],[hwycov_id]]</f>
        <v>27205</v>
      </c>
      <c r="L1137">
        <f>Table_socioeca8.sandag.org_ws_abm2_f4[[#This Row],[scenario_id]]</f>
        <v>259</v>
      </c>
      <c r="M1137">
        <f>Table_socioeca8.sandag.org_ws_abm2_f4[[#This Row],[flow_day]]</f>
        <v>7312</v>
      </c>
      <c r="N1137">
        <f>Table_socioeca8.sandag.org_ws_abm2_f4[[#This Row],[flow_am]]</f>
        <v>1887</v>
      </c>
      <c r="O1137">
        <f>Table_socioeca8.sandag.org_ws_abm2_f4[[#This Row],[flow_pm]]</f>
        <v>926</v>
      </c>
    </row>
    <row r="1138" spans="5:15" x14ac:dyDescent="0.25">
      <c r="E1138">
        <v>27206</v>
      </c>
      <c r="F1138">
        <f t="shared" si="17"/>
        <v>259</v>
      </c>
      <c r="G1138">
        <f>IFERROR(VLOOKUP(Table_socioeca8.sandag.org_ws_abm2_f4[[#This Row],[hwycov_id]],[2]flow_freeway!$A$2:$E$1643,3,FALSE),0)</f>
        <v>7452</v>
      </c>
      <c r="H1138">
        <f>IFERROR(VLOOKUP(Table_socioeca8.sandag.org_ws_abm2_f4[[#This Row],[hwycov_id]],[2]flow_freeway!$A$2:$E$1643,4,FALSE),0)</f>
        <v>941</v>
      </c>
      <c r="I1138">
        <f>IFERROR(VLOOKUP(Table_socioeca8.sandag.org_ws_abm2_f4[[#This Row],[hwycov_id]],[2]flow_freeway!$A$2:$E$1643,5,FALSE),0)</f>
        <v>2323</v>
      </c>
      <c r="K1138">
        <f>Table_socioeca8.sandag.org_ws_abm2_f4[[#This Row],[hwycov_id]]</f>
        <v>27206</v>
      </c>
      <c r="L1138">
        <f>Table_socioeca8.sandag.org_ws_abm2_f4[[#This Row],[scenario_id]]</f>
        <v>259</v>
      </c>
      <c r="M1138">
        <f>Table_socioeca8.sandag.org_ws_abm2_f4[[#This Row],[flow_day]]</f>
        <v>7452</v>
      </c>
      <c r="N1138">
        <f>Table_socioeca8.sandag.org_ws_abm2_f4[[#This Row],[flow_am]]</f>
        <v>941</v>
      </c>
      <c r="O1138">
        <f>Table_socioeca8.sandag.org_ws_abm2_f4[[#This Row],[flow_pm]]</f>
        <v>2323</v>
      </c>
    </row>
    <row r="1139" spans="5:15" x14ac:dyDescent="0.25">
      <c r="E1139">
        <v>27207</v>
      </c>
      <c r="F1139">
        <f t="shared" si="17"/>
        <v>259</v>
      </c>
      <c r="G1139">
        <f>IFERROR(VLOOKUP(Table_socioeca8.sandag.org_ws_abm2_f4[[#This Row],[hwycov_id]],[2]flow_freeway!$A$2:$E$1643,3,FALSE),0)</f>
        <v>6301</v>
      </c>
      <c r="H1139">
        <f>IFERROR(VLOOKUP(Table_socioeca8.sandag.org_ws_abm2_f4[[#This Row],[hwycov_id]],[2]flow_freeway!$A$2:$E$1643,4,FALSE),0)</f>
        <v>783</v>
      </c>
      <c r="I1139">
        <f>IFERROR(VLOOKUP(Table_socioeca8.sandag.org_ws_abm2_f4[[#This Row],[hwycov_id]],[2]flow_freeway!$A$2:$E$1643,5,FALSE),0)</f>
        <v>1995</v>
      </c>
      <c r="K1139">
        <f>Table_socioeca8.sandag.org_ws_abm2_f4[[#This Row],[hwycov_id]]</f>
        <v>27207</v>
      </c>
      <c r="L1139">
        <f>Table_socioeca8.sandag.org_ws_abm2_f4[[#This Row],[scenario_id]]</f>
        <v>259</v>
      </c>
      <c r="M1139">
        <f>Table_socioeca8.sandag.org_ws_abm2_f4[[#This Row],[flow_day]]</f>
        <v>6301</v>
      </c>
      <c r="N1139">
        <f>Table_socioeca8.sandag.org_ws_abm2_f4[[#This Row],[flow_am]]</f>
        <v>783</v>
      </c>
      <c r="O1139">
        <f>Table_socioeca8.sandag.org_ws_abm2_f4[[#This Row],[flow_pm]]</f>
        <v>1995</v>
      </c>
    </row>
    <row r="1140" spans="5:15" x14ac:dyDescent="0.25">
      <c r="E1140">
        <v>27208</v>
      </c>
      <c r="F1140">
        <f t="shared" si="17"/>
        <v>259</v>
      </c>
      <c r="G1140">
        <f>IFERROR(VLOOKUP(Table_socioeca8.sandag.org_ws_abm2_f4[[#This Row],[hwycov_id]],[2]flow_freeway!$A$2:$E$1643,3,FALSE),0)</f>
        <v>5616</v>
      </c>
      <c r="H1140">
        <f>IFERROR(VLOOKUP(Table_socioeca8.sandag.org_ws_abm2_f4[[#This Row],[hwycov_id]],[2]flow_freeway!$A$2:$E$1643,4,FALSE),0)</f>
        <v>746</v>
      </c>
      <c r="I1140">
        <f>IFERROR(VLOOKUP(Table_socioeca8.sandag.org_ws_abm2_f4[[#This Row],[hwycov_id]],[2]flow_freeway!$A$2:$E$1643,5,FALSE),0)</f>
        <v>1765</v>
      </c>
      <c r="K1140">
        <f>Table_socioeca8.sandag.org_ws_abm2_f4[[#This Row],[hwycov_id]]</f>
        <v>27208</v>
      </c>
      <c r="L1140">
        <f>Table_socioeca8.sandag.org_ws_abm2_f4[[#This Row],[scenario_id]]</f>
        <v>259</v>
      </c>
      <c r="M1140">
        <f>Table_socioeca8.sandag.org_ws_abm2_f4[[#This Row],[flow_day]]</f>
        <v>5616</v>
      </c>
      <c r="N1140">
        <f>Table_socioeca8.sandag.org_ws_abm2_f4[[#This Row],[flow_am]]</f>
        <v>746</v>
      </c>
      <c r="O1140">
        <f>Table_socioeca8.sandag.org_ws_abm2_f4[[#This Row],[flow_pm]]</f>
        <v>1765</v>
      </c>
    </row>
    <row r="1141" spans="5:15" x14ac:dyDescent="0.25">
      <c r="E1141">
        <v>27209</v>
      </c>
      <c r="F1141">
        <f t="shared" si="17"/>
        <v>259</v>
      </c>
      <c r="G1141">
        <f>IFERROR(VLOOKUP(Table_socioeca8.sandag.org_ws_abm2_f4[[#This Row],[hwycov_id]],[2]flow_freeway!$A$2:$E$1643,3,FALSE),0)</f>
        <v>6857</v>
      </c>
      <c r="H1141">
        <f>IFERROR(VLOOKUP(Table_socioeca8.sandag.org_ws_abm2_f4[[#This Row],[hwycov_id]],[2]flow_freeway!$A$2:$E$1643,4,FALSE),0)</f>
        <v>1844</v>
      </c>
      <c r="I1141">
        <f>IFERROR(VLOOKUP(Table_socioeca8.sandag.org_ws_abm2_f4[[#This Row],[hwycov_id]],[2]flow_freeway!$A$2:$E$1643,5,FALSE),0)</f>
        <v>804</v>
      </c>
      <c r="K1141">
        <f>Table_socioeca8.sandag.org_ws_abm2_f4[[#This Row],[hwycov_id]]</f>
        <v>27209</v>
      </c>
      <c r="L1141">
        <f>Table_socioeca8.sandag.org_ws_abm2_f4[[#This Row],[scenario_id]]</f>
        <v>259</v>
      </c>
      <c r="M1141">
        <f>Table_socioeca8.sandag.org_ws_abm2_f4[[#This Row],[flow_day]]</f>
        <v>6857</v>
      </c>
      <c r="N1141">
        <f>Table_socioeca8.sandag.org_ws_abm2_f4[[#This Row],[flow_am]]</f>
        <v>1844</v>
      </c>
      <c r="O1141">
        <f>Table_socioeca8.sandag.org_ws_abm2_f4[[#This Row],[flow_pm]]</f>
        <v>804</v>
      </c>
    </row>
    <row r="1142" spans="5:15" x14ac:dyDescent="0.25">
      <c r="E1142">
        <v>27210</v>
      </c>
      <c r="F1142">
        <f t="shared" si="17"/>
        <v>259</v>
      </c>
      <c r="G1142">
        <f>IFERROR(VLOOKUP(Table_socioeca8.sandag.org_ws_abm2_f4[[#This Row],[hwycov_id]],[2]flow_freeway!$A$2:$E$1643,3,FALSE),0)</f>
        <v>7005</v>
      </c>
      <c r="H1142">
        <f>IFERROR(VLOOKUP(Table_socioeca8.sandag.org_ws_abm2_f4[[#This Row],[hwycov_id]],[2]flow_freeway!$A$2:$E$1643,4,FALSE),0)</f>
        <v>835</v>
      </c>
      <c r="I1142">
        <f>IFERROR(VLOOKUP(Table_socioeca8.sandag.org_ws_abm2_f4[[#This Row],[hwycov_id]],[2]flow_freeway!$A$2:$E$1643,5,FALSE),0)</f>
        <v>2231</v>
      </c>
      <c r="K1142">
        <f>Table_socioeca8.sandag.org_ws_abm2_f4[[#This Row],[hwycov_id]]</f>
        <v>27210</v>
      </c>
      <c r="L1142">
        <f>Table_socioeca8.sandag.org_ws_abm2_f4[[#This Row],[scenario_id]]</f>
        <v>259</v>
      </c>
      <c r="M1142">
        <f>Table_socioeca8.sandag.org_ws_abm2_f4[[#This Row],[flow_day]]</f>
        <v>7005</v>
      </c>
      <c r="N1142">
        <f>Table_socioeca8.sandag.org_ws_abm2_f4[[#This Row],[flow_am]]</f>
        <v>835</v>
      </c>
      <c r="O1142">
        <f>Table_socioeca8.sandag.org_ws_abm2_f4[[#This Row],[flow_pm]]</f>
        <v>2231</v>
      </c>
    </row>
    <row r="1143" spans="5:15" x14ac:dyDescent="0.25">
      <c r="E1143">
        <v>27211</v>
      </c>
      <c r="F1143">
        <f t="shared" si="17"/>
        <v>259</v>
      </c>
      <c r="G1143">
        <f>IFERROR(VLOOKUP(Table_socioeca8.sandag.org_ws_abm2_f4[[#This Row],[hwycov_id]],[2]flow_freeway!$A$2:$E$1643,3,FALSE),0)</f>
        <v>6113</v>
      </c>
      <c r="H1143">
        <f>IFERROR(VLOOKUP(Table_socioeca8.sandag.org_ws_abm2_f4[[#This Row],[hwycov_id]],[2]flow_freeway!$A$2:$E$1643,4,FALSE),0)</f>
        <v>1660</v>
      </c>
      <c r="I1143">
        <f>IFERROR(VLOOKUP(Table_socioeca8.sandag.org_ws_abm2_f4[[#This Row],[hwycov_id]],[2]flow_freeway!$A$2:$E$1643,5,FALSE),0)</f>
        <v>680</v>
      </c>
      <c r="K1143">
        <f>Table_socioeca8.sandag.org_ws_abm2_f4[[#This Row],[hwycov_id]]</f>
        <v>27211</v>
      </c>
      <c r="L1143">
        <f>Table_socioeca8.sandag.org_ws_abm2_f4[[#This Row],[scenario_id]]</f>
        <v>259</v>
      </c>
      <c r="M1143">
        <f>Table_socioeca8.sandag.org_ws_abm2_f4[[#This Row],[flow_day]]</f>
        <v>6113</v>
      </c>
      <c r="N1143">
        <f>Table_socioeca8.sandag.org_ws_abm2_f4[[#This Row],[flow_am]]</f>
        <v>1660</v>
      </c>
      <c r="O1143">
        <f>Table_socioeca8.sandag.org_ws_abm2_f4[[#This Row],[flow_pm]]</f>
        <v>680</v>
      </c>
    </row>
    <row r="1144" spans="5:15" x14ac:dyDescent="0.25">
      <c r="E1144">
        <v>27212</v>
      </c>
      <c r="F1144">
        <f t="shared" si="17"/>
        <v>259</v>
      </c>
      <c r="G1144">
        <f>IFERROR(VLOOKUP(Table_socioeca8.sandag.org_ws_abm2_f4[[#This Row],[hwycov_id]],[2]flow_freeway!$A$2:$E$1643,3,FALSE),0)</f>
        <v>5460</v>
      </c>
      <c r="H1144">
        <f>IFERROR(VLOOKUP(Table_socioeca8.sandag.org_ws_abm2_f4[[#This Row],[hwycov_id]],[2]flow_freeway!$A$2:$E$1643,4,FALSE),0)</f>
        <v>1474</v>
      </c>
      <c r="I1144">
        <f>IFERROR(VLOOKUP(Table_socioeca8.sandag.org_ws_abm2_f4[[#This Row],[hwycov_id]],[2]flow_freeway!$A$2:$E$1643,5,FALSE),0)</f>
        <v>578</v>
      </c>
      <c r="K1144">
        <f>Table_socioeca8.sandag.org_ws_abm2_f4[[#This Row],[hwycov_id]]</f>
        <v>27212</v>
      </c>
      <c r="L1144">
        <f>Table_socioeca8.sandag.org_ws_abm2_f4[[#This Row],[scenario_id]]</f>
        <v>259</v>
      </c>
      <c r="M1144">
        <f>Table_socioeca8.sandag.org_ws_abm2_f4[[#This Row],[flow_day]]</f>
        <v>5460</v>
      </c>
      <c r="N1144">
        <f>Table_socioeca8.sandag.org_ws_abm2_f4[[#This Row],[flow_am]]</f>
        <v>1474</v>
      </c>
      <c r="O1144">
        <f>Table_socioeca8.sandag.org_ws_abm2_f4[[#This Row],[flow_pm]]</f>
        <v>578</v>
      </c>
    </row>
    <row r="1145" spans="5:15" x14ac:dyDescent="0.25">
      <c r="E1145">
        <v>27213</v>
      </c>
      <c r="F1145">
        <f t="shared" si="17"/>
        <v>259</v>
      </c>
      <c r="G1145">
        <f>IFERROR(VLOOKUP(Table_socioeca8.sandag.org_ws_abm2_f4[[#This Row],[hwycov_id]],[2]flow_freeway!$A$2:$E$1643,3,FALSE),0)</f>
        <v>5644</v>
      </c>
      <c r="H1145">
        <f>IFERROR(VLOOKUP(Table_socioeca8.sandag.org_ws_abm2_f4[[#This Row],[hwycov_id]],[2]flow_freeway!$A$2:$E$1643,4,FALSE),0)</f>
        <v>1523</v>
      </c>
      <c r="I1145">
        <f>IFERROR(VLOOKUP(Table_socioeca8.sandag.org_ws_abm2_f4[[#This Row],[hwycov_id]],[2]flow_freeway!$A$2:$E$1643,5,FALSE),0)</f>
        <v>644</v>
      </c>
      <c r="K1145">
        <f>Table_socioeca8.sandag.org_ws_abm2_f4[[#This Row],[hwycov_id]]</f>
        <v>27213</v>
      </c>
      <c r="L1145">
        <f>Table_socioeca8.sandag.org_ws_abm2_f4[[#This Row],[scenario_id]]</f>
        <v>259</v>
      </c>
      <c r="M1145">
        <f>Table_socioeca8.sandag.org_ws_abm2_f4[[#This Row],[flow_day]]</f>
        <v>5644</v>
      </c>
      <c r="N1145">
        <f>Table_socioeca8.sandag.org_ws_abm2_f4[[#This Row],[flow_am]]</f>
        <v>1523</v>
      </c>
      <c r="O1145">
        <f>Table_socioeca8.sandag.org_ws_abm2_f4[[#This Row],[flow_pm]]</f>
        <v>644</v>
      </c>
    </row>
    <row r="1146" spans="5:15" x14ac:dyDescent="0.25">
      <c r="E1146">
        <v>27214</v>
      </c>
      <c r="F1146">
        <f t="shared" si="17"/>
        <v>259</v>
      </c>
      <c r="G1146">
        <f>IFERROR(VLOOKUP(Table_socioeca8.sandag.org_ws_abm2_f4[[#This Row],[hwycov_id]],[2]flow_freeway!$A$2:$E$1643,3,FALSE),0)</f>
        <v>5645</v>
      </c>
      <c r="H1146">
        <f>IFERROR(VLOOKUP(Table_socioeca8.sandag.org_ws_abm2_f4[[#This Row],[hwycov_id]],[2]flow_freeway!$A$2:$E$1643,4,FALSE),0)</f>
        <v>1523</v>
      </c>
      <c r="I1146">
        <f>IFERROR(VLOOKUP(Table_socioeca8.sandag.org_ws_abm2_f4[[#This Row],[hwycov_id]],[2]flow_freeway!$A$2:$E$1643,5,FALSE),0)</f>
        <v>644</v>
      </c>
      <c r="K1146">
        <f>Table_socioeca8.sandag.org_ws_abm2_f4[[#This Row],[hwycov_id]]</f>
        <v>27214</v>
      </c>
      <c r="L1146">
        <f>Table_socioeca8.sandag.org_ws_abm2_f4[[#This Row],[scenario_id]]</f>
        <v>259</v>
      </c>
      <c r="M1146">
        <f>Table_socioeca8.sandag.org_ws_abm2_f4[[#This Row],[flow_day]]</f>
        <v>5645</v>
      </c>
      <c r="N1146">
        <f>Table_socioeca8.sandag.org_ws_abm2_f4[[#This Row],[flow_am]]</f>
        <v>1523</v>
      </c>
      <c r="O1146">
        <f>Table_socioeca8.sandag.org_ws_abm2_f4[[#This Row],[flow_pm]]</f>
        <v>644</v>
      </c>
    </row>
    <row r="1147" spans="5:15" x14ac:dyDescent="0.25">
      <c r="E1147">
        <v>27218</v>
      </c>
      <c r="F1147">
        <f t="shared" si="17"/>
        <v>259</v>
      </c>
      <c r="G1147">
        <f>IFERROR(VLOOKUP(Table_socioeca8.sandag.org_ws_abm2_f4[[#This Row],[hwycov_id]],[2]flow_freeway!$A$2:$E$1643,3,FALSE),0)</f>
        <v>48550</v>
      </c>
      <c r="H1147">
        <f>IFERROR(VLOOKUP(Table_socioeca8.sandag.org_ws_abm2_f4[[#This Row],[hwycov_id]],[2]flow_freeway!$A$2:$E$1643,4,FALSE),0)</f>
        <v>9428</v>
      </c>
      <c r="I1147">
        <f>IFERROR(VLOOKUP(Table_socioeca8.sandag.org_ws_abm2_f4[[#This Row],[hwycov_id]],[2]flow_freeway!$A$2:$E$1643,5,FALSE),0)</f>
        <v>12329</v>
      </c>
      <c r="K1147">
        <f>Table_socioeca8.sandag.org_ws_abm2_f4[[#This Row],[hwycov_id]]</f>
        <v>27218</v>
      </c>
      <c r="L1147">
        <f>Table_socioeca8.sandag.org_ws_abm2_f4[[#This Row],[scenario_id]]</f>
        <v>259</v>
      </c>
      <c r="M1147">
        <f>Table_socioeca8.sandag.org_ws_abm2_f4[[#This Row],[flow_day]]</f>
        <v>48550</v>
      </c>
      <c r="N1147">
        <f>Table_socioeca8.sandag.org_ws_abm2_f4[[#This Row],[flow_am]]</f>
        <v>9428</v>
      </c>
      <c r="O1147">
        <f>Table_socioeca8.sandag.org_ws_abm2_f4[[#This Row],[flow_pm]]</f>
        <v>12329</v>
      </c>
    </row>
    <row r="1148" spans="5:15" x14ac:dyDescent="0.25">
      <c r="E1148">
        <v>27223</v>
      </c>
      <c r="F1148">
        <f t="shared" si="17"/>
        <v>259</v>
      </c>
      <c r="G1148">
        <f>IFERROR(VLOOKUP(Table_socioeca8.sandag.org_ws_abm2_f4[[#This Row],[hwycov_id]],[2]flow_freeway!$A$2:$E$1643,3,FALSE),0)</f>
        <v>45144</v>
      </c>
      <c r="H1148">
        <f>IFERROR(VLOOKUP(Table_socioeca8.sandag.org_ws_abm2_f4[[#This Row],[hwycov_id]],[2]flow_freeway!$A$2:$E$1643,4,FALSE),0)</f>
        <v>11023</v>
      </c>
      <c r="I1148">
        <f>IFERROR(VLOOKUP(Table_socioeca8.sandag.org_ws_abm2_f4[[#This Row],[hwycov_id]],[2]flow_freeway!$A$2:$E$1643,5,FALSE),0)</f>
        <v>8977</v>
      </c>
      <c r="K1148">
        <f>Table_socioeca8.sandag.org_ws_abm2_f4[[#This Row],[hwycov_id]]</f>
        <v>27223</v>
      </c>
      <c r="L1148">
        <f>Table_socioeca8.sandag.org_ws_abm2_f4[[#This Row],[scenario_id]]</f>
        <v>259</v>
      </c>
      <c r="M1148">
        <f>Table_socioeca8.sandag.org_ws_abm2_f4[[#This Row],[flow_day]]</f>
        <v>45144</v>
      </c>
      <c r="N1148">
        <f>Table_socioeca8.sandag.org_ws_abm2_f4[[#This Row],[flow_am]]</f>
        <v>11023</v>
      </c>
      <c r="O1148">
        <f>Table_socioeca8.sandag.org_ws_abm2_f4[[#This Row],[flow_pm]]</f>
        <v>8977</v>
      </c>
    </row>
    <row r="1149" spans="5:15" x14ac:dyDescent="0.25">
      <c r="E1149">
        <v>27224</v>
      </c>
      <c r="F1149">
        <f t="shared" si="17"/>
        <v>259</v>
      </c>
      <c r="G1149">
        <f>IFERROR(VLOOKUP(Table_socioeca8.sandag.org_ws_abm2_f4[[#This Row],[hwycov_id]],[2]flow_freeway!$A$2:$E$1643,3,FALSE),0)</f>
        <v>41066</v>
      </c>
      <c r="H1149">
        <f>IFERROR(VLOOKUP(Table_socioeca8.sandag.org_ws_abm2_f4[[#This Row],[hwycov_id]],[2]flow_freeway!$A$2:$E$1643,4,FALSE),0)</f>
        <v>10051</v>
      </c>
      <c r="I1149">
        <f>IFERROR(VLOOKUP(Table_socioeca8.sandag.org_ws_abm2_f4[[#This Row],[hwycov_id]],[2]flow_freeway!$A$2:$E$1643,5,FALSE),0)</f>
        <v>8169</v>
      </c>
      <c r="K1149">
        <f>Table_socioeca8.sandag.org_ws_abm2_f4[[#This Row],[hwycov_id]]</f>
        <v>27224</v>
      </c>
      <c r="L1149">
        <f>Table_socioeca8.sandag.org_ws_abm2_f4[[#This Row],[scenario_id]]</f>
        <v>259</v>
      </c>
      <c r="M1149">
        <f>Table_socioeca8.sandag.org_ws_abm2_f4[[#This Row],[flow_day]]</f>
        <v>41066</v>
      </c>
      <c r="N1149">
        <f>Table_socioeca8.sandag.org_ws_abm2_f4[[#This Row],[flow_am]]</f>
        <v>10051</v>
      </c>
      <c r="O1149">
        <f>Table_socioeca8.sandag.org_ws_abm2_f4[[#This Row],[flow_pm]]</f>
        <v>8169</v>
      </c>
    </row>
    <row r="1150" spans="5:15" x14ac:dyDescent="0.25">
      <c r="E1150">
        <v>27229</v>
      </c>
      <c r="F1150">
        <f t="shared" si="17"/>
        <v>259</v>
      </c>
      <c r="G1150">
        <f>IFERROR(VLOOKUP(Table_socioeca8.sandag.org_ws_abm2_f4[[#This Row],[hwycov_id]],[2]flow_freeway!$A$2:$E$1643,3,FALSE),0)</f>
        <v>48543</v>
      </c>
      <c r="H1150">
        <f>IFERROR(VLOOKUP(Table_socioeca8.sandag.org_ws_abm2_f4[[#This Row],[hwycov_id]],[2]flow_freeway!$A$2:$E$1643,4,FALSE),0)</f>
        <v>7625</v>
      </c>
      <c r="I1150">
        <f>IFERROR(VLOOKUP(Table_socioeca8.sandag.org_ws_abm2_f4[[#This Row],[hwycov_id]],[2]flow_freeway!$A$2:$E$1643,5,FALSE),0)</f>
        <v>14643</v>
      </c>
      <c r="K1150">
        <f>Table_socioeca8.sandag.org_ws_abm2_f4[[#This Row],[hwycov_id]]</f>
        <v>27229</v>
      </c>
      <c r="L1150">
        <f>Table_socioeca8.sandag.org_ws_abm2_f4[[#This Row],[scenario_id]]</f>
        <v>259</v>
      </c>
      <c r="M1150">
        <f>Table_socioeca8.sandag.org_ws_abm2_f4[[#This Row],[flow_day]]</f>
        <v>48543</v>
      </c>
      <c r="N1150">
        <f>Table_socioeca8.sandag.org_ws_abm2_f4[[#This Row],[flow_am]]</f>
        <v>7625</v>
      </c>
      <c r="O1150">
        <f>Table_socioeca8.sandag.org_ws_abm2_f4[[#This Row],[flow_pm]]</f>
        <v>14643</v>
      </c>
    </row>
    <row r="1151" spans="5:15" x14ac:dyDescent="0.25">
      <c r="E1151">
        <v>27230</v>
      </c>
      <c r="F1151">
        <f t="shared" si="17"/>
        <v>259</v>
      </c>
      <c r="G1151">
        <f>IFERROR(VLOOKUP(Table_socioeca8.sandag.org_ws_abm2_f4[[#This Row],[hwycov_id]],[2]flow_freeway!$A$2:$E$1643,3,FALSE),0)</f>
        <v>42075</v>
      </c>
      <c r="H1151">
        <f>IFERROR(VLOOKUP(Table_socioeca8.sandag.org_ws_abm2_f4[[#This Row],[hwycov_id]],[2]flow_freeway!$A$2:$E$1643,4,FALSE),0)</f>
        <v>6391</v>
      </c>
      <c r="I1151">
        <f>IFERROR(VLOOKUP(Table_socioeca8.sandag.org_ws_abm2_f4[[#This Row],[hwycov_id]],[2]flow_freeway!$A$2:$E$1643,5,FALSE),0)</f>
        <v>12656</v>
      </c>
      <c r="K1151">
        <f>Table_socioeca8.sandag.org_ws_abm2_f4[[#This Row],[hwycov_id]]</f>
        <v>27230</v>
      </c>
      <c r="L1151">
        <f>Table_socioeca8.sandag.org_ws_abm2_f4[[#This Row],[scenario_id]]</f>
        <v>259</v>
      </c>
      <c r="M1151">
        <f>Table_socioeca8.sandag.org_ws_abm2_f4[[#This Row],[flow_day]]</f>
        <v>42075</v>
      </c>
      <c r="N1151">
        <f>Table_socioeca8.sandag.org_ws_abm2_f4[[#This Row],[flow_am]]</f>
        <v>6391</v>
      </c>
      <c r="O1151">
        <f>Table_socioeca8.sandag.org_ws_abm2_f4[[#This Row],[flow_pm]]</f>
        <v>12656</v>
      </c>
    </row>
    <row r="1152" spans="5:15" x14ac:dyDescent="0.25">
      <c r="E1152">
        <v>27235</v>
      </c>
      <c r="F1152">
        <f t="shared" si="17"/>
        <v>259</v>
      </c>
      <c r="G1152">
        <f>IFERROR(VLOOKUP(Table_socioeca8.sandag.org_ws_abm2_f4[[#This Row],[hwycov_id]],[2]flow_freeway!$A$2:$E$1643,3,FALSE),0)</f>
        <v>47817</v>
      </c>
      <c r="H1152">
        <f>IFERROR(VLOOKUP(Table_socioeca8.sandag.org_ws_abm2_f4[[#This Row],[hwycov_id]],[2]flow_freeway!$A$2:$E$1643,4,FALSE),0)</f>
        <v>10287</v>
      </c>
      <c r="I1152">
        <f>IFERROR(VLOOKUP(Table_socioeca8.sandag.org_ws_abm2_f4[[#This Row],[hwycov_id]],[2]flow_freeway!$A$2:$E$1643,5,FALSE),0)</f>
        <v>11672</v>
      </c>
      <c r="K1152">
        <f>Table_socioeca8.sandag.org_ws_abm2_f4[[#This Row],[hwycov_id]]</f>
        <v>27235</v>
      </c>
      <c r="L1152">
        <f>Table_socioeca8.sandag.org_ws_abm2_f4[[#This Row],[scenario_id]]</f>
        <v>259</v>
      </c>
      <c r="M1152">
        <f>Table_socioeca8.sandag.org_ws_abm2_f4[[#This Row],[flow_day]]</f>
        <v>47817</v>
      </c>
      <c r="N1152">
        <f>Table_socioeca8.sandag.org_ws_abm2_f4[[#This Row],[flow_am]]</f>
        <v>10287</v>
      </c>
      <c r="O1152">
        <f>Table_socioeca8.sandag.org_ws_abm2_f4[[#This Row],[flow_pm]]</f>
        <v>11672</v>
      </c>
    </row>
    <row r="1153" spans="5:15" x14ac:dyDescent="0.25">
      <c r="E1153">
        <v>27236</v>
      </c>
      <c r="F1153">
        <f t="shared" si="17"/>
        <v>259</v>
      </c>
      <c r="G1153">
        <f>IFERROR(VLOOKUP(Table_socioeca8.sandag.org_ws_abm2_f4[[#This Row],[hwycov_id]],[2]flow_freeway!$A$2:$E$1643,3,FALSE),0)</f>
        <v>41044</v>
      </c>
      <c r="H1153">
        <f>IFERROR(VLOOKUP(Table_socioeca8.sandag.org_ws_abm2_f4[[#This Row],[hwycov_id]],[2]flow_freeway!$A$2:$E$1643,4,FALSE),0)</f>
        <v>6676</v>
      </c>
      <c r="I1153">
        <f>IFERROR(VLOOKUP(Table_socioeca8.sandag.org_ws_abm2_f4[[#This Row],[hwycov_id]],[2]flow_freeway!$A$2:$E$1643,5,FALSE),0)</f>
        <v>12346</v>
      </c>
      <c r="K1153">
        <f>Table_socioeca8.sandag.org_ws_abm2_f4[[#This Row],[hwycov_id]]</f>
        <v>27236</v>
      </c>
      <c r="L1153">
        <f>Table_socioeca8.sandag.org_ws_abm2_f4[[#This Row],[scenario_id]]</f>
        <v>259</v>
      </c>
      <c r="M1153">
        <f>Table_socioeca8.sandag.org_ws_abm2_f4[[#This Row],[flow_day]]</f>
        <v>41044</v>
      </c>
      <c r="N1153">
        <f>Table_socioeca8.sandag.org_ws_abm2_f4[[#This Row],[flow_am]]</f>
        <v>6676</v>
      </c>
      <c r="O1153">
        <f>Table_socioeca8.sandag.org_ws_abm2_f4[[#This Row],[flow_pm]]</f>
        <v>12346</v>
      </c>
    </row>
    <row r="1154" spans="5:15" x14ac:dyDescent="0.25">
      <c r="E1154">
        <v>27237</v>
      </c>
      <c r="F1154">
        <f t="shared" si="17"/>
        <v>259</v>
      </c>
      <c r="G1154">
        <f>IFERROR(VLOOKUP(Table_socioeca8.sandag.org_ws_abm2_f4[[#This Row],[hwycov_id]],[2]flow_freeway!$A$2:$E$1643,3,FALSE),0)</f>
        <v>39485</v>
      </c>
      <c r="H1154">
        <f>IFERROR(VLOOKUP(Table_socioeca8.sandag.org_ws_abm2_f4[[#This Row],[hwycov_id]],[2]flow_freeway!$A$2:$E$1643,4,FALSE),0)</f>
        <v>10066</v>
      </c>
      <c r="I1154">
        <f>IFERROR(VLOOKUP(Table_socioeca8.sandag.org_ws_abm2_f4[[#This Row],[hwycov_id]],[2]flow_freeway!$A$2:$E$1643,5,FALSE),0)</f>
        <v>7631</v>
      </c>
      <c r="K1154">
        <f>Table_socioeca8.sandag.org_ws_abm2_f4[[#This Row],[hwycov_id]]</f>
        <v>27237</v>
      </c>
      <c r="L1154">
        <f>Table_socioeca8.sandag.org_ws_abm2_f4[[#This Row],[scenario_id]]</f>
        <v>259</v>
      </c>
      <c r="M1154">
        <f>Table_socioeca8.sandag.org_ws_abm2_f4[[#This Row],[flow_day]]</f>
        <v>39485</v>
      </c>
      <c r="N1154">
        <f>Table_socioeca8.sandag.org_ws_abm2_f4[[#This Row],[flow_am]]</f>
        <v>10066</v>
      </c>
      <c r="O1154">
        <f>Table_socioeca8.sandag.org_ws_abm2_f4[[#This Row],[flow_pm]]</f>
        <v>7631</v>
      </c>
    </row>
    <row r="1155" spans="5:15" x14ac:dyDescent="0.25">
      <c r="E1155">
        <v>27238</v>
      </c>
      <c r="F1155">
        <f t="shared" si="17"/>
        <v>259</v>
      </c>
      <c r="G1155">
        <f>IFERROR(VLOOKUP(Table_socioeca8.sandag.org_ws_abm2_f4[[#This Row],[hwycov_id]],[2]flow_freeway!$A$2:$E$1643,3,FALSE),0)</f>
        <v>41615</v>
      </c>
      <c r="H1155">
        <f>IFERROR(VLOOKUP(Table_socioeca8.sandag.org_ws_abm2_f4[[#This Row],[hwycov_id]],[2]flow_freeway!$A$2:$E$1643,4,FALSE),0)</f>
        <v>10459</v>
      </c>
      <c r="I1155">
        <f>IFERROR(VLOOKUP(Table_socioeca8.sandag.org_ws_abm2_f4[[#This Row],[hwycov_id]],[2]flow_freeway!$A$2:$E$1643,5,FALSE),0)</f>
        <v>8109</v>
      </c>
      <c r="K1155">
        <f>Table_socioeca8.sandag.org_ws_abm2_f4[[#This Row],[hwycov_id]]</f>
        <v>27238</v>
      </c>
      <c r="L1155">
        <f>Table_socioeca8.sandag.org_ws_abm2_f4[[#This Row],[scenario_id]]</f>
        <v>259</v>
      </c>
      <c r="M1155">
        <f>Table_socioeca8.sandag.org_ws_abm2_f4[[#This Row],[flow_day]]</f>
        <v>41615</v>
      </c>
      <c r="N1155">
        <f>Table_socioeca8.sandag.org_ws_abm2_f4[[#This Row],[flow_am]]</f>
        <v>10459</v>
      </c>
      <c r="O1155">
        <f>Table_socioeca8.sandag.org_ws_abm2_f4[[#This Row],[flow_pm]]</f>
        <v>8109</v>
      </c>
    </row>
    <row r="1156" spans="5:15" x14ac:dyDescent="0.25">
      <c r="E1156">
        <v>27241</v>
      </c>
      <c r="F1156">
        <f t="shared" ref="F1156:F1219" si="18">F1155</f>
        <v>259</v>
      </c>
      <c r="G1156">
        <f>IFERROR(VLOOKUP(Table_socioeca8.sandag.org_ws_abm2_f4[[#This Row],[hwycov_id]],[2]flow_freeway!$A$2:$E$1643,3,FALSE),0)</f>
        <v>46574</v>
      </c>
      <c r="H1156">
        <f>IFERROR(VLOOKUP(Table_socioeca8.sandag.org_ws_abm2_f4[[#This Row],[hwycov_id]],[2]flow_freeway!$A$2:$E$1643,4,FALSE),0)</f>
        <v>11187</v>
      </c>
      <c r="I1156">
        <f>IFERROR(VLOOKUP(Table_socioeca8.sandag.org_ws_abm2_f4[[#This Row],[hwycov_id]],[2]flow_freeway!$A$2:$E$1643,5,FALSE),0)</f>
        <v>9371</v>
      </c>
      <c r="K1156">
        <f>Table_socioeca8.sandag.org_ws_abm2_f4[[#This Row],[hwycov_id]]</f>
        <v>27241</v>
      </c>
      <c r="L1156">
        <f>Table_socioeca8.sandag.org_ws_abm2_f4[[#This Row],[scenario_id]]</f>
        <v>259</v>
      </c>
      <c r="M1156">
        <f>Table_socioeca8.sandag.org_ws_abm2_f4[[#This Row],[flow_day]]</f>
        <v>46574</v>
      </c>
      <c r="N1156">
        <f>Table_socioeca8.sandag.org_ws_abm2_f4[[#This Row],[flow_am]]</f>
        <v>11187</v>
      </c>
      <c r="O1156">
        <f>Table_socioeca8.sandag.org_ws_abm2_f4[[#This Row],[flow_pm]]</f>
        <v>9371</v>
      </c>
    </row>
    <row r="1157" spans="5:15" x14ac:dyDescent="0.25">
      <c r="E1157">
        <v>27245</v>
      </c>
      <c r="F1157">
        <f t="shared" si="18"/>
        <v>259</v>
      </c>
      <c r="G1157">
        <f>IFERROR(VLOOKUP(Table_socioeca8.sandag.org_ws_abm2_f4[[#This Row],[hwycov_id]],[2]flow_freeway!$A$2:$E$1643,3,FALSE),0)</f>
        <v>51086</v>
      </c>
      <c r="H1157">
        <f>IFERROR(VLOOKUP(Table_socioeca8.sandag.org_ws_abm2_f4[[#This Row],[hwycov_id]],[2]flow_freeway!$A$2:$E$1643,4,FALSE),0)</f>
        <v>9014</v>
      </c>
      <c r="I1157">
        <f>IFERROR(VLOOKUP(Table_socioeca8.sandag.org_ws_abm2_f4[[#This Row],[hwycov_id]],[2]flow_freeway!$A$2:$E$1643,5,FALSE),0)</f>
        <v>14241</v>
      </c>
      <c r="K1157">
        <f>Table_socioeca8.sandag.org_ws_abm2_f4[[#This Row],[hwycov_id]]</f>
        <v>27245</v>
      </c>
      <c r="L1157">
        <f>Table_socioeca8.sandag.org_ws_abm2_f4[[#This Row],[scenario_id]]</f>
        <v>259</v>
      </c>
      <c r="M1157">
        <f>Table_socioeca8.sandag.org_ws_abm2_f4[[#This Row],[flow_day]]</f>
        <v>51086</v>
      </c>
      <c r="N1157">
        <f>Table_socioeca8.sandag.org_ws_abm2_f4[[#This Row],[flow_am]]</f>
        <v>9014</v>
      </c>
      <c r="O1157">
        <f>Table_socioeca8.sandag.org_ws_abm2_f4[[#This Row],[flow_pm]]</f>
        <v>14241</v>
      </c>
    </row>
    <row r="1158" spans="5:15" x14ac:dyDescent="0.25">
      <c r="E1158">
        <v>27247</v>
      </c>
      <c r="F1158">
        <f t="shared" si="18"/>
        <v>259</v>
      </c>
      <c r="G1158">
        <f>IFERROR(VLOOKUP(Table_socioeca8.sandag.org_ws_abm2_f4[[#This Row],[hwycov_id]],[2]flow_freeway!$A$2:$E$1643,3,FALSE),0)</f>
        <v>59231</v>
      </c>
      <c r="H1158">
        <f>IFERROR(VLOOKUP(Table_socioeca8.sandag.org_ws_abm2_f4[[#This Row],[hwycov_id]],[2]flow_freeway!$A$2:$E$1643,4,FALSE),0)</f>
        <v>12385</v>
      </c>
      <c r="I1158">
        <f>IFERROR(VLOOKUP(Table_socioeca8.sandag.org_ws_abm2_f4[[#This Row],[hwycov_id]],[2]flow_freeway!$A$2:$E$1643,5,FALSE),0)</f>
        <v>13014</v>
      </c>
      <c r="K1158">
        <f>Table_socioeca8.sandag.org_ws_abm2_f4[[#This Row],[hwycov_id]]</f>
        <v>27247</v>
      </c>
      <c r="L1158">
        <f>Table_socioeca8.sandag.org_ws_abm2_f4[[#This Row],[scenario_id]]</f>
        <v>259</v>
      </c>
      <c r="M1158">
        <f>Table_socioeca8.sandag.org_ws_abm2_f4[[#This Row],[flow_day]]</f>
        <v>59231</v>
      </c>
      <c r="N1158">
        <f>Table_socioeca8.sandag.org_ws_abm2_f4[[#This Row],[flow_am]]</f>
        <v>12385</v>
      </c>
      <c r="O1158">
        <f>Table_socioeca8.sandag.org_ws_abm2_f4[[#This Row],[flow_pm]]</f>
        <v>13014</v>
      </c>
    </row>
    <row r="1159" spans="5:15" x14ac:dyDescent="0.25">
      <c r="E1159">
        <v>27248</v>
      </c>
      <c r="F1159">
        <f t="shared" si="18"/>
        <v>259</v>
      </c>
      <c r="G1159">
        <f>IFERROR(VLOOKUP(Table_socioeca8.sandag.org_ws_abm2_f4[[#This Row],[hwycov_id]],[2]flow_freeway!$A$2:$E$1643,3,FALSE),0)</f>
        <v>52739</v>
      </c>
      <c r="H1159">
        <f>IFERROR(VLOOKUP(Table_socioeca8.sandag.org_ws_abm2_f4[[#This Row],[hwycov_id]],[2]flow_freeway!$A$2:$E$1643,4,FALSE),0)</f>
        <v>10826</v>
      </c>
      <c r="I1159">
        <f>IFERROR(VLOOKUP(Table_socioeca8.sandag.org_ws_abm2_f4[[#This Row],[hwycov_id]],[2]flow_freeway!$A$2:$E$1643,5,FALSE),0)</f>
        <v>13370</v>
      </c>
      <c r="K1159">
        <f>Table_socioeca8.sandag.org_ws_abm2_f4[[#This Row],[hwycov_id]]</f>
        <v>27248</v>
      </c>
      <c r="L1159">
        <f>Table_socioeca8.sandag.org_ws_abm2_f4[[#This Row],[scenario_id]]</f>
        <v>259</v>
      </c>
      <c r="M1159">
        <f>Table_socioeca8.sandag.org_ws_abm2_f4[[#This Row],[flow_day]]</f>
        <v>52739</v>
      </c>
      <c r="N1159">
        <f>Table_socioeca8.sandag.org_ws_abm2_f4[[#This Row],[flow_am]]</f>
        <v>10826</v>
      </c>
      <c r="O1159">
        <f>Table_socioeca8.sandag.org_ws_abm2_f4[[#This Row],[flow_pm]]</f>
        <v>13370</v>
      </c>
    </row>
    <row r="1160" spans="5:15" x14ac:dyDescent="0.25">
      <c r="E1160">
        <v>27262</v>
      </c>
      <c r="F1160">
        <f t="shared" si="18"/>
        <v>259</v>
      </c>
      <c r="G1160">
        <f>IFERROR(VLOOKUP(Table_socioeca8.sandag.org_ws_abm2_f4[[#This Row],[hwycov_id]],[2]flow_freeway!$A$2:$E$1643,3,FALSE),0)</f>
        <v>88001</v>
      </c>
      <c r="H1160">
        <f>IFERROR(VLOOKUP(Table_socioeca8.sandag.org_ws_abm2_f4[[#This Row],[hwycov_id]],[2]flow_freeway!$A$2:$E$1643,4,FALSE),0)</f>
        <v>24052</v>
      </c>
      <c r="I1160">
        <f>IFERROR(VLOOKUP(Table_socioeca8.sandag.org_ws_abm2_f4[[#This Row],[hwycov_id]],[2]flow_freeway!$A$2:$E$1643,5,FALSE),0)</f>
        <v>18005</v>
      </c>
      <c r="K1160">
        <f>Table_socioeca8.sandag.org_ws_abm2_f4[[#This Row],[hwycov_id]]</f>
        <v>27262</v>
      </c>
      <c r="L1160">
        <f>Table_socioeca8.sandag.org_ws_abm2_f4[[#This Row],[scenario_id]]</f>
        <v>259</v>
      </c>
      <c r="M1160">
        <f>Table_socioeca8.sandag.org_ws_abm2_f4[[#This Row],[flow_day]]</f>
        <v>88001</v>
      </c>
      <c r="N1160">
        <f>Table_socioeca8.sandag.org_ws_abm2_f4[[#This Row],[flow_am]]</f>
        <v>24052</v>
      </c>
      <c r="O1160">
        <f>Table_socioeca8.sandag.org_ws_abm2_f4[[#This Row],[flow_pm]]</f>
        <v>18005</v>
      </c>
    </row>
    <row r="1161" spans="5:15" x14ac:dyDescent="0.25">
      <c r="E1161">
        <v>27335</v>
      </c>
      <c r="F1161">
        <f t="shared" si="18"/>
        <v>259</v>
      </c>
      <c r="G1161">
        <f>IFERROR(VLOOKUP(Table_socioeca8.sandag.org_ws_abm2_f4[[#This Row],[hwycov_id]],[2]flow_freeway!$A$2:$E$1643,3,FALSE),0)</f>
        <v>5820</v>
      </c>
      <c r="H1161">
        <f>IFERROR(VLOOKUP(Table_socioeca8.sandag.org_ws_abm2_f4[[#This Row],[hwycov_id]],[2]flow_freeway!$A$2:$E$1643,4,FALSE),0)</f>
        <v>819</v>
      </c>
      <c r="I1161">
        <f>IFERROR(VLOOKUP(Table_socioeca8.sandag.org_ws_abm2_f4[[#This Row],[hwycov_id]],[2]flow_freeway!$A$2:$E$1643,5,FALSE),0)</f>
        <v>1783</v>
      </c>
      <c r="K1161">
        <f>Table_socioeca8.sandag.org_ws_abm2_f4[[#This Row],[hwycov_id]]</f>
        <v>27335</v>
      </c>
      <c r="L1161">
        <f>Table_socioeca8.sandag.org_ws_abm2_f4[[#This Row],[scenario_id]]</f>
        <v>259</v>
      </c>
      <c r="M1161">
        <f>Table_socioeca8.sandag.org_ws_abm2_f4[[#This Row],[flow_day]]</f>
        <v>5820</v>
      </c>
      <c r="N1161">
        <f>Table_socioeca8.sandag.org_ws_abm2_f4[[#This Row],[flow_am]]</f>
        <v>819</v>
      </c>
      <c r="O1161">
        <f>Table_socioeca8.sandag.org_ws_abm2_f4[[#This Row],[flow_pm]]</f>
        <v>1783</v>
      </c>
    </row>
    <row r="1162" spans="5:15" x14ac:dyDescent="0.25">
      <c r="E1162">
        <v>27351</v>
      </c>
      <c r="F1162">
        <f t="shared" si="18"/>
        <v>259</v>
      </c>
      <c r="G1162">
        <f>IFERROR(VLOOKUP(Table_socioeca8.sandag.org_ws_abm2_f4[[#This Row],[hwycov_id]],[2]flow_freeway!$A$2:$E$1643,3,FALSE),0)</f>
        <v>71249</v>
      </c>
      <c r="H1162">
        <f>IFERROR(VLOOKUP(Table_socioeca8.sandag.org_ws_abm2_f4[[#This Row],[hwycov_id]],[2]flow_freeway!$A$2:$E$1643,4,FALSE),0)</f>
        <v>16712</v>
      </c>
      <c r="I1162">
        <f>IFERROR(VLOOKUP(Table_socioeca8.sandag.org_ws_abm2_f4[[#This Row],[hwycov_id]],[2]flow_freeway!$A$2:$E$1643,5,FALSE),0)</f>
        <v>13442</v>
      </c>
      <c r="K1162">
        <f>Table_socioeca8.sandag.org_ws_abm2_f4[[#This Row],[hwycov_id]]</f>
        <v>27351</v>
      </c>
      <c r="L1162">
        <f>Table_socioeca8.sandag.org_ws_abm2_f4[[#This Row],[scenario_id]]</f>
        <v>259</v>
      </c>
      <c r="M1162">
        <f>Table_socioeca8.sandag.org_ws_abm2_f4[[#This Row],[flow_day]]</f>
        <v>71249</v>
      </c>
      <c r="N1162">
        <f>Table_socioeca8.sandag.org_ws_abm2_f4[[#This Row],[flow_am]]</f>
        <v>16712</v>
      </c>
      <c r="O1162">
        <f>Table_socioeca8.sandag.org_ws_abm2_f4[[#This Row],[flow_pm]]</f>
        <v>13442</v>
      </c>
    </row>
    <row r="1163" spans="5:15" x14ac:dyDescent="0.25">
      <c r="E1163">
        <v>27352</v>
      </c>
      <c r="F1163">
        <f t="shared" si="18"/>
        <v>259</v>
      </c>
      <c r="G1163">
        <f>IFERROR(VLOOKUP(Table_socioeca8.sandag.org_ws_abm2_f4[[#This Row],[hwycov_id]],[2]flow_freeway!$A$2:$E$1643,3,FALSE),0)</f>
        <v>69256</v>
      </c>
      <c r="H1163">
        <f>IFERROR(VLOOKUP(Table_socioeca8.sandag.org_ws_abm2_f4[[#This Row],[hwycov_id]],[2]flow_freeway!$A$2:$E$1643,4,FALSE),0)</f>
        <v>12137</v>
      </c>
      <c r="I1163">
        <f>IFERROR(VLOOKUP(Table_socioeca8.sandag.org_ws_abm2_f4[[#This Row],[hwycov_id]],[2]flow_freeway!$A$2:$E$1643,5,FALSE),0)</f>
        <v>20758</v>
      </c>
      <c r="K1163">
        <f>Table_socioeca8.sandag.org_ws_abm2_f4[[#This Row],[hwycov_id]]</f>
        <v>27352</v>
      </c>
      <c r="L1163">
        <f>Table_socioeca8.sandag.org_ws_abm2_f4[[#This Row],[scenario_id]]</f>
        <v>259</v>
      </c>
      <c r="M1163">
        <f>Table_socioeca8.sandag.org_ws_abm2_f4[[#This Row],[flow_day]]</f>
        <v>69256</v>
      </c>
      <c r="N1163">
        <f>Table_socioeca8.sandag.org_ws_abm2_f4[[#This Row],[flow_am]]</f>
        <v>12137</v>
      </c>
      <c r="O1163">
        <f>Table_socioeca8.sandag.org_ws_abm2_f4[[#This Row],[flow_pm]]</f>
        <v>20758</v>
      </c>
    </row>
    <row r="1164" spans="5:15" x14ac:dyDescent="0.25">
      <c r="E1164">
        <v>27412</v>
      </c>
      <c r="F1164">
        <f t="shared" si="18"/>
        <v>259</v>
      </c>
      <c r="G1164">
        <f>IFERROR(VLOOKUP(Table_socioeca8.sandag.org_ws_abm2_f4[[#This Row],[hwycov_id]],[2]flow_freeway!$A$2:$E$1643,3,FALSE),0)</f>
        <v>27052</v>
      </c>
      <c r="H1164">
        <f>IFERROR(VLOOKUP(Table_socioeca8.sandag.org_ws_abm2_f4[[#This Row],[hwycov_id]],[2]flow_freeway!$A$2:$E$1643,4,FALSE),0)</f>
        <v>3110</v>
      </c>
      <c r="I1164">
        <f>IFERROR(VLOOKUP(Table_socioeca8.sandag.org_ws_abm2_f4[[#This Row],[hwycov_id]],[2]flow_freeway!$A$2:$E$1643,5,FALSE),0)</f>
        <v>9624</v>
      </c>
      <c r="K1164">
        <f>Table_socioeca8.sandag.org_ws_abm2_f4[[#This Row],[hwycov_id]]</f>
        <v>27412</v>
      </c>
      <c r="L1164">
        <f>Table_socioeca8.sandag.org_ws_abm2_f4[[#This Row],[scenario_id]]</f>
        <v>259</v>
      </c>
      <c r="M1164">
        <f>Table_socioeca8.sandag.org_ws_abm2_f4[[#This Row],[flow_day]]</f>
        <v>27052</v>
      </c>
      <c r="N1164">
        <f>Table_socioeca8.sandag.org_ws_abm2_f4[[#This Row],[flow_am]]</f>
        <v>3110</v>
      </c>
      <c r="O1164">
        <f>Table_socioeca8.sandag.org_ws_abm2_f4[[#This Row],[flow_pm]]</f>
        <v>9624</v>
      </c>
    </row>
    <row r="1165" spans="5:15" x14ac:dyDescent="0.25">
      <c r="E1165">
        <v>27504</v>
      </c>
      <c r="F1165">
        <f t="shared" si="18"/>
        <v>259</v>
      </c>
      <c r="G1165">
        <f>IFERROR(VLOOKUP(Table_socioeca8.sandag.org_ws_abm2_f4[[#This Row],[hwycov_id]],[2]flow_freeway!$A$2:$E$1643,3,FALSE),0)</f>
        <v>39604</v>
      </c>
      <c r="H1165">
        <f>IFERROR(VLOOKUP(Table_socioeca8.sandag.org_ws_abm2_f4[[#This Row],[hwycov_id]],[2]flow_freeway!$A$2:$E$1643,4,FALSE),0)</f>
        <v>12415</v>
      </c>
      <c r="I1165">
        <f>IFERROR(VLOOKUP(Table_socioeca8.sandag.org_ws_abm2_f4[[#This Row],[hwycov_id]],[2]flow_freeway!$A$2:$E$1643,5,FALSE),0)</f>
        <v>7045</v>
      </c>
      <c r="K1165">
        <f>Table_socioeca8.sandag.org_ws_abm2_f4[[#This Row],[hwycov_id]]</f>
        <v>27504</v>
      </c>
      <c r="L1165">
        <f>Table_socioeca8.sandag.org_ws_abm2_f4[[#This Row],[scenario_id]]</f>
        <v>259</v>
      </c>
      <c r="M1165">
        <f>Table_socioeca8.sandag.org_ws_abm2_f4[[#This Row],[flow_day]]</f>
        <v>39604</v>
      </c>
      <c r="N1165">
        <f>Table_socioeca8.sandag.org_ws_abm2_f4[[#This Row],[flow_am]]</f>
        <v>12415</v>
      </c>
      <c r="O1165">
        <f>Table_socioeca8.sandag.org_ws_abm2_f4[[#This Row],[flow_pm]]</f>
        <v>7045</v>
      </c>
    </row>
    <row r="1166" spans="5:15" x14ac:dyDescent="0.25">
      <c r="E1166">
        <v>27505</v>
      </c>
      <c r="F1166">
        <f t="shared" si="18"/>
        <v>259</v>
      </c>
      <c r="G1166">
        <f>IFERROR(VLOOKUP(Table_socioeca8.sandag.org_ws_abm2_f4[[#This Row],[hwycov_id]],[2]flow_freeway!$A$2:$E$1643,3,FALSE),0)</f>
        <v>40539</v>
      </c>
      <c r="H1166">
        <f>IFERROR(VLOOKUP(Table_socioeca8.sandag.org_ws_abm2_f4[[#This Row],[hwycov_id]],[2]flow_freeway!$A$2:$E$1643,4,FALSE),0)</f>
        <v>5300</v>
      </c>
      <c r="I1166">
        <f>IFERROR(VLOOKUP(Table_socioeca8.sandag.org_ws_abm2_f4[[#This Row],[hwycov_id]],[2]flow_freeway!$A$2:$E$1643,5,FALSE),0)</f>
        <v>14268</v>
      </c>
      <c r="K1166">
        <f>Table_socioeca8.sandag.org_ws_abm2_f4[[#This Row],[hwycov_id]]</f>
        <v>27505</v>
      </c>
      <c r="L1166">
        <f>Table_socioeca8.sandag.org_ws_abm2_f4[[#This Row],[scenario_id]]</f>
        <v>259</v>
      </c>
      <c r="M1166">
        <f>Table_socioeca8.sandag.org_ws_abm2_f4[[#This Row],[flow_day]]</f>
        <v>40539</v>
      </c>
      <c r="N1166">
        <f>Table_socioeca8.sandag.org_ws_abm2_f4[[#This Row],[flow_am]]</f>
        <v>5300</v>
      </c>
      <c r="O1166">
        <f>Table_socioeca8.sandag.org_ws_abm2_f4[[#This Row],[flow_pm]]</f>
        <v>14268</v>
      </c>
    </row>
    <row r="1167" spans="5:15" x14ac:dyDescent="0.25">
      <c r="E1167">
        <v>27507</v>
      </c>
      <c r="F1167">
        <f t="shared" si="18"/>
        <v>259</v>
      </c>
      <c r="G1167">
        <f>IFERROR(VLOOKUP(Table_socioeca8.sandag.org_ws_abm2_f4[[#This Row],[hwycov_id]],[2]flow_freeway!$A$2:$E$1643,3,FALSE),0)</f>
        <v>43149</v>
      </c>
      <c r="H1167">
        <f>IFERROR(VLOOKUP(Table_socioeca8.sandag.org_ws_abm2_f4[[#This Row],[hwycov_id]],[2]flow_freeway!$A$2:$E$1643,4,FALSE),0)</f>
        <v>5820</v>
      </c>
      <c r="I1167">
        <f>IFERROR(VLOOKUP(Table_socioeca8.sandag.org_ws_abm2_f4[[#This Row],[hwycov_id]],[2]flow_freeway!$A$2:$E$1643,5,FALSE),0)</f>
        <v>14933</v>
      </c>
      <c r="K1167">
        <f>Table_socioeca8.sandag.org_ws_abm2_f4[[#This Row],[hwycov_id]]</f>
        <v>27507</v>
      </c>
      <c r="L1167">
        <f>Table_socioeca8.sandag.org_ws_abm2_f4[[#This Row],[scenario_id]]</f>
        <v>259</v>
      </c>
      <c r="M1167">
        <f>Table_socioeca8.sandag.org_ws_abm2_f4[[#This Row],[flow_day]]</f>
        <v>43149</v>
      </c>
      <c r="N1167">
        <f>Table_socioeca8.sandag.org_ws_abm2_f4[[#This Row],[flow_am]]</f>
        <v>5820</v>
      </c>
      <c r="O1167">
        <f>Table_socioeca8.sandag.org_ws_abm2_f4[[#This Row],[flow_pm]]</f>
        <v>14933</v>
      </c>
    </row>
    <row r="1168" spans="5:15" x14ac:dyDescent="0.25">
      <c r="E1168">
        <v>27511</v>
      </c>
      <c r="F1168">
        <f t="shared" si="18"/>
        <v>259</v>
      </c>
      <c r="G1168">
        <f>IFERROR(VLOOKUP(Table_socioeca8.sandag.org_ws_abm2_f4[[#This Row],[hwycov_id]],[2]flow_freeway!$A$2:$E$1643,3,FALSE),0)</f>
        <v>25034</v>
      </c>
      <c r="H1168">
        <f>IFERROR(VLOOKUP(Table_socioeca8.sandag.org_ws_abm2_f4[[#This Row],[hwycov_id]],[2]flow_freeway!$A$2:$E$1643,4,FALSE),0)</f>
        <v>4824</v>
      </c>
      <c r="I1168">
        <f>IFERROR(VLOOKUP(Table_socioeca8.sandag.org_ws_abm2_f4[[#This Row],[hwycov_id]],[2]flow_freeway!$A$2:$E$1643,5,FALSE),0)</f>
        <v>7241</v>
      </c>
      <c r="K1168">
        <f>Table_socioeca8.sandag.org_ws_abm2_f4[[#This Row],[hwycov_id]]</f>
        <v>27511</v>
      </c>
      <c r="L1168">
        <f>Table_socioeca8.sandag.org_ws_abm2_f4[[#This Row],[scenario_id]]</f>
        <v>259</v>
      </c>
      <c r="M1168">
        <f>Table_socioeca8.sandag.org_ws_abm2_f4[[#This Row],[flow_day]]</f>
        <v>25034</v>
      </c>
      <c r="N1168">
        <f>Table_socioeca8.sandag.org_ws_abm2_f4[[#This Row],[flow_am]]</f>
        <v>4824</v>
      </c>
      <c r="O1168">
        <f>Table_socioeca8.sandag.org_ws_abm2_f4[[#This Row],[flow_pm]]</f>
        <v>7241</v>
      </c>
    </row>
    <row r="1169" spans="5:15" x14ac:dyDescent="0.25">
      <c r="E1169">
        <v>27512</v>
      </c>
      <c r="F1169">
        <f t="shared" si="18"/>
        <v>259</v>
      </c>
      <c r="G1169">
        <f>IFERROR(VLOOKUP(Table_socioeca8.sandag.org_ws_abm2_f4[[#This Row],[hwycov_id]],[2]flow_freeway!$A$2:$E$1643,3,FALSE),0)</f>
        <v>34631</v>
      </c>
      <c r="H1169">
        <f>IFERROR(VLOOKUP(Table_socioeca8.sandag.org_ws_abm2_f4[[#This Row],[hwycov_id]],[2]flow_freeway!$A$2:$E$1643,4,FALSE),0)</f>
        <v>7927</v>
      </c>
      <c r="I1169">
        <f>IFERROR(VLOOKUP(Table_socioeca8.sandag.org_ws_abm2_f4[[#This Row],[hwycov_id]],[2]flow_freeway!$A$2:$E$1643,5,FALSE),0)</f>
        <v>8533</v>
      </c>
      <c r="K1169">
        <f>Table_socioeca8.sandag.org_ws_abm2_f4[[#This Row],[hwycov_id]]</f>
        <v>27512</v>
      </c>
      <c r="L1169">
        <f>Table_socioeca8.sandag.org_ws_abm2_f4[[#This Row],[scenario_id]]</f>
        <v>259</v>
      </c>
      <c r="M1169">
        <f>Table_socioeca8.sandag.org_ws_abm2_f4[[#This Row],[flow_day]]</f>
        <v>34631</v>
      </c>
      <c r="N1169">
        <f>Table_socioeca8.sandag.org_ws_abm2_f4[[#This Row],[flow_am]]</f>
        <v>7927</v>
      </c>
      <c r="O1169">
        <f>Table_socioeca8.sandag.org_ws_abm2_f4[[#This Row],[flow_pm]]</f>
        <v>8533</v>
      </c>
    </row>
    <row r="1170" spans="5:15" x14ac:dyDescent="0.25">
      <c r="E1170">
        <v>27517</v>
      </c>
      <c r="F1170">
        <f t="shared" si="18"/>
        <v>259</v>
      </c>
      <c r="G1170">
        <f>IFERROR(VLOOKUP(Table_socioeca8.sandag.org_ws_abm2_f4[[#This Row],[hwycov_id]],[2]flow_freeway!$A$2:$E$1643,3,FALSE),0)</f>
        <v>59504</v>
      </c>
      <c r="H1170">
        <f>IFERROR(VLOOKUP(Table_socioeca8.sandag.org_ws_abm2_f4[[#This Row],[hwycov_id]],[2]flow_freeway!$A$2:$E$1643,4,FALSE),0)</f>
        <v>11756</v>
      </c>
      <c r="I1170">
        <f>IFERROR(VLOOKUP(Table_socioeca8.sandag.org_ws_abm2_f4[[#This Row],[hwycov_id]],[2]flow_freeway!$A$2:$E$1643,5,FALSE),0)</f>
        <v>12295</v>
      </c>
      <c r="K1170">
        <f>Table_socioeca8.sandag.org_ws_abm2_f4[[#This Row],[hwycov_id]]</f>
        <v>27517</v>
      </c>
      <c r="L1170">
        <f>Table_socioeca8.sandag.org_ws_abm2_f4[[#This Row],[scenario_id]]</f>
        <v>259</v>
      </c>
      <c r="M1170">
        <f>Table_socioeca8.sandag.org_ws_abm2_f4[[#This Row],[flow_day]]</f>
        <v>59504</v>
      </c>
      <c r="N1170">
        <f>Table_socioeca8.sandag.org_ws_abm2_f4[[#This Row],[flow_am]]</f>
        <v>11756</v>
      </c>
      <c r="O1170">
        <f>Table_socioeca8.sandag.org_ws_abm2_f4[[#This Row],[flow_pm]]</f>
        <v>12295</v>
      </c>
    </row>
    <row r="1171" spans="5:15" x14ac:dyDescent="0.25">
      <c r="E1171">
        <v>27518</v>
      </c>
      <c r="F1171">
        <f t="shared" si="18"/>
        <v>259</v>
      </c>
      <c r="G1171">
        <f>IFERROR(VLOOKUP(Table_socioeca8.sandag.org_ws_abm2_f4[[#This Row],[hwycov_id]],[2]flow_freeway!$A$2:$E$1643,3,FALSE),0)</f>
        <v>58112</v>
      </c>
      <c r="H1171">
        <f>IFERROR(VLOOKUP(Table_socioeca8.sandag.org_ws_abm2_f4[[#This Row],[hwycov_id]],[2]flow_freeway!$A$2:$E$1643,4,FALSE),0)</f>
        <v>12345</v>
      </c>
      <c r="I1171">
        <f>IFERROR(VLOOKUP(Table_socioeca8.sandag.org_ws_abm2_f4[[#This Row],[hwycov_id]],[2]flow_freeway!$A$2:$E$1643,5,FALSE),0)</f>
        <v>14101</v>
      </c>
      <c r="K1171">
        <f>Table_socioeca8.sandag.org_ws_abm2_f4[[#This Row],[hwycov_id]]</f>
        <v>27518</v>
      </c>
      <c r="L1171">
        <f>Table_socioeca8.sandag.org_ws_abm2_f4[[#This Row],[scenario_id]]</f>
        <v>259</v>
      </c>
      <c r="M1171">
        <f>Table_socioeca8.sandag.org_ws_abm2_f4[[#This Row],[flow_day]]</f>
        <v>58112</v>
      </c>
      <c r="N1171">
        <f>Table_socioeca8.sandag.org_ws_abm2_f4[[#This Row],[flow_am]]</f>
        <v>12345</v>
      </c>
      <c r="O1171">
        <f>Table_socioeca8.sandag.org_ws_abm2_f4[[#This Row],[flow_pm]]</f>
        <v>14101</v>
      </c>
    </row>
    <row r="1172" spans="5:15" x14ac:dyDescent="0.25">
      <c r="E1172">
        <v>27519</v>
      </c>
      <c r="F1172">
        <f t="shared" si="18"/>
        <v>259</v>
      </c>
      <c r="G1172">
        <f>IFERROR(VLOOKUP(Table_socioeca8.sandag.org_ws_abm2_f4[[#This Row],[hwycov_id]],[2]flow_freeway!$A$2:$E$1643,3,FALSE),0)</f>
        <v>60092</v>
      </c>
      <c r="H1172">
        <f>IFERROR(VLOOKUP(Table_socioeca8.sandag.org_ws_abm2_f4[[#This Row],[hwycov_id]],[2]flow_freeway!$A$2:$E$1643,4,FALSE),0)</f>
        <v>12460</v>
      </c>
      <c r="I1172">
        <f>IFERROR(VLOOKUP(Table_socioeca8.sandag.org_ws_abm2_f4[[#This Row],[hwycov_id]],[2]flow_freeway!$A$2:$E$1643,5,FALSE),0)</f>
        <v>14826</v>
      </c>
      <c r="K1172">
        <f>Table_socioeca8.sandag.org_ws_abm2_f4[[#This Row],[hwycov_id]]</f>
        <v>27519</v>
      </c>
      <c r="L1172">
        <f>Table_socioeca8.sandag.org_ws_abm2_f4[[#This Row],[scenario_id]]</f>
        <v>259</v>
      </c>
      <c r="M1172">
        <f>Table_socioeca8.sandag.org_ws_abm2_f4[[#This Row],[flow_day]]</f>
        <v>60092</v>
      </c>
      <c r="N1172">
        <f>Table_socioeca8.sandag.org_ws_abm2_f4[[#This Row],[flow_am]]</f>
        <v>12460</v>
      </c>
      <c r="O1172">
        <f>Table_socioeca8.sandag.org_ws_abm2_f4[[#This Row],[flow_pm]]</f>
        <v>14826</v>
      </c>
    </row>
    <row r="1173" spans="5:15" x14ac:dyDescent="0.25">
      <c r="E1173">
        <v>27520</v>
      </c>
      <c r="F1173">
        <f t="shared" si="18"/>
        <v>259</v>
      </c>
      <c r="G1173">
        <f>IFERROR(VLOOKUP(Table_socioeca8.sandag.org_ws_abm2_f4[[#This Row],[hwycov_id]],[2]flow_freeway!$A$2:$E$1643,3,FALSE),0)</f>
        <v>61575</v>
      </c>
      <c r="H1173">
        <f>IFERROR(VLOOKUP(Table_socioeca8.sandag.org_ws_abm2_f4[[#This Row],[hwycov_id]],[2]flow_freeway!$A$2:$E$1643,4,FALSE),0)</f>
        <v>12291</v>
      </c>
      <c r="I1173">
        <f>IFERROR(VLOOKUP(Table_socioeca8.sandag.org_ws_abm2_f4[[#This Row],[hwycov_id]],[2]flow_freeway!$A$2:$E$1643,5,FALSE),0)</f>
        <v>12768</v>
      </c>
      <c r="K1173">
        <f>Table_socioeca8.sandag.org_ws_abm2_f4[[#This Row],[hwycov_id]]</f>
        <v>27520</v>
      </c>
      <c r="L1173">
        <f>Table_socioeca8.sandag.org_ws_abm2_f4[[#This Row],[scenario_id]]</f>
        <v>259</v>
      </c>
      <c r="M1173">
        <f>Table_socioeca8.sandag.org_ws_abm2_f4[[#This Row],[flow_day]]</f>
        <v>61575</v>
      </c>
      <c r="N1173">
        <f>Table_socioeca8.sandag.org_ws_abm2_f4[[#This Row],[flow_am]]</f>
        <v>12291</v>
      </c>
      <c r="O1173">
        <f>Table_socioeca8.sandag.org_ws_abm2_f4[[#This Row],[flow_pm]]</f>
        <v>12768</v>
      </c>
    </row>
    <row r="1174" spans="5:15" x14ac:dyDescent="0.25">
      <c r="E1174">
        <v>27521</v>
      </c>
      <c r="F1174">
        <f t="shared" si="18"/>
        <v>259</v>
      </c>
      <c r="G1174">
        <f>IFERROR(VLOOKUP(Table_socioeca8.sandag.org_ws_abm2_f4[[#This Row],[hwycov_id]],[2]flow_freeway!$A$2:$E$1643,3,FALSE),0)</f>
        <v>61575</v>
      </c>
      <c r="H1174">
        <f>IFERROR(VLOOKUP(Table_socioeca8.sandag.org_ws_abm2_f4[[#This Row],[hwycov_id]],[2]flow_freeway!$A$2:$E$1643,4,FALSE),0)</f>
        <v>12291</v>
      </c>
      <c r="I1174">
        <f>IFERROR(VLOOKUP(Table_socioeca8.sandag.org_ws_abm2_f4[[#This Row],[hwycov_id]],[2]flow_freeway!$A$2:$E$1643,5,FALSE),0)</f>
        <v>12768</v>
      </c>
      <c r="K1174">
        <f>Table_socioeca8.sandag.org_ws_abm2_f4[[#This Row],[hwycov_id]]</f>
        <v>27521</v>
      </c>
      <c r="L1174">
        <f>Table_socioeca8.sandag.org_ws_abm2_f4[[#This Row],[scenario_id]]</f>
        <v>259</v>
      </c>
      <c r="M1174">
        <f>Table_socioeca8.sandag.org_ws_abm2_f4[[#This Row],[flow_day]]</f>
        <v>61575</v>
      </c>
      <c r="N1174">
        <f>Table_socioeca8.sandag.org_ws_abm2_f4[[#This Row],[flow_am]]</f>
        <v>12291</v>
      </c>
      <c r="O1174">
        <f>Table_socioeca8.sandag.org_ws_abm2_f4[[#This Row],[flow_pm]]</f>
        <v>12768</v>
      </c>
    </row>
    <row r="1175" spans="5:15" x14ac:dyDescent="0.25">
      <c r="E1175">
        <v>27522</v>
      </c>
      <c r="F1175">
        <f t="shared" si="18"/>
        <v>259</v>
      </c>
      <c r="G1175">
        <f>IFERROR(VLOOKUP(Table_socioeca8.sandag.org_ws_abm2_f4[[#This Row],[hwycov_id]],[2]flow_freeway!$A$2:$E$1643,3,FALSE),0)</f>
        <v>60091</v>
      </c>
      <c r="H1175">
        <f>IFERROR(VLOOKUP(Table_socioeca8.sandag.org_ws_abm2_f4[[#This Row],[hwycov_id]],[2]flow_freeway!$A$2:$E$1643,4,FALSE),0)</f>
        <v>12460</v>
      </c>
      <c r="I1175">
        <f>IFERROR(VLOOKUP(Table_socioeca8.sandag.org_ws_abm2_f4[[#This Row],[hwycov_id]],[2]flow_freeway!$A$2:$E$1643,5,FALSE),0)</f>
        <v>14825</v>
      </c>
      <c r="K1175">
        <f>Table_socioeca8.sandag.org_ws_abm2_f4[[#This Row],[hwycov_id]]</f>
        <v>27522</v>
      </c>
      <c r="L1175">
        <f>Table_socioeca8.sandag.org_ws_abm2_f4[[#This Row],[scenario_id]]</f>
        <v>259</v>
      </c>
      <c r="M1175">
        <f>Table_socioeca8.sandag.org_ws_abm2_f4[[#This Row],[flow_day]]</f>
        <v>60091</v>
      </c>
      <c r="N1175">
        <f>Table_socioeca8.sandag.org_ws_abm2_f4[[#This Row],[flow_am]]</f>
        <v>12460</v>
      </c>
      <c r="O1175">
        <f>Table_socioeca8.sandag.org_ws_abm2_f4[[#This Row],[flow_pm]]</f>
        <v>14825</v>
      </c>
    </row>
    <row r="1176" spans="5:15" x14ac:dyDescent="0.25">
      <c r="E1176">
        <v>27534</v>
      </c>
      <c r="F1176">
        <f t="shared" si="18"/>
        <v>259</v>
      </c>
      <c r="G1176">
        <f>IFERROR(VLOOKUP(Table_socioeca8.sandag.org_ws_abm2_f4[[#This Row],[hwycov_id]],[2]flow_freeway!$A$2:$E$1643,3,FALSE),0)</f>
        <v>8783</v>
      </c>
      <c r="H1176">
        <f>IFERROR(VLOOKUP(Table_socioeca8.sandag.org_ws_abm2_f4[[#This Row],[hwycov_id]],[2]flow_freeway!$A$2:$E$1643,4,FALSE),0)</f>
        <v>2264</v>
      </c>
      <c r="I1176">
        <f>IFERROR(VLOOKUP(Table_socioeca8.sandag.org_ws_abm2_f4[[#This Row],[hwycov_id]],[2]flow_freeway!$A$2:$E$1643,5,FALSE),0)</f>
        <v>1176</v>
      </c>
      <c r="K1176">
        <f>Table_socioeca8.sandag.org_ws_abm2_f4[[#This Row],[hwycov_id]]</f>
        <v>27534</v>
      </c>
      <c r="L1176">
        <f>Table_socioeca8.sandag.org_ws_abm2_f4[[#This Row],[scenario_id]]</f>
        <v>259</v>
      </c>
      <c r="M1176">
        <f>Table_socioeca8.sandag.org_ws_abm2_f4[[#This Row],[flow_day]]</f>
        <v>8783</v>
      </c>
      <c r="N1176">
        <f>Table_socioeca8.sandag.org_ws_abm2_f4[[#This Row],[flow_am]]</f>
        <v>2264</v>
      </c>
      <c r="O1176">
        <f>Table_socioeca8.sandag.org_ws_abm2_f4[[#This Row],[flow_pm]]</f>
        <v>1176</v>
      </c>
    </row>
    <row r="1177" spans="5:15" x14ac:dyDescent="0.25">
      <c r="E1177">
        <v>27535</v>
      </c>
      <c r="F1177">
        <f t="shared" si="18"/>
        <v>259</v>
      </c>
      <c r="G1177">
        <f>IFERROR(VLOOKUP(Table_socioeca8.sandag.org_ws_abm2_f4[[#This Row],[hwycov_id]],[2]flow_freeway!$A$2:$E$1643,3,FALSE),0)</f>
        <v>7091</v>
      </c>
      <c r="H1177">
        <f>IFERROR(VLOOKUP(Table_socioeca8.sandag.org_ws_abm2_f4[[#This Row],[hwycov_id]],[2]flow_freeway!$A$2:$E$1643,4,FALSE),0)</f>
        <v>842</v>
      </c>
      <c r="I1177">
        <f>IFERROR(VLOOKUP(Table_socioeca8.sandag.org_ws_abm2_f4[[#This Row],[hwycov_id]],[2]flow_freeway!$A$2:$E$1643,5,FALSE),0)</f>
        <v>2261</v>
      </c>
      <c r="K1177">
        <f>Table_socioeca8.sandag.org_ws_abm2_f4[[#This Row],[hwycov_id]]</f>
        <v>27535</v>
      </c>
      <c r="L1177">
        <f>Table_socioeca8.sandag.org_ws_abm2_f4[[#This Row],[scenario_id]]</f>
        <v>259</v>
      </c>
      <c r="M1177">
        <f>Table_socioeca8.sandag.org_ws_abm2_f4[[#This Row],[flow_day]]</f>
        <v>7091</v>
      </c>
      <c r="N1177">
        <f>Table_socioeca8.sandag.org_ws_abm2_f4[[#This Row],[flow_am]]</f>
        <v>842</v>
      </c>
      <c r="O1177">
        <f>Table_socioeca8.sandag.org_ws_abm2_f4[[#This Row],[flow_pm]]</f>
        <v>2261</v>
      </c>
    </row>
    <row r="1178" spans="5:15" x14ac:dyDescent="0.25">
      <c r="E1178">
        <v>27536</v>
      </c>
      <c r="F1178">
        <f t="shared" si="18"/>
        <v>259</v>
      </c>
      <c r="G1178">
        <f>IFERROR(VLOOKUP(Table_socioeca8.sandag.org_ws_abm2_f4[[#This Row],[hwycov_id]],[2]flow_freeway!$A$2:$E$1643,3,FALSE),0)</f>
        <v>6951</v>
      </c>
      <c r="H1178">
        <f>IFERROR(VLOOKUP(Table_socioeca8.sandag.org_ws_abm2_f4[[#This Row],[hwycov_id]],[2]flow_freeway!$A$2:$E$1643,4,FALSE),0)</f>
        <v>1895</v>
      </c>
      <c r="I1178">
        <f>IFERROR(VLOOKUP(Table_socioeca8.sandag.org_ws_abm2_f4[[#This Row],[hwycov_id]],[2]flow_freeway!$A$2:$E$1643,5,FALSE),0)</f>
        <v>809</v>
      </c>
      <c r="K1178">
        <f>Table_socioeca8.sandag.org_ws_abm2_f4[[#This Row],[hwycov_id]]</f>
        <v>27536</v>
      </c>
      <c r="L1178">
        <f>Table_socioeca8.sandag.org_ws_abm2_f4[[#This Row],[scenario_id]]</f>
        <v>259</v>
      </c>
      <c r="M1178">
        <f>Table_socioeca8.sandag.org_ws_abm2_f4[[#This Row],[flow_day]]</f>
        <v>6951</v>
      </c>
      <c r="N1178">
        <f>Table_socioeca8.sandag.org_ws_abm2_f4[[#This Row],[flow_am]]</f>
        <v>1895</v>
      </c>
      <c r="O1178">
        <f>Table_socioeca8.sandag.org_ws_abm2_f4[[#This Row],[flow_pm]]</f>
        <v>809</v>
      </c>
    </row>
    <row r="1179" spans="5:15" x14ac:dyDescent="0.25">
      <c r="E1179">
        <v>27537</v>
      </c>
      <c r="F1179">
        <f t="shared" si="18"/>
        <v>259</v>
      </c>
      <c r="G1179">
        <f>IFERROR(VLOOKUP(Table_socioeca8.sandag.org_ws_abm2_f4[[#This Row],[hwycov_id]],[2]flow_freeway!$A$2:$E$1643,3,FALSE),0)</f>
        <v>6313</v>
      </c>
      <c r="H1179">
        <f>IFERROR(VLOOKUP(Table_socioeca8.sandag.org_ws_abm2_f4[[#This Row],[hwycov_id]],[2]flow_freeway!$A$2:$E$1643,4,FALSE),0)</f>
        <v>785</v>
      </c>
      <c r="I1179">
        <f>IFERROR(VLOOKUP(Table_socioeca8.sandag.org_ws_abm2_f4[[#This Row],[hwycov_id]],[2]flow_freeway!$A$2:$E$1643,5,FALSE),0)</f>
        <v>2001</v>
      </c>
      <c r="K1179">
        <f>Table_socioeca8.sandag.org_ws_abm2_f4[[#This Row],[hwycov_id]]</f>
        <v>27537</v>
      </c>
      <c r="L1179">
        <f>Table_socioeca8.sandag.org_ws_abm2_f4[[#This Row],[scenario_id]]</f>
        <v>259</v>
      </c>
      <c r="M1179">
        <f>Table_socioeca8.sandag.org_ws_abm2_f4[[#This Row],[flow_day]]</f>
        <v>6313</v>
      </c>
      <c r="N1179">
        <f>Table_socioeca8.sandag.org_ws_abm2_f4[[#This Row],[flow_am]]</f>
        <v>785</v>
      </c>
      <c r="O1179">
        <f>Table_socioeca8.sandag.org_ws_abm2_f4[[#This Row],[flow_pm]]</f>
        <v>2001</v>
      </c>
    </row>
    <row r="1180" spans="5:15" x14ac:dyDescent="0.25">
      <c r="E1180">
        <v>27538</v>
      </c>
      <c r="F1180">
        <f t="shared" si="18"/>
        <v>259</v>
      </c>
      <c r="G1180">
        <f>IFERROR(VLOOKUP(Table_socioeca8.sandag.org_ws_abm2_f4[[#This Row],[hwycov_id]],[2]flow_freeway!$A$2:$E$1643,3,FALSE),0)</f>
        <v>6124</v>
      </c>
      <c r="H1180">
        <f>IFERROR(VLOOKUP(Table_socioeca8.sandag.org_ws_abm2_f4[[#This Row],[hwycov_id]],[2]flow_freeway!$A$2:$E$1643,4,FALSE),0)</f>
        <v>1662</v>
      </c>
      <c r="I1180">
        <f>IFERROR(VLOOKUP(Table_socioeca8.sandag.org_ws_abm2_f4[[#This Row],[hwycov_id]],[2]flow_freeway!$A$2:$E$1643,5,FALSE),0)</f>
        <v>682</v>
      </c>
      <c r="K1180">
        <f>Table_socioeca8.sandag.org_ws_abm2_f4[[#This Row],[hwycov_id]]</f>
        <v>27538</v>
      </c>
      <c r="L1180">
        <f>Table_socioeca8.sandag.org_ws_abm2_f4[[#This Row],[scenario_id]]</f>
        <v>259</v>
      </c>
      <c r="M1180">
        <f>Table_socioeca8.sandag.org_ws_abm2_f4[[#This Row],[flow_day]]</f>
        <v>6124</v>
      </c>
      <c r="N1180">
        <f>Table_socioeca8.sandag.org_ws_abm2_f4[[#This Row],[flow_am]]</f>
        <v>1662</v>
      </c>
      <c r="O1180">
        <f>Table_socioeca8.sandag.org_ws_abm2_f4[[#This Row],[flow_pm]]</f>
        <v>682</v>
      </c>
    </row>
    <row r="1181" spans="5:15" x14ac:dyDescent="0.25">
      <c r="E1181">
        <v>27539</v>
      </c>
      <c r="F1181">
        <f t="shared" si="18"/>
        <v>259</v>
      </c>
      <c r="G1181">
        <f>IFERROR(VLOOKUP(Table_socioeca8.sandag.org_ws_abm2_f4[[#This Row],[hwycov_id]],[2]flow_freeway!$A$2:$E$1643,3,FALSE),0)</f>
        <v>6123</v>
      </c>
      <c r="H1181">
        <f>IFERROR(VLOOKUP(Table_socioeca8.sandag.org_ws_abm2_f4[[#This Row],[hwycov_id]],[2]flow_freeway!$A$2:$E$1643,4,FALSE),0)</f>
        <v>844</v>
      </c>
      <c r="I1181">
        <f>IFERROR(VLOOKUP(Table_socioeca8.sandag.org_ws_abm2_f4[[#This Row],[hwycov_id]],[2]flow_freeway!$A$2:$E$1643,5,FALSE),0)</f>
        <v>1890</v>
      </c>
      <c r="K1181">
        <f>Table_socioeca8.sandag.org_ws_abm2_f4[[#This Row],[hwycov_id]]</f>
        <v>27539</v>
      </c>
      <c r="L1181">
        <f>Table_socioeca8.sandag.org_ws_abm2_f4[[#This Row],[scenario_id]]</f>
        <v>259</v>
      </c>
      <c r="M1181">
        <f>Table_socioeca8.sandag.org_ws_abm2_f4[[#This Row],[flow_day]]</f>
        <v>6123</v>
      </c>
      <c r="N1181">
        <f>Table_socioeca8.sandag.org_ws_abm2_f4[[#This Row],[flow_am]]</f>
        <v>844</v>
      </c>
      <c r="O1181">
        <f>Table_socioeca8.sandag.org_ws_abm2_f4[[#This Row],[flow_pm]]</f>
        <v>1890</v>
      </c>
    </row>
    <row r="1182" spans="5:15" x14ac:dyDescent="0.25">
      <c r="E1182">
        <v>27540</v>
      </c>
      <c r="F1182">
        <f t="shared" si="18"/>
        <v>259</v>
      </c>
      <c r="G1182">
        <f>IFERROR(VLOOKUP(Table_socioeca8.sandag.org_ws_abm2_f4[[#This Row],[hwycov_id]],[2]flow_freeway!$A$2:$E$1643,3,FALSE),0)</f>
        <v>5950</v>
      </c>
      <c r="H1182">
        <f>IFERROR(VLOOKUP(Table_socioeca8.sandag.org_ws_abm2_f4[[#This Row],[hwycov_id]],[2]flow_freeway!$A$2:$E$1643,4,FALSE),0)</f>
        <v>1587</v>
      </c>
      <c r="I1182">
        <f>IFERROR(VLOOKUP(Table_socioeca8.sandag.org_ws_abm2_f4[[#This Row],[hwycov_id]],[2]flow_freeway!$A$2:$E$1643,5,FALSE),0)</f>
        <v>688</v>
      </c>
      <c r="K1182">
        <f>Table_socioeca8.sandag.org_ws_abm2_f4[[#This Row],[hwycov_id]]</f>
        <v>27540</v>
      </c>
      <c r="L1182">
        <f>Table_socioeca8.sandag.org_ws_abm2_f4[[#This Row],[scenario_id]]</f>
        <v>259</v>
      </c>
      <c r="M1182">
        <f>Table_socioeca8.sandag.org_ws_abm2_f4[[#This Row],[flow_day]]</f>
        <v>5950</v>
      </c>
      <c r="N1182">
        <f>Table_socioeca8.sandag.org_ws_abm2_f4[[#This Row],[flow_am]]</f>
        <v>1587</v>
      </c>
      <c r="O1182">
        <f>Table_socioeca8.sandag.org_ws_abm2_f4[[#This Row],[flow_pm]]</f>
        <v>688</v>
      </c>
    </row>
    <row r="1183" spans="5:15" x14ac:dyDescent="0.25">
      <c r="E1183">
        <v>27541</v>
      </c>
      <c r="F1183">
        <f t="shared" si="18"/>
        <v>259</v>
      </c>
      <c r="G1183">
        <f>IFERROR(VLOOKUP(Table_socioeca8.sandag.org_ws_abm2_f4[[#This Row],[hwycov_id]],[2]flow_freeway!$A$2:$E$1643,3,FALSE),0)</f>
        <v>5645</v>
      </c>
      <c r="H1183">
        <f>IFERROR(VLOOKUP(Table_socioeca8.sandag.org_ws_abm2_f4[[#This Row],[hwycov_id]],[2]flow_freeway!$A$2:$E$1643,4,FALSE),0)</f>
        <v>1523</v>
      </c>
      <c r="I1183">
        <f>IFERROR(VLOOKUP(Table_socioeca8.sandag.org_ws_abm2_f4[[#This Row],[hwycov_id]],[2]flow_freeway!$A$2:$E$1643,5,FALSE),0)</f>
        <v>644</v>
      </c>
      <c r="K1183">
        <f>Table_socioeca8.sandag.org_ws_abm2_f4[[#This Row],[hwycov_id]]</f>
        <v>27541</v>
      </c>
      <c r="L1183">
        <f>Table_socioeca8.sandag.org_ws_abm2_f4[[#This Row],[scenario_id]]</f>
        <v>259</v>
      </c>
      <c r="M1183">
        <f>Table_socioeca8.sandag.org_ws_abm2_f4[[#This Row],[flow_day]]</f>
        <v>5645</v>
      </c>
      <c r="N1183">
        <f>Table_socioeca8.sandag.org_ws_abm2_f4[[#This Row],[flow_am]]</f>
        <v>1523</v>
      </c>
      <c r="O1183">
        <f>Table_socioeca8.sandag.org_ws_abm2_f4[[#This Row],[flow_pm]]</f>
        <v>644</v>
      </c>
    </row>
    <row r="1184" spans="5:15" x14ac:dyDescent="0.25">
      <c r="E1184">
        <v>27542</v>
      </c>
      <c r="F1184">
        <f t="shared" si="18"/>
        <v>259</v>
      </c>
      <c r="G1184">
        <f>IFERROR(VLOOKUP(Table_socioeca8.sandag.org_ws_abm2_f4[[#This Row],[hwycov_id]],[2]flow_freeway!$A$2:$E$1643,3,FALSE),0)</f>
        <v>5820</v>
      </c>
      <c r="H1184">
        <f>IFERROR(VLOOKUP(Table_socioeca8.sandag.org_ws_abm2_f4[[#This Row],[hwycov_id]],[2]flow_freeway!$A$2:$E$1643,4,FALSE),0)</f>
        <v>819</v>
      </c>
      <c r="I1184">
        <f>IFERROR(VLOOKUP(Table_socioeca8.sandag.org_ws_abm2_f4[[#This Row],[hwycov_id]],[2]flow_freeway!$A$2:$E$1643,5,FALSE),0)</f>
        <v>1783</v>
      </c>
      <c r="K1184">
        <f>Table_socioeca8.sandag.org_ws_abm2_f4[[#This Row],[hwycov_id]]</f>
        <v>27542</v>
      </c>
      <c r="L1184">
        <f>Table_socioeca8.sandag.org_ws_abm2_f4[[#This Row],[scenario_id]]</f>
        <v>259</v>
      </c>
      <c r="M1184">
        <f>Table_socioeca8.sandag.org_ws_abm2_f4[[#This Row],[flow_day]]</f>
        <v>5820</v>
      </c>
      <c r="N1184">
        <f>Table_socioeca8.sandag.org_ws_abm2_f4[[#This Row],[flow_am]]</f>
        <v>819</v>
      </c>
      <c r="O1184">
        <f>Table_socioeca8.sandag.org_ws_abm2_f4[[#This Row],[flow_pm]]</f>
        <v>1783</v>
      </c>
    </row>
    <row r="1185" spans="5:15" x14ac:dyDescent="0.25">
      <c r="E1185">
        <v>27543</v>
      </c>
      <c r="F1185">
        <f t="shared" si="18"/>
        <v>259</v>
      </c>
      <c r="G1185">
        <f>IFERROR(VLOOKUP(Table_socioeca8.sandag.org_ws_abm2_f4[[#This Row],[hwycov_id]],[2]flow_freeway!$A$2:$E$1643,3,FALSE),0)</f>
        <v>57883</v>
      </c>
      <c r="H1185">
        <f>IFERROR(VLOOKUP(Table_socioeca8.sandag.org_ws_abm2_f4[[#This Row],[hwycov_id]],[2]flow_freeway!$A$2:$E$1643,4,FALSE),0)</f>
        <v>12916</v>
      </c>
      <c r="I1185">
        <f>IFERROR(VLOOKUP(Table_socioeca8.sandag.org_ws_abm2_f4[[#This Row],[hwycov_id]],[2]flow_freeway!$A$2:$E$1643,5,FALSE),0)</f>
        <v>12449</v>
      </c>
      <c r="K1185">
        <f>Table_socioeca8.sandag.org_ws_abm2_f4[[#This Row],[hwycov_id]]</f>
        <v>27543</v>
      </c>
      <c r="L1185">
        <f>Table_socioeca8.sandag.org_ws_abm2_f4[[#This Row],[scenario_id]]</f>
        <v>259</v>
      </c>
      <c r="M1185">
        <f>Table_socioeca8.sandag.org_ws_abm2_f4[[#This Row],[flow_day]]</f>
        <v>57883</v>
      </c>
      <c r="N1185">
        <f>Table_socioeca8.sandag.org_ws_abm2_f4[[#This Row],[flow_am]]</f>
        <v>12916</v>
      </c>
      <c r="O1185">
        <f>Table_socioeca8.sandag.org_ws_abm2_f4[[#This Row],[flow_pm]]</f>
        <v>12449</v>
      </c>
    </row>
    <row r="1186" spans="5:15" x14ac:dyDescent="0.25">
      <c r="E1186">
        <v>27544</v>
      </c>
      <c r="F1186">
        <f t="shared" si="18"/>
        <v>259</v>
      </c>
      <c r="G1186">
        <f>IFERROR(VLOOKUP(Table_socioeca8.sandag.org_ws_abm2_f4[[#This Row],[hwycov_id]],[2]flow_freeway!$A$2:$E$1643,3,FALSE),0)</f>
        <v>58163</v>
      </c>
      <c r="H1186">
        <f>IFERROR(VLOOKUP(Table_socioeca8.sandag.org_ws_abm2_f4[[#This Row],[hwycov_id]],[2]flow_freeway!$A$2:$E$1643,4,FALSE),0)</f>
        <v>10086</v>
      </c>
      <c r="I1186">
        <f>IFERROR(VLOOKUP(Table_socioeca8.sandag.org_ws_abm2_f4[[#This Row],[hwycov_id]],[2]flow_freeway!$A$2:$E$1643,5,FALSE),0)</f>
        <v>15918</v>
      </c>
      <c r="K1186">
        <f>Table_socioeca8.sandag.org_ws_abm2_f4[[#This Row],[hwycov_id]]</f>
        <v>27544</v>
      </c>
      <c r="L1186">
        <f>Table_socioeca8.sandag.org_ws_abm2_f4[[#This Row],[scenario_id]]</f>
        <v>259</v>
      </c>
      <c r="M1186">
        <f>Table_socioeca8.sandag.org_ws_abm2_f4[[#This Row],[flow_day]]</f>
        <v>58163</v>
      </c>
      <c r="N1186">
        <f>Table_socioeca8.sandag.org_ws_abm2_f4[[#This Row],[flow_am]]</f>
        <v>10086</v>
      </c>
      <c r="O1186">
        <f>Table_socioeca8.sandag.org_ws_abm2_f4[[#This Row],[flow_pm]]</f>
        <v>15918</v>
      </c>
    </row>
    <row r="1187" spans="5:15" x14ac:dyDescent="0.25">
      <c r="E1187">
        <v>27545</v>
      </c>
      <c r="F1187">
        <f t="shared" si="18"/>
        <v>259</v>
      </c>
      <c r="G1187">
        <f>IFERROR(VLOOKUP(Table_socioeca8.sandag.org_ws_abm2_f4[[#This Row],[hwycov_id]],[2]flow_freeway!$A$2:$E$1643,3,FALSE),0)</f>
        <v>58712</v>
      </c>
      <c r="H1187">
        <f>IFERROR(VLOOKUP(Table_socioeca8.sandag.org_ws_abm2_f4[[#This Row],[hwycov_id]],[2]flow_freeway!$A$2:$E$1643,4,FALSE),0)</f>
        <v>11790</v>
      </c>
      <c r="I1187">
        <f>IFERROR(VLOOKUP(Table_socioeca8.sandag.org_ws_abm2_f4[[#This Row],[hwycov_id]],[2]flow_freeway!$A$2:$E$1643,5,FALSE),0)</f>
        <v>14251</v>
      </c>
      <c r="K1187">
        <f>Table_socioeca8.sandag.org_ws_abm2_f4[[#This Row],[hwycov_id]]</f>
        <v>27545</v>
      </c>
      <c r="L1187">
        <f>Table_socioeca8.sandag.org_ws_abm2_f4[[#This Row],[scenario_id]]</f>
        <v>259</v>
      </c>
      <c r="M1187">
        <f>Table_socioeca8.sandag.org_ws_abm2_f4[[#This Row],[flow_day]]</f>
        <v>58712</v>
      </c>
      <c r="N1187">
        <f>Table_socioeca8.sandag.org_ws_abm2_f4[[#This Row],[flow_am]]</f>
        <v>11790</v>
      </c>
      <c r="O1187">
        <f>Table_socioeca8.sandag.org_ws_abm2_f4[[#This Row],[flow_pm]]</f>
        <v>14251</v>
      </c>
    </row>
    <row r="1188" spans="5:15" x14ac:dyDescent="0.25">
      <c r="E1188">
        <v>27551</v>
      </c>
      <c r="F1188">
        <f t="shared" si="18"/>
        <v>259</v>
      </c>
      <c r="G1188">
        <f>IFERROR(VLOOKUP(Table_socioeca8.sandag.org_ws_abm2_f4[[#This Row],[hwycov_id]],[2]flow_freeway!$A$2:$E$1643,3,FALSE),0)</f>
        <v>90769</v>
      </c>
      <c r="H1188">
        <f>IFERROR(VLOOKUP(Table_socioeca8.sandag.org_ws_abm2_f4[[#This Row],[hwycov_id]],[2]flow_freeway!$A$2:$E$1643,4,FALSE),0)</f>
        <v>17104</v>
      </c>
      <c r="I1188">
        <f>IFERROR(VLOOKUP(Table_socioeca8.sandag.org_ws_abm2_f4[[#This Row],[hwycov_id]],[2]flow_freeway!$A$2:$E$1643,5,FALSE),0)</f>
        <v>24846</v>
      </c>
      <c r="K1188">
        <f>Table_socioeca8.sandag.org_ws_abm2_f4[[#This Row],[hwycov_id]]</f>
        <v>27551</v>
      </c>
      <c r="L1188">
        <f>Table_socioeca8.sandag.org_ws_abm2_f4[[#This Row],[scenario_id]]</f>
        <v>259</v>
      </c>
      <c r="M1188">
        <f>Table_socioeca8.sandag.org_ws_abm2_f4[[#This Row],[flow_day]]</f>
        <v>90769</v>
      </c>
      <c r="N1188">
        <f>Table_socioeca8.sandag.org_ws_abm2_f4[[#This Row],[flow_am]]</f>
        <v>17104</v>
      </c>
      <c r="O1188">
        <f>Table_socioeca8.sandag.org_ws_abm2_f4[[#This Row],[flow_pm]]</f>
        <v>24846</v>
      </c>
    </row>
    <row r="1189" spans="5:15" x14ac:dyDescent="0.25">
      <c r="E1189">
        <v>27552</v>
      </c>
      <c r="F1189">
        <f t="shared" si="18"/>
        <v>259</v>
      </c>
      <c r="G1189">
        <f>IFERROR(VLOOKUP(Table_socioeca8.sandag.org_ws_abm2_f4[[#This Row],[hwycov_id]],[2]flow_freeway!$A$2:$E$1643,3,FALSE),0)</f>
        <v>59803</v>
      </c>
      <c r="H1189">
        <f>IFERROR(VLOOKUP(Table_socioeca8.sandag.org_ws_abm2_f4[[#This Row],[hwycov_id]],[2]flow_freeway!$A$2:$E$1643,4,FALSE),0)</f>
        <v>12574</v>
      </c>
      <c r="I1189">
        <f>IFERROR(VLOOKUP(Table_socioeca8.sandag.org_ws_abm2_f4[[#This Row],[hwycov_id]],[2]flow_freeway!$A$2:$E$1643,5,FALSE),0)</f>
        <v>15047</v>
      </c>
      <c r="K1189">
        <f>Table_socioeca8.sandag.org_ws_abm2_f4[[#This Row],[hwycov_id]]</f>
        <v>27552</v>
      </c>
      <c r="L1189">
        <f>Table_socioeca8.sandag.org_ws_abm2_f4[[#This Row],[scenario_id]]</f>
        <v>259</v>
      </c>
      <c r="M1189">
        <f>Table_socioeca8.sandag.org_ws_abm2_f4[[#This Row],[flow_day]]</f>
        <v>59803</v>
      </c>
      <c r="N1189">
        <f>Table_socioeca8.sandag.org_ws_abm2_f4[[#This Row],[flow_am]]</f>
        <v>12574</v>
      </c>
      <c r="O1189">
        <f>Table_socioeca8.sandag.org_ws_abm2_f4[[#This Row],[flow_pm]]</f>
        <v>15047</v>
      </c>
    </row>
    <row r="1190" spans="5:15" x14ac:dyDescent="0.25">
      <c r="E1190">
        <v>27554</v>
      </c>
      <c r="F1190">
        <f t="shared" si="18"/>
        <v>259</v>
      </c>
      <c r="G1190">
        <f>IFERROR(VLOOKUP(Table_socioeca8.sandag.org_ws_abm2_f4[[#This Row],[hwycov_id]],[2]flow_freeway!$A$2:$E$1643,3,FALSE),0)</f>
        <v>101393</v>
      </c>
      <c r="H1190">
        <f>IFERROR(VLOOKUP(Table_socioeca8.sandag.org_ws_abm2_f4[[#This Row],[hwycov_id]],[2]flow_freeway!$A$2:$E$1643,4,FALSE),0)</f>
        <v>23851</v>
      </c>
      <c r="I1190">
        <f>IFERROR(VLOOKUP(Table_socioeca8.sandag.org_ws_abm2_f4[[#This Row],[hwycov_id]],[2]flow_freeway!$A$2:$E$1643,5,FALSE),0)</f>
        <v>25100</v>
      </c>
      <c r="K1190">
        <f>Table_socioeca8.sandag.org_ws_abm2_f4[[#This Row],[hwycov_id]]</f>
        <v>27554</v>
      </c>
      <c r="L1190">
        <f>Table_socioeca8.sandag.org_ws_abm2_f4[[#This Row],[scenario_id]]</f>
        <v>259</v>
      </c>
      <c r="M1190">
        <f>Table_socioeca8.sandag.org_ws_abm2_f4[[#This Row],[flow_day]]</f>
        <v>101393</v>
      </c>
      <c r="N1190">
        <f>Table_socioeca8.sandag.org_ws_abm2_f4[[#This Row],[flow_am]]</f>
        <v>23851</v>
      </c>
      <c r="O1190">
        <f>Table_socioeca8.sandag.org_ws_abm2_f4[[#This Row],[flow_pm]]</f>
        <v>25100</v>
      </c>
    </row>
    <row r="1191" spans="5:15" x14ac:dyDescent="0.25">
      <c r="E1191">
        <v>27555</v>
      </c>
      <c r="F1191">
        <f t="shared" si="18"/>
        <v>259</v>
      </c>
      <c r="G1191">
        <f>IFERROR(VLOOKUP(Table_socioeca8.sandag.org_ws_abm2_f4[[#This Row],[hwycov_id]],[2]flow_freeway!$A$2:$E$1643,3,FALSE),0)</f>
        <v>97924</v>
      </c>
      <c r="H1191">
        <f>IFERROR(VLOOKUP(Table_socioeca8.sandag.org_ws_abm2_f4[[#This Row],[hwycov_id]],[2]flow_freeway!$A$2:$E$1643,4,FALSE),0)</f>
        <v>18109</v>
      </c>
      <c r="I1191">
        <f>IFERROR(VLOOKUP(Table_socioeca8.sandag.org_ws_abm2_f4[[#This Row],[hwycov_id]],[2]flow_freeway!$A$2:$E$1643,5,FALSE),0)</f>
        <v>28003</v>
      </c>
      <c r="K1191">
        <f>Table_socioeca8.sandag.org_ws_abm2_f4[[#This Row],[hwycov_id]]</f>
        <v>27555</v>
      </c>
      <c r="L1191">
        <f>Table_socioeca8.sandag.org_ws_abm2_f4[[#This Row],[scenario_id]]</f>
        <v>259</v>
      </c>
      <c r="M1191">
        <f>Table_socioeca8.sandag.org_ws_abm2_f4[[#This Row],[flow_day]]</f>
        <v>97924</v>
      </c>
      <c r="N1191">
        <f>Table_socioeca8.sandag.org_ws_abm2_f4[[#This Row],[flow_am]]</f>
        <v>18109</v>
      </c>
      <c r="O1191">
        <f>Table_socioeca8.sandag.org_ws_abm2_f4[[#This Row],[flow_pm]]</f>
        <v>28003</v>
      </c>
    </row>
    <row r="1192" spans="5:15" x14ac:dyDescent="0.25">
      <c r="E1192">
        <v>27577</v>
      </c>
      <c r="F1192">
        <f t="shared" si="18"/>
        <v>259</v>
      </c>
      <c r="G1192">
        <f>IFERROR(VLOOKUP(Table_socioeca8.sandag.org_ws_abm2_f4[[#This Row],[hwycov_id]],[2]flow_freeway!$A$2:$E$1643,3,FALSE),0)</f>
        <v>87052</v>
      </c>
      <c r="H1192">
        <f>IFERROR(VLOOKUP(Table_socioeca8.sandag.org_ws_abm2_f4[[#This Row],[hwycov_id]],[2]flow_freeway!$A$2:$E$1643,4,FALSE),0)</f>
        <v>15840</v>
      </c>
      <c r="I1192">
        <f>IFERROR(VLOOKUP(Table_socioeca8.sandag.org_ws_abm2_f4[[#This Row],[hwycov_id]],[2]flow_freeway!$A$2:$E$1643,5,FALSE),0)</f>
        <v>23960</v>
      </c>
      <c r="K1192">
        <f>Table_socioeca8.sandag.org_ws_abm2_f4[[#This Row],[hwycov_id]]</f>
        <v>27577</v>
      </c>
      <c r="L1192">
        <f>Table_socioeca8.sandag.org_ws_abm2_f4[[#This Row],[scenario_id]]</f>
        <v>259</v>
      </c>
      <c r="M1192">
        <f>Table_socioeca8.sandag.org_ws_abm2_f4[[#This Row],[flow_day]]</f>
        <v>87052</v>
      </c>
      <c r="N1192">
        <f>Table_socioeca8.sandag.org_ws_abm2_f4[[#This Row],[flow_am]]</f>
        <v>15840</v>
      </c>
      <c r="O1192">
        <f>Table_socioeca8.sandag.org_ws_abm2_f4[[#This Row],[flow_pm]]</f>
        <v>23960</v>
      </c>
    </row>
    <row r="1193" spans="5:15" x14ac:dyDescent="0.25">
      <c r="E1193">
        <v>27578</v>
      </c>
      <c r="F1193">
        <f t="shared" si="18"/>
        <v>259</v>
      </c>
      <c r="G1193">
        <f>IFERROR(VLOOKUP(Table_socioeca8.sandag.org_ws_abm2_f4[[#This Row],[hwycov_id]],[2]flow_freeway!$A$2:$E$1643,3,FALSE),0)</f>
        <v>95060</v>
      </c>
      <c r="H1193">
        <f>IFERROR(VLOOKUP(Table_socioeca8.sandag.org_ws_abm2_f4[[#This Row],[hwycov_id]],[2]flow_freeway!$A$2:$E$1643,4,FALSE),0)</f>
        <v>23085</v>
      </c>
      <c r="I1193">
        <f>IFERROR(VLOOKUP(Table_socioeca8.sandag.org_ws_abm2_f4[[#This Row],[hwycov_id]],[2]flow_freeway!$A$2:$E$1643,5,FALSE),0)</f>
        <v>20849</v>
      </c>
      <c r="K1193">
        <f>Table_socioeca8.sandag.org_ws_abm2_f4[[#This Row],[hwycov_id]]</f>
        <v>27578</v>
      </c>
      <c r="L1193">
        <f>Table_socioeca8.sandag.org_ws_abm2_f4[[#This Row],[scenario_id]]</f>
        <v>259</v>
      </c>
      <c r="M1193">
        <f>Table_socioeca8.sandag.org_ws_abm2_f4[[#This Row],[flow_day]]</f>
        <v>95060</v>
      </c>
      <c r="N1193">
        <f>Table_socioeca8.sandag.org_ws_abm2_f4[[#This Row],[flow_am]]</f>
        <v>23085</v>
      </c>
      <c r="O1193">
        <f>Table_socioeca8.sandag.org_ws_abm2_f4[[#This Row],[flow_pm]]</f>
        <v>20849</v>
      </c>
    </row>
    <row r="1194" spans="5:15" x14ac:dyDescent="0.25">
      <c r="E1194">
        <v>27589</v>
      </c>
      <c r="F1194">
        <f t="shared" si="18"/>
        <v>259</v>
      </c>
      <c r="G1194">
        <f>IFERROR(VLOOKUP(Table_socioeca8.sandag.org_ws_abm2_f4[[#This Row],[hwycov_id]],[2]flow_freeway!$A$2:$E$1643,3,FALSE),0)</f>
        <v>71157</v>
      </c>
      <c r="H1194">
        <f>IFERROR(VLOOKUP(Table_socioeca8.sandag.org_ws_abm2_f4[[#This Row],[hwycov_id]],[2]flow_freeway!$A$2:$E$1643,4,FALSE),0)</f>
        <v>19073</v>
      </c>
      <c r="I1194">
        <f>IFERROR(VLOOKUP(Table_socioeca8.sandag.org_ws_abm2_f4[[#This Row],[hwycov_id]],[2]flow_freeway!$A$2:$E$1643,5,FALSE),0)</f>
        <v>13981</v>
      </c>
      <c r="K1194">
        <f>Table_socioeca8.sandag.org_ws_abm2_f4[[#This Row],[hwycov_id]]</f>
        <v>27589</v>
      </c>
      <c r="L1194">
        <f>Table_socioeca8.sandag.org_ws_abm2_f4[[#This Row],[scenario_id]]</f>
        <v>259</v>
      </c>
      <c r="M1194">
        <f>Table_socioeca8.sandag.org_ws_abm2_f4[[#This Row],[flow_day]]</f>
        <v>71157</v>
      </c>
      <c r="N1194">
        <f>Table_socioeca8.sandag.org_ws_abm2_f4[[#This Row],[flow_am]]</f>
        <v>19073</v>
      </c>
      <c r="O1194">
        <f>Table_socioeca8.sandag.org_ws_abm2_f4[[#This Row],[flow_pm]]</f>
        <v>13981</v>
      </c>
    </row>
    <row r="1195" spans="5:15" x14ac:dyDescent="0.25">
      <c r="E1195">
        <v>27594</v>
      </c>
      <c r="F1195">
        <f t="shared" si="18"/>
        <v>259</v>
      </c>
      <c r="G1195">
        <f>IFERROR(VLOOKUP(Table_socioeca8.sandag.org_ws_abm2_f4[[#This Row],[hwycov_id]],[2]flow_freeway!$A$2:$E$1643,3,FALSE),0)</f>
        <v>79306</v>
      </c>
      <c r="H1195">
        <f>IFERROR(VLOOKUP(Table_socioeca8.sandag.org_ws_abm2_f4[[#This Row],[hwycov_id]],[2]flow_freeway!$A$2:$E$1643,4,FALSE),0)</f>
        <v>17769</v>
      </c>
      <c r="I1195">
        <f>IFERROR(VLOOKUP(Table_socioeca8.sandag.org_ws_abm2_f4[[#This Row],[hwycov_id]],[2]flow_freeway!$A$2:$E$1643,5,FALSE),0)</f>
        <v>14460</v>
      </c>
      <c r="K1195">
        <f>Table_socioeca8.sandag.org_ws_abm2_f4[[#This Row],[hwycov_id]]</f>
        <v>27594</v>
      </c>
      <c r="L1195">
        <f>Table_socioeca8.sandag.org_ws_abm2_f4[[#This Row],[scenario_id]]</f>
        <v>259</v>
      </c>
      <c r="M1195">
        <f>Table_socioeca8.sandag.org_ws_abm2_f4[[#This Row],[flow_day]]</f>
        <v>79306</v>
      </c>
      <c r="N1195">
        <f>Table_socioeca8.sandag.org_ws_abm2_f4[[#This Row],[flow_am]]</f>
        <v>17769</v>
      </c>
      <c r="O1195">
        <f>Table_socioeca8.sandag.org_ws_abm2_f4[[#This Row],[flow_pm]]</f>
        <v>14460</v>
      </c>
    </row>
    <row r="1196" spans="5:15" x14ac:dyDescent="0.25">
      <c r="E1196">
        <v>27597</v>
      </c>
      <c r="F1196">
        <f t="shared" si="18"/>
        <v>259</v>
      </c>
      <c r="G1196">
        <f>IFERROR(VLOOKUP(Table_socioeca8.sandag.org_ws_abm2_f4[[#This Row],[hwycov_id]],[2]flow_freeway!$A$2:$E$1643,3,FALSE),0)</f>
        <v>60091</v>
      </c>
      <c r="H1196">
        <f>IFERROR(VLOOKUP(Table_socioeca8.sandag.org_ws_abm2_f4[[#This Row],[hwycov_id]],[2]flow_freeway!$A$2:$E$1643,4,FALSE),0)</f>
        <v>12460</v>
      </c>
      <c r="I1196">
        <f>IFERROR(VLOOKUP(Table_socioeca8.sandag.org_ws_abm2_f4[[#This Row],[hwycov_id]],[2]flow_freeway!$A$2:$E$1643,5,FALSE),0)</f>
        <v>14825</v>
      </c>
      <c r="K1196">
        <f>Table_socioeca8.sandag.org_ws_abm2_f4[[#This Row],[hwycov_id]]</f>
        <v>27597</v>
      </c>
      <c r="L1196">
        <f>Table_socioeca8.sandag.org_ws_abm2_f4[[#This Row],[scenario_id]]</f>
        <v>259</v>
      </c>
      <c r="M1196">
        <f>Table_socioeca8.sandag.org_ws_abm2_f4[[#This Row],[flow_day]]</f>
        <v>60091</v>
      </c>
      <c r="N1196">
        <f>Table_socioeca8.sandag.org_ws_abm2_f4[[#This Row],[flow_am]]</f>
        <v>12460</v>
      </c>
      <c r="O1196">
        <f>Table_socioeca8.sandag.org_ws_abm2_f4[[#This Row],[flow_pm]]</f>
        <v>14825</v>
      </c>
    </row>
    <row r="1197" spans="5:15" x14ac:dyDescent="0.25">
      <c r="E1197">
        <v>27598</v>
      </c>
      <c r="F1197">
        <f t="shared" si="18"/>
        <v>259</v>
      </c>
      <c r="G1197">
        <f>IFERROR(VLOOKUP(Table_socioeca8.sandag.org_ws_abm2_f4[[#This Row],[hwycov_id]],[2]flow_freeway!$A$2:$E$1643,3,FALSE),0)</f>
        <v>61689</v>
      </c>
      <c r="H1197">
        <f>IFERROR(VLOOKUP(Table_socioeca8.sandag.org_ws_abm2_f4[[#This Row],[hwycov_id]],[2]flow_freeway!$A$2:$E$1643,4,FALSE),0)</f>
        <v>12291</v>
      </c>
      <c r="I1197">
        <f>IFERROR(VLOOKUP(Table_socioeca8.sandag.org_ws_abm2_f4[[#This Row],[hwycov_id]],[2]flow_freeway!$A$2:$E$1643,5,FALSE),0)</f>
        <v>12883</v>
      </c>
      <c r="K1197">
        <f>Table_socioeca8.sandag.org_ws_abm2_f4[[#This Row],[hwycov_id]]</f>
        <v>27598</v>
      </c>
      <c r="L1197">
        <f>Table_socioeca8.sandag.org_ws_abm2_f4[[#This Row],[scenario_id]]</f>
        <v>259</v>
      </c>
      <c r="M1197">
        <f>Table_socioeca8.sandag.org_ws_abm2_f4[[#This Row],[flow_day]]</f>
        <v>61689</v>
      </c>
      <c r="N1197">
        <f>Table_socioeca8.sandag.org_ws_abm2_f4[[#This Row],[flow_am]]</f>
        <v>12291</v>
      </c>
      <c r="O1197">
        <f>Table_socioeca8.sandag.org_ws_abm2_f4[[#This Row],[flow_pm]]</f>
        <v>12883</v>
      </c>
    </row>
    <row r="1198" spans="5:15" x14ac:dyDescent="0.25">
      <c r="E1198">
        <v>27599</v>
      </c>
      <c r="F1198">
        <f t="shared" si="18"/>
        <v>259</v>
      </c>
      <c r="G1198">
        <f>IFERROR(VLOOKUP(Table_socioeca8.sandag.org_ws_abm2_f4[[#This Row],[hwycov_id]],[2]flow_freeway!$A$2:$E$1643,3,FALSE),0)</f>
        <v>60881</v>
      </c>
      <c r="H1198">
        <f>IFERROR(VLOOKUP(Table_socioeca8.sandag.org_ws_abm2_f4[[#This Row],[hwycov_id]],[2]flow_freeway!$A$2:$E$1643,4,FALSE),0)</f>
        <v>12175</v>
      </c>
      <c r="I1198">
        <f>IFERROR(VLOOKUP(Table_socioeca8.sandag.org_ws_abm2_f4[[#This Row],[hwycov_id]],[2]flow_freeway!$A$2:$E$1643,5,FALSE),0)</f>
        <v>12636</v>
      </c>
      <c r="K1198">
        <f>Table_socioeca8.sandag.org_ws_abm2_f4[[#This Row],[hwycov_id]]</f>
        <v>27599</v>
      </c>
      <c r="L1198">
        <f>Table_socioeca8.sandag.org_ws_abm2_f4[[#This Row],[scenario_id]]</f>
        <v>259</v>
      </c>
      <c r="M1198">
        <f>Table_socioeca8.sandag.org_ws_abm2_f4[[#This Row],[flow_day]]</f>
        <v>60881</v>
      </c>
      <c r="N1198">
        <f>Table_socioeca8.sandag.org_ws_abm2_f4[[#This Row],[flow_am]]</f>
        <v>12175</v>
      </c>
      <c r="O1198">
        <f>Table_socioeca8.sandag.org_ws_abm2_f4[[#This Row],[flow_pm]]</f>
        <v>12636</v>
      </c>
    </row>
    <row r="1199" spans="5:15" x14ac:dyDescent="0.25">
      <c r="E1199">
        <v>27600</v>
      </c>
      <c r="F1199">
        <f t="shared" si="18"/>
        <v>259</v>
      </c>
      <c r="G1199">
        <f>IFERROR(VLOOKUP(Table_socioeca8.sandag.org_ws_abm2_f4[[#This Row],[hwycov_id]],[2]flow_freeway!$A$2:$E$1643,3,FALSE),0)</f>
        <v>86994</v>
      </c>
      <c r="H1199">
        <f>IFERROR(VLOOKUP(Table_socioeca8.sandag.org_ws_abm2_f4[[#This Row],[hwycov_id]],[2]flow_freeway!$A$2:$E$1643,4,FALSE),0)</f>
        <v>19958</v>
      </c>
      <c r="I1199">
        <f>IFERROR(VLOOKUP(Table_socioeca8.sandag.org_ws_abm2_f4[[#This Row],[hwycov_id]],[2]flow_freeway!$A$2:$E$1643,5,FALSE),0)</f>
        <v>21886</v>
      </c>
      <c r="K1199">
        <f>Table_socioeca8.sandag.org_ws_abm2_f4[[#This Row],[hwycov_id]]</f>
        <v>27600</v>
      </c>
      <c r="L1199">
        <f>Table_socioeca8.sandag.org_ws_abm2_f4[[#This Row],[scenario_id]]</f>
        <v>259</v>
      </c>
      <c r="M1199">
        <f>Table_socioeca8.sandag.org_ws_abm2_f4[[#This Row],[flow_day]]</f>
        <v>86994</v>
      </c>
      <c r="N1199">
        <f>Table_socioeca8.sandag.org_ws_abm2_f4[[#This Row],[flow_am]]</f>
        <v>19958</v>
      </c>
      <c r="O1199">
        <f>Table_socioeca8.sandag.org_ws_abm2_f4[[#This Row],[flow_pm]]</f>
        <v>21886</v>
      </c>
    </row>
    <row r="1200" spans="5:15" x14ac:dyDescent="0.25">
      <c r="E1200">
        <v>27601</v>
      </c>
      <c r="F1200">
        <f t="shared" si="18"/>
        <v>259</v>
      </c>
      <c r="G1200">
        <f>IFERROR(VLOOKUP(Table_socioeca8.sandag.org_ws_abm2_f4[[#This Row],[hwycov_id]],[2]flow_freeway!$A$2:$E$1643,3,FALSE),0)</f>
        <v>62409</v>
      </c>
      <c r="H1200">
        <f>IFERROR(VLOOKUP(Table_socioeca8.sandag.org_ws_abm2_f4[[#This Row],[hwycov_id]],[2]flow_freeway!$A$2:$E$1643,4,FALSE),0)</f>
        <v>14042</v>
      </c>
      <c r="I1200">
        <f>IFERROR(VLOOKUP(Table_socioeca8.sandag.org_ws_abm2_f4[[#This Row],[hwycov_id]],[2]flow_freeway!$A$2:$E$1643,5,FALSE),0)</f>
        <v>16480</v>
      </c>
      <c r="K1200">
        <f>Table_socioeca8.sandag.org_ws_abm2_f4[[#This Row],[hwycov_id]]</f>
        <v>27601</v>
      </c>
      <c r="L1200">
        <f>Table_socioeca8.sandag.org_ws_abm2_f4[[#This Row],[scenario_id]]</f>
        <v>259</v>
      </c>
      <c r="M1200">
        <f>Table_socioeca8.sandag.org_ws_abm2_f4[[#This Row],[flow_day]]</f>
        <v>62409</v>
      </c>
      <c r="N1200">
        <f>Table_socioeca8.sandag.org_ws_abm2_f4[[#This Row],[flow_am]]</f>
        <v>14042</v>
      </c>
      <c r="O1200">
        <f>Table_socioeca8.sandag.org_ws_abm2_f4[[#This Row],[flow_pm]]</f>
        <v>16480</v>
      </c>
    </row>
    <row r="1201" spans="5:15" x14ac:dyDescent="0.25">
      <c r="E1201">
        <v>27602</v>
      </c>
      <c r="F1201">
        <f t="shared" si="18"/>
        <v>259</v>
      </c>
      <c r="G1201">
        <f>IFERROR(VLOOKUP(Table_socioeca8.sandag.org_ws_abm2_f4[[#This Row],[hwycov_id]],[2]flow_freeway!$A$2:$E$1643,3,FALSE),0)</f>
        <v>76442</v>
      </c>
      <c r="H1201">
        <f>IFERROR(VLOOKUP(Table_socioeca8.sandag.org_ws_abm2_f4[[#This Row],[hwycov_id]],[2]flow_freeway!$A$2:$E$1643,4,FALSE),0)</f>
        <v>15195</v>
      </c>
      <c r="I1201">
        <f>IFERROR(VLOOKUP(Table_socioeca8.sandag.org_ws_abm2_f4[[#This Row],[hwycov_id]],[2]flow_freeway!$A$2:$E$1643,5,FALSE),0)</f>
        <v>20113</v>
      </c>
      <c r="K1201">
        <f>Table_socioeca8.sandag.org_ws_abm2_f4[[#This Row],[hwycov_id]]</f>
        <v>27602</v>
      </c>
      <c r="L1201">
        <f>Table_socioeca8.sandag.org_ws_abm2_f4[[#This Row],[scenario_id]]</f>
        <v>259</v>
      </c>
      <c r="M1201">
        <f>Table_socioeca8.sandag.org_ws_abm2_f4[[#This Row],[flow_day]]</f>
        <v>76442</v>
      </c>
      <c r="N1201">
        <f>Table_socioeca8.sandag.org_ws_abm2_f4[[#This Row],[flow_am]]</f>
        <v>15195</v>
      </c>
      <c r="O1201">
        <f>Table_socioeca8.sandag.org_ws_abm2_f4[[#This Row],[flow_pm]]</f>
        <v>20113</v>
      </c>
    </row>
    <row r="1202" spans="5:15" x14ac:dyDescent="0.25">
      <c r="E1202">
        <v>27603</v>
      </c>
      <c r="F1202">
        <f t="shared" si="18"/>
        <v>259</v>
      </c>
      <c r="G1202">
        <f>IFERROR(VLOOKUP(Table_socioeca8.sandag.org_ws_abm2_f4[[#This Row],[hwycov_id]],[2]flow_freeway!$A$2:$E$1643,3,FALSE),0)</f>
        <v>94279</v>
      </c>
      <c r="H1202">
        <f>IFERROR(VLOOKUP(Table_socioeca8.sandag.org_ws_abm2_f4[[#This Row],[hwycov_id]],[2]flow_freeway!$A$2:$E$1643,4,FALSE),0)</f>
        <v>17778</v>
      </c>
      <c r="I1202">
        <f>IFERROR(VLOOKUP(Table_socioeca8.sandag.org_ws_abm2_f4[[#This Row],[hwycov_id]],[2]flow_freeway!$A$2:$E$1643,5,FALSE),0)</f>
        <v>25749</v>
      </c>
      <c r="K1202">
        <f>Table_socioeca8.sandag.org_ws_abm2_f4[[#This Row],[hwycov_id]]</f>
        <v>27603</v>
      </c>
      <c r="L1202">
        <f>Table_socioeca8.sandag.org_ws_abm2_f4[[#This Row],[scenario_id]]</f>
        <v>259</v>
      </c>
      <c r="M1202">
        <f>Table_socioeca8.sandag.org_ws_abm2_f4[[#This Row],[flow_day]]</f>
        <v>94279</v>
      </c>
      <c r="N1202">
        <f>Table_socioeca8.sandag.org_ws_abm2_f4[[#This Row],[flow_am]]</f>
        <v>17778</v>
      </c>
      <c r="O1202">
        <f>Table_socioeca8.sandag.org_ws_abm2_f4[[#This Row],[flow_pm]]</f>
        <v>25749</v>
      </c>
    </row>
    <row r="1203" spans="5:15" x14ac:dyDescent="0.25">
      <c r="E1203">
        <v>27605</v>
      </c>
      <c r="F1203">
        <f t="shared" si="18"/>
        <v>259</v>
      </c>
      <c r="G1203">
        <f>IFERROR(VLOOKUP(Table_socioeca8.sandag.org_ws_abm2_f4[[#This Row],[hwycov_id]],[2]flow_freeway!$A$2:$E$1643,3,FALSE),0)</f>
        <v>97924</v>
      </c>
      <c r="H1203">
        <f>IFERROR(VLOOKUP(Table_socioeca8.sandag.org_ws_abm2_f4[[#This Row],[hwycov_id]],[2]flow_freeway!$A$2:$E$1643,4,FALSE),0)</f>
        <v>18109</v>
      </c>
      <c r="I1203">
        <f>IFERROR(VLOOKUP(Table_socioeca8.sandag.org_ws_abm2_f4[[#This Row],[hwycov_id]],[2]flow_freeway!$A$2:$E$1643,5,FALSE),0)</f>
        <v>28003</v>
      </c>
      <c r="K1203">
        <f>Table_socioeca8.sandag.org_ws_abm2_f4[[#This Row],[hwycov_id]]</f>
        <v>27605</v>
      </c>
      <c r="L1203">
        <f>Table_socioeca8.sandag.org_ws_abm2_f4[[#This Row],[scenario_id]]</f>
        <v>259</v>
      </c>
      <c r="M1203">
        <f>Table_socioeca8.sandag.org_ws_abm2_f4[[#This Row],[flow_day]]</f>
        <v>97924</v>
      </c>
      <c r="N1203">
        <f>Table_socioeca8.sandag.org_ws_abm2_f4[[#This Row],[flow_am]]</f>
        <v>18109</v>
      </c>
      <c r="O1203">
        <f>Table_socioeca8.sandag.org_ws_abm2_f4[[#This Row],[flow_pm]]</f>
        <v>28003</v>
      </c>
    </row>
    <row r="1204" spans="5:15" x14ac:dyDescent="0.25">
      <c r="E1204">
        <v>27606</v>
      </c>
      <c r="F1204">
        <f t="shared" si="18"/>
        <v>259</v>
      </c>
      <c r="G1204">
        <f>IFERROR(VLOOKUP(Table_socioeca8.sandag.org_ws_abm2_f4[[#This Row],[hwycov_id]],[2]flow_freeway!$A$2:$E$1643,3,FALSE),0)</f>
        <v>62090</v>
      </c>
      <c r="H1204">
        <f>IFERROR(VLOOKUP(Table_socioeca8.sandag.org_ws_abm2_f4[[#This Row],[hwycov_id]],[2]flow_freeway!$A$2:$E$1643,4,FALSE),0)</f>
        <v>9716</v>
      </c>
      <c r="I1204">
        <f>IFERROR(VLOOKUP(Table_socioeca8.sandag.org_ws_abm2_f4[[#This Row],[hwycov_id]],[2]flow_freeway!$A$2:$E$1643,5,FALSE),0)</f>
        <v>20696</v>
      </c>
      <c r="K1204">
        <f>Table_socioeca8.sandag.org_ws_abm2_f4[[#This Row],[hwycov_id]]</f>
        <v>27606</v>
      </c>
      <c r="L1204">
        <f>Table_socioeca8.sandag.org_ws_abm2_f4[[#This Row],[scenario_id]]</f>
        <v>259</v>
      </c>
      <c r="M1204">
        <f>Table_socioeca8.sandag.org_ws_abm2_f4[[#This Row],[flow_day]]</f>
        <v>62090</v>
      </c>
      <c r="N1204">
        <f>Table_socioeca8.sandag.org_ws_abm2_f4[[#This Row],[flow_am]]</f>
        <v>9716</v>
      </c>
      <c r="O1204">
        <f>Table_socioeca8.sandag.org_ws_abm2_f4[[#This Row],[flow_pm]]</f>
        <v>20696</v>
      </c>
    </row>
    <row r="1205" spans="5:15" x14ac:dyDescent="0.25">
      <c r="E1205">
        <v>27607</v>
      </c>
      <c r="F1205">
        <f t="shared" si="18"/>
        <v>259</v>
      </c>
      <c r="G1205">
        <f>IFERROR(VLOOKUP(Table_socioeca8.sandag.org_ws_abm2_f4[[#This Row],[hwycov_id]],[2]flow_freeway!$A$2:$E$1643,3,FALSE),0)</f>
        <v>62702</v>
      </c>
      <c r="H1205">
        <f>IFERROR(VLOOKUP(Table_socioeca8.sandag.org_ws_abm2_f4[[#This Row],[hwycov_id]],[2]flow_freeway!$A$2:$E$1643,4,FALSE),0)</f>
        <v>9437</v>
      </c>
      <c r="I1205">
        <f>IFERROR(VLOOKUP(Table_socioeca8.sandag.org_ws_abm2_f4[[#This Row],[hwycov_id]],[2]flow_freeway!$A$2:$E$1643,5,FALSE),0)</f>
        <v>20526</v>
      </c>
      <c r="K1205">
        <f>Table_socioeca8.sandag.org_ws_abm2_f4[[#This Row],[hwycov_id]]</f>
        <v>27607</v>
      </c>
      <c r="L1205">
        <f>Table_socioeca8.sandag.org_ws_abm2_f4[[#This Row],[scenario_id]]</f>
        <v>259</v>
      </c>
      <c r="M1205">
        <f>Table_socioeca8.sandag.org_ws_abm2_f4[[#This Row],[flow_day]]</f>
        <v>62702</v>
      </c>
      <c r="N1205">
        <f>Table_socioeca8.sandag.org_ws_abm2_f4[[#This Row],[flow_am]]</f>
        <v>9437</v>
      </c>
      <c r="O1205">
        <f>Table_socioeca8.sandag.org_ws_abm2_f4[[#This Row],[flow_pm]]</f>
        <v>20526</v>
      </c>
    </row>
    <row r="1206" spans="5:15" x14ac:dyDescent="0.25">
      <c r="E1206">
        <v>27613</v>
      </c>
      <c r="F1206">
        <f t="shared" si="18"/>
        <v>259</v>
      </c>
      <c r="G1206">
        <f>IFERROR(VLOOKUP(Table_socioeca8.sandag.org_ws_abm2_f4[[#This Row],[hwycov_id]],[2]flow_freeway!$A$2:$E$1643,3,FALSE),0)</f>
        <v>70796</v>
      </c>
      <c r="H1206">
        <f>IFERROR(VLOOKUP(Table_socioeca8.sandag.org_ws_abm2_f4[[#This Row],[hwycov_id]],[2]flow_freeway!$A$2:$E$1643,4,FALSE),0)</f>
        <v>17883</v>
      </c>
      <c r="I1206">
        <f>IFERROR(VLOOKUP(Table_socioeca8.sandag.org_ws_abm2_f4[[#This Row],[hwycov_id]],[2]flow_freeway!$A$2:$E$1643,5,FALSE),0)</f>
        <v>11854</v>
      </c>
      <c r="K1206">
        <f>Table_socioeca8.sandag.org_ws_abm2_f4[[#This Row],[hwycov_id]]</f>
        <v>27613</v>
      </c>
      <c r="L1206">
        <f>Table_socioeca8.sandag.org_ws_abm2_f4[[#This Row],[scenario_id]]</f>
        <v>259</v>
      </c>
      <c r="M1206">
        <f>Table_socioeca8.sandag.org_ws_abm2_f4[[#This Row],[flow_day]]</f>
        <v>70796</v>
      </c>
      <c r="N1206">
        <f>Table_socioeca8.sandag.org_ws_abm2_f4[[#This Row],[flow_am]]</f>
        <v>17883</v>
      </c>
      <c r="O1206">
        <f>Table_socioeca8.sandag.org_ws_abm2_f4[[#This Row],[flow_pm]]</f>
        <v>11854</v>
      </c>
    </row>
    <row r="1207" spans="5:15" x14ac:dyDescent="0.25">
      <c r="E1207">
        <v>27614</v>
      </c>
      <c r="F1207">
        <f t="shared" si="18"/>
        <v>259</v>
      </c>
      <c r="G1207">
        <f>IFERROR(VLOOKUP(Table_socioeca8.sandag.org_ws_abm2_f4[[#This Row],[hwycov_id]],[2]flow_freeway!$A$2:$E$1643,3,FALSE),0)</f>
        <v>91522</v>
      </c>
      <c r="H1207">
        <f>IFERROR(VLOOKUP(Table_socioeca8.sandag.org_ws_abm2_f4[[#This Row],[hwycov_id]],[2]flow_freeway!$A$2:$E$1643,4,FALSE),0)</f>
        <v>24386</v>
      </c>
      <c r="I1207">
        <f>IFERROR(VLOOKUP(Table_socioeca8.sandag.org_ws_abm2_f4[[#This Row],[hwycov_id]],[2]flow_freeway!$A$2:$E$1643,5,FALSE),0)</f>
        <v>14663</v>
      </c>
      <c r="K1207">
        <f>Table_socioeca8.sandag.org_ws_abm2_f4[[#This Row],[hwycov_id]]</f>
        <v>27614</v>
      </c>
      <c r="L1207">
        <f>Table_socioeca8.sandag.org_ws_abm2_f4[[#This Row],[scenario_id]]</f>
        <v>259</v>
      </c>
      <c r="M1207">
        <f>Table_socioeca8.sandag.org_ws_abm2_f4[[#This Row],[flow_day]]</f>
        <v>91522</v>
      </c>
      <c r="N1207">
        <f>Table_socioeca8.sandag.org_ws_abm2_f4[[#This Row],[flow_am]]</f>
        <v>24386</v>
      </c>
      <c r="O1207">
        <f>Table_socioeca8.sandag.org_ws_abm2_f4[[#This Row],[flow_pm]]</f>
        <v>14663</v>
      </c>
    </row>
    <row r="1208" spans="5:15" x14ac:dyDescent="0.25">
      <c r="E1208">
        <v>27615</v>
      </c>
      <c r="F1208">
        <f t="shared" si="18"/>
        <v>259</v>
      </c>
      <c r="G1208">
        <f>IFERROR(VLOOKUP(Table_socioeca8.sandag.org_ws_abm2_f4[[#This Row],[hwycov_id]],[2]flow_freeway!$A$2:$E$1643,3,FALSE),0)</f>
        <v>3532</v>
      </c>
      <c r="H1208">
        <f>IFERROR(VLOOKUP(Table_socioeca8.sandag.org_ws_abm2_f4[[#This Row],[hwycov_id]],[2]flow_freeway!$A$2:$E$1643,4,FALSE),0)</f>
        <v>0</v>
      </c>
      <c r="I1208">
        <f>IFERROR(VLOOKUP(Table_socioeca8.sandag.org_ws_abm2_f4[[#This Row],[hwycov_id]],[2]flow_freeway!$A$2:$E$1643,5,FALSE),0)</f>
        <v>3532</v>
      </c>
      <c r="K1208">
        <f>Table_socioeca8.sandag.org_ws_abm2_f4[[#This Row],[hwycov_id]]</f>
        <v>27615</v>
      </c>
      <c r="L1208">
        <f>Table_socioeca8.sandag.org_ws_abm2_f4[[#This Row],[scenario_id]]</f>
        <v>259</v>
      </c>
      <c r="M1208">
        <f>Table_socioeca8.sandag.org_ws_abm2_f4[[#This Row],[flow_day]]</f>
        <v>3532</v>
      </c>
      <c r="N1208">
        <f>Table_socioeca8.sandag.org_ws_abm2_f4[[#This Row],[flow_am]]</f>
        <v>0</v>
      </c>
      <c r="O1208">
        <f>Table_socioeca8.sandag.org_ws_abm2_f4[[#This Row],[flow_pm]]</f>
        <v>3532</v>
      </c>
    </row>
    <row r="1209" spans="5:15" x14ac:dyDescent="0.25">
      <c r="E1209">
        <v>27658</v>
      </c>
      <c r="F1209">
        <f t="shared" si="18"/>
        <v>259</v>
      </c>
      <c r="G1209">
        <f>IFERROR(VLOOKUP(Table_socioeca8.sandag.org_ws_abm2_f4[[#This Row],[hwycov_id]],[2]flow_freeway!$A$2:$E$1643,3,FALSE),0)</f>
        <v>65507</v>
      </c>
      <c r="H1209">
        <f>IFERROR(VLOOKUP(Table_socioeca8.sandag.org_ws_abm2_f4[[#This Row],[hwycov_id]],[2]flow_freeway!$A$2:$E$1643,4,FALSE),0)</f>
        <v>12268</v>
      </c>
      <c r="I1209">
        <f>IFERROR(VLOOKUP(Table_socioeca8.sandag.org_ws_abm2_f4[[#This Row],[hwycov_id]],[2]flow_freeway!$A$2:$E$1643,5,FALSE),0)</f>
        <v>19067</v>
      </c>
      <c r="K1209">
        <f>Table_socioeca8.sandag.org_ws_abm2_f4[[#This Row],[hwycov_id]]</f>
        <v>27658</v>
      </c>
      <c r="L1209">
        <f>Table_socioeca8.sandag.org_ws_abm2_f4[[#This Row],[scenario_id]]</f>
        <v>259</v>
      </c>
      <c r="M1209">
        <f>Table_socioeca8.sandag.org_ws_abm2_f4[[#This Row],[flow_day]]</f>
        <v>65507</v>
      </c>
      <c r="N1209">
        <f>Table_socioeca8.sandag.org_ws_abm2_f4[[#This Row],[flow_am]]</f>
        <v>12268</v>
      </c>
      <c r="O1209">
        <f>Table_socioeca8.sandag.org_ws_abm2_f4[[#This Row],[flow_pm]]</f>
        <v>19067</v>
      </c>
    </row>
    <row r="1210" spans="5:15" x14ac:dyDescent="0.25">
      <c r="E1210">
        <v>27659</v>
      </c>
      <c r="F1210">
        <f t="shared" si="18"/>
        <v>259</v>
      </c>
      <c r="G1210">
        <f>IFERROR(VLOOKUP(Table_socioeca8.sandag.org_ws_abm2_f4[[#This Row],[hwycov_id]],[2]flow_freeway!$A$2:$E$1643,3,FALSE),0)</f>
        <v>65893</v>
      </c>
      <c r="H1210">
        <f>IFERROR(VLOOKUP(Table_socioeca8.sandag.org_ws_abm2_f4[[#This Row],[hwycov_id]],[2]flow_freeway!$A$2:$E$1643,4,FALSE),0)</f>
        <v>12491</v>
      </c>
      <c r="I1210">
        <f>IFERROR(VLOOKUP(Table_socioeca8.sandag.org_ws_abm2_f4[[#This Row],[hwycov_id]],[2]flow_freeway!$A$2:$E$1643,5,FALSE),0)</f>
        <v>19105</v>
      </c>
      <c r="K1210">
        <f>Table_socioeca8.sandag.org_ws_abm2_f4[[#This Row],[hwycov_id]]</f>
        <v>27659</v>
      </c>
      <c r="L1210">
        <f>Table_socioeca8.sandag.org_ws_abm2_f4[[#This Row],[scenario_id]]</f>
        <v>259</v>
      </c>
      <c r="M1210">
        <f>Table_socioeca8.sandag.org_ws_abm2_f4[[#This Row],[flow_day]]</f>
        <v>65893</v>
      </c>
      <c r="N1210">
        <f>Table_socioeca8.sandag.org_ws_abm2_f4[[#This Row],[flow_am]]</f>
        <v>12491</v>
      </c>
      <c r="O1210">
        <f>Table_socioeca8.sandag.org_ws_abm2_f4[[#This Row],[flow_pm]]</f>
        <v>19105</v>
      </c>
    </row>
    <row r="1211" spans="5:15" x14ac:dyDescent="0.25">
      <c r="E1211">
        <v>27694</v>
      </c>
      <c r="F1211">
        <f t="shared" si="18"/>
        <v>259</v>
      </c>
      <c r="G1211">
        <f>IFERROR(VLOOKUP(Table_socioeca8.sandag.org_ws_abm2_f4[[#This Row],[hwycov_id]],[2]flow_freeway!$A$2:$E$1643,3,FALSE),0)</f>
        <v>15859</v>
      </c>
      <c r="H1211">
        <f>IFERROR(VLOOKUP(Table_socioeca8.sandag.org_ws_abm2_f4[[#This Row],[hwycov_id]],[2]flow_freeway!$A$2:$E$1643,4,FALSE),0)</f>
        <v>4018</v>
      </c>
      <c r="I1211">
        <f>IFERROR(VLOOKUP(Table_socioeca8.sandag.org_ws_abm2_f4[[#This Row],[hwycov_id]],[2]flow_freeway!$A$2:$E$1643,5,FALSE),0)</f>
        <v>1613</v>
      </c>
      <c r="K1211">
        <f>Table_socioeca8.sandag.org_ws_abm2_f4[[#This Row],[hwycov_id]]</f>
        <v>27694</v>
      </c>
      <c r="L1211">
        <f>Table_socioeca8.sandag.org_ws_abm2_f4[[#This Row],[scenario_id]]</f>
        <v>259</v>
      </c>
      <c r="M1211">
        <f>Table_socioeca8.sandag.org_ws_abm2_f4[[#This Row],[flow_day]]</f>
        <v>15859</v>
      </c>
      <c r="N1211">
        <f>Table_socioeca8.sandag.org_ws_abm2_f4[[#This Row],[flow_am]]</f>
        <v>4018</v>
      </c>
      <c r="O1211">
        <f>Table_socioeca8.sandag.org_ws_abm2_f4[[#This Row],[flow_pm]]</f>
        <v>1613</v>
      </c>
    </row>
    <row r="1212" spans="5:15" x14ac:dyDescent="0.25">
      <c r="E1212">
        <v>27706</v>
      </c>
      <c r="F1212">
        <f t="shared" si="18"/>
        <v>259</v>
      </c>
      <c r="G1212">
        <f>IFERROR(VLOOKUP(Table_socioeca8.sandag.org_ws_abm2_f4[[#This Row],[hwycov_id]],[2]flow_freeway!$A$2:$E$1643,3,FALSE),0)</f>
        <v>31204</v>
      </c>
      <c r="H1212">
        <f>IFERROR(VLOOKUP(Table_socioeca8.sandag.org_ws_abm2_f4[[#This Row],[hwycov_id]],[2]flow_freeway!$A$2:$E$1643,4,FALSE),0)</f>
        <v>7672</v>
      </c>
      <c r="I1212">
        <f>IFERROR(VLOOKUP(Table_socioeca8.sandag.org_ws_abm2_f4[[#This Row],[hwycov_id]],[2]flow_freeway!$A$2:$E$1643,5,FALSE),0)</f>
        <v>3374</v>
      </c>
      <c r="K1212">
        <f>Table_socioeca8.sandag.org_ws_abm2_f4[[#This Row],[hwycov_id]]</f>
        <v>27706</v>
      </c>
      <c r="L1212">
        <f>Table_socioeca8.sandag.org_ws_abm2_f4[[#This Row],[scenario_id]]</f>
        <v>259</v>
      </c>
      <c r="M1212">
        <f>Table_socioeca8.sandag.org_ws_abm2_f4[[#This Row],[flow_day]]</f>
        <v>31204</v>
      </c>
      <c r="N1212">
        <f>Table_socioeca8.sandag.org_ws_abm2_f4[[#This Row],[flow_am]]</f>
        <v>7672</v>
      </c>
      <c r="O1212">
        <f>Table_socioeca8.sandag.org_ws_abm2_f4[[#This Row],[flow_pm]]</f>
        <v>3374</v>
      </c>
    </row>
    <row r="1213" spans="5:15" x14ac:dyDescent="0.25">
      <c r="E1213">
        <v>27716</v>
      </c>
      <c r="F1213">
        <f t="shared" si="18"/>
        <v>259</v>
      </c>
      <c r="G1213">
        <f>IFERROR(VLOOKUP(Table_socioeca8.sandag.org_ws_abm2_f4[[#This Row],[hwycov_id]],[2]flow_freeway!$A$2:$E$1643,3,FALSE),0)</f>
        <v>35054</v>
      </c>
      <c r="H1213">
        <f>IFERROR(VLOOKUP(Table_socioeca8.sandag.org_ws_abm2_f4[[#This Row],[hwycov_id]],[2]flow_freeway!$A$2:$E$1643,4,FALSE),0)</f>
        <v>6349</v>
      </c>
      <c r="I1213">
        <f>IFERROR(VLOOKUP(Table_socioeca8.sandag.org_ws_abm2_f4[[#This Row],[hwycov_id]],[2]flow_freeway!$A$2:$E$1643,5,FALSE),0)</f>
        <v>7444</v>
      </c>
      <c r="K1213">
        <f>Table_socioeca8.sandag.org_ws_abm2_f4[[#This Row],[hwycov_id]]</f>
        <v>27716</v>
      </c>
      <c r="L1213">
        <f>Table_socioeca8.sandag.org_ws_abm2_f4[[#This Row],[scenario_id]]</f>
        <v>259</v>
      </c>
      <c r="M1213">
        <f>Table_socioeca8.sandag.org_ws_abm2_f4[[#This Row],[flow_day]]</f>
        <v>35054</v>
      </c>
      <c r="N1213">
        <f>Table_socioeca8.sandag.org_ws_abm2_f4[[#This Row],[flow_am]]</f>
        <v>6349</v>
      </c>
      <c r="O1213">
        <f>Table_socioeca8.sandag.org_ws_abm2_f4[[#This Row],[flow_pm]]</f>
        <v>7444</v>
      </c>
    </row>
    <row r="1214" spans="5:15" x14ac:dyDescent="0.25">
      <c r="E1214">
        <v>27717</v>
      </c>
      <c r="F1214">
        <f t="shared" si="18"/>
        <v>259</v>
      </c>
      <c r="G1214">
        <f>IFERROR(VLOOKUP(Table_socioeca8.sandag.org_ws_abm2_f4[[#This Row],[hwycov_id]],[2]flow_freeway!$A$2:$E$1643,3,FALSE),0)</f>
        <v>37210</v>
      </c>
      <c r="H1214">
        <f>IFERROR(VLOOKUP(Table_socioeca8.sandag.org_ws_abm2_f4[[#This Row],[hwycov_id]],[2]flow_freeway!$A$2:$E$1643,4,FALSE),0)</f>
        <v>6703</v>
      </c>
      <c r="I1214">
        <f>IFERROR(VLOOKUP(Table_socioeca8.sandag.org_ws_abm2_f4[[#This Row],[hwycov_id]],[2]flow_freeway!$A$2:$E$1643,5,FALSE),0)</f>
        <v>7984</v>
      </c>
      <c r="K1214">
        <f>Table_socioeca8.sandag.org_ws_abm2_f4[[#This Row],[hwycov_id]]</f>
        <v>27717</v>
      </c>
      <c r="L1214">
        <f>Table_socioeca8.sandag.org_ws_abm2_f4[[#This Row],[scenario_id]]</f>
        <v>259</v>
      </c>
      <c r="M1214">
        <f>Table_socioeca8.sandag.org_ws_abm2_f4[[#This Row],[flow_day]]</f>
        <v>37210</v>
      </c>
      <c r="N1214">
        <f>Table_socioeca8.sandag.org_ws_abm2_f4[[#This Row],[flow_am]]</f>
        <v>6703</v>
      </c>
      <c r="O1214">
        <f>Table_socioeca8.sandag.org_ws_abm2_f4[[#This Row],[flow_pm]]</f>
        <v>7984</v>
      </c>
    </row>
    <row r="1215" spans="5:15" x14ac:dyDescent="0.25">
      <c r="E1215">
        <v>27718</v>
      </c>
      <c r="F1215">
        <f t="shared" si="18"/>
        <v>259</v>
      </c>
      <c r="G1215">
        <f>IFERROR(VLOOKUP(Table_socioeca8.sandag.org_ws_abm2_f4[[#This Row],[hwycov_id]],[2]flow_freeway!$A$2:$E$1643,3,FALSE),0)</f>
        <v>44409</v>
      </c>
      <c r="H1215">
        <f>IFERROR(VLOOKUP(Table_socioeca8.sandag.org_ws_abm2_f4[[#This Row],[hwycov_id]],[2]flow_freeway!$A$2:$E$1643,4,FALSE),0)</f>
        <v>8569</v>
      </c>
      <c r="I1215">
        <f>IFERROR(VLOOKUP(Table_socioeca8.sandag.org_ws_abm2_f4[[#This Row],[hwycov_id]],[2]flow_freeway!$A$2:$E$1643,5,FALSE),0)</f>
        <v>8755</v>
      </c>
      <c r="K1215">
        <f>Table_socioeca8.sandag.org_ws_abm2_f4[[#This Row],[hwycov_id]]</f>
        <v>27718</v>
      </c>
      <c r="L1215">
        <f>Table_socioeca8.sandag.org_ws_abm2_f4[[#This Row],[scenario_id]]</f>
        <v>259</v>
      </c>
      <c r="M1215">
        <f>Table_socioeca8.sandag.org_ws_abm2_f4[[#This Row],[flow_day]]</f>
        <v>44409</v>
      </c>
      <c r="N1215">
        <f>Table_socioeca8.sandag.org_ws_abm2_f4[[#This Row],[flow_am]]</f>
        <v>8569</v>
      </c>
      <c r="O1215">
        <f>Table_socioeca8.sandag.org_ws_abm2_f4[[#This Row],[flow_pm]]</f>
        <v>8755</v>
      </c>
    </row>
    <row r="1216" spans="5:15" x14ac:dyDescent="0.25">
      <c r="E1216">
        <v>27719</v>
      </c>
      <c r="F1216">
        <f t="shared" si="18"/>
        <v>259</v>
      </c>
      <c r="G1216">
        <f>IFERROR(VLOOKUP(Table_socioeca8.sandag.org_ws_abm2_f4[[#This Row],[hwycov_id]],[2]flow_freeway!$A$2:$E$1643,3,FALSE),0)</f>
        <v>41949</v>
      </c>
      <c r="H1216">
        <f>IFERROR(VLOOKUP(Table_socioeca8.sandag.org_ws_abm2_f4[[#This Row],[hwycov_id]],[2]flow_freeway!$A$2:$E$1643,4,FALSE),0)</f>
        <v>7241</v>
      </c>
      <c r="I1216">
        <f>IFERROR(VLOOKUP(Table_socioeca8.sandag.org_ws_abm2_f4[[#This Row],[hwycov_id]],[2]flow_freeway!$A$2:$E$1643,5,FALSE),0)</f>
        <v>9274</v>
      </c>
      <c r="K1216">
        <f>Table_socioeca8.sandag.org_ws_abm2_f4[[#This Row],[hwycov_id]]</f>
        <v>27719</v>
      </c>
      <c r="L1216">
        <f>Table_socioeca8.sandag.org_ws_abm2_f4[[#This Row],[scenario_id]]</f>
        <v>259</v>
      </c>
      <c r="M1216">
        <f>Table_socioeca8.sandag.org_ws_abm2_f4[[#This Row],[flow_day]]</f>
        <v>41949</v>
      </c>
      <c r="N1216">
        <f>Table_socioeca8.sandag.org_ws_abm2_f4[[#This Row],[flow_am]]</f>
        <v>7241</v>
      </c>
      <c r="O1216">
        <f>Table_socioeca8.sandag.org_ws_abm2_f4[[#This Row],[flow_pm]]</f>
        <v>9274</v>
      </c>
    </row>
    <row r="1217" spans="5:15" x14ac:dyDescent="0.25">
      <c r="E1217">
        <v>27720</v>
      </c>
      <c r="F1217">
        <f t="shared" si="18"/>
        <v>259</v>
      </c>
      <c r="G1217">
        <f>IFERROR(VLOOKUP(Table_socioeca8.sandag.org_ws_abm2_f4[[#This Row],[hwycov_id]],[2]flow_freeway!$A$2:$E$1643,3,FALSE),0)</f>
        <v>38324</v>
      </c>
      <c r="H1217">
        <f>IFERROR(VLOOKUP(Table_socioeca8.sandag.org_ws_abm2_f4[[#This Row],[hwycov_id]],[2]flow_freeway!$A$2:$E$1643,4,FALSE),0)</f>
        <v>6775</v>
      </c>
      <c r="I1217">
        <f>IFERROR(VLOOKUP(Table_socioeca8.sandag.org_ws_abm2_f4[[#This Row],[hwycov_id]],[2]flow_freeway!$A$2:$E$1643,5,FALSE),0)</f>
        <v>8331</v>
      </c>
      <c r="K1217">
        <f>Table_socioeca8.sandag.org_ws_abm2_f4[[#This Row],[hwycov_id]]</f>
        <v>27720</v>
      </c>
      <c r="L1217">
        <f>Table_socioeca8.sandag.org_ws_abm2_f4[[#This Row],[scenario_id]]</f>
        <v>259</v>
      </c>
      <c r="M1217">
        <f>Table_socioeca8.sandag.org_ws_abm2_f4[[#This Row],[flow_day]]</f>
        <v>38324</v>
      </c>
      <c r="N1217">
        <f>Table_socioeca8.sandag.org_ws_abm2_f4[[#This Row],[flow_am]]</f>
        <v>6775</v>
      </c>
      <c r="O1217">
        <f>Table_socioeca8.sandag.org_ws_abm2_f4[[#This Row],[flow_pm]]</f>
        <v>8331</v>
      </c>
    </row>
    <row r="1218" spans="5:15" x14ac:dyDescent="0.25">
      <c r="E1218">
        <v>27721</v>
      </c>
      <c r="F1218">
        <f t="shared" si="18"/>
        <v>259</v>
      </c>
      <c r="G1218">
        <f>IFERROR(VLOOKUP(Table_socioeca8.sandag.org_ws_abm2_f4[[#This Row],[hwycov_id]],[2]flow_freeway!$A$2:$E$1643,3,FALSE),0)</f>
        <v>36242</v>
      </c>
      <c r="H1218">
        <f>IFERROR(VLOOKUP(Table_socioeca8.sandag.org_ws_abm2_f4[[#This Row],[hwycov_id]],[2]flow_freeway!$A$2:$E$1643,4,FALSE),0)</f>
        <v>6627</v>
      </c>
      <c r="I1218">
        <f>IFERROR(VLOOKUP(Table_socioeca8.sandag.org_ws_abm2_f4[[#This Row],[hwycov_id]],[2]flow_freeway!$A$2:$E$1643,5,FALSE),0)</f>
        <v>7535</v>
      </c>
      <c r="K1218">
        <f>Table_socioeca8.sandag.org_ws_abm2_f4[[#This Row],[hwycov_id]]</f>
        <v>27721</v>
      </c>
      <c r="L1218">
        <f>Table_socioeca8.sandag.org_ws_abm2_f4[[#This Row],[scenario_id]]</f>
        <v>259</v>
      </c>
      <c r="M1218">
        <f>Table_socioeca8.sandag.org_ws_abm2_f4[[#This Row],[flow_day]]</f>
        <v>36242</v>
      </c>
      <c r="N1218">
        <f>Table_socioeca8.sandag.org_ws_abm2_f4[[#This Row],[flow_am]]</f>
        <v>6627</v>
      </c>
      <c r="O1218">
        <f>Table_socioeca8.sandag.org_ws_abm2_f4[[#This Row],[flow_pm]]</f>
        <v>7535</v>
      </c>
    </row>
    <row r="1219" spans="5:15" x14ac:dyDescent="0.25">
      <c r="E1219">
        <v>27722</v>
      </c>
      <c r="F1219">
        <f t="shared" si="18"/>
        <v>259</v>
      </c>
      <c r="G1219">
        <f>IFERROR(VLOOKUP(Table_socioeca8.sandag.org_ws_abm2_f4[[#This Row],[hwycov_id]],[2]flow_freeway!$A$2:$E$1643,3,FALSE),0)</f>
        <v>27667</v>
      </c>
      <c r="H1219">
        <f>IFERROR(VLOOKUP(Table_socioeca8.sandag.org_ws_abm2_f4[[#This Row],[hwycov_id]],[2]flow_freeway!$A$2:$E$1643,4,FALSE),0)</f>
        <v>3696</v>
      </c>
      <c r="I1219">
        <f>IFERROR(VLOOKUP(Table_socioeca8.sandag.org_ws_abm2_f4[[#This Row],[hwycov_id]],[2]flow_freeway!$A$2:$E$1643,5,FALSE),0)</f>
        <v>7042</v>
      </c>
      <c r="K1219">
        <f>Table_socioeca8.sandag.org_ws_abm2_f4[[#This Row],[hwycov_id]]</f>
        <v>27722</v>
      </c>
      <c r="L1219">
        <f>Table_socioeca8.sandag.org_ws_abm2_f4[[#This Row],[scenario_id]]</f>
        <v>259</v>
      </c>
      <c r="M1219">
        <f>Table_socioeca8.sandag.org_ws_abm2_f4[[#This Row],[flow_day]]</f>
        <v>27667</v>
      </c>
      <c r="N1219">
        <f>Table_socioeca8.sandag.org_ws_abm2_f4[[#This Row],[flow_am]]</f>
        <v>3696</v>
      </c>
      <c r="O1219">
        <f>Table_socioeca8.sandag.org_ws_abm2_f4[[#This Row],[flow_pm]]</f>
        <v>7042</v>
      </c>
    </row>
    <row r="1220" spans="5:15" x14ac:dyDescent="0.25">
      <c r="E1220">
        <v>27724</v>
      </c>
      <c r="F1220">
        <f t="shared" ref="F1220:F1283" si="19">F1219</f>
        <v>259</v>
      </c>
      <c r="G1220">
        <f>IFERROR(VLOOKUP(Table_socioeca8.sandag.org_ws_abm2_f4[[#This Row],[hwycov_id]],[2]flow_freeway!$A$2:$E$1643,3,FALSE),0)</f>
        <v>31236</v>
      </c>
      <c r="H1220">
        <f>IFERROR(VLOOKUP(Table_socioeca8.sandag.org_ws_abm2_f4[[#This Row],[hwycov_id]],[2]flow_freeway!$A$2:$E$1643,4,FALSE),0)</f>
        <v>6047</v>
      </c>
      <c r="I1220">
        <f>IFERROR(VLOOKUP(Table_socioeca8.sandag.org_ws_abm2_f4[[#This Row],[hwycov_id]],[2]flow_freeway!$A$2:$E$1643,5,FALSE),0)</f>
        <v>6020</v>
      </c>
      <c r="K1220">
        <f>Table_socioeca8.sandag.org_ws_abm2_f4[[#This Row],[hwycov_id]]</f>
        <v>27724</v>
      </c>
      <c r="L1220">
        <f>Table_socioeca8.sandag.org_ws_abm2_f4[[#This Row],[scenario_id]]</f>
        <v>259</v>
      </c>
      <c r="M1220">
        <f>Table_socioeca8.sandag.org_ws_abm2_f4[[#This Row],[flow_day]]</f>
        <v>31236</v>
      </c>
      <c r="N1220">
        <f>Table_socioeca8.sandag.org_ws_abm2_f4[[#This Row],[flow_am]]</f>
        <v>6047</v>
      </c>
      <c r="O1220">
        <f>Table_socioeca8.sandag.org_ws_abm2_f4[[#This Row],[flow_pm]]</f>
        <v>6020</v>
      </c>
    </row>
    <row r="1221" spans="5:15" x14ac:dyDescent="0.25">
      <c r="E1221">
        <v>27737</v>
      </c>
      <c r="F1221">
        <f t="shared" si="19"/>
        <v>259</v>
      </c>
      <c r="G1221">
        <f>IFERROR(VLOOKUP(Table_socioeca8.sandag.org_ws_abm2_f4[[#This Row],[hwycov_id]],[2]flow_freeway!$A$2:$E$1643,3,FALSE),0)</f>
        <v>44409</v>
      </c>
      <c r="H1221">
        <f>IFERROR(VLOOKUP(Table_socioeca8.sandag.org_ws_abm2_f4[[#This Row],[hwycov_id]],[2]flow_freeway!$A$2:$E$1643,4,FALSE),0)</f>
        <v>8569</v>
      </c>
      <c r="I1221">
        <f>IFERROR(VLOOKUP(Table_socioeca8.sandag.org_ws_abm2_f4[[#This Row],[hwycov_id]],[2]flow_freeway!$A$2:$E$1643,5,FALSE),0)</f>
        <v>8755</v>
      </c>
      <c r="K1221">
        <f>Table_socioeca8.sandag.org_ws_abm2_f4[[#This Row],[hwycov_id]]</f>
        <v>27737</v>
      </c>
      <c r="L1221">
        <f>Table_socioeca8.sandag.org_ws_abm2_f4[[#This Row],[scenario_id]]</f>
        <v>259</v>
      </c>
      <c r="M1221">
        <f>Table_socioeca8.sandag.org_ws_abm2_f4[[#This Row],[flow_day]]</f>
        <v>44409</v>
      </c>
      <c r="N1221">
        <f>Table_socioeca8.sandag.org_ws_abm2_f4[[#This Row],[flow_am]]</f>
        <v>8569</v>
      </c>
      <c r="O1221">
        <f>Table_socioeca8.sandag.org_ws_abm2_f4[[#This Row],[flow_pm]]</f>
        <v>8755</v>
      </c>
    </row>
    <row r="1222" spans="5:15" x14ac:dyDescent="0.25">
      <c r="E1222">
        <v>27738</v>
      </c>
      <c r="F1222">
        <f t="shared" si="19"/>
        <v>259</v>
      </c>
      <c r="G1222">
        <f>IFERROR(VLOOKUP(Table_socioeca8.sandag.org_ws_abm2_f4[[#This Row],[hwycov_id]],[2]flow_freeway!$A$2:$E$1643,3,FALSE),0)</f>
        <v>43920</v>
      </c>
      <c r="H1222">
        <f>IFERROR(VLOOKUP(Table_socioeca8.sandag.org_ws_abm2_f4[[#This Row],[hwycov_id]],[2]flow_freeway!$A$2:$E$1643,4,FALSE),0)</f>
        <v>8455</v>
      </c>
      <c r="I1222">
        <f>IFERROR(VLOOKUP(Table_socioeca8.sandag.org_ws_abm2_f4[[#This Row],[hwycov_id]],[2]flow_freeway!$A$2:$E$1643,5,FALSE),0)</f>
        <v>8662</v>
      </c>
      <c r="K1222">
        <f>Table_socioeca8.sandag.org_ws_abm2_f4[[#This Row],[hwycov_id]]</f>
        <v>27738</v>
      </c>
      <c r="L1222">
        <f>Table_socioeca8.sandag.org_ws_abm2_f4[[#This Row],[scenario_id]]</f>
        <v>259</v>
      </c>
      <c r="M1222">
        <f>Table_socioeca8.sandag.org_ws_abm2_f4[[#This Row],[flow_day]]</f>
        <v>43920</v>
      </c>
      <c r="N1222">
        <f>Table_socioeca8.sandag.org_ws_abm2_f4[[#This Row],[flow_am]]</f>
        <v>8455</v>
      </c>
      <c r="O1222">
        <f>Table_socioeca8.sandag.org_ws_abm2_f4[[#This Row],[flow_pm]]</f>
        <v>8662</v>
      </c>
    </row>
    <row r="1223" spans="5:15" x14ac:dyDescent="0.25">
      <c r="E1223">
        <v>27739</v>
      </c>
      <c r="F1223">
        <f t="shared" si="19"/>
        <v>259</v>
      </c>
      <c r="G1223">
        <f>IFERROR(VLOOKUP(Table_socioeca8.sandag.org_ws_abm2_f4[[#This Row],[hwycov_id]],[2]flow_freeway!$A$2:$E$1643,3,FALSE),0)</f>
        <v>44409</v>
      </c>
      <c r="H1223">
        <f>IFERROR(VLOOKUP(Table_socioeca8.sandag.org_ws_abm2_f4[[#This Row],[hwycov_id]],[2]flow_freeway!$A$2:$E$1643,4,FALSE),0)</f>
        <v>8569</v>
      </c>
      <c r="I1223">
        <f>IFERROR(VLOOKUP(Table_socioeca8.sandag.org_ws_abm2_f4[[#This Row],[hwycov_id]],[2]flow_freeway!$A$2:$E$1643,5,FALSE),0)</f>
        <v>8755</v>
      </c>
      <c r="K1223">
        <f>Table_socioeca8.sandag.org_ws_abm2_f4[[#This Row],[hwycov_id]]</f>
        <v>27739</v>
      </c>
      <c r="L1223">
        <f>Table_socioeca8.sandag.org_ws_abm2_f4[[#This Row],[scenario_id]]</f>
        <v>259</v>
      </c>
      <c r="M1223">
        <f>Table_socioeca8.sandag.org_ws_abm2_f4[[#This Row],[flow_day]]</f>
        <v>44409</v>
      </c>
      <c r="N1223">
        <f>Table_socioeca8.sandag.org_ws_abm2_f4[[#This Row],[flow_am]]</f>
        <v>8569</v>
      </c>
      <c r="O1223">
        <f>Table_socioeca8.sandag.org_ws_abm2_f4[[#This Row],[flow_pm]]</f>
        <v>8755</v>
      </c>
    </row>
    <row r="1224" spans="5:15" x14ac:dyDescent="0.25">
      <c r="E1224">
        <v>27740</v>
      </c>
      <c r="F1224">
        <f t="shared" si="19"/>
        <v>259</v>
      </c>
      <c r="G1224">
        <f>IFERROR(VLOOKUP(Table_socioeca8.sandag.org_ws_abm2_f4[[#This Row],[hwycov_id]],[2]flow_freeway!$A$2:$E$1643,3,FALSE),0)</f>
        <v>41949</v>
      </c>
      <c r="H1224">
        <f>IFERROR(VLOOKUP(Table_socioeca8.sandag.org_ws_abm2_f4[[#This Row],[hwycov_id]],[2]flow_freeway!$A$2:$E$1643,4,FALSE),0)</f>
        <v>7241</v>
      </c>
      <c r="I1224">
        <f>IFERROR(VLOOKUP(Table_socioeca8.sandag.org_ws_abm2_f4[[#This Row],[hwycov_id]],[2]flow_freeway!$A$2:$E$1643,5,FALSE),0)</f>
        <v>9274</v>
      </c>
      <c r="K1224">
        <f>Table_socioeca8.sandag.org_ws_abm2_f4[[#This Row],[hwycov_id]]</f>
        <v>27740</v>
      </c>
      <c r="L1224">
        <f>Table_socioeca8.sandag.org_ws_abm2_f4[[#This Row],[scenario_id]]</f>
        <v>259</v>
      </c>
      <c r="M1224">
        <f>Table_socioeca8.sandag.org_ws_abm2_f4[[#This Row],[flow_day]]</f>
        <v>41949</v>
      </c>
      <c r="N1224">
        <f>Table_socioeca8.sandag.org_ws_abm2_f4[[#This Row],[flow_am]]</f>
        <v>7241</v>
      </c>
      <c r="O1224">
        <f>Table_socioeca8.sandag.org_ws_abm2_f4[[#This Row],[flow_pm]]</f>
        <v>9274</v>
      </c>
    </row>
    <row r="1225" spans="5:15" x14ac:dyDescent="0.25">
      <c r="E1225">
        <v>27741</v>
      </c>
      <c r="F1225">
        <f t="shared" si="19"/>
        <v>259</v>
      </c>
      <c r="G1225">
        <f>IFERROR(VLOOKUP(Table_socioeca8.sandag.org_ws_abm2_f4[[#This Row],[hwycov_id]],[2]flow_freeway!$A$2:$E$1643,3,FALSE),0)</f>
        <v>41949</v>
      </c>
      <c r="H1225">
        <f>IFERROR(VLOOKUP(Table_socioeca8.sandag.org_ws_abm2_f4[[#This Row],[hwycov_id]],[2]flow_freeway!$A$2:$E$1643,4,FALSE),0)</f>
        <v>7241</v>
      </c>
      <c r="I1225">
        <f>IFERROR(VLOOKUP(Table_socioeca8.sandag.org_ws_abm2_f4[[#This Row],[hwycov_id]],[2]flow_freeway!$A$2:$E$1643,5,FALSE),0)</f>
        <v>9274</v>
      </c>
      <c r="K1225">
        <f>Table_socioeca8.sandag.org_ws_abm2_f4[[#This Row],[hwycov_id]]</f>
        <v>27741</v>
      </c>
      <c r="L1225">
        <f>Table_socioeca8.sandag.org_ws_abm2_f4[[#This Row],[scenario_id]]</f>
        <v>259</v>
      </c>
      <c r="M1225">
        <f>Table_socioeca8.sandag.org_ws_abm2_f4[[#This Row],[flow_day]]</f>
        <v>41949</v>
      </c>
      <c r="N1225">
        <f>Table_socioeca8.sandag.org_ws_abm2_f4[[#This Row],[flow_am]]</f>
        <v>7241</v>
      </c>
      <c r="O1225">
        <f>Table_socioeca8.sandag.org_ws_abm2_f4[[#This Row],[flow_pm]]</f>
        <v>9274</v>
      </c>
    </row>
    <row r="1226" spans="5:15" x14ac:dyDescent="0.25">
      <c r="E1226">
        <v>27742</v>
      </c>
      <c r="F1226">
        <f t="shared" si="19"/>
        <v>259</v>
      </c>
      <c r="G1226">
        <f>IFERROR(VLOOKUP(Table_socioeca8.sandag.org_ws_abm2_f4[[#This Row],[hwycov_id]],[2]flow_freeway!$A$2:$E$1643,3,FALSE),0)</f>
        <v>41392</v>
      </c>
      <c r="H1226">
        <f>IFERROR(VLOOKUP(Table_socioeca8.sandag.org_ws_abm2_f4[[#This Row],[hwycov_id]],[2]flow_freeway!$A$2:$E$1643,4,FALSE),0)</f>
        <v>7157</v>
      </c>
      <c r="I1226">
        <f>IFERROR(VLOOKUP(Table_socioeca8.sandag.org_ws_abm2_f4[[#This Row],[hwycov_id]],[2]flow_freeway!$A$2:$E$1643,5,FALSE),0)</f>
        <v>9143</v>
      </c>
      <c r="K1226">
        <f>Table_socioeca8.sandag.org_ws_abm2_f4[[#This Row],[hwycov_id]]</f>
        <v>27742</v>
      </c>
      <c r="L1226">
        <f>Table_socioeca8.sandag.org_ws_abm2_f4[[#This Row],[scenario_id]]</f>
        <v>259</v>
      </c>
      <c r="M1226">
        <f>Table_socioeca8.sandag.org_ws_abm2_f4[[#This Row],[flow_day]]</f>
        <v>41392</v>
      </c>
      <c r="N1226">
        <f>Table_socioeca8.sandag.org_ws_abm2_f4[[#This Row],[flow_am]]</f>
        <v>7157</v>
      </c>
      <c r="O1226">
        <f>Table_socioeca8.sandag.org_ws_abm2_f4[[#This Row],[flow_pm]]</f>
        <v>9143</v>
      </c>
    </row>
    <row r="1227" spans="5:15" x14ac:dyDescent="0.25">
      <c r="E1227">
        <v>27743</v>
      </c>
      <c r="F1227">
        <f t="shared" si="19"/>
        <v>259</v>
      </c>
      <c r="G1227">
        <f>IFERROR(VLOOKUP(Table_socioeca8.sandag.org_ws_abm2_f4[[#This Row],[hwycov_id]],[2]flow_freeway!$A$2:$E$1643,3,FALSE),0)</f>
        <v>11319</v>
      </c>
      <c r="H1227">
        <f>IFERROR(VLOOKUP(Table_socioeca8.sandag.org_ws_abm2_f4[[#This Row],[hwycov_id]],[2]flow_freeway!$A$2:$E$1643,4,FALSE),0)</f>
        <v>529</v>
      </c>
      <c r="I1227">
        <f>IFERROR(VLOOKUP(Table_socioeca8.sandag.org_ws_abm2_f4[[#This Row],[hwycov_id]],[2]flow_freeway!$A$2:$E$1643,5,FALSE),0)</f>
        <v>4079</v>
      </c>
      <c r="K1227">
        <f>Table_socioeca8.sandag.org_ws_abm2_f4[[#This Row],[hwycov_id]]</f>
        <v>27743</v>
      </c>
      <c r="L1227">
        <f>Table_socioeca8.sandag.org_ws_abm2_f4[[#This Row],[scenario_id]]</f>
        <v>259</v>
      </c>
      <c r="M1227">
        <f>Table_socioeca8.sandag.org_ws_abm2_f4[[#This Row],[flow_day]]</f>
        <v>11319</v>
      </c>
      <c r="N1227">
        <f>Table_socioeca8.sandag.org_ws_abm2_f4[[#This Row],[flow_am]]</f>
        <v>529</v>
      </c>
      <c r="O1227">
        <f>Table_socioeca8.sandag.org_ws_abm2_f4[[#This Row],[flow_pm]]</f>
        <v>4079</v>
      </c>
    </row>
    <row r="1228" spans="5:15" x14ac:dyDescent="0.25">
      <c r="E1228">
        <v>27744</v>
      </c>
      <c r="F1228">
        <f t="shared" si="19"/>
        <v>259</v>
      </c>
      <c r="G1228">
        <f>IFERROR(VLOOKUP(Table_socioeca8.sandag.org_ws_abm2_f4[[#This Row],[hwycov_id]],[2]flow_freeway!$A$2:$E$1643,3,FALSE),0)</f>
        <v>40127</v>
      </c>
      <c r="H1228">
        <f>IFERROR(VLOOKUP(Table_socioeca8.sandag.org_ws_abm2_f4[[#This Row],[hwycov_id]],[2]flow_freeway!$A$2:$E$1643,4,FALSE),0)</f>
        <v>8634</v>
      </c>
      <c r="I1228">
        <f>IFERROR(VLOOKUP(Table_socioeca8.sandag.org_ws_abm2_f4[[#This Row],[hwycov_id]],[2]flow_freeway!$A$2:$E$1643,5,FALSE),0)</f>
        <v>9454</v>
      </c>
      <c r="K1228">
        <f>Table_socioeca8.sandag.org_ws_abm2_f4[[#This Row],[hwycov_id]]</f>
        <v>27744</v>
      </c>
      <c r="L1228">
        <f>Table_socioeca8.sandag.org_ws_abm2_f4[[#This Row],[scenario_id]]</f>
        <v>259</v>
      </c>
      <c r="M1228">
        <f>Table_socioeca8.sandag.org_ws_abm2_f4[[#This Row],[flow_day]]</f>
        <v>40127</v>
      </c>
      <c r="N1228">
        <f>Table_socioeca8.sandag.org_ws_abm2_f4[[#This Row],[flow_am]]</f>
        <v>8634</v>
      </c>
      <c r="O1228">
        <f>Table_socioeca8.sandag.org_ws_abm2_f4[[#This Row],[flow_pm]]</f>
        <v>9454</v>
      </c>
    </row>
    <row r="1229" spans="5:15" x14ac:dyDescent="0.25">
      <c r="E1229">
        <v>27766</v>
      </c>
      <c r="F1229">
        <f t="shared" si="19"/>
        <v>259</v>
      </c>
      <c r="G1229">
        <f>IFERROR(VLOOKUP(Table_socioeca8.sandag.org_ws_abm2_f4[[#This Row],[hwycov_id]],[2]flow_freeway!$A$2:$E$1643,3,FALSE),0)</f>
        <v>42308</v>
      </c>
      <c r="H1229">
        <f>IFERROR(VLOOKUP(Table_socioeca8.sandag.org_ws_abm2_f4[[#This Row],[hwycov_id]],[2]flow_freeway!$A$2:$E$1643,4,FALSE),0)</f>
        <v>10381</v>
      </c>
      <c r="I1229">
        <f>IFERROR(VLOOKUP(Table_socioeca8.sandag.org_ws_abm2_f4[[#This Row],[hwycov_id]],[2]flow_freeway!$A$2:$E$1643,5,FALSE),0)</f>
        <v>9259</v>
      </c>
      <c r="K1229">
        <f>Table_socioeca8.sandag.org_ws_abm2_f4[[#This Row],[hwycov_id]]</f>
        <v>27766</v>
      </c>
      <c r="L1229">
        <f>Table_socioeca8.sandag.org_ws_abm2_f4[[#This Row],[scenario_id]]</f>
        <v>259</v>
      </c>
      <c r="M1229">
        <f>Table_socioeca8.sandag.org_ws_abm2_f4[[#This Row],[flow_day]]</f>
        <v>42308</v>
      </c>
      <c r="N1229">
        <f>Table_socioeca8.sandag.org_ws_abm2_f4[[#This Row],[flow_am]]</f>
        <v>10381</v>
      </c>
      <c r="O1229">
        <f>Table_socioeca8.sandag.org_ws_abm2_f4[[#This Row],[flow_pm]]</f>
        <v>9259</v>
      </c>
    </row>
    <row r="1230" spans="5:15" x14ac:dyDescent="0.25">
      <c r="E1230">
        <v>27774</v>
      </c>
      <c r="F1230">
        <f t="shared" si="19"/>
        <v>259</v>
      </c>
      <c r="G1230">
        <f>IFERROR(VLOOKUP(Table_socioeca8.sandag.org_ws_abm2_f4[[#This Row],[hwycov_id]],[2]flow_freeway!$A$2:$E$1643,3,FALSE),0)</f>
        <v>25771</v>
      </c>
      <c r="H1230">
        <f>IFERROR(VLOOKUP(Table_socioeca8.sandag.org_ws_abm2_f4[[#This Row],[hwycov_id]],[2]flow_freeway!$A$2:$E$1643,4,FALSE),0)</f>
        <v>5791</v>
      </c>
      <c r="I1230">
        <f>IFERROR(VLOOKUP(Table_socioeca8.sandag.org_ws_abm2_f4[[#This Row],[hwycov_id]],[2]flow_freeway!$A$2:$E$1643,5,FALSE),0)</f>
        <v>5622</v>
      </c>
      <c r="K1230">
        <f>Table_socioeca8.sandag.org_ws_abm2_f4[[#This Row],[hwycov_id]]</f>
        <v>27774</v>
      </c>
      <c r="L1230">
        <f>Table_socioeca8.sandag.org_ws_abm2_f4[[#This Row],[scenario_id]]</f>
        <v>259</v>
      </c>
      <c r="M1230">
        <f>Table_socioeca8.sandag.org_ws_abm2_f4[[#This Row],[flow_day]]</f>
        <v>25771</v>
      </c>
      <c r="N1230">
        <f>Table_socioeca8.sandag.org_ws_abm2_f4[[#This Row],[flow_am]]</f>
        <v>5791</v>
      </c>
      <c r="O1230">
        <f>Table_socioeca8.sandag.org_ws_abm2_f4[[#This Row],[flow_pm]]</f>
        <v>5622</v>
      </c>
    </row>
    <row r="1231" spans="5:15" x14ac:dyDescent="0.25">
      <c r="E1231">
        <v>27781</v>
      </c>
      <c r="F1231">
        <f t="shared" si="19"/>
        <v>259</v>
      </c>
      <c r="G1231">
        <f>IFERROR(VLOOKUP(Table_socioeca8.sandag.org_ws_abm2_f4[[#This Row],[hwycov_id]],[2]flow_freeway!$A$2:$E$1643,3,FALSE),0)</f>
        <v>77371</v>
      </c>
      <c r="H1231">
        <f>IFERROR(VLOOKUP(Table_socioeca8.sandag.org_ws_abm2_f4[[#This Row],[hwycov_id]],[2]flow_freeway!$A$2:$E$1643,4,FALSE),0)</f>
        <v>10811</v>
      </c>
      <c r="I1231">
        <f>IFERROR(VLOOKUP(Table_socioeca8.sandag.org_ws_abm2_f4[[#This Row],[hwycov_id]],[2]flow_freeway!$A$2:$E$1643,5,FALSE),0)</f>
        <v>23871</v>
      </c>
      <c r="K1231">
        <f>Table_socioeca8.sandag.org_ws_abm2_f4[[#This Row],[hwycov_id]]</f>
        <v>27781</v>
      </c>
      <c r="L1231">
        <f>Table_socioeca8.sandag.org_ws_abm2_f4[[#This Row],[scenario_id]]</f>
        <v>259</v>
      </c>
      <c r="M1231">
        <f>Table_socioeca8.sandag.org_ws_abm2_f4[[#This Row],[flow_day]]</f>
        <v>77371</v>
      </c>
      <c r="N1231">
        <f>Table_socioeca8.sandag.org_ws_abm2_f4[[#This Row],[flow_am]]</f>
        <v>10811</v>
      </c>
      <c r="O1231">
        <f>Table_socioeca8.sandag.org_ws_abm2_f4[[#This Row],[flow_pm]]</f>
        <v>23871</v>
      </c>
    </row>
    <row r="1232" spans="5:15" x14ac:dyDescent="0.25">
      <c r="E1232">
        <v>27789</v>
      </c>
      <c r="F1232">
        <f t="shared" si="19"/>
        <v>259</v>
      </c>
      <c r="G1232">
        <f>IFERROR(VLOOKUP(Table_socioeca8.sandag.org_ws_abm2_f4[[#This Row],[hwycov_id]],[2]flow_freeway!$A$2:$E$1643,3,FALSE),0)</f>
        <v>83953</v>
      </c>
      <c r="H1232">
        <f>IFERROR(VLOOKUP(Table_socioeca8.sandag.org_ws_abm2_f4[[#This Row],[hwycov_id]],[2]flow_freeway!$A$2:$E$1643,4,FALSE),0)</f>
        <v>22902</v>
      </c>
      <c r="I1232">
        <f>IFERROR(VLOOKUP(Table_socioeca8.sandag.org_ws_abm2_f4[[#This Row],[hwycov_id]],[2]flow_freeway!$A$2:$E$1643,5,FALSE),0)</f>
        <v>17220</v>
      </c>
      <c r="K1232">
        <f>Table_socioeca8.sandag.org_ws_abm2_f4[[#This Row],[hwycov_id]]</f>
        <v>27789</v>
      </c>
      <c r="L1232">
        <f>Table_socioeca8.sandag.org_ws_abm2_f4[[#This Row],[scenario_id]]</f>
        <v>259</v>
      </c>
      <c r="M1232">
        <f>Table_socioeca8.sandag.org_ws_abm2_f4[[#This Row],[flow_day]]</f>
        <v>83953</v>
      </c>
      <c r="N1232">
        <f>Table_socioeca8.sandag.org_ws_abm2_f4[[#This Row],[flow_am]]</f>
        <v>22902</v>
      </c>
      <c r="O1232">
        <f>Table_socioeca8.sandag.org_ws_abm2_f4[[#This Row],[flow_pm]]</f>
        <v>17220</v>
      </c>
    </row>
    <row r="1233" spans="5:15" x14ac:dyDescent="0.25">
      <c r="E1233">
        <v>27790</v>
      </c>
      <c r="F1233">
        <f t="shared" si="19"/>
        <v>259</v>
      </c>
      <c r="G1233">
        <f>IFERROR(VLOOKUP(Table_socioeca8.sandag.org_ws_abm2_f4[[#This Row],[hwycov_id]],[2]flow_freeway!$A$2:$E$1643,3,FALSE),0)</f>
        <v>99593</v>
      </c>
      <c r="H1233">
        <f>IFERROR(VLOOKUP(Table_socioeca8.sandag.org_ws_abm2_f4[[#This Row],[hwycov_id]],[2]flow_freeway!$A$2:$E$1643,4,FALSE),0)</f>
        <v>15808</v>
      </c>
      <c r="I1233">
        <f>IFERROR(VLOOKUP(Table_socioeca8.sandag.org_ws_abm2_f4[[#This Row],[hwycov_id]],[2]flow_freeway!$A$2:$E$1643,5,FALSE),0)</f>
        <v>29477</v>
      </c>
      <c r="K1233">
        <f>Table_socioeca8.sandag.org_ws_abm2_f4[[#This Row],[hwycov_id]]</f>
        <v>27790</v>
      </c>
      <c r="L1233">
        <f>Table_socioeca8.sandag.org_ws_abm2_f4[[#This Row],[scenario_id]]</f>
        <v>259</v>
      </c>
      <c r="M1233">
        <f>Table_socioeca8.sandag.org_ws_abm2_f4[[#This Row],[flow_day]]</f>
        <v>99593</v>
      </c>
      <c r="N1233">
        <f>Table_socioeca8.sandag.org_ws_abm2_f4[[#This Row],[flow_am]]</f>
        <v>15808</v>
      </c>
      <c r="O1233">
        <f>Table_socioeca8.sandag.org_ws_abm2_f4[[#This Row],[flow_pm]]</f>
        <v>29477</v>
      </c>
    </row>
    <row r="1234" spans="5:15" x14ac:dyDescent="0.25">
      <c r="E1234">
        <v>27791</v>
      </c>
      <c r="F1234">
        <f t="shared" si="19"/>
        <v>259</v>
      </c>
      <c r="G1234">
        <f>IFERROR(VLOOKUP(Table_socioeca8.sandag.org_ws_abm2_f4[[#This Row],[hwycov_id]],[2]flow_freeway!$A$2:$E$1643,3,FALSE),0)</f>
        <v>104645</v>
      </c>
      <c r="H1234">
        <f>IFERROR(VLOOKUP(Table_socioeca8.sandag.org_ws_abm2_f4[[#This Row],[hwycov_id]],[2]flow_freeway!$A$2:$E$1643,4,FALSE),0)</f>
        <v>16855</v>
      </c>
      <c r="I1234">
        <f>IFERROR(VLOOKUP(Table_socioeca8.sandag.org_ws_abm2_f4[[#This Row],[hwycov_id]],[2]flow_freeway!$A$2:$E$1643,5,FALSE),0)</f>
        <v>30553</v>
      </c>
      <c r="K1234">
        <f>Table_socioeca8.sandag.org_ws_abm2_f4[[#This Row],[hwycov_id]]</f>
        <v>27791</v>
      </c>
      <c r="L1234">
        <f>Table_socioeca8.sandag.org_ws_abm2_f4[[#This Row],[scenario_id]]</f>
        <v>259</v>
      </c>
      <c r="M1234">
        <f>Table_socioeca8.sandag.org_ws_abm2_f4[[#This Row],[flow_day]]</f>
        <v>104645</v>
      </c>
      <c r="N1234">
        <f>Table_socioeca8.sandag.org_ws_abm2_f4[[#This Row],[flow_am]]</f>
        <v>16855</v>
      </c>
      <c r="O1234">
        <f>Table_socioeca8.sandag.org_ws_abm2_f4[[#This Row],[flow_pm]]</f>
        <v>30553</v>
      </c>
    </row>
    <row r="1235" spans="5:15" x14ac:dyDescent="0.25">
      <c r="E1235">
        <v>27792</v>
      </c>
      <c r="F1235">
        <f t="shared" si="19"/>
        <v>259</v>
      </c>
      <c r="G1235">
        <f>IFERROR(VLOOKUP(Table_socioeca8.sandag.org_ws_abm2_f4[[#This Row],[hwycov_id]],[2]flow_freeway!$A$2:$E$1643,3,FALSE),0)</f>
        <v>106062</v>
      </c>
      <c r="H1235">
        <f>IFERROR(VLOOKUP(Table_socioeca8.sandag.org_ws_abm2_f4[[#This Row],[hwycov_id]],[2]flow_freeway!$A$2:$E$1643,4,FALSE),0)</f>
        <v>27418</v>
      </c>
      <c r="I1235">
        <f>IFERROR(VLOOKUP(Table_socioeca8.sandag.org_ws_abm2_f4[[#This Row],[hwycov_id]],[2]flow_freeway!$A$2:$E$1643,5,FALSE),0)</f>
        <v>22891</v>
      </c>
      <c r="K1235">
        <f>Table_socioeca8.sandag.org_ws_abm2_f4[[#This Row],[hwycov_id]]</f>
        <v>27792</v>
      </c>
      <c r="L1235">
        <f>Table_socioeca8.sandag.org_ws_abm2_f4[[#This Row],[scenario_id]]</f>
        <v>259</v>
      </c>
      <c r="M1235">
        <f>Table_socioeca8.sandag.org_ws_abm2_f4[[#This Row],[flow_day]]</f>
        <v>106062</v>
      </c>
      <c r="N1235">
        <f>Table_socioeca8.sandag.org_ws_abm2_f4[[#This Row],[flow_am]]</f>
        <v>27418</v>
      </c>
      <c r="O1235">
        <f>Table_socioeca8.sandag.org_ws_abm2_f4[[#This Row],[flow_pm]]</f>
        <v>22891</v>
      </c>
    </row>
    <row r="1236" spans="5:15" x14ac:dyDescent="0.25">
      <c r="E1236">
        <v>27795</v>
      </c>
      <c r="F1236">
        <f t="shared" si="19"/>
        <v>259</v>
      </c>
      <c r="G1236">
        <f>IFERROR(VLOOKUP(Table_socioeca8.sandag.org_ws_abm2_f4[[#This Row],[hwycov_id]],[2]flow_freeway!$A$2:$E$1643,3,FALSE),0)</f>
        <v>96038</v>
      </c>
      <c r="H1236">
        <f>IFERROR(VLOOKUP(Table_socioeca8.sandag.org_ws_abm2_f4[[#This Row],[hwycov_id]],[2]flow_freeway!$A$2:$E$1643,4,FALSE),0)</f>
        <v>15712</v>
      </c>
      <c r="I1236">
        <f>IFERROR(VLOOKUP(Table_socioeca8.sandag.org_ws_abm2_f4[[#This Row],[hwycov_id]],[2]flow_freeway!$A$2:$E$1643,5,FALSE),0)</f>
        <v>28183</v>
      </c>
      <c r="K1236">
        <f>Table_socioeca8.sandag.org_ws_abm2_f4[[#This Row],[hwycov_id]]</f>
        <v>27795</v>
      </c>
      <c r="L1236">
        <f>Table_socioeca8.sandag.org_ws_abm2_f4[[#This Row],[scenario_id]]</f>
        <v>259</v>
      </c>
      <c r="M1236">
        <f>Table_socioeca8.sandag.org_ws_abm2_f4[[#This Row],[flow_day]]</f>
        <v>96038</v>
      </c>
      <c r="N1236">
        <f>Table_socioeca8.sandag.org_ws_abm2_f4[[#This Row],[flow_am]]</f>
        <v>15712</v>
      </c>
      <c r="O1236">
        <f>Table_socioeca8.sandag.org_ws_abm2_f4[[#This Row],[flow_pm]]</f>
        <v>28183</v>
      </c>
    </row>
    <row r="1237" spans="5:15" x14ac:dyDescent="0.25">
      <c r="E1237">
        <v>27796</v>
      </c>
      <c r="F1237">
        <f t="shared" si="19"/>
        <v>259</v>
      </c>
      <c r="G1237">
        <f>IFERROR(VLOOKUP(Table_socioeca8.sandag.org_ws_abm2_f4[[#This Row],[hwycov_id]],[2]flow_freeway!$A$2:$E$1643,3,FALSE),0)</f>
        <v>93653</v>
      </c>
      <c r="H1237">
        <f>IFERROR(VLOOKUP(Table_socioeca8.sandag.org_ws_abm2_f4[[#This Row],[hwycov_id]],[2]flow_freeway!$A$2:$E$1643,4,FALSE),0)</f>
        <v>24513</v>
      </c>
      <c r="I1237">
        <f>IFERROR(VLOOKUP(Table_socioeca8.sandag.org_ws_abm2_f4[[#This Row],[hwycov_id]],[2]flow_freeway!$A$2:$E$1643,5,FALSE),0)</f>
        <v>20200</v>
      </c>
      <c r="K1237">
        <f>Table_socioeca8.sandag.org_ws_abm2_f4[[#This Row],[hwycov_id]]</f>
        <v>27796</v>
      </c>
      <c r="L1237">
        <f>Table_socioeca8.sandag.org_ws_abm2_f4[[#This Row],[scenario_id]]</f>
        <v>259</v>
      </c>
      <c r="M1237">
        <f>Table_socioeca8.sandag.org_ws_abm2_f4[[#This Row],[flow_day]]</f>
        <v>93653</v>
      </c>
      <c r="N1237">
        <f>Table_socioeca8.sandag.org_ws_abm2_f4[[#This Row],[flow_am]]</f>
        <v>24513</v>
      </c>
      <c r="O1237">
        <f>Table_socioeca8.sandag.org_ws_abm2_f4[[#This Row],[flow_pm]]</f>
        <v>20200</v>
      </c>
    </row>
    <row r="1238" spans="5:15" x14ac:dyDescent="0.25">
      <c r="E1238">
        <v>27806</v>
      </c>
      <c r="F1238">
        <f t="shared" si="19"/>
        <v>259</v>
      </c>
      <c r="G1238">
        <f>IFERROR(VLOOKUP(Table_socioeca8.sandag.org_ws_abm2_f4[[#This Row],[hwycov_id]],[2]flow_freeway!$A$2:$E$1643,3,FALSE),0)</f>
        <v>104721</v>
      </c>
      <c r="H1238">
        <f>IFERROR(VLOOKUP(Table_socioeca8.sandag.org_ws_abm2_f4[[#This Row],[hwycov_id]],[2]flow_freeway!$A$2:$E$1643,4,FALSE),0)</f>
        <v>17452</v>
      </c>
      <c r="I1238">
        <f>IFERROR(VLOOKUP(Table_socioeca8.sandag.org_ws_abm2_f4[[#This Row],[hwycov_id]],[2]flow_freeway!$A$2:$E$1643,5,FALSE),0)</f>
        <v>30725</v>
      </c>
      <c r="K1238">
        <f>Table_socioeca8.sandag.org_ws_abm2_f4[[#This Row],[hwycov_id]]</f>
        <v>27806</v>
      </c>
      <c r="L1238">
        <f>Table_socioeca8.sandag.org_ws_abm2_f4[[#This Row],[scenario_id]]</f>
        <v>259</v>
      </c>
      <c r="M1238">
        <f>Table_socioeca8.sandag.org_ws_abm2_f4[[#This Row],[flow_day]]</f>
        <v>104721</v>
      </c>
      <c r="N1238">
        <f>Table_socioeca8.sandag.org_ws_abm2_f4[[#This Row],[flow_am]]</f>
        <v>17452</v>
      </c>
      <c r="O1238">
        <f>Table_socioeca8.sandag.org_ws_abm2_f4[[#This Row],[flow_pm]]</f>
        <v>30725</v>
      </c>
    </row>
    <row r="1239" spans="5:15" x14ac:dyDescent="0.25">
      <c r="E1239">
        <v>27807</v>
      </c>
      <c r="F1239">
        <f t="shared" si="19"/>
        <v>259</v>
      </c>
      <c r="G1239">
        <f>IFERROR(VLOOKUP(Table_socioeca8.sandag.org_ws_abm2_f4[[#This Row],[hwycov_id]],[2]flow_freeway!$A$2:$E$1643,3,FALSE),0)</f>
        <v>103520</v>
      </c>
      <c r="H1239">
        <f>IFERROR(VLOOKUP(Table_socioeca8.sandag.org_ws_abm2_f4[[#This Row],[hwycov_id]],[2]flow_freeway!$A$2:$E$1643,4,FALSE),0)</f>
        <v>26824</v>
      </c>
      <c r="I1239">
        <f>IFERROR(VLOOKUP(Table_socioeca8.sandag.org_ws_abm2_f4[[#This Row],[hwycov_id]],[2]flow_freeway!$A$2:$E$1643,5,FALSE),0)</f>
        <v>22453</v>
      </c>
      <c r="K1239">
        <f>Table_socioeca8.sandag.org_ws_abm2_f4[[#This Row],[hwycov_id]]</f>
        <v>27807</v>
      </c>
      <c r="L1239">
        <f>Table_socioeca8.sandag.org_ws_abm2_f4[[#This Row],[scenario_id]]</f>
        <v>259</v>
      </c>
      <c r="M1239">
        <f>Table_socioeca8.sandag.org_ws_abm2_f4[[#This Row],[flow_day]]</f>
        <v>103520</v>
      </c>
      <c r="N1239">
        <f>Table_socioeca8.sandag.org_ws_abm2_f4[[#This Row],[flow_am]]</f>
        <v>26824</v>
      </c>
      <c r="O1239">
        <f>Table_socioeca8.sandag.org_ws_abm2_f4[[#This Row],[flow_pm]]</f>
        <v>22453</v>
      </c>
    </row>
    <row r="1240" spans="5:15" x14ac:dyDescent="0.25">
      <c r="E1240">
        <v>27820</v>
      </c>
      <c r="F1240">
        <f t="shared" si="19"/>
        <v>259</v>
      </c>
      <c r="G1240">
        <f>IFERROR(VLOOKUP(Table_socioeca8.sandag.org_ws_abm2_f4[[#This Row],[hwycov_id]],[2]flow_freeway!$A$2:$E$1643,3,FALSE),0)</f>
        <v>132319</v>
      </c>
      <c r="H1240">
        <f>IFERROR(VLOOKUP(Table_socioeca8.sandag.org_ws_abm2_f4[[#This Row],[hwycov_id]],[2]flow_freeway!$A$2:$E$1643,4,FALSE),0)</f>
        <v>33367</v>
      </c>
      <c r="I1240">
        <f>IFERROR(VLOOKUP(Table_socioeca8.sandag.org_ws_abm2_f4[[#This Row],[hwycov_id]],[2]flow_freeway!$A$2:$E$1643,5,FALSE),0)</f>
        <v>25685</v>
      </c>
      <c r="K1240">
        <f>Table_socioeca8.sandag.org_ws_abm2_f4[[#This Row],[hwycov_id]]</f>
        <v>27820</v>
      </c>
      <c r="L1240">
        <f>Table_socioeca8.sandag.org_ws_abm2_f4[[#This Row],[scenario_id]]</f>
        <v>259</v>
      </c>
      <c r="M1240">
        <f>Table_socioeca8.sandag.org_ws_abm2_f4[[#This Row],[flow_day]]</f>
        <v>132319</v>
      </c>
      <c r="N1240">
        <f>Table_socioeca8.sandag.org_ws_abm2_f4[[#This Row],[flow_am]]</f>
        <v>33367</v>
      </c>
      <c r="O1240">
        <f>Table_socioeca8.sandag.org_ws_abm2_f4[[#This Row],[flow_pm]]</f>
        <v>25685</v>
      </c>
    </row>
    <row r="1241" spans="5:15" x14ac:dyDescent="0.25">
      <c r="E1241">
        <v>27824</v>
      </c>
      <c r="F1241">
        <f t="shared" si="19"/>
        <v>259</v>
      </c>
      <c r="G1241">
        <f>IFERROR(VLOOKUP(Table_socioeca8.sandag.org_ws_abm2_f4[[#This Row],[hwycov_id]],[2]flow_freeway!$A$2:$E$1643,3,FALSE),0)</f>
        <v>101473</v>
      </c>
      <c r="H1241">
        <f>IFERROR(VLOOKUP(Table_socioeca8.sandag.org_ws_abm2_f4[[#This Row],[hwycov_id]],[2]flow_freeway!$A$2:$E$1643,4,FALSE),0)</f>
        <v>15949</v>
      </c>
      <c r="I1241">
        <f>IFERROR(VLOOKUP(Table_socioeca8.sandag.org_ws_abm2_f4[[#This Row],[hwycov_id]],[2]flow_freeway!$A$2:$E$1643,5,FALSE),0)</f>
        <v>30446</v>
      </c>
      <c r="K1241">
        <f>Table_socioeca8.sandag.org_ws_abm2_f4[[#This Row],[hwycov_id]]</f>
        <v>27824</v>
      </c>
      <c r="L1241">
        <f>Table_socioeca8.sandag.org_ws_abm2_f4[[#This Row],[scenario_id]]</f>
        <v>259</v>
      </c>
      <c r="M1241">
        <f>Table_socioeca8.sandag.org_ws_abm2_f4[[#This Row],[flow_day]]</f>
        <v>101473</v>
      </c>
      <c r="N1241">
        <f>Table_socioeca8.sandag.org_ws_abm2_f4[[#This Row],[flow_am]]</f>
        <v>15949</v>
      </c>
      <c r="O1241">
        <f>Table_socioeca8.sandag.org_ws_abm2_f4[[#This Row],[flow_pm]]</f>
        <v>30446</v>
      </c>
    </row>
    <row r="1242" spans="5:15" x14ac:dyDescent="0.25">
      <c r="E1242">
        <v>27825</v>
      </c>
      <c r="F1242">
        <f t="shared" si="19"/>
        <v>259</v>
      </c>
      <c r="G1242">
        <f>IFERROR(VLOOKUP(Table_socioeca8.sandag.org_ws_abm2_f4[[#This Row],[hwycov_id]],[2]flow_freeway!$A$2:$E$1643,3,FALSE),0)</f>
        <v>150059</v>
      </c>
      <c r="H1242">
        <f>IFERROR(VLOOKUP(Table_socioeca8.sandag.org_ws_abm2_f4[[#This Row],[hwycov_id]],[2]flow_freeway!$A$2:$E$1643,4,FALSE),0)</f>
        <v>37294</v>
      </c>
      <c r="I1242">
        <f>IFERROR(VLOOKUP(Table_socioeca8.sandag.org_ws_abm2_f4[[#This Row],[hwycov_id]],[2]flow_freeway!$A$2:$E$1643,5,FALSE),0)</f>
        <v>29775</v>
      </c>
      <c r="K1242">
        <f>Table_socioeca8.sandag.org_ws_abm2_f4[[#This Row],[hwycov_id]]</f>
        <v>27825</v>
      </c>
      <c r="L1242">
        <f>Table_socioeca8.sandag.org_ws_abm2_f4[[#This Row],[scenario_id]]</f>
        <v>259</v>
      </c>
      <c r="M1242">
        <f>Table_socioeca8.sandag.org_ws_abm2_f4[[#This Row],[flow_day]]</f>
        <v>150059</v>
      </c>
      <c r="N1242">
        <f>Table_socioeca8.sandag.org_ws_abm2_f4[[#This Row],[flow_am]]</f>
        <v>37294</v>
      </c>
      <c r="O1242">
        <f>Table_socioeca8.sandag.org_ws_abm2_f4[[#This Row],[flow_pm]]</f>
        <v>29775</v>
      </c>
    </row>
    <row r="1243" spans="5:15" x14ac:dyDescent="0.25">
      <c r="E1243">
        <v>27832</v>
      </c>
      <c r="F1243">
        <f t="shared" si="19"/>
        <v>259</v>
      </c>
      <c r="G1243">
        <f>IFERROR(VLOOKUP(Table_socioeca8.sandag.org_ws_abm2_f4[[#This Row],[hwycov_id]],[2]flow_freeway!$A$2:$E$1643,3,FALSE),0)</f>
        <v>123565</v>
      </c>
      <c r="H1243">
        <f>IFERROR(VLOOKUP(Table_socioeca8.sandag.org_ws_abm2_f4[[#This Row],[hwycov_id]],[2]flow_freeway!$A$2:$E$1643,4,FALSE),0)</f>
        <v>31243</v>
      </c>
      <c r="I1243">
        <f>IFERROR(VLOOKUP(Table_socioeca8.sandag.org_ws_abm2_f4[[#This Row],[hwycov_id]],[2]flow_freeway!$A$2:$E$1643,5,FALSE),0)</f>
        <v>24814</v>
      </c>
      <c r="K1243">
        <f>Table_socioeca8.sandag.org_ws_abm2_f4[[#This Row],[hwycov_id]]</f>
        <v>27832</v>
      </c>
      <c r="L1243">
        <f>Table_socioeca8.sandag.org_ws_abm2_f4[[#This Row],[scenario_id]]</f>
        <v>259</v>
      </c>
      <c r="M1243">
        <f>Table_socioeca8.sandag.org_ws_abm2_f4[[#This Row],[flow_day]]</f>
        <v>123565</v>
      </c>
      <c r="N1243">
        <f>Table_socioeca8.sandag.org_ws_abm2_f4[[#This Row],[flow_am]]</f>
        <v>31243</v>
      </c>
      <c r="O1243">
        <f>Table_socioeca8.sandag.org_ws_abm2_f4[[#This Row],[flow_pm]]</f>
        <v>24814</v>
      </c>
    </row>
    <row r="1244" spans="5:15" x14ac:dyDescent="0.25">
      <c r="E1244">
        <v>27834</v>
      </c>
      <c r="F1244">
        <f t="shared" si="19"/>
        <v>259</v>
      </c>
      <c r="G1244">
        <f>IFERROR(VLOOKUP(Table_socioeca8.sandag.org_ws_abm2_f4[[#This Row],[hwycov_id]],[2]flow_freeway!$A$2:$E$1643,3,FALSE),0)</f>
        <v>108470</v>
      </c>
      <c r="H1244">
        <f>IFERROR(VLOOKUP(Table_socioeca8.sandag.org_ws_abm2_f4[[#This Row],[hwycov_id]],[2]flow_freeway!$A$2:$E$1643,4,FALSE),0)</f>
        <v>17759</v>
      </c>
      <c r="I1244">
        <f>IFERROR(VLOOKUP(Table_socioeca8.sandag.org_ws_abm2_f4[[#This Row],[hwycov_id]],[2]flow_freeway!$A$2:$E$1643,5,FALSE),0)</f>
        <v>32269</v>
      </c>
      <c r="K1244">
        <f>Table_socioeca8.sandag.org_ws_abm2_f4[[#This Row],[hwycov_id]]</f>
        <v>27834</v>
      </c>
      <c r="L1244">
        <f>Table_socioeca8.sandag.org_ws_abm2_f4[[#This Row],[scenario_id]]</f>
        <v>259</v>
      </c>
      <c r="M1244">
        <f>Table_socioeca8.sandag.org_ws_abm2_f4[[#This Row],[flow_day]]</f>
        <v>108470</v>
      </c>
      <c r="N1244">
        <f>Table_socioeca8.sandag.org_ws_abm2_f4[[#This Row],[flow_am]]</f>
        <v>17759</v>
      </c>
      <c r="O1244">
        <f>Table_socioeca8.sandag.org_ws_abm2_f4[[#This Row],[flow_pm]]</f>
        <v>32269</v>
      </c>
    </row>
    <row r="1245" spans="5:15" x14ac:dyDescent="0.25">
      <c r="E1245">
        <v>27843</v>
      </c>
      <c r="F1245">
        <f t="shared" si="19"/>
        <v>259</v>
      </c>
      <c r="G1245">
        <f>IFERROR(VLOOKUP(Table_socioeca8.sandag.org_ws_abm2_f4[[#This Row],[hwycov_id]],[2]flow_freeway!$A$2:$E$1643,3,FALSE),0)</f>
        <v>52919</v>
      </c>
      <c r="H1245">
        <f>IFERROR(VLOOKUP(Table_socioeca8.sandag.org_ws_abm2_f4[[#This Row],[hwycov_id]],[2]flow_freeway!$A$2:$E$1643,4,FALSE),0)</f>
        <v>7318</v>
      </c>
      <c r="I1245">
        <f>IFERROR(VLOOKUP(Table_socioeca8.sandag.org_ws_abm2_f4[[#This Row],[hwycov_id]],[2]flow_freeway!$A$2:$E$1643,5,FALSE),0)</f>
        <v>15911</v>
      </c>
      <c r="K1245">
        <f>Table_socioeca8.sandag.org_ws_abm2_f4[[#This Row],[hwycov_id]]</f>
        <v>27843</v>
      </c>
      <c r="L1245">
        <f>Table_socioeca8.sandag.org_ws_abm2_f4[[#This Row],[scenario_id]]</f>
        <v>259</v>
      </c>
      <c r="M1245">
        <f>Table_socioeca8.sandag.org_ws_abm2_f4[[#This Row],[flow_day]]</f>
        <v>52919</v>
      </c>
      <c r="N1245">
        <f>Table_socioeca8.sandag.org_ws_abm2_f4[[#This Row],[flow_am]]</f>
        <v>7318</v>
      </c>
      <c r="O1245">
        <f>Table_socioeca8.sandag.org_ws_abm2_f4[[#This Row],[flow_pm]]</f>
        <v>15911</v>
      </c>
    </row>
    <row r="1246" spans="5:15" x14ac:dyDescent="0.25">
      <c r="E1246">
        <v>27844</v>
      </c>
      <c r="F1246">
        <f t="shared" si="19"/>
        <v>259</v>
      </c>
      <c r="G1246">
        <f>IFERROR(VLOOKUP(Table_socioeca8.sandag.org_ws_abm2_f4[[#This Row],[hwycov_id]],[2]flow_freeway!$A$2:$E$1643,3,FALSE),0)</f>
        <v>52601</v>
      </c>
      <c r="H1246">
        <f>IFERROR(VLOOKUP(Table_socioeca8.sandag.org_ws_abm2_f4[[#This Row],[hwycov_id]],[2]flow_freeway!$A$2:$E$1643,4,FALSE),0)</f>
        <v>7273</v>
      </c>
      <c r="I1246">
        <f>IFERROR(VLOOKUP(Table_socioeca8.sandag.org_ws_abm2_f4[[#This Row],[hwycov_id]],[2]flow_freeway!$A$2:$E$1643,5,FALSE),0)</f>
        <v>15836</v>
      </c>
      <c r="K1246">
        <f>Table_socioeca8.sandag.org_ws_abm2_f4[[#This Row],[hwycov_id]]</f>
        <v>27844</v>
      </c>
      <c r="L1246">
        <f>Table_socioeca8.sandag.org_ws_abm2_f4[[#This Row],[scenario_id]]</f>
        <v>259</v>
      </c>
      <c r="M1246">
        <f>Table_socioeca8.sandag.org_ws_abm2_f4[[#This Row],[flow_day]]</f>
        <v>52601</v>
      </c>
      <c r="N1246">
        <f>Table_socioeca8.sandag.org_ws_abm2_f4[[#This Row],[flow_am]]</f>
        <v>7273</v>
      </c>
      <c r="O1246">
        <f>Table_socioeca8.sandag.org_ws_abm2_f4[[#This Row],[flow_pm]]</f>
        <v>15836</v>
      </c>
    </row>
    <row r="1247" spans="5:15" x14ac:dyDescent="0.25">
      <c r="E1247">
        <v>27845</v>
      </c>
      <c r="F1247">
        <f t="shared" si="19"/>
        <v>259</v>
      </c>
      <c r="G1247">
        <f>IFERROR(VLOOKUP(Table_socioeca8.sandag.org_ws_abm2_f4[[#This Row],[hwycov_id]],[2]flow_freeway!$A$2:$E$1643,3,FALSE),0)</f>
        <v>69021</v>
      </c>
      <c r="H1247">
        <f>IFERROR(VLOOKUP(Table_socioeca8.sandag.org_ws_abm2_f4[[#This Row],[hwycov_id]],[2]flow_freeway!$A$2:$E$1643,4,FALSE),0)</f>
        <v>9773</v>
      </c>
      <c r="I1247">
        <f>IFERROR(VLOOKUP(Table_socioeca8.sandag.org_ws_abm2_f4[[#This Row],[hwycov_id]],[2]flow_freeway!$A$2:$E$1643,5,FALSE),0)</f>
        <v>19959</v>
      </c>
      <c r="K1247">
        <f>Table_socioeca8.sandag.org_ws_abm2_f4[[#This Row],[hwycov_id]]</f>
        <v>27845</v>
      </c>
      <c r="L1247">
        <f>Table_socioeca8.sandag.org_ws_abm2_f4[[#This Row],[scenario_id]]</f>
        <v>259</v>
      </c>
      <c r="M1247">
        <f>Table_socioeca8.sandag.org_ws_abm2_f4[[#This Row],[flow_day]]</f>
        <v>69021</v>
      </c>
      <c r="N1247">
        <f>Table_socioeca8.sandag.org_ws_abm2_f4[[#This Row],[flow_am]]</f>
        <v>9773</v>
      </c>
      <c r="O1247">
        <f>Table_socioeca8.sandag.org_ws_abm2_f4[[#This Row],[flow_pm]]</f>
        <v>19959</v>
      </c>
    </row>
    <row r="1248" spans="5:15" x14ac:dyDescent="0.25">
      <c r="E1248">
        <v>27853</v>
      </c>
      <c r="F1248">
        <f t="shared" si="19"/>
        <v>259</v>
      </c>
      <c r="G1248">
        <f>IFERROR(VLOOKUP(Table_socioeca8.sandag.org_ws_abm2_f4[[#This Row],[hwycov_id]],[2]flow_freeway!$A$2:$E$1643,3,FALSE),0)</f>
        <v>22107</v>
      </c>
      <c r="H1248">
        <f>IFERROR(VLOOKUP(Table_socioeca8.sandag.org_ws_abm2_f4[[#This Row],[hwycov_id]],[2]flow_freeway!$A$2:$E$1643,4,FALSE),0)</f>
        <v>4396</v>
      </c>
      <c r="I1248">
        <f>IFERROR(VLOOKUP(Table_socioeca8.sandag.org_ws_abm2_f4[[#This Row],[hwycov_id]],[2]flow_freeway!$A$2:$E$1643,5,FALSE),0)</f>
        <v>5595</v>
      </c>
      <c r="K1248">
        <f>Table_socioeca8.sandag.org_ws_abm2_f4[[#This Row],[hwycov_id]]</f>
        <v>27853</v>
      </c>
      <c r="L1248">
        <f>Table_socioeca8.sandag.org_ws_abm2_f4[[#This Row],[scenario_id]]</f>
        <v>259</v>
      </c>
      <c r="M1248">
        <f>Table_socioeca8.sandag.org_ws_abm2_f4[[#This Row],[flow_day]]</f>
        <v>22107</v>
      </c>
      <c r="N1248">
        <f>Table_socioeca8.sandag.org_ws_abm2_f4[[#This Row],[flow_am]]</f>
        <v>4396</v>
      </c>
      <c r="O1248">
        <f>Table_socioeca8.sandag.org_ws_abm2_f4[[#This Row],[flow_pm]]</f>
        <v>5595</v>
      </c>
    </row>
    <row r="1249" spans="5:15" x14ac:dyDescent="0.25">
      <c r="E1249">
        <v>27855</v>
      </c>
      <c r="F1249">
        <f t="shared" si="19"/>
        <v>259</v>
      </c>
      <c r="G1249">
        <f>IFERROR(VLOOKUP(Table_socioeca8.sandag.org_ws_abm2_f4[[#This Row],[hwycov_id]],[2]flow_freeway!$A$2:$E$1643,3,FALSE),0)</f>
        <v>26462</v>
      </c>
      <c r="H1249">
        <f>IFERROR(VLOOKUP(Table_socioeca8.sandag.org_ws_abm2_f4[[#This Row],[hwycov_id]],[2]flow_freeway!$A$2:$E$1643,4,FALSE),0)</f>
        <v>5194</v>
      </c>
      <c r="I1249">
        <f>IFERROR(VLOOKUP(Table_socioeca8.sandag.org_ws_abm2_f4[[#This Row],[hwycov_id]],[2]flow_freeway!$A$2:$E$1643,5,FALSE),0)</f>
        <v>6923</v>
      </c>
      <c r="K1249">
        <f>Table_socioeca8.sandag.org_ws_abm2_f4[[#This Row],[hwycov_id]]</f>
        <v>27855</v>
      </c>
      <c r="L1249">
        <f>Table_socioeca8.sandag.org_ws_abm2_f4[[#This Row],[scenario_id]]</f>
        <v>259</v>
      </c>
      <c r="M1249">
        <f>Table_socioeca8.sandag.org_ws_abm2_f4[[#This Row],[flow_day]]</f>
        <v>26462</v>
      </c>
      <c r="N1249">
        <f>Table_socioeca8.sandag.org_ws_abm2_f4[[#This Row],[flow_am]]</f>
        <v>5194</v>
      </c>
      <c r="O1249">
        <f>Table_socioeca8.sandag.org_ws_abm2_f4[[#This Row],[flow_pm]]</f>
        <v>6923</v>
      </c>
    </row>
    <row r="1250" spans="5:15" x14ac:dyDescent="0.25">
      <c r="E1250">
        <v>27856</v>
      </c>
      <c r="F1250">
        <f t="shared" si="19"/>
        <v>259</v>
      </c>
      <c r="G1250">
        <f>IFERROR(VLOOKUP(Table_socioeca8.sandag.org_ws_abm2_f4[[#This Row],[hwycov_id]],[2]flow_freeway!$A$2:$E$1643,3,FALSE),0)</f>
        <v>26540</v>
      </c>
      <c r="H1250">
        <f>IFERROR(VLOOKUP(Table_socioeca8.sandag.org_ws_abm2_f4[[#This Row],[hwycov_id]],[2]flow_freeway!$A$2:$E$1643,4,FALSE),0)</f>
        <v>5989</v>
      </c>
      <c r="I1250">
        <f>IFERROR(VLOOKUP(Table_socioeca8.sandag.org_ws_abm2_f4[[#This Row],[hwycov_id]],[2]flow_freeway!$A$2:$E$1643,5,FALSE),0)</f>
        <v>5773</v>
      </c>
      <c r="K1250">
        <f>Table_socioeca8.sandag.org_ws_abm2_f4[[#This Row],[hwycov_id]]</f>
        <v>27856</v>
      </c>
      <c r="L1250">
        <f>Table_socioeca8.sandag.org_ws_abm2_f4[[#This Row],[scenario_id]]</f>
        <v>259</v>
      </c>
      <c r="M1250">
        <f>Table_socioeca8.sandag.org_ws_abm2_f4[[#This Row],[flow_day]]</f>
        <v>26540</v>
      </c>
      <c r="N1250">
        <f>Table_socioeca8.sandag.org_ws_abm2_f4[[#This Row],[flow_am]]</f>
        <v>5989</v>
      </c>
      <c r="O1250">
        <f>Table_socioeca8.sandag.org_ws_abm2_f4[[#This Row],[flow_pm]]</f>
        <v>5773</v>
      </c>
    </row>
    <row r="1251" spans="5:15" x14ac:dyDescent="0.25">
      <c r="E1251">
        <v>27857</v>
      </c>
      <c r="F1251">
        <f t="shared" si="19"/>
        <v>259</v>
      </c>
      <c r="G1251">
        <f>IFERROR(VLOOKUP(Table_socioeca8.sandag.org_ws_abm2_f4[[#This Row],[hwycov_id]],[2]flow_freeway!$A$2:$E$1643,3,FALSE),0)</f>
        <v>5683</v>
      </c>
      <c r="H1251">
        <f>IFERROR(VLOOKUP(Table_socioeca8.sandag.org_ws_abm2_f4[[#This Row],[hwycov_id]],[2]flow_freeway!$A$2:$E$1643,4,FALSE),0)</f>
        <v>1565</v>
      </c>
      <c r="I1251">
        <f>IFERROR(VLOOKUP(Table_socioeca8.sandag.org_ws_abm2_f4[[#This Row],[hwycov_id]],[2]flow_freeway!$A$2:$E$1643,5,FALSE),0)</f>
        <v>1220</v>
      </c>
      <c r="K1251">
        <f>Table_socioeca8.sandag.org_ws_abm2_f4[[#This Row],[hwycov_id]]</f>
        <v>27857</v>
      </c>
      <c r="L1251">
        <f>Table_socioeca8.sandag.org_ws_abm2_f4[[#This Row],[scenario_id]]</f>
        <v>259</v>
      </c>
      <c r="M1251">
        <f>Table_socioeca8.sandag.org_ws_abm2_f4[[#This Row],[flow_day]]</f>
        <v>5683</v>
      </c>
      <c r="N1251">
        <f>Table_socioeca8.sandag.org_ws_abm2_f4[[#This Row],[flow_am]]</f>
        <v>1565</v>
      </c>
      <c r="O1251">
        <f>Table_socioeca8.sandag.org_ws_abm2_f4[[#This Row],[flow_pm]]</f>
        <v>1220</v>
      </c>
    </row>
    <row r="1252" spans="5:15" x14ac:dyDescent="0.25">
      <c r="E1252">
        <v>27858</v>
      </c>
      <c r="F1252">
        <f t="shared" si="19"/>
        <v>259</v>
      </c>
      <c r="G1252">
        <f>IFERROR(VLOOKUP(Table_socioeca8.sandag.org_ws_abm2_f4[[#This Row],[hwycov_id]],[2]flow_freeway!$A$2:$E$1643,3,FALSE),0)</f>
        <v>5652</v>
      </c>
      <c r="H1252">
        <f>IFERROR(VLOOKUP(Table_socioeca8.sandag.org_ws_abm2_f4[[#This Row],[hwycov_id]],[2]flow_freeway!$A$2:$E$1643,4,FALSE),0)</f>
        <v>1550</v>
      </c>
      <c r="I1252">
        <f>IFERROR(VLOOKUP(Table_socioeca8.sandag.org_ws_abm2_f4[[#This Row],[hwycov_id]],[2]flow_freeway!$A$2:$E$1643,5,FALSE),0)</f>
        <v>1219</v>
      </c>
      <c r="K1252">
        <f>Table_socioeca8.sandag.org_ws_abm2_f4[[#This Row],[hwycov_id]]</f>
        <v>27858</v>
      </c>
      <c r="L1252">
        <f>Table_socioeca8.sandag.org_ws_abm2_f4[[#This Row],[scenario_id]]</f>
        <v>259</v>
      </c>
      <c r="M1252">
        <f>Table_socioeca8.sandag.org_ws_abm2_f4[[#This Row],[flow_day]]</f>
        <v>5652</v>
      </c>
      <c r="N1252">
        <f>Table_socioeca8.sandag.org_ws_abm2_f4[[#This Row],[flow_am]]</f>
        <v>1550</v>
      </c>
      <c r="O1252">
        <f>Table_socioeca8.sandag.org_ws_abm2_f4[[#This Row],[flow_pm]]</f>
        <v>1219</v>
      </c>
    </row>
    <row r="1253" spans="5:15" x14ac:dyDescent="0.25">
      <c r="E1253">
        <v>27860</v>
      </c>
      <c r="F1253">
        <f t="shared" si="19"/>
        <v>259</v>
      </c>
      <c r="G1253">
        <f>IFERROR(VLOOKUP(Table_socioeca8.sandag.org_ws_abm2_f4[[#This Row],[hwycov_id]],[2]flow_freeway!$A$2:$E$1643,3,FALSE),0)</f>
        <v>25637</v>
      </c>
      <c r="H1253">
        <f>IFERROR(VLOOKUP(Table_socioeca8.sandag.org_ws_abm2_f4[[#This Row],[hwycov_id]],[2]flow_freeway!$A$2:$E$1643,4,FALSE),0)</f>
        <v>3033</v>
      </c>
      <c r="I1253">
        <f>IFERROR(VLOOKUP(Table_socioeca8.sandag.org_ws_abm2_f4[[#This Row],[hwycov_id]],[2]flow_freeway!$A$2:$E$1643,5,FALSE),0)</f>
        <v>7481</v>
      </c>
      <c r="K1253">
        <f>Table_socioeca8.sandag.org_ws_abm2_f4[[#This Row],[hwycov_id]]</f>
        <v>27860</v>
      </c>
      <c r="L1253">
        <f>Table_socioeca8.sandag.org_ws_abm2_f4[[#This Row],[scenario_id]]</f>
        <v>259</v>
      </c>
      <c r="M1253">
        <f>Table_socioeca8.sandag.org_ws_abm2_f4[[#This Row],[flow_day]]</f>
        <v>25637</v>
      </c>
      <c r="N1253">
        <f>Table_socioeca8.sandag.org_ws_abm2_f4[[#This Row],[flow_am]]</f>
        <v>3033</v>
      </c>
      <c r="O1253">
        <f>Table_socioeca8.sandag.org_ws_abm2_f4[[#This Row],[flow_pm]]</f>
        <v>7481</v>
      </c>
    </row>
    <row r="1254" spans="5:15" x14ac:dyDescent="0.25">
      <c r="E1254">
        <v>27862</v>
      </c>
      <c r="F1254">
        <f t="shared" si="19"/>
        <v>259</v>
      </c>
      <c r="G1254">
        <f>IFERROR(VLOOKUP(Table_socioeca8.sandag.org_ws_abm2_f4[[#This Row],[hwycov_id]],[2]flow_freeway!$A$2:$E$1643,3,FALSE),0)</f>
        <v>6677</v>
      </c>
      <c r="H1254">
        <f>IFERROR(VLOOKUP(Table_socioeca8.sandag.org_ws_abm2_f4[[#This Row],[hwycov_id]],[2]flow_freeway!$A$2:$E$1643,4,FALSE),0)</f>
        <v>1528</v>
      </c>
      <c r="I1254">
        <f>IFERROR(VLOOKUP(Table_socioeca8.sandag.org_ws_abm2_f4[[#This Row],[hwycov_id]],[2]flow_freeway!$A$2:$E$1643,5,FALSE),0)</f>
        <v>1638</v>
      </c>
      <c r="K1254">
        <f>Table_socioeca8.sandag.org_ws_abm2_f4[[#This Row],[hwycov_id]]</f>
        <v>27862</v>
      </c>
      <c r="L1254">
        <f>Table_socioeca8.sandag.org_ws_abm2_f4[[#This Row],[scenario_id]]</f>
        <v>259</v>
      </c>
      <c r="M1254">
        <f>Table_socioeca8.sandag.org_ws_abm2_f4[[#This Row],[flow_day]]</f>
        <v>6677</v>
      </c>
      <c r="N1254">
        <f>Table_socioeca8.sandag.org_ws_abm2_f4[[#This Row],[flow_am]]</f>
        <v>1528</v>
      </c>
      <c r="O1254">
        <f>Table_socioeca8.sandag.org_ws_abm2_f4[[#This Row],[flow_pm]]</f>
        <v>1638</v>
      </c>
    </row>
    <row r="1255" spans="5:15" x14ac:dyDescent="0.25">
      <c r="E1255">
        <v>27864</v>
      </c>
      <c r="F1255">
        <f t="shared" si="19"/>
        <v>259</v>
      </c>
      <c r="G1255">
        <f>IFERROR(VLOOKUP(Table_socioeca8.sandag.org_ws_abm2_f4[[#This Row],[hwycov_id]],[2]flow_freeway!$A$2:$E$1643,3,FALSE),0)</f>
        <v>24982</v>
      </c>
      <c r="H1255">
        <f>IFERROR(VLOOKUP(Table_socioeca8.sandag.org_ws_abm2_f4[[#This Row],[hwycov_id]],[2]flow_freeway!$A$2:$E$1643,4,FALSE),0)</f>
        <v>2947</v>
      </c>
      <c r="I1255">
        <f>IFERROR(VLOOKUP(Table_socioeca8.sandag.org_ws_abm2_f4[[#This Row],[hwycov_id]],[2]flow_freeway!$A$2:$E$1643,5,FALSE),0)</f>
        <v>7319</v>
      </c>
      <c r="K1255">
        <f>Table_socioeca8.sandag.org_ws_abm2_f4[[#This Row],[hwycov_id]]</f>
        <v>27864</v>
      </c>
      <c r="L1255">
        <f>Table_socioeca8.sandag.org_ws_abm2_f4[[#This Row],[scenario_id]]</f>
        <v>259</v>
      </c>
      <c r="M1255">
        <f>Table_socioeca8.sandag.org_ws_abm2_f4[[#This Row],[flow_day]]</f>
        <v>24982</v>
      </c>
      <c r="N1255">
        <f>Table_socioeca8.sandag.org_ws_abm2_f4[[#This Row],[flow_am]]</f>
        <v>2947</v>
      </c>
      <c r="O1255">
        <f>Table_socioeca8.sandag.org_ws_abm2_f4[[#This Row],[flow_pm]]</f>
        <v>7319</v>
      </c>
    </row>
    <row r="1256" spans="5:15" x14ac:dyDescent="0.25">
      <c r="E1256">
        <v>27866</v>
      </c>
      <c r="F1256">
        <f t="shared" si="19"/>
        <v>259</v>
      </c>
      <c r="G1256">
        <f>IFERROR(VLOOKUP(Table_socioeca8.sandag.org_ws_abm2_f4[[#This Row],[hwycov_id]],[2]flow_freeway!$A$2:$E$1643,3,FALSE),0)</f>
        <v>7612</v>
      </c>
      <c r="H1256">
        <f>IFERROR(VLOOKUP(Table_socioeca8.sandag.org_ws_abm2_f4[[#This Row],[hwycov_id]],[2]flow_freeway!$A$2:$E$1643,4,FALSE),0)</f>
        <v>2149</v>
      </c>
      <c r="I1256">
        <f>IFERROR(VLOOKUP(Table_socioeca8.sandag.org_ws_abm2_f4[[#This Row],[hwycov_id]],[2]flow_freeway!$A$2:$E$1643,5,FALSE),0)</f>
        <v>1550</v>
      </c>
      <c r="K1256">
        <f>Table_socioeca8.sandag.org_ws_abm2_f4[[#This Row],[hwycov_id]]</f>
        <v>27866</v>
      </c>
      <c r="L1256">
        <f>Table_socioeca8.sandag.org_ws_abm2_f4[[#This Row],[scenario_id]]</f>
        <v>259</v>
      </c>
      <c r="M1256">
        <f>Table_socioeca8.sandag.org_ws_abm2_f4[[#This Row],[flow_day]]</f>
        <v>7612</v>
      </c>
      <c r="N1256">
        <f>Table_socioeca8.sandag.org_ws_abm2_f4[[#This Row],[flow_am]]</f>
        <v>2149</v>
      </c>
      <c r="O1256">
        <f>Table_socioeca8.sandag.org_ws_abm2_f4[[#This Row],[flow_pm]]</f>
        <v>1550</v>
      </c>
    </row>
    <row r="1257" spans="5:15" x14ac:dyDescent="0.25">
      <c r="E1257">
        <v>27868</v>
      </c>
      <c r="F1257">
        <f t="shared" si="19"/>
        <v>259</v>
      </c>
      <c r="G1257">
        <f>IFERROR(VLOOKUP(Table_socioeca8.sandag.org_ws_abm2_f4[[#This Row],[hwycov_id]],[2]flow_freeway!$A$2:$E$1643,3,FALSE),0)</f>
        <v>6664</v>
      </c>
      <c r="H1257">
        <f>IFERROR(VLOOKUP(Table_socioeca8.sandag.org_ws_abm2_f4[[#This Row],[hwycov_id]],[2]flow_freeway!$A$2:$E$1643,4,FALSE),0)</f>
        <v>1527</v>
      </c>
      <c r="I1257">
        <f>IFERROR(VLOOKUP(Table_socioeca8.sandag.org_ws_abm2_f4[[#This Row],[hwycov_id]],[2]flow_freeway!$A$2:$E$1643,5,FALSE),0)</f>
        <v>1635</v>
      </c>
      <c r="K1257">
        <f>Table_socioeca8.sandag.org_ws_abm2_f4[[#This Row],[hwycov_id]]</f>
        <v>27868</v>
      </c>
      <c r="L1257">
        <f>Table_socioeca8.sandag.org_ws_abm2_f4[[#This Row],[scenario_id]]</f>
        <v>259</v>
      </c>
      <c r="M1257">
        <f>Table_socioeca8.sandag.org_ws_abm2_f4[[#This Row],[flow_day]]</f>
        <v>6664</v>
      </c>
      <c r="N1257">
        <f>Table_socioeca8.sandag.org_ws_abm2_f4[[#This Row],[flow_am]]</f>
        <v>1527</v>
      </c>
      <c r="O1257">
        <f>Table_socioeca8.sandag.org_ws_abm2_f4[[#This Row],[flow_pm]]</f>
        <v>1635</v>
      </c>
    </row>
    <row r="1258" spans="5:15" x14ac:dyDescent="0.25">
      <c r="E1258">
        <v>27869</v>
      </c>
      <c r="F1258">
        <f t="shared" si="19"/>
        <v>259</v>
      </c>
      <c r="G1258">
        <f>IFERROR(VLOOKUP(Table_socioeca8.sandag.org_ws_abm2_f4[[#This Row],[hwycov_id]],[2]flow_freeway!$A$2:$E$1643,3,FALSE),0)</f>
        <v>12348</v>
      </c>
      <c r="H1258">
        <f>IFERROR(VLOOKUP(Table_socioeca8.sandag.org_ws_abm2_f4[[#This Row],[hwycov_id]],[2]flow_freeway!$A$2:$E$1643,4,FALSE),0)</f>
        <v>2143</v>
      </c>
      <c r="I1258">
        <f>IFERROR(VLOOKUP(Table_socioeca8.sandag.org_ws_abm2_f4[[#This Row],[hwycov_id]],[2]flow_freeway!$A$2:$E$1643,5,FALSE),0)</f>
        <v>3907</v>
      </c>
      <c r="K1258">
        <f>Table_socioeca8.sandag.org_ws_abm2_f4[[#This Row],[hwycov_id]]</f>
        <v>27869</v>
      </c>
      <c r="L1258">
        <f>Table_socioeca8.sandag.org_ws_abm2_f4[[#This Row],[scenario_id]]</f>
        <v>259</v>
      </c>
      <c r="M1258">
        <f>Table_socioeca8.sandag.org_ws_abm2_f4[[#This Row],[flow_day]]</f>
        <v>12348</v>
      </c>
      <c r="N1258">
        <f>Table_socioeca8.sandag.org_ws_abm2_f4[[#This Row],[flow_am]]</f>
        <v>2143</v>
      </c>
      <c r="O1258">
        <f>Table_socioeca8.sandag.org_ws_abm2_f4[[#This Row],[flow_pm]]</f>
        <v>3907</v>
      </c>
    </row>
    <row r="1259" spans="5:15" x14ac:dyDescent="0.25">
      <c r="E1259">
        <v>27870</v>
      </c>
      <c r="F1259">
        <f t="shared" si="19"/>
        <v>259</v>
      </c>
      <c r="G1259">
        <f>IFERROR(VLOOKUP(Table_socioeca8.sandag.org_ws_abm2_f4[[#This Row],[hwycov_id]],[2]flow_freeway!$A$2:$E$1643,3,FALSE),0)</f>
        <v>8266</v>
      </c>
      <c r="H1259">
        <f>IFERROR(VLOOKUP(Table_socioeca8.sandag.org_ws_abm2_f4[[#This Row],[hwycov_id]],[2]flow_freeway!$A$2:$E$1643,4,FALSE),0)</f>
        <v>2236</v>
      </c>
      <c r="I1259">
        <f>IFERROR(VLOOKUP(Table_socioeca8.sandag.org_ws_abm2_f4[[#This Row],[hwycov_id]],[2]flow_freeway!$A$2:$E$1643,5,FALSE),0)</f>
        <v>1713</v>
      </c>
      <c r="K1259">
        <f>Table_socioeca8.sandag.org_ws_abm2_f4[[#This Row],[hwycov_id]]</f>
        <v>27870</v>
      </c>
      <c r="L1259">
        <f>Table_socioeca8.sandag.org_ws_abm2_f4[[#This Row],[scenario_id]]</f>
        <v>259</v>
      </c>
      <c r="M1259">
        <f>Table_socioeca8.sandag.org_ws_abm2_f4[[#This Row],[flow_day]]</f>
        <v>8266</v>
      </c>
      <c r="N1259">
        <f>Table_socioeca8.sandag.org_ws_abm2_f4[[#This Row],[flow_am]]</f>
        <v>2236</v>
      </c>
      <c r="O1259">
        <f>Table_socioeca8.sandag.org_ws_abm2_f4[[#This Row],[flow_pm]]</f>
        <v>1713</v>
      </c>
    </row>
    <row r="1260" spans="5:15" x14ac:dyDescent="0.25">
      <c r="E1260">
        <v>27875</v>
      </c>
      <c r="F1260">
        <f t="shared" si="19"/>
        <v>259</v>
      </c>
      <c r="G1260">
        <f>IFERROR(VLOOKUP(Table_socioeca8.sandag.org_ws_abm2_f4[[#This Row],[hwycov_id]],[2]flow_freeway!$A$2:$E$1643,3,FALSE),0)</f>
        <v>29363</v>
      </c>
      <c r="H1260">
        <f>IFERROR(VLOOKUP(Table_socioeca8.sandag.org_ws_abm2_f4[[#This Row],[hwycov_id]],[2]flow_freeway!$A$2:$E$1643,4,FALSE),0)</f>
        <v>6342</v>
      </c>
      <c r="I1260">
        <f>IFERROR(VLOOKUP(Table_socioeca8.sandag.org_ws_abm2_f4[[#This Row],[hwycov_id]],[2]flow_freeway!$A$2:$E$1643,5,FALSE),0)</f>
        <v>5280</v>
      </c>
      <c r="K1260">
        <f>Table_socioeca8.sandag.org_ws_abm2_f4[[#This Row],[hwycov_id]]</f>
        <v>27875</v>
      </c>
      <c r="L1260">
        <f>Table_socioeca8.sandag.org_ws_abm2_f4[[#This Row],[scenario_id]]</f>
        <v>259</v>
      </c>
      <c r="M1260">
        <f>Table_socioeca8.sandag.org_ws_abm2_f4[[#This Row],[flow_day]]</f>
        <v>29363</v>
      </c>
      <c r="N1260">
        <f>Table_socioeca8.sandag.org_ws_abm2_f4[[#This Row],[flow_am]]</f>
        <v>6342</v>
      </c>
      <c r="O1260">
        <f>Table_socioeca8.sandag.org_ws_abm2_f4[[#This Row],[flow_pm]]</f>
        <v>5280</v>
      </c>
    </row>
    <row r="1261" spans="5:15" x14ac:dyDescent="0.25">
      <c r="E1261">
        <v>27877</v>
      </c>
      <c r="F1261">
        <f t="shared" si="19"/>
        <v>259</v>
      </c>
      <c r="G1261">
        <f>IFERROR(VLOOKUP(Table_socioeca8.sandag.org_ws_abm2_f4[[#This Row],[hwycov_id]],[2]flow_freeway!$A$2:$E$1643,3,FALSE),0)</f>
        <v>31322</v>
      </c>
      <c r="H1261">
        <f>IFERROR(VLOOKUP(Table_socioeca8.sandag.org_ws_abm2_f4[[#This Row],[hwycov_id]],[2]flow_freeway!$A$2:$E$1643,4,FALSE),0)</f>
        <v>6941</v>
      </c>
      <c r="I1261">
        <f>IFERROR(VLOOKUP(Table_socioeca8.sandag.org_ws_abm2_f4[[#This Row],[hwycov_id]],[2]flow_freeway!$A$2:$E$1643,5,FALSE),0)</f>
        <v>5611</v>
      </c>
      <c r="K1261">
        <f>Table_socioeca8.sandag.org_ws_abm2_f4[[#This Row],[hwycov_id]]</f>
        <v>27877</v>
      </c>
      <c r="L1261">
        <f>Table_socioeca8.sandag.org_ws_abm2_f4[[#This Row],[scenario_id]]</f>
        <v>259</v>
      </c>
      <c r="M1261">
        <f>Table_socioeca8.sandag.org_ws_abm2_f4[[#This Row],[flow_day]]</f>
        <v>31322</v>
      </c>
      <c r="N1261">
        <f>Table_socioeca8.sandag.org_ws_abm2_f4[[#This Row],[flow_am]]</f>
        <v>6941</v>
      </c>
      <c r="O1261">
        <f>Table_socioeca8.sandag.org_ws_abm2_f4[[#This Row],[flow_pm]]</f>
        <v>5611</v>
      </c>
    </row>
    <row r="1262" spans="5:15" x14ac:dyDescent="0.25">
      <c r="E1262">
        <v>27878</v>
      </c>
      <c r="F1262">
        <f t="shared" si="19"/>
        <v>259</v>
      </c>
      <c r="G1262">
        <f>IFERROR(VLOOKUP(Table_socioeca8.sandag.org_ws_abm2_f4[[#This Row],[hwycov_id]],[2]flow_freeway!$A$2:$E$1643,3,FALSE),0)</f>
        <v>24970</v>
      </c>
      <c r="H1262">
        <f>IFERROR(VLOOKUP(Table_socioeca8.sandag.org_ws_abm2_f4[[#This Row],[hwycov_id]],[2]flow_freeway!$A$2:$E$1643,4,FALSE),0)</f>
        <v>2946</v>
      </c>
      <c r="I1262">
        <f>IFERROR(VLOOKUP(Table_socioeca8.sandag.org_ws_abm2_f4[[#This Row],[hwycov_id]],[2]flow_freeway!$A$2:$E$1643,5,FALSE),0)</f>
        <v>7316</v>
      </c>
      <c r="K1262">
        <f>Table_socioeca8.sandag.org_ws_abm2_f4[[#This Row],[hwycov_id]]</f>
        <v>27878</v>
      </c>
      <c r="L1262">
        <f>Table_socioeca8.sandag.org_ws_abm2_f4[[#This Row],[scenario_id]]</f>
        <v>259</v>
      </c>
      <c r="M1262">
        <f>Table_socioeca8.sandag.org_ws_abm2_f4[[#This Row],[flow_day]]</f>
        <v>24970</v>
      </c>
      <c r="N1262">
        <f>Table_socioeca8.sandag.org_ws_abm2_f4[[#This Row],[flow_am]]</f>
        <v>2946</v>
      </c>
      <c r="O1262">
        <f>Table_socioeca8.sandag.org_ws_abm2_f4[[#This Row],[flow_pm]]</f>
        <v>7316</v>
      </c>
    </row>
    <row r="1263" spans="5:15" x14ac:dyDescent="0.25">
      <c r="E1263">
        <v>27880</v>
      </c>
      <c r="F1263">
        <f t="shared" si="19"/>
        <v>259</v>
      </c>
      <c r="G1263">
        <f>IFERROR(VLOOKUP(Table_socioeca8.sandag.org_ws_abm2_f4[[#This Row],[hwycov_id]],[2]flow_freeway!$A$2:$E$1643,3,FALSE),0)</f>
        <v>30210</v>
      </c>
      <c r="H1263">
        <f>IFERROR(VLOOKUP(Table_socioeca8.sandag.org_ws_abm2_f4[[#This Row],[hwycov_id]],[2]flow_freeway!$A$2:$E$1643,4,FALSE),0)</f>
        <v>6559</v>
      </c>
      <c r="I1263">
        <f>IFERROR(VLOOKUP(Table_socioeca8.sandag.org_ws_abm2_f4[[#This Row],[hwycov_id]],[2]flow_freeway!$A$2:$E$1643,5,FALSE),0)</f>
        <v>5408</v>
      </c>
      <c r="K1263">
        <f>Table_socioeca8.sandag.org_ws_abm2_f4[[#This Row],[hwycov_id]]</f>
        <v>27880</v>
      </c>
      <c r="L1263">
        <f>Table_socioeca8.sandag.org_ws_abm2_f4[[#This Row],[scenario_id]]</f>
        <v>259</v>
      </c>
      <c r="M1263">
        <f>Table_socioeca8.sandag.org_ws_abm2_f4[[#This Row],[flow_day]]</f>
        <v>30210</v>
      </c>
      <c r="N1263">
        <f>Table_socioeca8.sandag.org_ws_abm2_f4[[#This Row],[flow_am]]</f>
        <v>6559</v>
      </c>
      <c r="O1263">
        <f>Table_socioeca8.sandag.org_ws_abm2_f4[[#This Row],[flow_pm]]</f>
        <v>5408</v>
      </c>
    </row>
    <row r="1264" spans="5:15" x14ac:dyDescent="0.25">
      <c r="E1264">
        <v>27883</v>
      </c>
      <c r="F1264">
        <f t="shared" si="19"/>
        <v>259</v>
      </c>
      <c r="G1264">
        <f>IFERROR(VLOOKUP(Table_socioeca8.sandag.org_ws_abm2_f4[[#This Row],[hwycov_id]],[2]flow_freeway!$A$2:$E$1643,3,FALSE),0)</f>
        <v>23091</v>
      </c>
      <c r="H1264">
        <f>IFERROR(VLOOKUP(Table_socioeca8.sandag.org_ws_abm2_f4[[#This Row],[hwycov_id]],[2]flow_freeway!$A$2:$E$1643,4,FALSE),0)</f>
        <v>4590</v>
      </c>
      <c r="I1264">
        <f>IFERROR(VLOOKUP(Table_socioeca8.sandag.org_ws_abm2_f4[[#This Row],[hwycov_id]],[2]flow_freeway!$A$2:$E$1643,5,FALSE),0)</f>
        <v>3960</v>
      </c>
      <c r="K1264">
        <f>Table_socioeca8.sandag.org_ws_abm2_f4[[#This Row],[hwycov_id]]</f>
        <v>27883</v>
      </c>
      <c r="L1264">
        <f>Table_socioeca8.sandag.org_ws_abm2_f4[[#This Row],[scenario_id]]</f>
        <v>259</v>
      </c>
      <c r="M1264">
        <f>Table_socioeca8.sandag.org_ws_abm2_f4[[#This Row],[flow_day]]</f>
        <v>23091</v>
      </c>
      <c r="N1264">
        <f>Table_socioeca8.sandag.org_ws_abm2_f4[[#This Row],[flow_am]]</f>
        <v>4590</v>
      </c>
      <c r="O1264">
        <f>Table_socioeca8.sandag.org_ws_abm2_f4[[#This Row],[flow_pm]]</f>
        <v>3960</v>
      </c>
    </row>
    <row r="1265" spans="5:15" x14ac:dyDescent="0.25">
      <c r="E1265">
        <v>27884</v>
      </c>
      <c r="F1265">
        <f t="shared" si="19"/>
        <v>259</v>
      </c>
      <c r="G1265">
        <f>IFERROR(VLOOKUP(Table_socioeca8.sandag.org_ws_abm2_f4[[#This Row],[hwycov_id]],[2]flow_freeway!$A$2:$E$1643,3,FALSE),0)</f>
        <v>24563</v>
      </c>
      <c r="H1265">
        <f>IFERROR(VLOOKUP(Table_socioeca8.sandag.org_ws_abm2_f4[[#This Row],[hwycov_id]],[2]flow_freeway!$A$2:$E$1643,4,FALSE),0)</f>
        <v>4866</v>
      </c>
      <c r="I1265">
        <f>IFERROR(VLOOKUP(Table_socioeca8.sandag.org_ws_abm2_f4[[#This Row],[hwycov_id]],[2]flow_freeway!$A$2:$E$1643,5,FALSE),0)</f>
        <v>4201</v>
      </c>
      <c r="K1265">
        <f>Table_socioeca8.sandag.org_ws_abm2_f4[[#This Row],[hwycov_id]]</f>
        <v>27884</v>
      </c>
      <c r="L1265">
        <f>Table_socioeca8.sandag.org_ws_abm2_f4[[#This Row],[scenario_id]]</f>
        <v>259</v>
      </c>
      <c r="M1265">
        <f>Table_socioeca8.sandag.org_ws_abm2_f4[[#This Row],[flow_day]]</f>
        <v>24563</v>
      </c>
      <c r="N1265">
        <f>Table_socioeca8.sandag.org_ws_abm2_f4[[#This Row],[flow_am]]</f>
        <v>4866</v>
      </c>
      <c r="O1265">
        <f>Table_socioeca8.sandag.org_ws_abm2_f4[[#This Row],[flow_pm]]</f>
        <v>4201</v>
      </c>
    </row>
    <row r="1266" spans="5:15" x14ac:dyDescent="0.25">
      <c r="E1266">
        <v>27887</v>
      </c>
      <c r="F1266">
        <f t="shared" si="19"/>
        <v>259</v>
      </c>
      <c r="G1266">
        <f>IFERROR(VLOOKUP(Table_socioeca8.sandag.org_ws_abm2_f4[[#This Row],[hwycov_id]],[2]flow_freeway!$A$2:$E$1643,3,FALSE),0)</f>
        <v>18384</v>
      </c>
      <c r="H1266">
        <f>IFERROR(VLOOKUP(Table_socioeca8.sandag.org_ws_abm2_f4[[#This Row],[hwycov_id]],[2]flow_freeway!$A$2:$E$1643,4,FALSE),0)</f>
        <v>1677</v>
      </c>
      <c r="I1266">
        <f>IFERROR(VLOOKUP(Table_socioeca8.sandag.org_ws_abm2_f4[[#This Row],[hwycov_id]],[2]flow_freeway!$A$2:$E$1643,5,FALSE),0)</f>
        <v>5665</v>
      </c>
      <c r="K1266">
        <f>Table_socioeca8.sandag.org_ws_abm2_f4[[#This Row],[hwycov_id]]</f>
        <v>27887</v>
      </c>
      <c r="L1266">
        <f>Table_socioeca8.sandag.org_ws_abm2_f4[[#This Row],[scenario_id]]</f>
        <v>259</v>
      </c>
      <c r="M1266">
        <f>Table_socioeca8.sandag.org_ws_abm2_f4[[#This Row],[flow_day]]</f>
        <v>18384</v>
      </c>
      <c r="N1266">
        <f>Table_socioeca8.sandag.org_ws_abm2_f4[[#This Row],[flow_am]]</f>
        <v>1677</v>
      </c>
      <c r="O1266">
        <f>Table_socioeca8.sandag.org_ws_abm2_f4[[#This Row],[flow_pm]]</f>
        <v>5665</v>
      </c>
    </row>
    <row r="1267" spans="5:15" x14ac:dyDescent="0.25">
      <c r="E1267">
        <v>27888</v>
      </c>
      <c r="F1267">
        <f t="shared" si="19"/>
        <v>259</v>
      </c>
      <c r="G1267">
        <f>IFERROR(VLOOKUP(Table_socioeca8.sandag.org_ws_abm2_f4[[#This Row],[hwycov_id]],[2]flow_freeway!$A$2:$E$1643,3,FALSE),0)</f>
        <v>19010</v>
      </c>
      <c r="H1267">
        <f>IFERROR(VLOOKUP(Table_socioeca8.sandag.org_ws_abm2_f4[[#This Row],[hwycov_id]],[2]flow_freeway!$A$2:$E$1643,4,FALSE),0)</f>
        <v>1712</v>
      </c>
      <c r="I1267">
        <f>IFERROR(VLOOKUP(Table_socioeca8.sandag.org_ws_abm2_f4[[#This Row],[hwycov_id]],[2]flow_freeway!$A$2:$E$1643,5,FALSE),0)</f>
        <v>5896</v>
      </c>
      <c r="K1267">
        <f>Table_socioeca8.sandag.org_ws_abm2_f4[[#This Row],[hwycov_id]]</f>
        <v>27888</v>
      </c>
      <c r="L1267">
        <f>Table_socioeca8.sandag.org_ws_abm2_f4[[#This Row],[scenario_id]]</f>
        <v>259</v>
      </c>
      <c r="M1267">
        <f>Table_socioeca8.sandag.org_ws_abm2_f4[[#This Row],[flow_day]]</f>
        <v>19010</v>
      </c>
      <c r="N1267">
        <f>Table_socioeca8.sandag.org_ws_abm2_f4[[#This Row],[flow_am]]</f>
        <v>1712</v>
      </c>
      <c r="O1267">
        <f>Table_socioeca8.sandag.org_ws_abm2_f4[[#This Row],[flow_pm]]</f>
        <v>5896</v>
      </c>
    </row>
    <row r="1268" spans="5:15" x14ac:dyDescent="0.25">
      <c r="E1268">
        <v>27893</v>
      </c>
      <c r="F1268">
        <f t="shared" si="19"/>
        <v>259</v>
      </c>
      <c r="G1268">
        <f>IFERROR(VLOOKUP(Table_socioeca8.sandag.org_ws_abm2_f4[[#This Row],[hwycov_id]],[2]flow_freeway!$A$2:$E$1643,3,FALSE),0)</f>
        <v>52002</v>
      </c>
      <c r="H1268">
        <f>IFERROR(VLOOKUP(Table_socioeca8.sandag.org_ws_abm2_f4[[#This Row],[hwycov_id]],[2]flow_freeway!$A$2:$E$1643,4,FALSE),0)</f>
        <v>11604</v>
      </c>
      <c r="I1268">
        <f>IFERROR(VLOOKUP(Table_socioeca8.sandag.org_ws_abm2_f4[[#This Row],[hwycov_id]],[2]flow_freeway!$A$2:$E$1643,5,FALSE),0)</f>
        <v>9874</v>
      </c>
      <c r="K1268">
        <f>Table_socioeca8.sandag.org_ws_abm2_f4[[#This Row],[hwycov_id]]</f>
        <v>27893</v>
      </c>
      <c r="L1268">
        <f>Table_socioeca8.sandag.org_ws_abm2_f4[[#This Row],[scenario_id]]</f>
        <v>259</v>
      </c>
      <c r="M1268">
        <f>Table_socioeca8.sandag.org_ws_abm2_f4[[#This Row],[flow_day]]</f>
        <v>52002</v>
      </c>
      <c r="N1268">
        <f>Table_socioeca8.sandag.org_ws_abm2_f4[[#This Row],[flow_am]]</f>
        <v>11604</v>
      </c>
      <c r="O1268">
        <f>Table_socioeca8.sandag.org_ws_abm2_f4[[#This Row],[flow_pm]]</f>
        <v>9874</v>
      </c>
    </row>
    <row r="1269" spans="5:15" x14ac:dyDescent="0.25">
      <c r="E1269">
        <v>27894</v>
      </c>
      <c r="F1269">
        <f t="shared" si="19"/>
        <v>259</v>
      </c>
      <c r="G1269">
        <f>IFERROR(VLOOKUP(Table_socioeca8.sandag.org_ws_abm2_f4[[#This Row],[hwycov_id]],[2]flow_freeway!$A$2:$E$1643,3,FALSE),0)</f>
        <v>47817</v>
      </c>
      <c r="H1269">
        <f>IFERROR(VLOOKUP(Table_socioeca8.sandag.org_ws_abm2_f4[[#This Row],[hwycov_id]],[2]flow_freeway!$A$2:$E$1643,4,FALSE),0)</f>
        <v>10750</v>
      </c>
      <c r="I1269">
        <f>IFERROR(VLOOKUP(Table_socioeca8.sandag.org_ws_abm2_f4[[#This Row],[hwycov_id]],[2]flow_freeway!$A$2:$E$1643,5,FALSE),0)</f>
        <v>8781</v>
      </c>
      <c r="K1269">
        <f>Table_socioeca8.sandag.org_ws_abm2_f4[[#This Row],[hwycov_id]]</f>
        <v>27894</v>
      </c>
      <c r="L1269">
        <f>Table_socioeca8.sandag.org_ws_abm2_f4[[#This Row],[scenario_id]]</f>
        <v>259</v>
      </c>
      <c r="M1269">
        <f>Table_socioeca8.sandag.org_ws_abm2_f4[[#This Row],[flow_day]]</f>
        <v>47817</v>
      </c>
      <c r="N1269">
        <f>Table_socioeca8.sandag.org_ws_abm2_f4[[#This Row],[flow_am]]</f>
        <v>10750</v>
      </c>
      <c r="O1269">
        <f>Table_socioeca8.sandag.org_ws_abm2_f4[[#This Row],[flow_pm]]</f>
        <v>8781</v>
      </c>
    </row>
    <row r="1270" spans="5:15" x14ac:dyDescent="0.25">
      <c r="E1270">
        <v>27898</v>
      </c>
      <c r="F1270">
        <f t="shared" si="19"/>
        <v>259</v>
      </c>
      <c r="G1270">
        <f>IFERROR(VLOOKUP(Table_socioeca8.sandag.org_ws_abm2_f4[[#This Row],[hwycov_id]],[2]flow_freeway!$A$2:$E$1643,3,FALSE),0)</f>
        <v>51433</v>
      </c>
      <c r="H1270">
        <f>IFERROR(VLOOKUP(Table_socioeca8.sandag.org_ws_abm2_f4[[#This Row],[hwycov_id]],[2]flow_freeway!$A$2:$E$1643,4,FALSE),0)</f>
        <v>7190</v>
      </c>
      <c r="I1270">
        <f>IFERROR(VLOOKUP(Table_socioeca8.sandag.org_ws_abm2_f4[[#This Row],[hwycov_id]],[2]flow_freeway!$A$2:$E$1643,5,FALSE),0)</f>
        <v>15291</v>
      </c>
      <c r="K1270">
        <f>Table_socioeca8.sandag.org_ws_abm2_f4[[#This Row],[hwycov_id]]</f>
        <v>27898</v>
      </c>
      <c r="L1270">
        <f>Table_socioeca8.sandag.org_ws_abm2_f4[[#This Row],[scenario_id]]</f>
        <v>259</v>
      </c>
      <c r="M1270">
        <f>Table_socioeca8.sandag.org_ws_abm2_f4[[#This Row],[flow_day]]</f>
        <v>51433</v>
      </c>
      <c r="N1270">
        <f>Table_socioeca8.sandag.org_ws_abm2_f4[[#This Row],[flow_am]]</f>
        <v>7190</v>
      </c>
      <c r="O1270">
        <f>Table_socioeca8.sandag.org_ws_abm2_f4[[#This Row],[flow_pm]]</f>
        <v>15291</v>
      </c>
    </row>
    <row r="1271" spans="5:15" x14ac:dyDescent="0.25">
      <c r="E1271">
        <v>27901</v>
      </c>
      <c r="F1271">
        <f t="shared" si="19"/>
        <v>259</v>
      </c>
      <c r="G1271">
        <f>IFERROR(VLOOKUP(Table_socioeca8.sandag.org_ws_abm2_f4[[#This Row],[hwycov_id]],[2]flow_freeway!$A$2:$E$1643,3,FALSE),0)</f>
        <v>58745</v>
      </c>
      <c r="H1271">
        <f>IFERROR(VLOOKUP(Table_socioeca8.sandag.org_ws_abm2_f4[[#This Row],[hwycov_id]],[2]flow_freeway!$A$2:$E$1643,4,FALSE),0)</f>
        <v>8097</v>
      </c>
      <c r="I1271">
        <f>IFERROR(VLOOKUP(Table_socioeca8.sandag.org_ws_abm2_f4[[#This Row],[hwycov_id]],[2]flow_freeway!$A$2:$E$1643,5,FALSE),0)</f>
        <v>17494</v>
      </c>
      <c r="K1271">
        <f>Table_socioeca8.sandag.org_ws_abm2_f4[[#This Row],[hwycov_id]]</f>
        <v>27901</v>
      </c>
      <c r="L1271">
        <f>Table_socioeca8.sandag.org_ws_abm2_f4[[#This Row],[scenario_id]]</f>
        <v>259</v>
      </c>
      <c r="M1271">
        <f>Table_socioeca8.sandag.org_ws_abm2_f4[[#This Row],[flow_day]]</f>
        <v>58745</v>
      </c>
      <c r="N1271">
        <f>Table_socioeca8.sandag.org_ws_abm2_f4[[#This Row],[flow_am]]</f>
        <v>8097</v>
      </c>
      <c r="O1271">
        <f>Table_socioeca8.sandag.org_ws_abm2_f4[[#This Row],[flow_pm]]</f>
        <v>17494</v>
      </c>
    </row>
    <row r="1272" spans="5:15" x14ac:dyDescent="0.25">
      <c r="E1272">
        <v>27902</v>
      </c>
      <c r="F1272">
        <f t="shared" si="19"/>
        <v>259</v>
      </c>
      <c r="G1272">
        <f>IFERROR(VLOOKUP(Table_socioeca8.sandag.org_ws_abm2_f4[[#This Row],[hwycov_id]],[2]flow_freeway!$A$2:$E$1643,3,FALSE),0)</f>
        <v>46849</v>
      </c>
      <c r="H1272">
        <f>IFERROR(VLOOKUP(Table_socioeca8.sandag.org_ws_abm2_f4[[#This Row],[hwycov_id]],[2]flow_freeway!$A$2:$E$1643,4,FALSE),0)</f>
        <v>6134</v>
      </c>
      <c r="I1272">
        <f>IFERROR(VLOOKUP(Table_socioeca8.sandag.org_ws_abm2_f4[[#This Row],[hwycov_id]],[2]flow_freeway!$A$2:$E$1643,5,FALSE),0)</f>
        <v>14233</v>
      </c>
      <c r="K1272">
        <f>Table_socioeca8.sandag.org_ws_abm2_f4[[#This Row],[hwycov_id]]</f>
        <v>27902</v>
      </c>
      <c r="L1272">
        <f>Table_socioeca8.sandag.org_ws_abm2_f4[[#This Row],[scenario_id]]</f>
        <v>259</v>
      </c>
      <c r="M1272">
        <f>Table_socioeca8.sandag.org_ws_abm2_f4[[#This Row],[flow_day]]</f>
        <v>46849</v>
      </c>
      <c r="N1272">
        <f>Table_socioeca8.sandag.org_ws_abm2_f4[[#This Row],[flow_am]]</f>
        <v>6134</v>
      </c>
      <c r="O1272">
        <f>Table_socioeca8.sandag.org_ws_abm2_f4[[#This Row],[flow_pm]]</f>
        <v>14233</v>
      </c>
    </row>
    <row r="1273" spans="5:15" x14ac:dyDescent="0.25">
      <c r="E1273">
        <v>27903</v>
      </c>
      <c r="F1273">
        <f t="shared" si="19"/>
        <v>259</v>
      </c>
      <c r="G1273">
        <f>IFERROR(VLOOKUP(Table_socioeca8.sandag.org_ws_abm2_f4[[#This Row],[hwycov_id]],[2]flow_freeway!$A$2:$E$1643,3,FALSE),0)</f>
        <v>50832</v>
      </c>
      <c r="H1273">
        <f>IFERROR(VLOOKUP(Table_socioeca8.sandag.org_ws_abm2_f4[[#This Row],[hwycov_id]],[2]flow_freeway!$A$2:$E$1643,4,FALSE),0)</f>
        <v>12100</v>
      </c>
      <c r="I1273">
        <f>IFERROR(VLOOKUP(Table_socioeca8.sandag.org_ws_abm2_f4[[#This Row],[hwycov_id]],[2]flow_freeway!$A$2:$E$1643,5,FALSE),0)</f>
        <v>9076</v>
      </c>
      <c r="K1273">
        <f>Table_socioeca8.sandag.org_ws_abm2_f4[[#This Row],[hwycov_id]]</f>
        <v>27903</v>
      </c>
      <c r="L1273">
        <f>Table_socioeca8.sandag.org_ws_abm2_f4[[#This Row],[scenario_id]]</f>
        <v>259</v>
      </c>
      <c r="M1273">
        <f>Table_socioeca8.sandag.org_ws_abm2_f4[[#This Row],[flow_day]]</f>
        <v>50832</v>
      </c>
      <c r="N1273">
        <f>Table_socioeca8.sandag.org_ws_abm2_f4[[#This Row],[flow_am]]</f>
        <v>12100</v>
      </c>
      <c r="O1273">
        <f>Table_socioeca8.sandag.org_ws_abm2_f4[[#This Row],[flow_pm]]</f>
        <v>9076</v>
      </c>
    </row>
    <row r="1274" spans="5:15" x14ac:dyDescent="0.25">
      <c r="E1274">
        <v>27914</v>
      </c>
      <c r="F1274">
        <f t="shared" si="19"/>
        <v>259</v>
      </c>
      <c r="G1274">
        <f>IFERROR(VLOOKUP(Table_socioeca8.sandag.org_ws_abm2_f4[[#This Row],[hwycov_id]],[2]flow_freeway!$A$2:$E$1643,3,FALSE),0)</f>
        <v>79257</v>
      </c>
      <c r="H1274">
        <f>IFERROR(VLOOKUP(Table_socioeca8.sandag.org_ws_abm2_f4[[#This Row],[hwycov_id]],[2]flow_freeway!$A$2:$E$1643,4,FALSE),0)</f>
        <v>18737</v>
      </c>
      <c r="I1274">
        <f>IFERROR(VLOOKUP(Table_socioeca8.sandag.org_ws_abm2_f4[[#This Row],[hwycov_id]],[2]flow_freeway!$A$2:$E$1643,5,FALSE),0)</f>
        <v>14996</v>
      </c>
      <c r="K1274">
        <f>Table_socioeca8.sandag.org_ws_abm2_f4[[#This Row],[hwycov_id]]</f>
        <v>27914</v>
      </c>
      <c r="L1274">
        <f>Table_socioeca8.sandag.org_ws_abm2_f4[[#This Row],[scenario_id]]</f>
        <v>259</v>
      </c>
      <c r="M1274">
        <f>Table_socioeca8.sandag.org_ws_abm2_f4[[#This Row],[flow_day]]</f>
        <v>79257</v>
      </c>
      <c r="N1274">
        <f>Table_socioeca8.sandag.org_ws_abm2_f4[[#This Row],[flow_am]]</f>
        <v>18737</v>
      </c>
      <c r="O1274">
        <f>Table_socioeca8.sandag.org_ws_abm2_f4[[#This Row],[flow_pm]]</f>
        <v>14996</v>
      </c>
    </row>
    <row r="1275" spans="5:15" x14ac:dyDescent="0.25">
      <c r="E1275">
        <v>27915</v>
      </c>
      <c r="F1275">
        <f t="shared" si="19"/>
        <v>259</v>
      </c>
      <c r="G1275">
        <f>IFERROR(VLOOKUP(Table_socioeca8.sandag.org_ws_abm2_f4[[#This Row],[hwycov_id]],[2]flow_freeway!$A$2:$E$1643,3,FALSE),0)</f>
        <v>67697</v>
      </c>
      <c r="H1275">
        <f>IFERROR(VLOOKUP(Table_socioeca8.sandag.org_ws_abm2_f4[[#This Row],[hwycov_id]],[2]flow_freeway!$A$2:$E$1643,4,FALSE),0)</f>
        <v>9623</v>
      </c>
      <c r="I1275">
        <f>IFERROR(VLOOKUP(Table_socioeca8.sandag.org_ws_abm2_f4[[#This Row],[hwycov_id]],[2]flow_freeway!$A$2:$E$1643,5,FALSE),0)</f>
        <v>19608</v>
      </c>
      <c r="K1275">
        <f>Table_socioeca8.sandag.org_ws_abm2_f4[[#This Row],[hwycov_id]]</f>
        <v>27915</v>
      </c>
      <c r="L1275">
        <f>Table_socioeca8.sandag.org_ws_abm2_f4[[#This Row],[scenario_id]]</f>
        <v>259</v>
      </c>
      <c r="M1275">
        <f>Table_socioeca8.sandag.org_ws_abm2_f4[[#This Row],[flow_day]]</f>
        <v>67697</v>
      </c>
      <c r="N1275">
        <f>Table_socioeca8.sandag.org_ws_abm2_f4[[#This Row],[flow_am]]</f>
        <v>9623</v>
      </c>
      <c r="O1275">
        <f>Table_socioeca8.sandag.org_ws_abm2_f4[[#This Row],[flow_pm]]</f>
        <v>19608</v>
      </c>
    </row>
    <row r="1276" spans="5:15" x14ac:dyDescent="0.25">
      <c r="E1276">
        <v>27916</v>
      </c>
      <c r="F1276">
        <f t="shared" si="19"/>
        <v>259</v>
      </c>
      <c r="G1276">
        <f>IFERROR(VLOOKUP(Table_socioeca8.sandag.org_ws_abm2_f4[[#This Row],[hwycov_id]],[2]flow_freeway!$A$2:$E$1643,3,FALSE),0)</f>
        <v>77484</v>
      </c>
      <c r="H1276">
        <f>IFERROR(VLOOKUP(Table_socioeca8.sandag.org_ws_abm2_f4[[#This Row],[hwycov_id]],[2]flow_freeway!$A$2:$E$1643,4,FALSE),0)</f>
        <v>18332</v>
      </c>
      <c r="I1276">
        <f>IFERROR(VLOOKUP(Table_socioeca8.sandag.org_ws_abm2_f4[[#This Row],[hwycov_id]],[2]flow_freeway!$A$2:$E$1643,5,FALSE),0)</f>
        <v>14709</v>
      </c>
      <c r="K1276">
        <f>Table_socioeca8.sandag.org_ws_abm2_f4[[#This Row],[hwycov_id]]</f>
        <v>27916</v>
      </c>
      <c r="L1276">
        <f>Table_socioeca8.sandag.org_ws_abm2_f4[[#This Row],[scenario_id]]</f>
        <v>259</v>
      </c>
      <c r="M1276">
        <f>Table_socioeca8.sandag.org_ws_abm2_f4[[#This Row],[flow_day]]</f>
        <v>77484</v>
      </c>
      <c r="N1276">
        <f>Table_socioeca8.sandag.org_ws_abm2_f4[[#This Row],[flow_am]]</f>
        <v>18332</v>
      </c>
      <c r="O1276">
        <f>Table_socioeca8.sandag.org_ws_abm2_f4[[#This Row],[flow_pm]]</f>
        <v>14709</v>
      </c>
    </row>
    <row r="1277" spans="5:15" x14ac:dyDescent="0.25">
      <c r="E1277">
        <v>27918</v>
      </c>
      <c r="F1277">
        <f t="shared" si="19"/>
        <v>259</v>
      </c>
      <c r="G1277">
        <f>IFERROR(VLOOKUP(Table_socioeca8.sandag.org_ws_abm2_f4[[#This Row],[hwycov_id]],[2]flow_freeway!$A$2:$E$1643,3,FALSE),0)</f>
        <v>74469</v>
      </c>
      <c r="H1277">
        <f>IFERROR(VLOOKUP(Table_socioeca8.sandag.org_ws_abm2_f4[[#This Row],[hwycov_id]],[2]flow_freeway!$A$2:$E$1643,4,FALSE),0)</f>
        <v>10893</v>
      </c>
      <c r="I1277">
        <f>IFERROR(VLOOKUP(Table_socioeca8.sandag.org_ws_abm2_f4[[#This Row],[hwycov_id]],[2]flow_freeway!$A$2:$E$1643,5,FALSE),0)</f>
        <v>21494</v>
      </c>
      <c r="K1277">
        <f>Table_socioeca8.sandag.org_ws_abm2_f4[[#This Row],[hwycov_id]]</f>
        <v>27918</v>
      </c>
      <c r="L1277">
        <f>Table_socioeca8.sandag.org_ws_abm2_f4[[#This Row],[scenario_id]]</f>
        <v>259</v>
      </c>
      <c r="M1277">
        <f>Table_socioeca8.sandag.org_ws_abm2_f4[[#This Row],[flow_day]]</f>
        <v>74469</v>
      </c>
      <c r="N1277">
        <f>Table_socioeca8.sandag.org_ws_abm2_f4[[#This Row],[flow_am]]</f>
        <v>10893</v>
      </c>
      <c r="O1277">
        <f>Table_socioeca8.sandag.org_ws_abm2_f4[[#This Row],[flow_pm]]</f>
        <v>21494</v>
      </c>
    </row>
    <row r="1278" spans="5:15" x14ac:dyDescent="0.25">
      <c r="E1278">
        <v>27919</v>
      </c>
      <c r="F1278">
        <f t="shared" si="19"/>
        <v>259</v>
      </c>
      <c r="G1278">
        <f>IFERROR(VLOOKUP(Table_socioeca8.sandag.org_ws_abm2_f4[[#This Row],[hwycov_id]],[2]flow_freeway!$A$2:$E$1643,3,FALSE),0)</f>
        <v>84075</v>
      </c>
      <c r="H1278">
        <f>IFERROR(VLOOKUP(Table_socioeca8.sandag.org_ws_abm2_f4[[#This Row],[hwycov_id]],[2]flow_freeway!$A$2:$E$1643,4,FALSE),0)</f>
        <v>19866</v>
      </c>
      <c r="I1278">
        <f>IFERROR(VLOOKUP(Table_socioeca8.sandag.org_ws_abm2_f4[[#This Row],[hwycov_id]],[2]flow_freeway!$A$2:$E$1643,5,FALSE),0)</f>
        <v>16232</v>
      </c>
      <c r="K1278">
        <f>Table_socioeca8.sandag.org_ws_abm2_f4[[#This Row],[hwycov_id]]</f>
        <v>27919</v>
      </c>
      <c r="L1278">
        <f>Table_socioeca8.sandag.org_ws_abm2_f4[[#This Row],[scenario_id]]</f>
        <v>259</v>
      </c>
      <c r="M1278">
        <f>Table_socioeca8.sandag.org_ws_abm2_f4[[#This Row],[flow_day]]</f>
        <v>84075</v>
      </c>
      <c r="N1278">
        <f>Table_socioeca8.sandag.org_ws_abm2_f4[[#This Row],[flow_am]]</f>
        <v>19866</v>
      </c>
      <c r="O1278">
        <f>Table_socioeca8.sandag.org_ws_abm2_f4[[#This Row],[flow_pm]]</f>
        <v>16232</v>
      </c>
    </row>
    <row r="1279" spans="5:15" x14ac:dyDescent="0.25">
      <c r="E1279">
        <v>27921</v>
      </c>
      <c r="F1279">
        <f t="shared" si="19"/>
        <v>259</v>
      </c>
      <c r="G1279">
        <f>IFERROR(VLOOKUP(Table_socioeca8.sandag.org_ws_abm2_f4[[#This Row],[hwycov_id]],[2]flow_freeway!$A$2:$E$1643,3,FALSE),0)</f>
        <v>77398</v>
      </c>
      <c r="H1279">
        <f>IFERROR(VLOOKUP(Table_socioeca8.sandag.org_ws_abm2_f4[[#This Row],[hwycov_id]],[2]flow_freeway!$A$2:$E$1643,4,FALSE),0)</f>
        <v>18588</v>
      </c>
      <c r="I1279">
        <f>IFERROR(VLOOKUP(Table_socioeca8.sandag.org_ws_abm2_f4[[#This Row],[hwycov_id]],[2]flow_freeway!$A$2:$E$1643,5,FALSE),0)</f>
        <v>14911</v>
      </c>
      <c r="K1279">
        <f>Table_socioeca8.sandag.org_ws_abm2_f4[[#This Row],[hwycov_id]]</f>
        <v>27921</v>
      </c>
      <c r="L1279">
        <f>Table_socioeca8.sandag.org_ws_abm2_f4[[#This Row],[scenario_id]]</f>
        <v>259</v>
      </c>
      <c r="M1279">
        <f>Table_socioeca8.sandag.org_ws_abm2_f4[[#This Row],[flow_day]]</f>
        <v>77398</v>
      </c>
      <c r="N1279">
        <f>Table_socioeca8.sandag.org_ws_abm2_f4[[#This Row],[flow_am]]</f>
        <v>18588</v>
      </c>
      <c r="O1279">
        <f>Table_socioeca8.sandag.org_ws_abm2_f4[[#This Row],[flow_pm]]</f>
        <v>14911</v>
      </c>
    </row>
    <row r="1280" spans="5:15" x14ac:dyDescent="0.25">
      <c r="E1280">
        <v>27923</v>
      </c>
      <c r="F1280">
        <f t="shared" si="19"/>
        <v>259</v>
      </c>
      <c r="G1280">
        <f>IFERROR(VLOOKUP(Table_socioeca8.sandag.org_ws_abm2_f4[[#This Row],[hwycov_id]],[2]flow_freeway!$A$2:$E$1643,3,FALSE),0)</f>
        <v>69035</v>
      </c>
      <c r="H1280">
        <f>IFERROR(VLOOKUP(Table_socioeca8.sandag.org_ws_abm2_f4[[#This Row],[hwycov_id]],[2]flow_freeway!$A$2:$E$1643,4,FALSE),0)</f>
        <v>10357</v>
      </c>
      <c r="I1280">
        <f>IFERROR(VLOOKUP(Table_socioeca8.sandag.org_ws_abm2_f4[[#This Row],[hwycov_id]],[2]flow_freeway!$A$2:$E$1643,5,FALSE),0)</f>
        <v>20095</v>
      </c>
      <c r="K1280">
        <f>Table_socioeca8.sandag.org_ws_abm2_f4[[#This Row],[hwycov_id]]</f>
        <v>27923</v>
      </c>
      <c r="L1280">
        <f>Table_socioeca8.sandag.org_ws_abm2_f4[[#This Row],[scenario_id]]</f>
        <v>259</v>
      </c>
      <c r="M1280">
        <f>Table_socioeca8.sandag.org_ws_abm2_f4[[#This Row],[flow_day]]</f>
        <v>69035</v>
      </c>
      <c r="N1280">
        <f>Table_socioeca8.sandag.org_ws_abm2_f4[[#This Row],[flow_am]]</f>
        <v>10357</v>
      </c>
      <c r="O1280">
        <f>Table_socioeca8.sandag.org_ws_abm2_f4[[#This Row],[flow_pm]]</f>
        <v>20095</v>
      </c>
    </row>
    <row r="1281" spans="5:15" x14ac:dyDescent="0.25">
      <c r="E1281">
        <v>27924</v>
      </c>
      <c r="F1281">
        <f t="shared" si="19"/>
        <v>259</v>
      </c>
      <c r="G1281">
        <f>IFERROR(VLOOKUP(Table_socioeca8.sandag.org_ws_abm2_f4[[#This Row],[hwycov_id]],[2]flow_freeway!$A$2:$E$1643,3,FALSE),0)</f>
        <v>78752</v>
      </c>
      <c r="H1281">
        <f>IFERROR(VLOOKUP(Table_socioeca8.sandag.org_ws_abm2_f4[[#This Row],[hwycov_id]],[2]flow_freeway!$A$2:$E$1643,4,FALSE),0)</f>
        <v>12019</v>
      </c>
      <c r="I1281">
        <f>IFERROR(VLOOKUP(Table_socioeca8.sandag.org_ws_abm2_f4[[#This Row],[hwycov_id]],[2]flow_freeway!$A$2:$E$1643,5,FALSE),0)</f>
        <v>22710</v>
      </c>
      <c r="K1281">
        <f>Table_socioeca8.sandag.org_ws_abm2_f4[[#This Row],[hwycov_id]]</f>
        <v>27924</v>
      </c>
      <c r="L1281">
        <f>Table_socioeca8.sandag.org_ws_abm2_f4[[#This Row],[scenario_id]]</f>
        <v>259</v>
      </c>
      <c r="M1281">
        <f>Table_socioeca8.sandag.org_ws_abm2_f4[[#This Row],[flow_day]]</f>
        <v>78752</v>
      </c>
      <c r="N1281">
        <f>Table_socioeca8.sandag.org_ws_abm2_f4[[#This Row],[flow_am]]</f>
        <v>12019</v>
      </c>
      <c r="O1281">
        <f>Table_socioeca8.sandag.org_ws_abm2_f4[[#This Row],[flow_pm]]</f>
        <v>22710</v>
      </c>
    </row>
    <row r="1282" spans="5:15" x14ac:dyDescent="0.25">
      <c r="E1282">
        <v>27925</v>
      </c>
      <c r="F1282">
        <f t="shared" si="19"/>
        <v>259</v>
      </c>
      <c r="G1282">
        <f>IFERROR(VLOOKUP(Table_socioeca8.sandag.org_ws_abm2_f4[[#This Row],[hwycov_id]],[2]flow_freeway!$A$2:$E$1643,3,FALSE),0)</f>
        <v>88544</v>
      </c>
      <c r="H1282">
        <f>IFERROR(VLOOKUP(Table_socioeca8.sandag.org_ws_abm2_f4[[#This Row],[hwycov_id]],[2]flow_freeway!$A$2:$E$1643,4,FALSE),0)</f>
        <v>21360</v>
      </c>
      <c r="I1282">
        <f>IFERROR(VLOOKUP(Table_socioeca8.sandag.org_ws_abm2_f4[[#This Row],[hwycov_id]],[2]flow_freeway!$A$2:$E$1643,5,FALSE),0)</f>
        <v>17528</v>
      </c>
      <c r="K1282">
        <f>Table_socioeca8.sandag.org_ws_abm2_f4[[#This Row],[hwycov_id]]</f>
        <v>27925</v>
      </c>
      <c r="L1282">
        <f>Table_socioeca8.sandag.org_ws_abm2_f4[[#This Row],[scenario_id]]</f>
        <v>259</v>
      </c>
      <c r="M1282">
        <f>Table_socioeca8.sandag.org_ws_abm2_f4[[#This Row],[flow_day]]</f>
        <v>88544</v>
      </c>
      <c r="N1282">
        <f>Table_socioeca8.sandag.org_ws_abm2_f4[[#This Row],[flow_am]]</f>
        <v>21360</v>
      </c>
      <c r="O1282">
        <f>Table_socioeca8.sandag.org_ws_abm2_f4[[#This Row],[flow_pm]]</f>
        <v>17528</v>
      </c>
    </row>
    <row r="1283" spans="5:15" x14ac:dyDescent="0.25">
      <c r="E1283">
        <v>27928</v>
      </c>
      <c r="F1283">
        <f t="shared" si="19"/>
        <v>259</v>
      </c>
      <c r="G1283">
        <f>IFERROR(VLOOKUP(Table_socioeca8.sandag.org_ws_abm2_f4[[#This Row],[hwycov_id]],[2]flow_freeway!$A$2:$E$1643,3,FALSE),0)</f>
        <v>75915</v>
      </c>
      <c r="H1283">
        <f>IFERROR(VLOOKUP(Table_socioeca8.sandag.org_ws_abm2_f4[[#This Row],[hwycov_id]],[2]flow_freeway!$A$2:$E$1643,4,FALSE),0)</f>
        <v>11516</v>
      </c>
      <c r="I1283">
        <f>IFERROR(VLOOKUP(Table_socioeca8.sandag.org_ws_abm2_f4[[#This Row],[hwycov_id]],[2]flow_freeway!$A$2:$E$1643,5,FALSE),0)</f>
        <v>22040</v>
      </c>
      <c r="K1283">
        <f>Table_socioeca8.sandag.org_ws_abm2_f4[[#This Row],[hwycov_id]]</f>
        <v>27928</v>
      </c>
      <c r="L1283">
        <f>Table_socioeca8.sandag.org_ws_abm2_f4[[#This Row],[scenario_id]]</f>
        <v>259</v>
      </c>
      <c r="M1283">
        <f>Table_socioeca8.sandag.org_ws_abm2_f4[[#This Row],[flow_day]]</f>
        <v>75915</v>
      </c>
      <c r="N1283">
        <f>Table_socioeca8.sandag.org_ws_abm2_f4[[#This Row],[flow_am]]</f>
        <v>11516</v>
      </c>
      <c r="O1283">
        <f>Table_socioeca8.sandag.org_ws_abm2_f4[[#This Row],[flow_pm]]</f>
        <v>22040</v>
      </c>
    </row>
    <row r="1284" spans="5:15" x14ac:dyDescent="0.25">
      <c r="E1284">
        <v>27929</v>
      </c>
      <c r="F1284">
        <f t="shared" ref="F1284:F1347" si="20">F1283</f>
        <v>259</v>
      </c>
      <c r="G1284">
        <f>IFERROR(VLOOKUP(Table_socioeca8.sandag.org_ws_abm2_f4[[#This Row],[hwycov_id]],[2]flow_freeway!$A$2:$E$1643,3,FALSE),0)</f>
        <v>83028</v>
      </c>
      <c r="H1284">
        <f>IFERROR(VLOOKUP(Table_socioeca8.sandag.org_ws_abm2_f4[[#This Row],[hwycov_id]],[2]flow_freeway!$A$2:$E$1643,4,FALSE),0)</f>
        <v>20118</v>
      </c>
      <c r="I1284">
        <f>IFERROR(VLOOKUP(Table_socioeca8.sandag.org_ws_abm2_f4[[#This Row],[hwycov_id]],[2]flow_freeway!$A$2:$E$1643,5,FALSE),0)</f>
        <v>16258</v>
      </c>
      <c r="K1284">
        <f>Table_socioeca8.sandag.org_ws_abm2_f4[[#This Row],[hwycov_id]]</f>
        <v>27929</v>
      </c>
      <c r="L1284">
        <f>Table_socioeca8.sandag.org_ws_abm2_f4[[#This Row],[scenario_id]]</f>
        <v>259</v>
      </c>
      <c r="M1284">
        <f>Table_socioeca8.sandag.org_ws_abm2_f4[[#This Row],[flow_day]]</f>
        <v>83028</v>
      </c>
      <c r="N1284">
        <f>Table_socioeca8.sandag.org_ws_abm2_f4[[#This Row],[flow_am]]</f>
        <v>20118</v>
      </c>
      <c r="O1284">
        <f>Table_socioeca8.sandag.org_ws_abm2_f4[[#This Row],[flow_pm]]</f>
        <v>16258</v>
      </c>
    </row>
    <row r="1285" spans="5:15" x14ac:dyDescent="0.25">
      <c r="E1285">
        <v>27930</v>
      </c>
      <c r="F1285">
        <f t="shared" si="20"/>
        <v>259</v>
      </c>
      <c r="G1285">
        <f>IFERROR(VLOOKUP(Table_socioeca8.sandag.org_ws_abm2_f4[[#This Row],[hwycov_id]],[2]flow_freeway!$A$2:$E$1643,3,FALSE),0)</f>
        <v>84678</v>
      </c>
      <c r="H1285">
        <f>IFERROR(VLOOKUP(Table_socioeca8.sandag.org_ws_abm2_f4[[#This Row],[hwycov_id]],[2]flow_freeway!$A$2:$E$1643,4,FALSE),0)</f>
        <v>13223</v>
      </c>
      <c r="I1285">
        <f>IFERROR(VLOOKUP(Table_socioeca8.sandag.org_ws_abm2_f4[[#This Row],[hwycov_id]],[2]flow_freeway!$A$2:$E$1643,5,FALSE),0)</f>
        <v>24717</v>
      </c>
      <c r="K1285">
        <f>Table_socioeca8.sandag.org_ws_abm2_f4[[#This Row],[hwycov_id]]</f>
        <v>27930</v>
      </c>
      <c r="L1285">
        <f>Table_socioeca8.sandag.org_ws_abm2_f4[[#This Row],[scenario_id]]</f>
        <v>259</v>
      </c>
      <c r="M1285">
        <f>Table_socioeca8.sandag.org_ws_abm2_f4[[#This Row],[flow_day]]</f>
        <v>84678</v>
      </c>
      <c r="N1285">
        <f>Table_socioeca8.sandag.org_ws_abm2_f4[[#This Row],[flow_am]]</f>
        <v>13223</v>
      </c>
      <c r="O1285">
        <f>Table_socioeca8.sandag.org_ws_abm2_f4[[#This Row],[flow_pm]]</f>
        <v>24717</v>
      </c>
    </row>
    <row r="1286" spans="5:15" x14ac:dyDescent="0.25">
      <c r="E1286">
        <v>27931</v>
      </c>
      <c r="F1286">
        <f t="shared" si="20"/>
        <v>259</v>
      </c>
      <c r="G1286">
        <f>IFERROR(VLOOKUP(Table_socioeca8.sandag.org_ws_abm2_f4[[#This Row],[hwycov_id]],[2]flow_freeway!$A$2:$E$1643,3,FALSE),0)</f>
        <v>96267</v>
      </c>
      <c r="H1286">
        <f>IFERROR(VLOOKUP(Table_socioeca8.sandag.org_ws_abm2_f4[[#This Row],[hwycov_id]],[2]flow_freeway!$A$2:$E$1643,4,FALSE),0)</f>
        <v>23341</v>
      </c>
      <c r="I1286">
        <f>IFERROR(VLOOKUP(Table_socioeca8.sandag.org_ws_abm2_f4[[#This Row],[hwycov_id]],[2]flow_freeway!$A$2:$E$1643,5,FALSE),0)</f>
        <v>19390</v>
      </c>
      <c r="K1286">
        <f>Table_socioeca8.sandag.org_ws_abm2_f4[[#This Row],[hwycov_id]]</f>
        <v>27931</v>
      </c>
      <c r="L1286">
        <f>Table_socioeca8.sandag.org_ws_abm2_f4[[#This Row],[scenario_id]]</f>
        <v>259</v>
      </c>
      <c r="M1286">
        <f>Table_socioeca8.sandag.org_ws_abm2_f4[[#This Row],[flow_day]]</f>
        <v>96267</v>
      </c>
      <c r="N1286">
        <f>Table_socioeca8.sandag.org_ws_abm2_f4[[#This Row],[flow_am]]</f>
        <v>23341</v>
      </c>
      <c r="O1286">
        <f>Table_socioeca8.sandag.org_ws_abm2_f4[[#This Row],[flow_pm]]</f>
        <v>19390</v>
      </c>
    </row>
    <row r="1287" spans="5:15" x14ac:dyDescent="0.25">
      <c r="E1287">
        <v>27933</v>
      </c>
      <c r="F1287">
        <f t="shared" si="20"/>
        <v>259</v>
      </c>
      <c r="G1287">
        <f>IFERROR(VLOOKUP(Table_socioeca8.sandag.org_ws_abm2_f4[[#This Row],[hwycov_id]],[2]flow_freeway!$A$2:$E$1643,3,FALSE),0)</f>
        <v>90391</v>
      </c>
      <c r="H1287">
        <f>IFERROR(VLOOKUP(Table_socioeca8.sandag.org_ws_abm2_f4[[#This Row],[hwycov_id]],[2]flow_freeway!$A$2:$E$1643,4,FALSE),0)</f>
        <v>22197</v>
      </c>
      <c r="I1287">
        <f>IFERROR(VLOOKUP(Table_socioeca8.sandag.org_ws_abm2_f4[[#This Row],[hwycov_id]],[2]flow_freeway!$A$2:$E$1643,5,FALSE),0)</f>
        <v>18149</v>
      </c>
      <c r="K1287">
        <f>Table_socioeca8.sandag.org_ws_abm2_f4[[#This Row],[hwycov_id]]</f>
        <v>27933</v>
      </c>
      <c r="L1287">
        <f>Table_socioeca8.sandag.org_ws_abm2_f4[[#This Row],[scenario_id]]</f>
        <v>259</v>
      </c>
      <c r="M1287">
        <f>Table_socioeca8.sandag.org_ws_abm2_f4[[#This Row],[flow_day]]</f>
        <v>90391</v>
      </c>
      <c r="N1287">
        <f>Table_socioeca8.sandag.org_ws_abm2_f4[[#This Row],[flow_am]]</f>
        <v>22197</v>
      </c>
      <c r="O1287">
        <f>Table_socioeca8.sandag.org_ws_abm2_f4[[#This Row],[flow_pm]]</f>
        <v>18149</v>
      </c>
    </row>
    <row r="1288" spans="5:15" x14ac:dyDescent="0.25">
      <c r="E1288">
        <v>27934</v>
      </c>
      <c r="F1288">
        <f t="shared" si="20"/>
        <v>259</v>
      </c>
      <c r="G1288">
        <f>IFERROR(VLOOKUP(Table_socioeca8.sandag.org_ws_abm2_f4[[#This Row],[hwycov_id]],[2]flow_freeway!$A$2:$E$1643,3,FALSE),0)</f>
        <v>78881</v>
      </c>
      <c r="H1288">
        <f>IFERROR(VLOOKUP(Table_socioeca8.sandag.org_ws_abm2_f4[[#This Row],[hwycov_id]],[2]flow_freeway!$A$2:$E$1643,4,FALSE),0)</f>
        <v>12630</v>
      </c>
      <c r="I1288">
        <f>IFERROR(VLOOKUP(Table_socioeca8.sandag.org_ws_abm2_f4[[#This Row],[hwycov_id]],[2]flow_freeway!$A$2:$E$1643,5,FALSE),0)</f>
        <v>22992</v>
      </c>
      <c r="K1288">
        <f>Table_socioeca8.sandag.org_ws_abm2_f4[[#This Row],[hwycov_id]]</f>
        <v>27934</v>
      </c>
      <c r="L1288">
        <f>Table_socioeca8.sandag.org_ws_abm2_f4[[#This Row],[scenario_id]]</f>
        <v>259</v>
      </c>
      <c r="M1288">
        <f>Table_socioeca8.sandag.org_ws_abm2_f4[[#This Row],[flow_day]]</f>
        <v>78881</v>
      </c>
      <c r="N1288">
        <f>Table_socioeca8.sandag.org_ws_abm2_f4[[#This Row],[flow_am]]</f>
        <v>12630</v>
      </c>
      <c r="O1288">
        <f>Table_socioeca8.sandag.org_ws_abm2_f4[[#This Row],[flow_pm]]</f>
        <v>22992</v>
      </c>
    </row>
    <row r="1289" spans="5:15" x14ac:dyDescent="0.25">
      <c r="E1289">
        <v>27936</v>
      </c>
      <c r="F1289">
        <f t="shared" si="20"/>
        <v>259</v>
      </c>
      <c r="G1289">
        <f>IFERROR(VLOOKUP(Table_socioeca8.sandag.org_ws_abm2_f4[[#This Row],[hwycov_id]],[2]flow_freeway!$A$2:$E$1643,3,FALSE),0)</f>
        <v>98404</v>
      </c>
      <c r="H1289">
        <f>IFERROR(VLOOKUP(Table_socioeca8.sandag.org_ws_abm2_f4[[#This Row],[hwycov_id]],[2]flow_freeway!$A$2:$E$1643,4,FALSE),0)</f>
        <v>24668</v>
      </c>
      <c r="I1289">
        <f>IFERROR(VLOOKUP(Table_socioeca8.sandag.org_ws_abm2_f4[[#This Row],[hwycov_id]],[2]flow_freeway!$A$2:$E$1643,5,FALSE),0)</f>
        <v>19787</v>
      </c>
      <c r="K1289">
        <f>Table_socioeca8.sandag.org_ws_abm2_f4[[#This Row],[hwycov_id]]</f>
        <v>27936</v>
      </c>
      <c r="L1289">
        <f>Table_socioeca8.sandag.org_ws_abm2_f4[[#This Row],[scenario_id]]</f>
        <v>259</v>
      </c>
      <c r="M1289">
        <f>Table_socioeca8.sandag.org_ws_abm2_f4[[#This Row],[flow_day]]</f>
        <v>98404</v>
      </c>
      <c r="N1289">
        <f>Table_socioeca8.sandag.org_ws_abm2_f4[[#This Row],[flow_am]]</f>
        <v>24668</v>
      </c>
      <c r="O1289">
        <f>Table_socioeca8.sandag.org_ws_abm2_f4[[#This Row],[flow_pm]]</f>
        <v>19787</v>
      </c>
    </row>
    <row r="1290" spans="5:15" x14ac:dyDescent="0.25">
      <c r="E1290">
        <v>27937</v>
      </c>
      <c r="F1290">
        <f t="shared" si="20"/>
        <v>259</v>
      </c>
      <c r="G1290">
        <f>IFERROR(VLOOKUP(Table_socioeca8.sandag.org_ws_abm2_f4[[#This Row],[hwycov_id]],[2]flow_freeway!$A$2:$E$1643,3,FALSE),0)</f>
        <v>86552</v>
      </c>
      <c r="H1290">
        <f>IFERROR(VLOOKUP(Table_socioeca8.sandag.org_ws_abm2_f4[[#This Row],[hwycov_id]],[2]flow_freeway!$A$2:$E$1643,4,FALSE),0)</f>
        <v>14043</v>
      </c>
      <c r="I1290">
        <f>IFERROR(VLOOKUP(Table_socioeca8.sandag.org_ws_abm2_f4[[#This Row],[hwycov_id]],[2]flow_freeway!$A$2:$E$1643,5,FALSE),0)</f>
        <v>25223</v>
      </c>
      <c r="K1290">
        <f>Table_socioeca8.sandag.org_ws_abm2_f4[[#This Row],[hwycov_id]]</f>
        <v>27937</v>
      </c>
      <c r="L1290">
        <f>Table_socioeca8.sandag.org_ws_abm2_f4[[#This Row],[scenario_id]]</f>
        <v>259</v>
      </c>
      <c r="M1290">
        <f>Table_socioeca8.sandag.org_ws_abm2_f4[[#This Row],[flow_day]]</f>
        <v>86552</v>
      </c>
      <c r="N1290">
        <f>Table_socioeca8.sandag.org_ws_abm2_f4[[#This Row],[flow_am]]</f>
        <v>14043</v>
      </c>
      <c r="O1290">
        <f>Table_socioeca8.sandag.org_ws_abm2_f4[[#This Row],[flow_pm]]</f>
        <v>25223</v>
      </c>
    </row>
    <row r="1291" spans="5:15" x14ac:dyDescent="0.25">
      <c r="E1291">
        <v>27940</v>
      </c>
      <c r="F1291">
        <f t="shared" si="20"/>
        <v>259</v>
      </c>
      <c r="G1291">
        <f>IFERROR(VLOOKUP(Table_socioeca8.sandag.org_ws_abm2_f4[[#This Row],[hwycov_id]],[2]flow_freeway!$A$2:$E$1643,3,FALSE),0)</f>
        <v>81333</v>
      </c>
      <c r="H1291">
        <f>IFERROR(VLOOKUP(Table_socioeca8.sandag.org_ws_abm2_f4[[#This Row],[hwycov_id]],[2]flow_freeway!$A$2:$E$1643,4,FALSE),0)</f>
        <v>13233</v>
      </c>
      <c r="I1291">
        <f>IFERROR(VLOOKUP(Table_socioeca8.sandag.org_ws_abm2_f4[[#This Row],[hwycov_id]],[2]flow_freeway!$A$2:$E$1643,5,FALSE),0)</f>
        <v>23828</v>
      </c>
      <c r="K1291">
        <f>Table_socioeca8.sandag.org_ws_abm2_f4[[#This Row],[hwycov_id]]</f>
        <v>27940</v>
      </c>
      <c r="L1291">
        <f>Table_socioeca8.sandag.org_ws_abm2_f4[[#This Row],[scenario_id]]</f>
        <v>259</v>
      </c>
      <c r="M1291">
        <f>Table_socioeca8.sandag.org_ws_abm2_f4[[#This Row],[flow_day]]</f>
        <v>81333</v>
      </c>
      <c r="N1291">
        <f>Table_socioeca8.sandag.org_ws_abm2_f4[[#This Row],[flow_am]]</f>
        <v>13233</v>
      </c>
      <c r="O1291">
        <f>Table_socioeca8.sandag.org_ws_abm2_f4[[#This Row],[flow_pm]]</f>
        <v>23828</v>
      </c>
    </row>
    <row r="1292" spans="5:15" x14ac:dyDescent="0.25">
      <c r="E1292">
        <v>27941</v>
      </c>
      <c r="F1292">
        <f t="shared" si="20"/>
        <v>259</v>
      </c>
      <c r="G1292">
        <f>IFERROR(VLOOKUP(Table_socioeca8.sandag.org_ws_abm2_f4[[#This Row],[hwycov_id]],[2]flow_freeway!$A$2:$E$1643,3,FALSE),0)</f>
        <v>92980</v>
      </c>
      <c r="H1292">
        <f>IFERROR(VLOOKUP(Table_socioeca8.sandag.org_ws_abm2_f4[[#This Row],[hwycov_id]],[2]flow_freeway!$A$2:$E$1643,4,FALSE),0)</f>
        <v>23368</v>
      </c>
      <c r="I1292">
        <f>IFERROR(VLOOKUP(Table_socioeca8.sandag.org_ws_abm2_f4[[#This Row],[hwycov_id]],[2]flow_freeway!$A$2:$E$1643,5,FALSE),0)</f>
        <v>18692</v>
      </c>
      <c r="K1292">
        <f>Table_socioeca8.sandag.org_ws_abm2_f4[[#This Row],[hwycov_id]]</f>
        <v>27941</v>
      </c>
      <c r="L1292">
        <f>Table_socioeca8.sandag.org_ws_abm2_f4[[#This Row],[scenario_id]]</f>
        <v>259</v>
      </c>
      <c r="M1292">
        <f>Table_socioeca8.sandag.org_ws_abm2_f4[[#This Row],[flow_day]]</f>
        <v>92980</v>
      </c>
      <c r="N1292">
        <f>Table_socioeca8.sandag.org_ws_abm2_f4[[#This Row],[flow_am]]</f>
        <v>23368</v>
      </c>
      <c r="O1292">
        <f>Table_socioeca8.sandag.org_ws_abm2_f4[[#This Row],[flow_pm]]</f>
        <v>18692</v>
      </c>
    </row>
    <row r="1293" spans="5:15" x14ac:dyDescent="0.25">
      <c r="E1293">
        <v>27942</v>
      </c>
      <c r="F1293">
        <f t="shared" si="20"/>
        <v>259</v>
      </c>
      <c r="G1293">
        <f>IFERROR(VLOOKUP(Table_socioeca8.sandag.org_ws_abm2_f4[[#This Row],[hwycov_id]],[2]flow_freeway!$A$2:$E$1643,3,FALSE),0)</f>
        <v>91017</v>
      </c>
      <c r="H1293">
        <f>IFERROR(VLOOKUP(Table_socioeca8.sandag.org_ws_abm2_f4[[#This Row],[hwycov_id]],[2]flow_freeway!$A$2:$E$1643,4,FALSE),0)</f>
        <v>15002</v>
      </c>
      <c r="I1293">
        <f>IFERROR(VLOOKUP(Table_socioeca8.sandag.org_ws_abm2_f4[[#This Row],[hwycov_id]],[2]flow_freeway!$A$2:$E$1643,5,FALSE),0)</f>
        <v>26568</v>
      </c>
      <c r="K1293">
        <f>Table_socioeca8.sandag.org_ws_abm2_f4[[#This Row],[hwycov_id]]</f>
        <v>27942</v>
      </c>
      <c r="L1293">
        <f>Table_socioeca8.sandag.org_ws_abm2_f4[[#This Row],[scenario_id]]</f>
        <v>259</v>
      </c>
      <c r="M1293">
        <f>Table_socioeca8.sandag.org_ws_abm2_f4[[#This Row],[flow_day]]</f>
        <v>91017</v>
      </c>
      <c r="N1293">
        <f>Table_socioeca8.sandag.org_ws_abm2_f4[[#This Row],[flow_am]]</f>
        <v>15002</v>
      </c>
      <c r="O1293">
        <f>Table_socioeca8.sandag.org_ws_abm2_f4[[#This Row],[flow_pm]]</f>
        <v>26568</v>
      </c>
    </row>
    <row r="1294" spans="5:15" x14ac:dyDescent="0.25">
      <c r="E1294">
        <v>27943</v>
      </c>
      <c r="F1294">
        <f t="shared" si="20"/>
        <v>259</v>
      </c>
      <c r="G1294">
        <f>IFERROR(VLOOKUP(Table_socioeca8.sandag.org_ws_abm2_f4[[#This Row],[hwycov_id]],[2]flow_freeway!$A$2:$E$1643,3,FALSE),0)</f>
        <v>102504</v>
      </c>
      <c r="H1294">
        <f>IFERROR(VLOOKUP(Table_socioeca8.sandag.org_ws_abm2_f4[[#This Row],[hwycov_id]],[2]flow_freeway!$A$2:$E$1643,4,FALSE),0)</f>
        <v>25005</v>
      </c>
      <c r="I1294">
        <f>IFERROR(VLOOKUP(Table_socioeca8.sandag.org_ws_abm2_f4[[#This Row],[hwycov_id]],[2]flow_freeway!$A$2:$E$1643,5,FALSE),0)</f>
        <v>21177</v>
      </c>
      <c r="K1294">
        <f>Table_socioeca8.sandag.org_ws_abm2_f4[[#This Row],[hwycov_id]]</f>
        <v>27943</v>
      </c>
      <c r="L1294">
        <f>Table_socioeca8.sandag.org_ws_abm2_f4[[#This Row],[scenario_id]]</f>
        <v>259</v>
      </c>
      <c r="M1294">
        <f>Table_socioeca8.sandag.org_ws_abm2_f4[[#This Row],[flow_day]]</f>
        <v>102504</v>
      </c>
      <c r="N1294">
        <f>Table_socioeca8.sandag.org_ws_abm2_f4[[#This Row],[flow_am]]</f>
        <v>25005</v>
      </c>
      <c r="O1294">
        <f>Table_socioeca8.sandag.org_ws_abm2_f4[[#This Row],[flow_pm]]</f>
        <v>21177</v>
      </c>
    </row>
    <row r="1295" spans="5:15" x14ac:dyDescent="0.25">
      <c r="E1295">
        <v>27945</v>
      </c>
      <c r="F1295">
        <f t="shared" si="20"/>
        <v>259</v>
      </c>
      <c r="G1295">
        <f>IFERROR(VLOOKUP(Table_socioeca8.sandag.org_ws_abm2_f4[[#This Row],[hwycov_id]],[2]flow_freeway!$A$2:$E$1643,3,FALSE),0)</f>
        <v>90904</v>
      </c>
      <c r="H1295">
        <f>IFERROR(VLOOKUP(Table_socioeca8.sandag.org_ws_abm2_f4[[#This Row],[hwycov_id]],[2]flow_freeway!$A$2:$E$1643,4,FALSE),0)</f>
        <v>14997</v>
      </c>
      <c r="I1295">
        <f>IFERROR(VLOOKUP(Table_socioeca8.sandag.org_ws_abm2_f4[[#This Row],[hwycov_id]],[2]flow_freeway!$A$2:$E$1643,5,FALSE),0)</f>
        <v>26530</v>
      </c>
      <c r="K1295">
        <f>Table_socioeca8.sandag.org_ws_abm2_f4[[#This Row],[hwycov_id]]</f>
        <v>27945</v>
      </c>
      <c r="L1295">
        <f>Table_socioeca8.sandag.org_ws_abm2_f4[[#This Row],[scenario_id]]</f>
        <v>259</v>
      </c>
      <c r="M1295">
        <f>Table_socioeca8.sandag.org_ws_abm2_f4[[#This Row],[flow_day]]</f>
        <v>90904</v>
      </c>
      <c r="N1295">
        <f>Table_socioeca8.sandag.org_ws_abm2_f4[[#This Row],[flow_am]]</f>
        <v>14997</v>
      </c>
      <c r="O1295">
        <f>Table_socioeca8.sandag.org_ws_abm2_f4[[#This Row],[flow_pm]]</f>
        <v>26530</v>
      </c>
    </row>
    <row r="1296" spans="5:15" x14ac:dyDescent="0.25">
      <c r="E1296">
        <v>27946</v>
      </c>
      <c r="F1296">
        <f t="shared" si="20"/>
        <v>259</v>
      </c>
      <c r="G1296">
        <f>IFERROR(VLOOKUP(Table_socioeca8.sandag.org_ws_abm2_f4[[#This Row],[hwycov_id]],[2]flow_freeway!$A$2:$E$1643,3,FALSE),0)</f>
        <v>97153</v>
      </c>
      <c r="H1296">
        <f>IFERROR(VLOOKUP(Table_socioeca8.sandag.org_ws_abm2_f4[[#This Row],[hwycov_id]],[2]flow_freeway!$A$2:$E$1643,4,FALSE),0)</f>
        <v>23909</v>
      </c>
      <c r="I1296">
        <f>IFERROR(VLOOKUP(Table_socioeca8.sandag.org_ws_abm2_f4[[#This Row],[hwycov_id]],[2]flow_freeway!$A$2:$E$1643,5,FALSE),0)</f>
        <v>19975</v>
      </c>
      <c r="K1296">
        <f>Table_socioeca8.sandag.org_ws_abm2_f4[[#This Row],[hwycov_id]]</f>
        <v>27946</v>
      </c>
      <c r="L1296">
        <f>Table_socioeca8.sandag.org_ws_abm2_f4[[#This Row],[scenario_id]]</f>
        <v>259</v>
      </c>
      <c r="M1296">
        <f>Table_socioeca8.sandag.org_ws_abm2_f4[[#This Row],[flow_day]]</f>
        <v>97153</v>
      </c>
      <c r="N1296">
        <f>Table_socioeca8.sandag.org_ws_abm2_f4[[#This Row],[flow_am]]</f>
        <v>23909</v>
      </c>
      <c r="O1296">
        <f>Table_socioeca8.sandag.org_ws_abm2_f4[[#This Row],[flow_pm]]</f>
        <v>19975</v>
      </c>
    </row>
    <row r="1297" spans="5:15" x14ac:dyDescent="0.25">
      <c r="E1297">
        <v>27948</v>
      </c>
      <c r="F1297">
        <f t="shared" si="20"/>
        <v>259</v>
      </c>
      <c r="G1297">
        <f>IFERROR(VLOOKUP(Table_socioeca8.sandag.org_ws_abm2_f4[[#This Row],[hwycov_id]],[2]flow_freeway!$A$2:$E$1643,3,FALSE),0)</f>
        <v>78778</v>
      </c>
      <c r="H1297">
        <f>IFERROR(VLOOKUP(Table_socioeca8.sandag.org_ws_abm2_f4[[#This Row],[hwycov_id]],[2]flow_freeway!$A$2:$E$1643,4,FALSE),0)</f>
        <v>19951</v>
      </c>
      <c r="I1297">
        <f>IFERROR(VLOOKUP(Table_socioeca8.sandag.org_ws_abm2_f4[[#This Row],[hwycov_id]],[2]flow_freeway!$A$2:$E$1643,5,FALSE),0)</f>
        <v>14998</v>
      </c>
      <c r="K1297">
        <f>Table_socioeca8.sandag.org_ws_abm2_f4[[#This Row],[hwycov_id]]</f>
        <v>27948</v>
      </c>
      <c r="L1297">
        <f>Table_socioeca8.sandag.org_ws_abm2_f4[[#This Row],[scenario_id]]</f>
        <v>259</v>
      </c>
      <c r="M1297">
        <f>Table_socioeca8.sandag.org_ws_abm2_f4[[#This Row],[flow_day]]</f>
        <v>78778</v>
      </c>
      <c r="N1297">
        <f>Table_socioeca8.sandag.org_ws_abm2_f4[[#This Row],[flow_am]]</f>
        <v>19951</v>
      </c>
      <c r="O1297">
        <f>Table_socioeca8.sandag.org_ws_abm2_f4[[#This Row],[flow_pm]]</f>
        <v>14998</v>
      </c>
    </row>
    <row r="1298" spans="5:15" x14ac:dyDescent="0.25">
      <c r="E1298">
        <v>27951</v>
      </c>
      <c r="F1298">
        <f t="shared" si="20"/>
        <v>259</v>
      </c>
      <c r="G1298">
        <f>IFERROR(VLOOKUP(Table_socioeca8.sandag.org_ws_abm2_f4[[#This Row],[hwycov_id]],[2]flow_freeway!$A$2:$E$1643,3,FALSE),0)</f>
        <v>70914</v>
      </c>
      <c r="H1298">
        <f>IFERROR(VLOOKUP(Table_socioeca8.sandag.org_ws_abm2_f4[[#This Row],[hwycov_id]],[2]flow_freeway!$A$2:$E$1643,4,FALSE),0)</f>
        <v>10199</v>
      </c>
      <c r="I1298">
        <f>IFERROR(VLOOKUP(Table_socioeca8.sandag.org_ws_abm2_f4[[#This Row],[hwycov_id]],[2]flow_freeway!$A$2:$E$1643,5,FALSE),0)</f>
        <v>21680</v>
      </c>
      <c r="K1298">
        <f>Table_socioeca8.sandag.org_ws_abm2_f4[[#This Row],[hwycov_id]]</f>
        <v>27951</v>
      </c>
      <c r="L1298">
        <f>Table_socioeca8.sandag.org_ws_abm2_f4[[#This Row],[scenario_id]]</f>
        <v>259</v>
      </c>
      <c r="M1298">
        <f>Table_socioeca8.sandag.org_ws_abm2_f4[[#This Row],[flow_day]]</f>
        <v>70914</v>
      </c>
      <c r="N1298">
        <f>Table_socioeca8.sandag.org_ws_abm2_f4[[#This Row],[flow_am]]</f>
        <v>10199</v>
      </c>
      <c r="O1298">
        <f>Table_socioeca8.sandag.org_ws_abm2_f4[[#This Row],[flow_pm]]</f>
        <v>21680</v>
      </c>
    </row>
    <row r="1299" spans="5:15" x14ac:dyDescent="0.25">
      <c r="E1299">
        <v>27952</v>
      </c>
      <c r="F1299">
        <f t="shared" si="20"/>
        <v>259</v>
      </c>
      <c r="G1299">
        <f>IFERROR(VLOOKUP(Table_socioeca8.sandag.org_ws_abm2_f4[[#This Row],[hwycov_id]],[2]flow_freeway!$A$2:$E$1643,3,FALSE),0)</f>
        <v>87816</v>
      </c>
      <c r="H1299">
        <f>IFERROR(VLOOKUP(Table_socioeca8.sandag.org_ws_abm2_f4[[#This Row],[hwycov_id]],[2]flow_freeway!$A$2:$E$1643,4,FALSE),0)</f>
        <v>14559</v>
      </c>
      <c r="I1299">
        <f>IFERROR(VLOOKUP(Table_socioeca8.sandag.org_ws_abm2_f4[[#This Row],[hwycov_id]],[2]flow_freeway!$A$2:$E$1643,5,FALSE),0)</f>
        <v>25748</v>
      </c>
      <c r="K1299">
        <f>Table_socioeca8.sandag.org_ws_abm2_f4[[#This Row],[hwycov_id]]</f>
        <v>27952</v>
      </c>
      <c r="L1299">
        <f>Table_socioeca8.sandag.org_ws_abm2_f4[[#This Row],[scenario_id]]</f>
        <v>259</v>
      </c>
      <c r="M1299">
        <f>Table_socioeca8.sandag.org_ws_abm2_f4[[#This Row],[flow_day]]</f>
        <v>87816</v>
      </c>
      <c r="N1299">
        <f>Table_socioeca8.sandag.org_ws_abm2_f4[[#This Row],[flow_am]]</f>
        <v>14559</v>
      </c>
      <c r="O1299">
        <f>Table_socioeca8.sandag.org_ws_abm2_f4[[#This Row],[flow_pm]]</f>
        <v>25748</v>
      </c>
    </row>
    <row r="1300" spans="5:15" x14ac:dyDescent="0.25">
      <c r="E1300">
        <v>27956</v>
      </c>
      <c r="F1300">
        <f t="shared" si="20"/>
        <v>259</v>
      </c>
      <c r="G1300">
        <f>IFERROR(VLOOKUP(Table_socioeca8.sandag.org_ws_abm2_f4[[#This Row],[hwycov_id]],[2]flow_freeway!$A$2:$E$1643,3,FALSE),0)</f>
        <v>43198</v>
      </c>
      <c r="H1300">
        <f>IFERROR(VLOOKUP(Table_socioeca8.sandag.org_ws_abm2_f4[[#This Row],[hwycov_id]],[2]flow_freeway!$A$2:$E$1643,4,FALSE),0)</f>
        <v>12513</v>
      </c>
      <c r="I1300">
        <f>IFERROR(VLOOKUP(Table_socioeca8.sandag.org_ws_abm2_f4[[#This Row],[hwycov_id]],[2]flow_freeway!$A$2:$E$1643,5,FALSE),0)</f>
        <v>9112</v>
      </c>
      <c r="K1300">
        <f>Table_socioeca8.sandag.org_ws_abm2_f4[[#This Row],[hwycov_id]]</f>
        <v>27956</v>
      </c>
      <c r="L1300">
        <f>Table_socioeca8.sandag.org_ws_abm2_f4[[#This Row],[scenario_id]]</f>
        <v>259</v>
      </c>
      <c r="M1300">
        <f>Table_socioeca8.sandag.org_ws_abm2_f4[[#This Row],[flow_day]]</f>
        <v>43198</v>
      </c>
      <c r="N1300">
        <f>Table_socioeca8.sandag.org_ws_abm2_f4[[#This Row],[flow_am]]</f>
        <v>12513</v>
      </c>
      <c r="O1300">
        <f>Table_socioeca8.sandag.org_ws_abm2_f4[[#This Row],[flow_pm]]</f>
        <v>9112</v>
      </c>
    </row>
    <row r="1301" spans="5:15" x14ac:dyDescent="0.25">
      <c r="E1301">
        <v>27957</v>
      </c>
      <c r="F1301">
        <f t="shared" si="20"/>
        <v>259</v>
      </c>
      <c r="G1301">
        <f>IFERROR(VLOOKUP(Table_socioeca8.sandag.org_ws_abm2_f4[[#This Row],[hwycov_id]],[2]flow_freeway!$A$2:$E$1643,3,FALSE),0)</f>
        <v>52246</v>
      </c>
      <c r="H1301">
        <f>IFERROR(VLOOKUP(Table_socioeca8.sandag.org_ws_abm2_f4[[#This Row],[hwycov_id]],[2]flow_freeway!$A$2:$E$1643,4,FALSE),0)</f>
        <v>14293</v>
      </c>
      <c r="I1301">
        <f>IFERROR(VLOOKUP(Table_socioeca8.sandag.org_ws_abm2_f4[[#This Row],[hwycov_id]],[2]flow_freeway!$A$2:$E$1643,5,FALSE),0)</f>
        <v>11158</v>
      </c>
      <c r="K1301">
        <f>Table_socioeca8.sandag.org_ws_abm2_f4[[#This Row],[hwycov_id]]</f>
        <v>27957</v>
      </c>
      <c r="L1301">
        <f>Table_socioeca8.sandag.org_ws_abm2_f4[[#This Row],[scenario_id]]</f>
        <v>259</v>
      </c>
      <c r="M1301">
        <f>Table_socioeca8.sandag.org_ws_abm2_f4[[#This Row],[flow_day]]</f>
        <v>52246</v>
      </c>
      <c r="N1301">
        <f>Table_socioeca8.sandag.org_ws_abm2_f4[[#This Row],[flow_am]]</f>
        <v>14293</v>
      </c>
      <c r="O1301">
        <f>Table_socioeca8.sandag.org_ws_abm2_f4[[#This Row],[flow_pm]]</f>
        <v>11158</v>
      </c>
    </row>
    <row r="1302" spans="5:15" x14ac:dyDescent="0.25">
      <c r="E1302">
        <v>27959</v>
      </c>
      <c r="F1302">
        <f t="shared" si="20"/>
        <v>259</v>
      </c>
      <c r="G1302">
        <f>IFERROR(VLOOKUP(Table_socioeca8.sandag.org_ws_abm2_f4[[#This Row],[hwycov_id]],[2]flow_freeway!$A$2:$E$1643,3,FALSE),0)</f>
        <v>55203</v>
      </c>
      <c r="H1302">
        <f>IFERROR(VLOOKUP(Table_socioeca8.sandag.org_ws_abm2_f4[[#This Row],[hwycov_id]],[2]flow_freeway!$A$2:$E$1643,4,FALSE),0)</f>
        <v>9170</v>
      </c>
      <c r="I1302">
        <f>IFERROR(VLOOKUP(Table_socioeca8.sandag.org_ws_abm2_f4[[#This Row],[hwycov_id]],[2]flow_freeway!$A$2:$E$1643,5,FALSE),0)</f>
        <v>16217</v>
      </c>
      <c r="K1302">
        <f>Table_socioeca8.sandag.org_ws_abm2_f4[[#This Row],[hwycov_id]]</f>
        <v>27959</v>
      </c>
      <c r="L1302">
        <f>Table_socioeca8.sandag.org_ws_abm2_f4[[#This Row],[scenario_id]]</f>
        <v>259</v>
      </c>
      <c r="M1302">
        <f>Table_socioeca8.sandag.org_ws_abm2_f4[[#This Row],[flow_day]]</f>
        <v>55203</v>
      </c>
      <c r="N1302">
        <f>Table_socioeca8.sandag.org_ws_abm2_f4[[#This Row],[flow_am]]</f>
        <v>9170</v>
      </c>
      <c r="O1302">
        <f>Table_socioeca8.sandag.org_ws_abm2_f4[[#This Row],[flow_pm]]</f>
        <v>16217</v>
      </c>
    </row>
    <row r="1303" spans="5:15" x14ac:dyDescent="0.25">
      <c r="E1303">
        <v>27962</v>
      </c>
      <c r="F1303">
        <f t="shared" si="20"/>
        <v>259</v>
      </c>
      <c r="G1303">
        <f>IFERROR(VLOOKUP(Table_socioeca8.sandag.org_ws_abm2_f4[[#This Row],[hwycov_id]],[2]flow_freeway!$A$2:$E$1643,3,FALSE),0)</f>
        <v>43869</v>
      </c>
      <c r="H1303">
        <f>IFERROR(VLOOKUP(Table_socioeca8.sandag.org_ws_abm2_f4[[#This Row],[hwycov_id]],[2]flow_freeway!$A$2:$E$1643,4,FALSE),0)</f>
        <v>12610</v>
      </c>
      <c r="I1303">
        <f>IFERROR(VLOOKUP(Table_socioeca8.sandag.org_ws_abm2_f4[[#This Row],[hwycov_id]],[2]flow_freeway!$A$2:$E$1643,5,FALSE),0)</f>
        <v>9177</v>
      </c>
      <c r="K1303">
        <f>Table_socioeca8.sandag.org_ws_abm2_f4[[#This Row],[hwycov_id]]</f>
        <v>27962</v>
      </c>
      <c r="L1303">
        <f>Table_socioeca8.sandag.org_ws_abm2_f4[[#This Row],[scenario_id]]</f>
        <v>259</v>
      </c>
      <c r="M1303">
        <f>Table_socioeca8.sandag.org_ws_abm2_f4[[#This Row],[flow_day]]</f>
        <v>43869</v>
      </c>
      <c r="N1303">
        <f>Table_socioeca8.sandag.org_ws_abm2_f4[[#This Row],[flow_am]]</f>
        <v>12610</v>
      </c>
      <c r="O1303">
        <f>Table_socioeca8.sandag.org_ws_abm2_f4[[#This Row],[flow_pm]]</f>
        <v>9177</v>
      </c>
    </row>
    <row r="1304" spans="5:15" x14ac:dyDescent="0.25">
      <c r="E1304">
        <v>27963</v>
      </c>
      <c r="F1304">
        <f t="shared" si="20"/>
        <v>259</v>
      </c>
      <c r="G1304">
        <f>IFERROR(VLOOKUP(Table_socioeca8.sandag.org_ws_abm2_f4[[#This Row],[hwycov_id]],[2]flow_freeway!$A$2:$E$1643,3,FALSE),0)</f>
        <v>61195</v>
      </c>
      <c r="H1304">
        <f>IFERROR(VLOOKUP(Table_socioeca8.sandag.org_ws_abm2_f4[[#This Row],[hwycov_id]],[2]flow_freeway!$A$2:$E$1643,4,FALSE),0)</f>
        <v>10440</v>
      </c>
      <c r="I1304">
        <f>IFERROR(VLOOKUP(Table_socioeca8.sandag.org_ws_abm2_f4[[#This Row],[hwycov_id]],[2]flow_freeway!$A$2:$E$1643,5,FALSE),0)</f>
        <v>18013</v>
      </c>
      <c r="K1304">
        <f>Table_socioeca8.sandag.org_ws_abm2_f4[[#This Row],[hwycov_id]]</f>
        <v>27963</v>
      </c>
      <c r="L1304">
        <f>Table_socioeca8.sandag.org_ws_abm2_f4[[#This Row],[scenario_id]]</f>
        <v>259</v>
      </c>
      <c r="M1304">
        <f>Table_socioeca8.sandag.org_ws_abm2_f4[[#This Row],[flow_day]]</f>
        <v>61195</v>
      </c>
      <c r="N1304">
        <f>Table_socioeca8.sandag.org_ws_abm2_f4[[#This Row],[flow_am]]</f>
        <v>10440</v>
      </c>
      <c r="O1304">
        <f>Table_socioeca8.sandag.org_ws_abm2_f4[[#This Row],[flow_pm]]</f>
        <v>18013</v>
      </c>
    </row>
    <row r="1305" spans="5:15" x14ac:dyDescent="0.25">
      <c r="E1305">
        <v>27964</v>
      </c>
      <c r="F1305">
        <f t="shared" si="20"/>
        <v>259</v>
      </c>
      <c r="G1305">
        <f>IFERROR(VLOOKUP(Table_socioeca8.sandag.org_ws_abm2_f4[[#This Row],[hwycov_id]],[2]flow_freeway!$A$2:$E$1643,3,FALSE),0)</f>
        <v>53872</v>
      </c>
      <c r="H1305">
        <f>IFERROR(VLOOKUP(Table_socioeca8.sandag.org_ws_abm2_f4[[#This Row],[hwycov_id]],[2]flow_freeway!$A$2:$E$1643,4,FALSE),0)</f>
        <v>14600</v>
      </c>
      <c r="I1305">
        <f>IFERROR(VLOOKUP(Table_socioeca8.sandag.org_ws_abm2_f4[[#This Row],[hwycov_id]],[2]flow_freeway!$A$2:$E$1643,5,FALSE),0)</f>
        <v>11520</v>
      </c>
      <c r="K1305">
        <f>Table_socioeca8.sandag.org_ws_abm2_f4[[#This Row],[hwycov_id]]</f>
        <v>27964</v>
      </c>
      <c r="L1305">
        <f>Table_socioeca8.sandag.org_ws_abm2_f4[[#This Row],[scenario_id]]</f>
        <v>259</v>
      </c>
      <c r="M1305">
        <f>Table_socioeca8.sandag.org_ws_abm2_f4[[#This Row],[flow_day]]</f>
        <v>53872</v>
      </c>
      <c r="N1305">
        <f>Table_socioeca8.sandag.org_ws_abm2_f4[[#This Row],[flow_am]]</f>
        <v>14600</v>
      </c>
      <c r="O1305">
        <f>Table_socioeca8.sandag.org_ws_abm2_f4[[#This Row],[flow_pm]]</f>
        <v>11520</v>
      </c>
    </row>
    <row r="1306" spans="5:15" x14ac:dyDescent="0.25">
      <c r="E1306">
        <v>27972</v>
      </c>
      <c r="F1306">
        <f t="shared" si="20"/>
        <v>259</v>
      </c>
      <c r="G1306">
        <f>IFERROR(VLOOKUP(Table_socioeca8.sandag.org_ws_abm2_f4[[#This Row],[hwycov_id]],[2]flow_freeway!$A$2:$E$1643,3,FALSE),0)</f>
        <v>41203</v>
      </c>
      <c r="H1306">
        <f>IFERROR(VLOOKUP(Table_socioeca8.sandag.org_ws_abm2_f4[[#This Row],[hwycov_id]],[2]flow_freeway!$A$2:$E$1643,4,FALSE),0)</f>
        <v>11958</v>
      </c>
      <c r="I1306">
        <f>IFERROR(VLOOKUP(Table_socioeca8.sandag.org_ws_abm2_f4[[#This Row],[hwycov_id]],[2]flow_freeway!$A$2:$E$1643,5,FALSE),0)</f>
        <v>8820</v>
      </c>
      <c r="K1306">
        <f>Table_socioeca8.sandag.org_ws_abm2_f4[[#This Row],[hwycov_id]]</f>
        <v>27972</v>
      </c>
      <c r="L1306">
        <f>Table_socioeca8.sandag.org_ws_abm2_f4[[#This Row],[scenario_id]]</f>
        <v>259</v>
      </c>
      <c r="M1306">
        <f>Table_socioeca8.sandag.org_ws_abm2_f4[[#This Row],[flow_day]]</f>
        <v>41203</v>
      </c>
      <c r="N1306">
        <f>Table_socioeca8.sandag.org_ws_abm2_f4[[#This Row],[flow_am]]</f>
        <v>11958</v>
      </c>
      <c r="O1306">
        <f>Table_socioeca8.sandag.org_ws_abm2_f4[[#This Row],[flow_pm]]</f>
        <v>8820</v>
      </c>
    </row>
    <row r="1307" spans="5:15" x14ac:dyDescent="0.25">
      <c r="E1307">
        <v>27974</v>
      </c>
      <c r="F1307">
        <f t="shared" si="20"/>
        <v>259</v>
      </c>
      <c r="G1307">
        <f>IFERROR(VLOOKUP(Table_socioeca8.sandag.org_ws_abm2_f4[[#This Row],[hwycov_id]],[2]flow_freeway!$A$2:$E$1643,3,FALSE),0)</f>
        <v>31453</v>
      </c>
      <c r="H1307">
        <f>IFERROR(VLOOKUP(Table_socioeca8.sandag.org_ws_abm2_f4[[#This Row],[hwycov_id]],[2]flow_freeway!$A$2:$E$1643,4,FALSE),0)</f>
        <v>4977</v>
      </c>
      <c r="I1307">
        <f>IFERROR(VLOOKUP(Table_socioeca8.sandag.org_ws_abm2_f4[[#This Row],[hwycov_id]],[2]flow_freeway!$A$2:$E$1643,5,FALSE),0)</f>
        <v>10128</v>
      </c>
      <c r="K1307">
        <f>Table_socioeca8.sandag.org_ws_abm2_f4[[#This Row],[hwycov_id]]</f>
        <v>27974</v>
      </c>
      <c r="L1307">
        <f>Table_socioeca8.sandag.org_ws_abm2_f4[[#This Row],[scenario_id]]</f>
        <v>259</v>
      </c>
      <c r="M1307">
        <f>Table_socioeca8.sandag.org_ws_abm2_f4[[#This Row],[flow_day]]</f>
        <v>31453</v>
      </c>
      <c r="N1307">
        <f>Table_socioeca8.sandag.org_ws_abm2_f4[[#This Row],[flow_am]]</f>
        <v>4977</v>
      </c>
      <c r="O1307">
        <f>Table_socioeca8.sandag.org_ws_abm2_f4[[#This Row],[flow_pm]]</f>
        <v>10128</v>
      </c>
    </row>
    <row r="1308" spans="5:15" x14ac:dyDescent="0.25">
      <c r="E1308">
        <v>27976</v>
      </c>
      <c r="F1308">
        <f t="shared" si="20"/>
        <v>259</v>
      </c>
      <c r="G1308">
        <f>IFERROR(VLOOKUP(Table_socioeca8.sandag.org_ws_abm2_f4[[#This Row],[hwycov_id]],[2]flow_freeway!$A$2:$E$1643,3,FALSE),0)</f>
        <v>40015</v>
      </c>
      <c r="H1308">
        <f>IFERROR(VLOOKUP(Table_socioeca8.sandag.org_ws_abm2_f4[[#This Row],[hwycov_id]],[2]flow_freeway!$A$2:$E$1643,4,FALSE),0)</f>
        <v>6092</v>
      </c>
      <c r="I1308">
        <f>IFERROR(VLOOKUP(Table_socioeca8.sandag.org_ws_abm2_f4[[#This Row],[hwycov_id]],[2]flow_freeway!$A$2:$E$1643,5,FALSE),0)</f>
        <v>13350</v>
      </c>
      <c r="K1308">
        <f>Table_socioeca8.sandag.org_ws_abm2_f4[[#This Row],[hwycov_id]]</f>
        <v>27976</v>
      </c>
      <c r="L1308">
        <f>Table_socioeca8.sandag.org_ws_abm2_f4[[#This Row],[scenario_id]]</f>
        <v>259</v>
      </c>
      <c r="M1308">
        <f>Table_socioeca8.sandag.org_ws_abm2_f4[[#This Row],[flow_day]]</f>
        <v>40015</v>
      </c>
      <c r="N1308">
        <f>Table_socioeca8.sandag.org_ws_abm2_f4[[#This Row],[flow_am]]</f>
        <v>6092</v>
      </c>
      <c r="O1308">
        <f>Table_socioeca8.sandag.org_ws_abm2_f4[[#This Row],[flow_pm]]</f>
        <v>13350</v>
      </c>
    </row>
    <row r="1309" spans="5:15" x14ac:dyDescent="0.25">
      <c r="E1309">
        <v>27979</v>
      </c>
      <c r="F1309">
        <f t="shared" si="20"/>
        <v>259</v>
      </c>
      <c r="G1309">
        <f>IFERROR(VLOOKUP(Table_socioeca8.sandag.org_ws_abm2_f4[[#This Row],[hwycov_id]],[2]flow_freeway!$A$2:$E$1643,3,FALSE),0)</f>
        <v>31188</v>
      </c>
      <c r="H1309">
        <f>IFERROR(VLOOKUP(Table_socioeca8.sandag.org_ws_abm2_f4[[#This Row],[hwycov_id]],[2]flow_freeway!$A$2:$E$1643,4,FALSE),0)</f>
        <v>9959</v>
      </c>
      <c r="I1309">
        <f>IFERROR(VLOOKUP(Table_socioeca8.sandag.org_ws_abm2_f4[[#This Row],[hwycov_id]],[2]flow_freeway!$A$2:$E$1643,5,FALSE),0)</f>
        <v>6765</v>
      </c>
      <c r="K1309">
        <f>Table_socioeca8.sandag.org_ws_abm2_f4[[#This Row],[hwycov_id]]</f>
        <v>27979</v>
      </c>
      <c r="L1309">
        <f>Table_socioeca8.sandag.org_ws_abm2_f4[[#This Row],[scenario_id]]</f>
        <v>259</v>
      </c>
      <c r="M1309">
        <f>Table_socioeca8.sandag.org_ws_abm2_f4[[#This Row],[flow_day]]</f>
        <v>31188</v>
      </c>
      <c r="N1309">
        <f>Table_socioeca8.sandag.org_ws_abm2_f4[[#This Row],[flow_am]]</f>
        <v>9959</v>
      </c>
      <c r="O1309">
        <f>Table_socioeca8.sandag.org_ws_abm2_f4[[#This Row],[flow_pm]]</f>
        <v>6765</v>
      </c>
    </row>
    <row r="1310" spans="5:15" x14ac:dyDescent="0.25">
      <c r="E1310">
        <v>27980</v>
      </c>
      <c r="F1310">
        <f t="shared" si="20"/>
        <v>259</v>
      </c>
      <c r="G1310">
        <f>IFERROR(VLOOKUP(Table_socioeca8.sandag.org_ws_abm2_f4[[#This Row],[hwycov_id]],[2]flow_freeway!$A$2:$E$1643,3,FALSE),0)</f>
        <v>71147</v>
      </c>
      <c r="H1310">
        <f>IFERROR(VLOOKUP(Table_socioeca8.sandag.org_ws_abm2_f4[[#This Row],[hwycov_id]],[2]flow_freeway!$A$2:$E$1643,4,FALSE),0)</f>
        <v>19489</v>
      </c>
      <c r="I1310">
        <f>IFERROR(VLOOKUP(Table_socioeca8.sandag.org_ws_abm2_f4[[#This Row],[hwycov_id]],[2]flow_freeway!$A$2:$E$1643,5,FALSE),0)</f>
        <v>13766</v>
      </c>
      <c r="K1310">
        <f>Table_socioeca8.sandag.org_ws_abm2_f4[[#This Row],[hwycov_id]]</f>
        <v>27980</v>
      </c>
      <c r="L1310">
        <f>Table_socioeca8.sandag.org_ws_abm2_f4[[#This Row],[scenario_id]]</f>
        <v>259</v>
      </c>
      <c r="M1310">
        <f>Table_socioeca8.sandag.org_ws_abm2_f4[[#This Row],[flow_day]]</f>
        <v>71147</v>
      </c>
      <c r="N1310">
        <f>Table_socioeca8.sandag.org_ws_abm2_f4[[#This Row],[flow_am]]</f>
        <v>19489</v>
      </c>
      <c r="O1310">
        <f>Table_socioeca8.sandag.org_ws_abm2_f4[[#This Row],[flow_pm]]</f>
        <v>13766</v>
      </c>
    </row>
    <row r="1311" spans="5:15" x14ac:dyDescent="0.25">
      <c r="E1311">
        <v>27981</v>
      </c>
      <c r="F1311">
        <f t="shared" si="20"/>
        <v>259</v>
      </c>
      <c r="G1311">
        <f>IFERROR(VLOOKUP(Table_socioeca8.sandag.org_ws_abm2_f4[[#This Row],[hwycov_id]],[2]flow_freeway!$A$2:$E$1643,3,FALSE),0)</f>
        <v>76405</v>
      </c>
      <c r="H1311">
        <f>IFERROR(VLOOKUP(Table_socioeca8.sandag.org_ws_abm2_f4[[#This Row],[hwycov_id]],[2]flow_freeway!$A$2:$E$1643,4,FALSE),0)</f>
        <v>20443</v>
      </c>
      <c r="I1311">
        <f>IFERROR(VLOOKUP(Table_socioeca8.sandag.org_ws_abm2_f4[[#This Row],[hwycov_id]],[2]flow_freeway!$A$2:$E$1643,5,FALSE),0)</f>
        <v>15059</v>
      </c>
      <c r="K1311">
        <f>Table_socioeca8.sandag.org_ws_abm2_f4[[#This Row],[hwycov_id]]</f>
        <v>27981</v>
      </c>
      <c r="L1311">
        <f>Table_socioeca8.sandag.org_ws_abm2_f4[[#This Row],[scenario_id]]</f>
        <v>259</v>
      </c>
      <c r="M1311">
        <f>Table_socioeca8.sandag.org_ws_abm2_f4[[#This Row],[flow_day]]</f>
        <v>76405</v>
      </c>
      <c r="N1311">
        <f>Table_socioeca8.sandag.org_ws_abm2_f4[[#This Row],[flow_am]]</f>
        <v>20443</v>
      </c>
      <c r="O1311">
        <f>Table_socioeca8.sandag.org_ws_abm2_f4[[#This Row],[flow_pm]]</f>
        <v>15059</v>
      </c>
    </row>
    <row r="1312" spans="5:15" x14ac:dyDescent="0.25">
      <c r="E1312">
        <v>27985</v>
      </c>
      <c r="F1312">
        <f t="shared" si="20"/>
        <v>259</v>
      </c>
      <c r="G1312">
        <f>IFERROR(VLOOKUP(Table_socioeca8.sandag.org_ws_abm2_f4[[#This Row],[hwycov_id]],[2]flow_freeway!$A$2:$E$1643,3,FALSE),0)</f>
        <v>66923</v>
      </c>
      <c r="H1312">
        <f>IFERROR(VLOOKUP(Table_socioeca8.sandag.org_ws_abm2_f4[[#This Row],[hwycov_id]],[2]flow_freeway!$A$2:$E$1643,4,FALSE),0)</f>
        <v>17910</v>
      </c>
      <c r="I1312">
        <f>IFERROR(VLOOKUP(Table_socioeca8.sandag.org_ws_abm2_f4[[#This Row],[hwycov_id]],[2]flow_freeway!$A$2:$E$1643,5,FALSE),0)</f>
        <v>12870</v>
      </c>
      <c r="K1312">
        <f>Table_socioeca8.sandag.org_ws_abm2_f4[[#This Row],[hwycov_id]]</f>
        <v>27985</v>
      </c>
      <c r="L1312">
        <f>Table_socioeca8.sandag.org_ws_abm2_f4[[#This Row],[scenario_id]]</f>
        <v>259</v>
      </c>
      <c r="M1312">
        <f>Table_socioeca8.sandag.org_ws_abm2_f4[[#This Row],[flow_day]]</f>
        <v>66923</v>
      </c>
      <c r="N1312">
        <f>Table_socioeca8.sandag.org_ws_abm2_f4[[#This Row],[flow_am]]</f>
        <v>17910</v>
      </c>
      <c r="O1312">
        <f>Table_socioeca8.sandag.org_ws_abm2_f4[[#This Row],[flow_pm]]</f>
        <v>12870</v>
      </c>
    </row>
    <row r="1313" spans="5:15" x14ac:dyDescent="0.25">
      <c r="E1313">
        <v>27987</v>
      </c>
      <c r="F1313">
        <f t="shared" si="20"/>
        <v>259</v>
      </c>
      <c r="G1313">
        <f>IFERROR(VLOOKUP(Table_socioeca8.sandag.org_ws_abm2_f4[[#This Row],[hwycov_id]],[2]flow_freeway!$A$2:$E$1643,3,FALSE),0)</f>
        <v>75308</v>
      </c>
      <c r="H1313">
        <f>IFERROR(VLOOKUP(Table_socioeca8.sandag.org_ws_abm2_f4[[#This Row],[hwycov_id]],[2]flow_freeway!$A$2:$E$1643,4,FALSE),0)</f>
        <v>19286</v>
      </c>
      <c r="I1313">
        <f>IFERROR(VLOOKUP(Table_socioeca8.sandag.org_ws_abm2_f4[[#This Row],[hwycov_id]],[2]flow_freeway!$A$2:$E$1643,5,FALSE),0)</f>
        <v>14732</v>
      </c>
      <c r="K1313">
        <f>Table_socioeca8.sandag.org_ws_abm2_f4[[#This Row],[hwycov_id]]</f>
        <v>27987</v>
      </c>
      <c r="L1313">
        <f>Table_socioeca8.sandag.org_ws_abm2_f4[[#This Row],[scenario_id]]</f>
        <v>259</v>
      </c>
      <c r="M1313">
        <f>Table_socioeca8.sandag.org_ws_abm2_f4[[#This Row],[flow_day]]</f>
        <v>75308</v>
      </c>
      <c r="N1313">
        <f>Table_socioeca8.sandag.org_ws_abm2_f4[[#This Row],[flow_am]]</f>
        <v>19286</v>
      </c>
      <c r="O1313">
        <f>Table_socioeca8.sandag.org_ws_abm2_f4[[#This Row],[flow_pm]]</f>
        <v>14732</v>
      </c>
    </row>
    <row r="1314" spans="5:15" x14ac:dyDescent="0.25">
      <c r="E1314">
        <v>27988</v>
      </c>
      <c r="F1314">
        <f t="shared" si="20"/>
        <v>259</v>
      </c>
      <c r="G1314">
        <f>IFERROR(VLOOKUP(Table_socioeca8.sandag.org_ws_abm2_f4[[#This Row],[hwycov_id]],[2]flow_freeway!$A$2:$E$1643,3,FALSE),0)</f>
        <v>69472</v>
      </c>
      <c r="H1314">
        <f>IFERROR(VLOOKUP(Table_socioeca8.sandag.org_ws_abm2_f4[[#This Row],[hwycov_id]],[2]flow_freeway!$A$2:$E$1643,4,FALSE),0)</f>
        <v>17813</v>
      </c>
      <c r="I1314">
        <f>IFERROR(VLOOKUP(Table_socioeca8.sandag.org_ws_abm2_f4[[#This Row],[hwycov_id]],[2]flow_freeway!$A$2:$E$1643,5,FALSE),0)</f>
        <v>13509</v>
      </c>
      <c r="K1314">
        <f>Table_socioeca8.sandag.org_ws_abm2_f4[[#This Row],[hwycov_id]]</f>
        <v>27988</v>
      </c>
      <c r="L1314">
        <f>Table_socioeca8.sandag.org_ws_abm2_f4[[#This Row],[scenario_id]]</f>
        <v>259</v>
      </c>
      <c r="M1314">
        <f>Table_socioeca8.sandag.org_ws_abm2_f4[[#This Row],[flow_day]]</f>
        <v>69472</v>
      </c>
      <c r="N1314">
        <f>Table_socioeca8.sandag.org_ws_abm2_f4[[#This Row],[flow_am]]</f>
        <v>17813</v>
      </c>
      <c r="O1314">
        <f>Table_socioeca8.sandag.org_ws_abm2_f4[[#This Row],[flow_pm]]</f>
        <v>13509</v>
      </c>
    </row>
    <row r="1315" spans="5:15" x14ac:dyDescent="0.25">
      <c r="E1315">
        <v>27989</v>
      </c>
      <c r="F1315">
        <f t="shared" si="20"/>
        <v>259</v>
      </c>
      <c r="G1315">
        <f>IFERROR(VLOOKUP(Table_socioeca8.sandag.org_ws_abm2_f4[[#This Row],[hwycov_id]],[2]flow_freeway!$A$2:$E$1643,3,FALSE),0)</f>
        <v>66064</v>
      </c>
      <c r="H1315">
        <f>IFERROR(VLOOKUP(Table_socioeca8.sandag.org_ws_abm2_f4[[#This Row],[hwycov_id]],[2]flow_freeway!$A$2:$E$1643,4,FALSE),0)</f>
        <v>9928</v>
      </c>
      <c r="I1315">
        <f>IFERROR(VLOOKUP(Table_socioeca8.sandag.org_ws_abm2_f4[[#This Row],[hwycov_id]],[2]flow_freeway!$A$2:$E$1643,5,FALSE),0)</f>
        <v>21268</v>
      </c>
      <c r="K1315">
        <f>Table_socioeca8.sandag.org_ws_abm2_f4[[#This Row],[hwycov_id]]</f>
        <v>27989</v>
      </c>
      <c r="L1315">
        <f>Table_socioeca8.sandag.org_ws_abm2_f4[[#This Row],[scenario_id]]</f>
        <v>259</v>
      </c>
      <c r="M1315">
        <f>Table_socioeca8.sandag.org_ws_abm2_f4[[#This Row],[flow_day]]</f>
        <v>66064</v>
      </c>
      <c r="N1315">
        <f>Table_socioeca8.sandag.org_ws_abm2_f4[[#This Row],[flow_am]]</f>
        <v>9928</v>
      </c>
      <c r="O1315">
        <f>Table_socioeca8.sandag.org_ws_abm2_f4[[#This Row],[flow_pm]]</f>
        <v>21268</v>
      </c>
    </row>
    <row r="1316" spans="5:15" x14ac:dyDescent="0.25">
      <c r="E1316">
        <v>27993</v>
      </c>
      <c r="F1316">
        <f t="shared" si="20"/>
        <v>259</v>
      </c>
      <c r="G1316">
        <f>IFERROR(VLOOKUP(Table_socioeca8.sandag.org_ws_abm2_f4[[#This Row],[hwycov_id]],[2]flow_freeway!$A$2:$E$1643,3,FALSE),0)</f>
        <v>59957</v>
      </c>
      <c r="H1316">
        <f>IFERROR(VLOOKUP(Table_socioeca8.sandag.org_ws_abm2_f4[[#This Row],[hwycov_id]],[2]flow_freeway!$A$2:$E$1643,4,FALSE),0)</f>
        <v>8834</v>
      </c>
      <c r="I1316">
        <f>IFERROR(VLOOKUP(Table_socioeca8.sandag.org_ws_abm2_f4[[#This Row],[hwycov_id]],[2]flow_freeway!$A$2:$E$1643,5,FALSE),0)</f>
        <v>19474</v>
      </c>
      <c r="K1316">
        <f>Table_socioeca8.sandag.org_ws_abm2_f4[[#This Row],[hwycov_id]]</f>
        <v>27993</v>
      </c>
      <c r="L1316">
        <f>Table_socioeca8.sandag.org_ws_abm2_f4[[#This Row],[scenario_id]]</f>
        <v>259</v>
      </c>
      <c r="M1316">
        <f>Table_socioeca8.sandag.org_ws_abm2_f4[[#This Row],[flow_day]]</f>
        <v>59957</v>
      </c>
      <c r="N1316">
        <f>Table_socioeca8.sandag.org_ws_abm2_f4[[#This Row],[flow_am]]</f>
        <v>8834</v>
      </c>
      <c r="O1316">
        <f>Table_socioeca8.sandag.org_ws_abm2_f4[[#This Row],[flow_pm]]</f>
        <v>19474</v>
      </c>
    </row>
    <row r="1317" spans="5:15" x14ac:dyDescent="0.25">
      <c r="E1317">
        <v>27998</v>
      </c>
      <c r="F1317">
        <f t="shared" si="20"/>
        <v>259</v>
      </c>
      <c r="G1317">
        <f>IFERROR(VLOOKUP(Table_socioeca8.sandag.org_ws_abm2_f4[[#This Row],[hwycov_id]],[2]flow_freeway!$A$2:$E$1643,3,FALSE),0)</f>
        <v>76180</v>
      </c>
      <c r="H1317">
        <f>IFERROR(VLOOKUP(Table_socioeca8.sandag.org_ws_abm2_f4[[#This Row],[hwycov_id]],[2]flow_freeway!$A$2:$E$1643,4,FALSE),0)</f>
        <v>18855</v>
      </c>
      <c r="I1317">
        <f>IFERROR(VLOOKUP(Table_socioeca8.sandag.org_ws_abm2_f4[[#This Row],[hwycov_id]],[2]flow_freeway!$A$2:$E$1643,5,FALSE),0)</f>
        <v>15012</v>
      </c>
      <c r="K1317">
        <f>Table_socioeca8.sandag.org_ws_abm2_f4[[#This Row],[hwycov_id]]</f>
        <v>27998</v>
      </c>
      <c r="L1317">
        <f>Table_socioeca8.sandag.org_ws_abm2_f4[[#This Row],[scenario_id]]</f>
        <v>259</v>
      </c>
      <c r="M1317">
        <f>Table_socioeca8.sandag.org_ws_abm2_f4[[#This Row],[flow_day]]</f>
        <v>76180</v>
      </c>
      <c r="N1317">
        <f>Table_socioeca8.sandag.org_ws_abm2_f4[[#This Row],[flow_am]]</f>
        <v>18855</v>
      </c>
      <c r="O1317">
        <f>Table_socioeca8.sandag.org_ws_abm2_f4[[#This Row],[flow_pm]]</f>
        <v>15012</v>
      </c>
    </row>
    <row r="1318" spans="5:15" x14ac:dyDescent="0.25">
      <c r="E1318">
        <v>28000</v>
      </c>
      <c r="F1318">
        <f t="shared" si="20"/>
        <v>259</v>
      </c>
      <c r="G1318">
        <f>IFERROR(VLOOKUP(Table_socioeca8.sandag.org_ws_abm2_f4[[#This Row],[hwycov_id]],[2]flow_freeway!$A$2:$E$1643,3,FALSE),0)</f>
        <v>72308</v>
      </c>
      <c r="H1318">
        <f>IFERROR(VLOOKUP(Table_socioeca8.sandag.org_ws_abm2_f4[[#This Row],[hwycov_id]],[2]flow_freeway!$A$2:$E$1643,4,FALSE),0)</f>
        <v>17770</v>
      </c>
      <c r="I1318">
        <f>IFERROR(VLOOKUP(Table_socioeca8.sandag.org_ws_abm2_f4[[#This Row],[hwycov_id]],[2]flow_freeway!$A$2:$E$1643,5,FALSE),0)</f>
        <v>14162</v>
      </c>
      <c r="K1318">
        <f>Table_socioeca8.sandag.org_ws_abm2_f4[[#This Row],[hwycov_id]]</f>
        <v>28000</v>
      </c>
      <c r="L1318">
        <f>Table_socioeca8.sandag.org_ws_abm2_f4[[#This Row],[scenario_id]]</f>
        <v>259</v>
      </c>
      <c r="M1318">
        <f>Table_socioeca8.sandag.org_ws_abm2_f4[[#This Row],[flow_day]]</f>
        <v>72308</v>
      </c>
      <c r="N1318">
        <f>Table_socioeca8.sandag.org_ws_abm2_f4[[#This Row],[flow_am]]</f>
        <v>17770</v>
      </c>
      <c r="O1318">
        <f>Table_socioeca8.sandag.org_ws_abm2_f4[[#This Row],[flow_pm]]</f>
        <v>14162</v>
      </c>
    </row>
    <row r="1319" spans="5:15" x14ac:dyDescent="0.25">
      <c r="E1319">
        <v>28002</v>
      </c>
      <c r="F1319">
        <f t="shared" si="20"/>
        <v>259</v>
      </c>
      <c r="G1319">
        <f>IFERROR(VLOOKUP(Table_socioeca8.sandag.org_ws_abm2_f4[[#This Row],[hwycov_id]],[2]flow_freeway!$A$2:$E$1643,3,FALSE),0)</f>
        <v>72485</v>
      </c>
      <c r="H1319">
        <f>IFERROR(VLOOKUP(Table_socioeca8.sandag.org_ws_abm2_f4[[#This Row],[hwycov_id]],[2]flow_freeway!$A$2:$E$1643,4,FALSE),0)</f>
        <v>10601</v>
      </c>
      <c r="I1319">
        <f>IFERROR(VLOOKUP(Table_socioeca8.sandag.org_ws_abm2_f4[[#This Row],[hwycov_id]],[2]flow_freeway!$A$2:$E$1643,5,FALSE),0)</f>
        <v>21998</v>
      </c>
      <c r="K1319">
        <f>Table_socioeca8.sandag.org_ws_abm2_f4[[#This Row],[hwycov_id]]</f>
        <v>28002</v>
      </c>
      <c r="L1319">
        <f>Table_socioeca8.sandag.org_ws_abm2_f4[[#This Row],[scenario_id]]</f>
        <v>259</v>
      </c>
      <c r="M1319">
        <f>Table_socioeca8.sandag.org_ws_abm2_f4[[#This Row],[flow_day]]</f>
        <v>72485</v>
      </c>
      <c r="N1319">
        <f>Table_socioeca8.sandag.org_ws_abm2_f4[[#This Row],[flow_am]]</f>
        <v>10601</v>
      </c>
      <c r="O1319">
        <f>Table_socioeca8.sandag.org_ws_abm2_f4[[#This Row],[flow_pm]]</f>
        <v>21998</v>
      </c>
    </row>
    <row r="1320" spans="5:15" x14ac:dyDescent="0.25">
      <c r="E1320">
        <v>28007</v>
      </c>
      <c r="F1320">
        <f t="shared" si="20"/>
        <v>259</v>
      </c>
      <c r="G1320">
        <f>IFERROR(VLOOKUP(Table_socioeca8.sandag.org_ws_abm2_f4[[#This Row],[hwycov_id]],[2]flow_freeway!$A$2:$E$1643,3,FALSE),0)</f>
        <v>67062</v>
      </c>
      <c r="H1320">
        <f>IFERROR(VLOOKUP(Table_socioeca8.sandag.org_ws_abm2_f4[[#This Row],[hwycov_id]],[2]flow_freeway!$A$2:$E$1643,4,FALSE),0)</f>
        <v>16199</v>
      </c>
      <c r="I1320">
        <f>IFERROR(VLOOKUP(Table_socioeca8.sandag.org_ws_abm2_f4[[#This Row],[hwycov_id]],[2]flow_freeway!$A$2:$E$1643,5,FALSE),0)</f>
        <v>12968</v>
      </c>
      <c r="K1320">
        <f>Table_socioeca8.sandag.org_ws_abm2_f4[[#This Row],[hwycov_id]]</f>
        <v>28007</v>
      </c>
      <c r="L1320">
        <f>Table_socioeca8.sandag.org_ws_abm2_f4[[#This Row],[scenario_id]]</f>
        <v>259</v>
      </c>
      <c r="M1320">
        <f>Table_socioeca8.sandag.org_ws_abm2_f4[[#This Row],[flow_day]]</f>
        <v>67062</v>
      </c>
      <c r="N1320">
        <f>Table_socioeca8.sandag.org_ws_abm2_f4[[#This Row],[flow_am]]</f>
        <v>16199</v>
      </c>
      <c r="O1320">
        <f>Table_socioeca8.sandag.org_ws_abm2_f4[[#This Row],[flow_pm]]</f>
        <v>12968</v>
      </c>
    </row>
    <row r="1321" spans="5:15" x14ac:dyDescent="0.25">
      <c r="E1321">
        <v>28011</v>
      </c>
      <c r="F1321">
        <f t="shared" si="20"/>
        <v>259</v>
      </c>
      <c r="G1321">
        <f>IFERROR(VLOOKUP(Table_socioeca8.sandag.org_ws_abm2_f4[[#This Row],[hwycov_id]],[2]flow_freeway!$A$2:$E$1643,3,FALSE),0)</f>
        <v>75181</v>
      </c>
      <c r="H1321">
        <f>IFERROR(VLOOKUP(Table_socioeca8.sandag.org_ws_abm2_f4[[#This Row],[hwycov_id]],[2]flow_freeway!$A$2:$E$1643,4,FALSE),0)</f>
        <v>17243</v>
      </c>
      <c r="I1321">
        <f>IFERROR(VLOOKUP(Table_socioeca8.sandag.org_ws_abm2_f4[[#This Row],[hwycov_id]],[2]flow_freeway!$A$2:$E$1643,5,FALSE),0)</f>
        <v>14925</v>
      </c>
      <c r="K1321">
        <f>Table_socioeca8.sandag.org_ws_abm2_f4[[#This Row],[hwycov_id]]</f>
        <v>28011</v>
      </c>
      <c r="L1321">
        <f>Table_socioeca8.sandag.org_ws_abm2_f4[[#This Row],[scenario_id]]</f>
        <v>259</v>
      </c>
      <c r="M1321">
        <f>Table_socioeca8.sandag.org_ws_abm2_f4[[#This Row],[flow_day]]</f>
        <v>75181</v>
      </c>
      <c r="N1321">
        <f>Table_socioeca8.sandag.org_ws_abm2_f4[[#This Row],[flow_am]]</f>
        <v>17243</v>
      </c>
      <c r="O1321">
        <f>Table_socioeca8.sandag.org_ws_abm2_f4[[#This Row],[flow_pm]]</f>
        <v>14925</v>
      </c>
    </row>
    <row r="1322" spans="5:15" x14ac:dyDescent="0.25">
      <c r="E1322">
        <v>28012</v>
      </c>
      <c r="F1322">
        <f t="shared" si="20"/>
        <v>259</v>
      </c>
      <c r="G1322">
        <f>IFERROR(VLOOKUP(Table_socioeca8.sandag.org_ws_abm2_f4[[#This Row],[hwycov_id]],[2]flow_freeway!$A$2:$E$1643,3,FALSE),0)</f>
        <v>74248</v>
      </c>
      <c r="H1322">
        <f>IFERROR(VLOOKUP(Table_socioeca8.sandag.org_ws_abm2_f4[[#This Row],[hwycov_id]],[2]flow_freeway!$A$2:$E$1643,4,FALSE),0)</f>
        <v>10985</v>
      </c>
      <c r="I1322">
        <f>IFERROR(VLOOKUP(Table_socioeca8.sandag.org_ws_abm2_f4[[#This Row],[hwycov_id]],[2]flow_freeway!$A$2:$E$1643,5,FALSE),0)</f>
        <v>21517</v>
      </c>
      <c r="K1322">
        <f>Table_socioeca8.sandag.org_ws_abm2_f4[[#This Row],[hwycov_id]]</f>
        <v>28012</v>
      </c>
      <c r="L1322">
        <f>Table_socioeca8.sandag.org_ws_abm2_f4[[#This Row],[scenario_id]]</f>
        <v>259</v>
      </c>
      <c r="M1322">
        <f>Table_socioeca8.sandag.org_ws_abm2_f4[[#This Row],[flow_day]]</f>
        <v>74248</v>
      </c>
      <c r="N1322">
        <f>Table_socioeca8.sandag.org_ws_abm2_f4[[#This Row],[flow_am]]</f>
        <v>10985</v>
      </c>
      <c r="O1322">
        <f>Table_socioeca8.sandag.org_ws_abm2_f4[[#This Row],[flow_pm]]</f>
        <v>21517</v>
      </c>
    </row>
    <row r="1323" spans="5:15" x14ac:dyDescent="0.25">
      <c r="E1323">
        <v>28013</v>
      </c>
      <c r="F1323">
        <f t="shared" si="20"/>
        <v>259</v>
      </c>
      <c r="G1323">
        <f>IFERROR(VLOOKUP(Table_socioeca8.sandag.org_ws_abm2_f4[[#This Row],[hwycov_id]],[2]flow_freeway!$A$2:$E$1643,3,FALSE),0)</f>
        <v>74248</v>
      </c>
      <c r="H1323">
        <f>IFERROR(VLOOKUP(Table_socioeca8.sandag.org_ws_abm2_f4[[#This Row],[hwycov_id]],[2]flow_freeway!$A$2:$E$1643,4,FALSE),0)</f>
        <v>10985</v>
      </c>
      <c r="I1323">
        <f>IFERROR(VLOOKUP(Table_socioeca8.sandag.org_ws_abm2_f4[[#This Row],[hwycov_id]],[2]flow_freeway!$A$2:$E$1643,5,FALSE),0)</f>
        <v>21517</v>
      </c>
      <c r="K1323">
        <f>Table_socioeca8.sandag.org_ws_abm2_f4[[#This Row],[hwycov_id]]</f>
        <v>28013</v>
      </c>
      <c r="L1323">
        <f>Table_socioeca8.sandag.org_ws_abm2_f4[[#This Row],[scenario_id]]</f>
        <v>259</v>
      </c>
      <c r="M1323">
        <f>Table_socioeca8.sandag.org_ws_abm2_f4[[#This Row],[flow_day]]</f>
        <v>74248</v>
      </c>
      <c r="N1323">
        <f>Table_socioeca8.sandag.org_ws_abm2_f4[[#This Row],[flow_am]]</f>
        <v>10985</v>
      </c>
      <c r="O1323">
        <f>Table_socioeca8.sandag.org_ws_abm2_f4[[#This Row],[flow_pm]]</f>
        <v>21517</v>
      </c>
    </row>
    <row r="1324" spans="5:15" x14ac:dyDescent="0.25">
      <c r="E1324">
        <v>28016</v>
      </c>
      <c r="F1324">
        <f t="shared" si="20"/>
        <v>259</v>
      </c>
      <c r="G1324">
        <f>IFERROR(VLOOKUP(Table_socioeca8.sandag.org_ws_abm2_f4[[#This Row],[hwycov_id]],[2]flow_freeway!$A$2:$E$1643,3,FALSE),0)</f>
        <v>64208</v>
      </c>
      <c r="H1324">
        <f>IFERROR(VLOOKUP(Table_socioeca8.sandag.org_ws_abm2_f4[[#This Row],[hwycov_id]],[2]flow_freeway!$A$2:$E$1643,4,FALSE),0)</f>
        <v>14895</v>
      </c>
      <c r="I1324">
        <f>IFERROR(VLOOKUP(Table_socioeca8.sandag.org_ws_abm2_f4[[#This Row],[hwycov_id]],[2]flow_freeway!$A$2:$E$1643,5,FALSE),0)</f>
        <v>13190</v>
      </c>
      <c r="K1324">
        <f>Table_socioeca8.sandag.org_ws_abm2_f4[[#This Row],[hwycov_id]]</f>
        <v>28016</v>
      </c>
      <c r="L1324">
        <f>Table_socioeca8.sandag.org_ws_abm2_f4[[#This Row],[scenario_id]]</f>
        <v>259</v>
      </c>
      <c r="M1324">
        <f>Table_socioeca8.sandag.org_ws_abm2_f4[[#This Row],[flow_day]]</f>
        <v>64208</v>
      </c>
      <c r="N1324">
        <f>Table_socioeca8.sandag.org_ws_abm2_f4[[#This Row],[flow_am]]</f>
        <v>14895</v>
      </c>
      <c r="O1324">
        <f>Table_socioeca8.sandag.org_ws_abm2_f4[[#This Row],[flow_pm]]</f>
        <v>13190</v>
      </c>
    </row>
    <row r="1325" spans="5:15" x14ac:dyDescent="0.25">
      <c r="E1325">
        <v>28073</v>
      </c>
      <c r="F1325">
        <f t="shared" si="20"/>
        <v>259</v>
      </c>
      <c r="G1325">
        <f>IFERROR(VLOOKUP(Table_socioeca8.sandag.org_ws_abm2_f4[[#This Row],[hwycov_id]],[2]flow_freeway!$A$2:$E$1643,3,FALSE),0)</f>
        <v>33273</v>
      </c>
      <c r="H1325">
        <f>IFERROR(VLOOKUP(Table_socioeca8.sandag.org_ws_abm2_f4[[#This Row],[hwycov_id]],[2]flow_freeway!$A$2:$E$1643,4,FALSE),0)</f>
        <v>7035</v>
      </c>
      <c r="I1325">
        <f>IFERROR(VLOOKUP(Table_socioeca8.sandag.org_ws_abm2_f4[[#This Row],[hwycov_id]],[2]flow_freeway!$A$2:$E$1643,5,FALSE),0)</f>
        <v>9149</v>
      </c>
      <c r="K1325">
        <f>Table_socioeca8.sandag.org_ws_abm2_f4[[#This Row],[hwycov_id]]</f>
        <v>28073</v>
      </c>
      <c r="L1325">
        <f>Table_socioeca8.sandag.org_ws_abm2_f4[[#This Row],[scenario_id]]</f>
        <v>259</v>
      </c>
      <c r="M1325">
        <f>Table_socioeca8.sandag.org_ws_abm2_f4[[#This Row],[flow_day]]</f>
        <v>33273</v>
      </c>
      <c r="N1325">
        <f>Table_socioeca8.sandag.org_ws_abm2_f4[[#This Row],[flow_am]]</f>
        <v>7035</v>
      </c>
      <c r="O1325">
        <f>Table_socioeca8.sandag.org_ws_abm2_f4[[#This Row],[flow_pm]]</f>
        <v>9149</v>
      </c>
    </row>
    <row r="1326" spans="5:15" x14ac:dyDescent="0.25">
      <c r="E1326">
        <v>28084</v>
      </c>
      <c r="F1326">
        <f t="shared" si="20"/>
        <v>259</v>
      </c>
      <c r="G1326">
        <f>IFERROR(VLOOKUP(Table_socioeca8.sandag.org_ws_abm2_f4[[#This Row],[hwycov_id]],[2]flow_freeway!$A$2:$E$1643,3,FALSE),0)</f>
        <v>41363</v>
      </c>
      <c r="H1326">
        <f>IFERROR(VLOOKUP(Table_socioeca8.sandag.org_ws_abm2_f4[[#This Row],[hwycov_id]],[2]flow_freeway!$A$2:$E$1643,4,FALSE),0)</f>
        <v>9966</v>
      </c>
      <c r="I1326">
        <f>IFERROR(VLOOKUP(Table_socioeca8.sandag.org_ws_abm2_f4[[#This Row],[hwycov_id]],[2]flow_freeway!$A$2:$E$1643,5,FALSE),0)</f>
        <v>9597</v>
      </c>
      <c r="K1326">
        <f>Table_socioeca8.sandag.org_ws_abm2_f4[[#This Row],[hwycov_id]]</f>
        <v>28084</v>
      </c>
      <c r="L1326">
        <f>Table_socioeca8.sandag.org_ws_abm2_f4[[#This Row],[scenario_id]]</f>
        <v>259</v>
      </c>
      <c r="M1326">
        <f>Table_socioeca8.sandag.org_ws_abm2_f4[[#This Row],[flow_day]]</f>
        <v>41363</v>
      </c>
      <c r="N1326">
        <f>Table_socioeca8.sandag.org_ws_abm2_f4[[#This Row],[flow_am]]</f>
        <v>9966</v>
      </c>
      <c r="O1326">
        <f>Table_socioeca8.sandag.org_ws_abm2_f4[[#This Row],[flow_pm]]</f>
        <v>9597</v>
      </c>
    </row>
    <row r="1327" spans="5:15" x14ac:dyDescent="0.25">
      <c r="E1327">
        <v>28085</v>
      </c>
      <c r="F1327">
        <f t="shared" si="20"/>
        <v>259</v>
      </c>
      <c r="G1327">
        <f>IFERROR(VLOOKUP(Table_socioeca8.sandag.org_ws_abm2_f4[[#This Row],[hwycov_id]],[2]flow_freeway!$A$2:$E$1643,3,FALSE),0)</f>
        <v>47431</v>
      </c>
      <c r="H1327">
        <f>IFERROR(VLOOKUP(Table_socioeca8.sandag.org_ws_abm2_f4[[#This Row],[hwycov_id]],[2]flow_freeway!$A$2:$E$1643,4,FALSE),0)</f>
        <v>9564</v>
      </c>
      <c r="I1327">
        <f>IFERROR(VLOOKUP(Table_socioeca8.sandag.org_ws_abm2_f4[[#This Row],[hwycov_id]],[2]flow_freeway!$A$2:$E$1643,5,FALSE),0)</f>
        <v>12594</v>
      </c>
      <c r="K1327">
        <f>Table_socioeca8.sandag.org_ws_abm2_f4[[#This Row],[hwycov_id]]</f>
        <v>28085</v>
      </c>
      <c r="L1327">
        <f>Table_socioeca8.sandag.org_ws_abm2_f4[[#This Row],[scenario_id]]</f>
        <v>259</v>
      </c>
      <c r="M1327">
        <f>Table_socioeca8.sandag.org_ws_abm2_f4[[#This Row],[flow_day]]</f>
        <v>47431</v>
      </c>
      <c r="N1327">
        <f>Table_socioeca8.sandag.org_ws_abm2_f4[[#This Row],[flow_am]]</f>
        <v>9564</v>
      </c>
      <c r="O1327">
        <f>Table_socioeca8.sandag.org_ws_abm2_f4[[#This Row],[flow_pm]]</f>
        <v>12594</v>
      </c>
    </row>
    <row r="1328" spans="5:15" x14ac:dyDescent="0.25">
      <c r="E1328">
        <v>28086</v>
      </c>
      <c r="F1328">
        <f t="shared" si="20"/>
        <v>259</v>
      </c>
      <c r="G1328">
        <f>IFERROR(VLOOKUP(Table_socioeca8.sandag.org_ws_abm2_f4[[#This Row],[hwycov_id]],[2]flow_freeway!$A$2:$E$1643,3,FALSE),0)</f>
        <v>49127</v>
      </c>
      <c r="H1328">
        <f>IFERROR(VLOOKUP(Table_socioeca8.sandag.org_ws_abm2_f4[[#This Row],[hwycov_id]],[2]flow_freeway!$A$2:$E$1643,4,FALSE),0)</f>
        <v>11340</v>
      </c>
      <c r="I1328">
        <f>IFERROR(VLOOKUP(Table_socioeca8.sandag.org_ws_abm2_f4[[#This Row],[hwycov_id]],[2]flow_freeway!$A$2:$E$1643,5,FALSE),0)</f>
        <v>11277</v>
      </c>
      <c r="K1328">
        <f>Table_socioeca8.sandag.org_ws_abm2_f4[[#This Row],[hwycov_id]]</f>
        <v>28086</v>
      </c>
      <c r="L1328">
        <f>Table_socioeca8.sandag.org_ws_abm2_f4[[#This Row],[scenario_id]]</f>
        <v>259</v>
      </c>
      <c r="M1328">
        <f>Table_socioeca8.sandag.org_ws_abm2_f4[[#This Row],[flow_day]]</f>
        <v>49127</v>
      </c>
      <c r="N1328">
        <f>Table_socioeca8.sandag.org_ws_abm2_f4[[#This Row],[flow_am]]</f>
        <v>11340</v>
      </c>
      <c r="O1328">
        <f>Table_socioeca8.sandag.org_ws_abm2_f4[[#This Row],[flow_pm]]</f>
        <v>11277</v>
      </c>
    </row>
    <row r="1329" spans="5:15" x14ac:dyDescent="0.25">
      <c r="E1329">
        <v>28087</v>
      </c>
      <c r="F1329">
        <f t="shared" si="20"/>
        <v>259</v>
      </c>
      <c r="G1329">
        <f>IFERROR(VLOOKUP(Table_socioeca8.sandag.org_ws_abm2_f4[[#This Row],[hwycov_id]],[2]flow_freeway!$A$2:$E$1643,3,FALSE),0)</f>
        <v>32003</v>
      </c>
      <c r="H1329">
        <f>IFERROR(VLOOKUP(Table_socioeca8.sandag.org_ws_abm2_f4[[#This Row],[hwycov_id]],[2]flow_freeway!$A$2:$E$1643,4,FALSE),0)</f>
        <v>7412</v>
      </c>
      <c r="I1329">
        <f>IFERROR(VLOOKUP(Table_socioeca8.sandag.org_ws_abm2_f4[[#This Row],[hwycov_id]],[2]flow_freeway!$A$2:$E$1643,5,FALSE),0)</f>
        <v>7688</v>
      </c>
      <c r="K1329">
        <f>Table_socioeca8.sandag.org_ws_abm2_f4[[#This Row],[hwycov_id]]</f>
        <v>28087</v>
      </c>
      <c r="L1329">
        <f>Table_socioeca8.sandag.org_ws_abm2_f4[[#This Row],[scenario_id]]</f>
        <v>259</v>
      </c>
      <c r="M1329">
        <f>Table_socioeca8.sandag.org_ws_abm2_f4[[#This Row],[flow_day]]</f>
        <v>32003</v>
      </c>
      <c r="N1329">
        <f>Table_socioeca8.sandag.org_ws_abm2_f4[[#This Row],[flow_am]]</f>
        <v>7412</v>
      </c>
      <c r="O1329">
        <f>Table_socioeca8.sandag.org_ws_abm2_f4[[#This Row],[flow_pm]]</f>
        <v>7688</v>
      </c>
    </row>
    <row r="1330" spans="5:15" x14ac:dyDescent="0.25">
      <c r="E1330">
        <v>28093</v>
      </c>
      <c r="F1330">
        <f t="shared" si="20"/>
        <v>259</v>
      </c>
      <c r="G1330">
        <f>IFERROR(VLOOKUP(Table_socioeca8.sandag.org_ws_abm2_f4[[#This Row],[hwycov_id]],[2]flow_freeway!$A$2:$E$1643,3,FALSE),0)</f>
        <v>57227</v>
      </c>
      <c r="H1330">
        <f>IFERROR(VLOOKUP(Table_socioeca8.sandag.org_ws_abm2_f4[[#This Row],[hwycov_id]],[2]flow_freeway!$A$2:$E$1643,4,FALSE),0)</f>
        <v>8917</v>
      </c>
      <c r="I1330">
        <f>IFERROR(VLOOKUP(Table_socioeca8.sandag.org_ws_abm2_f4[[#This Row],[hwycov_id]],[2]flow_freeway!$A$2:$E$1643,5,FALSE),0)</f>
        <v>19458</v>
      </c>
      <c r="K1330">
        <f>Table_socioeca8.sandag.org_ws_abm2_f4[[#This Row],[hwycov_id]]</f>
        <v>28093</v>
      </c>
      <c r="L1330">
        <f>Table_socioeca8.sandag.org_ws_abm2_f4[[#This Row],[scenario_id]]</f>
        <v>259</v>
      </c>
      <c r="M1330">
        <f>Table_socioeca8.sandag.org_ws_abm2_f4[[#This Row],[flow_day]]</f>
        <v>57227</v>
      </c>
      <c r="N1330">
        <f>Table_socioeca8.sandag.org_ws_abm2_f4[[#This Row],[flow_am]]</f>
        <v>8917</v>
      </c>
      <c r="O1330">
        <f>Table_socioeca8.sandag.org_ws_abm2_f4[[#This Row],[flow_pm]]</f>
        <v>19458</v>
      </c>
    </row>
    <row r="1331" spans="5:15" x14ac:dyDescent="0.25">
      <c r="E1331">
        <v>28096</v>
      </c>
      <c r="F1331">
        <f t="shared" si="20"/>
        <v>259</v>
      </c>
      <c r="G1331">
        <f>IFERROR(VLOOKUP(Table_socioeca8.sandag.org_ws_abm2_f4[[#This Row],[hwycov_id]],[2]flow_freeway!$A$2:$E$1643,3,FALSE),0)</f>
        <v>84067</v>
      </c>
      <c r="H1331">
        <f>IFERROR(VLOOKUP(Table_socioeca8.sandag.org_ws_abm2_f4[[#This Row],[hwycov_id]],[2]flow_freeway!$A$2:$E$1643,4,FALSE),0)</f>
        <v>13323</v>
      </c>
      <c r="I1331">
        <f>IFERROR(VLOOKUP(Table_socioeca8.sandag.org_ws_abm2_f4[[#This Row],[hwycov_id]],[2]flow_freeway!$A$2:$E$1643,5,FALSE),0)</f>
        <v>27963</v>
      </c>
      <c r="K1331">
        <f>Table_socioeca8.sandag.org_ws_abm2_f4[[#This Row],[hwycov_id]]</f>
        <v>28096</v>
      </c>
      <c r="L1331">
        <f>Table_socioeca8.sandag.org_ws_abm2_f4[[#This Row],[scenario_id]]</f>
        <v>259</v>
      </c>
      <c r="M1331">
        <f>Table_socioeca8.sandag.org_ws_abm2_f4[[#This Row],[flow_day]]</f>
        <v>84067</v>
      </c>
      <c r="N1331">
        <f>Table_socioeca8.sandag.org_ws_abm2_f4[[#This Row],[flow_am]]</f>
        <v>13323</v>
      </c>
      <c r="O1331">
        <f>Table_socioeca8.sandag.org_ws_abm2_f4[[#This Row],[flow_pm]]</f>
        <v>27963</v>
      </c>
    </row>
    <row r="1332" spans="5:15" x14ac:dyDescent="0.25">
      <c r="E1332">
        <v>28106</v>
      </c>
      <c r="F1332">
        <f t="shared" si="20"/>
        <v>259</v>
      </c>
      <c r="G1332">
        <f>IFERROR(VLOOKUP(Table_socioeca8.sandag.org_ws_abm2_f4[[#This Row],[hwycov_id]],[2]flow_freeway!$A$2:$E$1643,3,FALSE),0)</f>
        <v>72546</v>
      </c>
      <c r="H1332">
        <f>IFERROR(VLOOKUP(Table_socioeca8.sandag.org_ws_abm2_f4[[#This Row],[hwycov_id]],[2]flow_freeway!$A$2:$E$1643,4,FALSE),0)</f>
        <v>10502</v>
      </c>
      <c r="I1332">
        <f>IFERROR(VLOOKUP(Table_socioeca8.sandag.org_ws_abm2_f4[[#This Row],[hwycov_id]],[2]flow_freeway!$A$2:$E$1643,5,FALSE),0)</f>
        <v>23466</v>
      </c>
      <c r="K1332">
        <f>Table_socioeca8.sandag.org_ws_abm2_f4[[#This Row],[hwycov_id]]</f>
        <v>28106</v>
      </c>
      <c r="L1332">
        <f>Table_socioeca8.sandag.org_ws_abm2_f4[[#This Row],[scenario_id]]</f>
        <v>259</v>
      </c>
      <c r="M1332">
        <f>Table_socioeca8.sandag.org_ws_abm2_f4[[#This Row],[flow_day]]</f>
        <v>72546</v>
      </c>
      <c r="N1332">
        <f>Table_socioeca8.sandag.org_ws_abm2_f4[[#This Row],[flow_am]]</f>
        <v>10502</v>
      </c>
      <c r="O1332">
        <f>Table_socioeca8.sandag.org_ws_abm2_f4[[#This Row],[flow_pm]]</f>
        <v>23466</v>
      </c>
    </row>
    <row r="1333" spans="5:15" x14ac:dyDescent="0.25">
      <c r="E1333">
        <v>28118</v>
      </c>
      <c r="F1333">
        <f t="shared" si="20"/>
        <v>259</v>
      </c>
      <c r="G1333">
        <f>IFERROR(VLOOKUP(Table_socioeca8.sandag.org_ws_abm2_f4[[#This Row],[hwycov_id]],[2]flow_freeway!$A$2:$E$1643,3,FALSE),0)</f>
        <v>86852</v>
      </c>
      <c r="H1333">
        <f>IFERROR(VLOOKUP(Table_socioeca8.sandag.org_ws_abm2_f4[[#This Row],[hwycov_id]],[2]flow_freeway!$A$2:$E$1643,4,FALSE),0)</f>
        <v>22996</v>
      </c>
      <c r="I1333">
        <f>IFERROR(VLOOKUP(Table_socioeca8.sandag.org_ws_abm2_f4[[#This Row],[hwycov_id]],[2]flow_freeway!$A$2:$E$1643,5,FALSE),0)</f>
        <v>17132</v>
      </c>
      <c r="K1333">
        <f>Table_socioeca8.sandag.org_ws_abm2_f4[[#This Row],[hwycov_id]]</f>
        <v>28118</v>
      </c>
      <c r="L1333">
        <f>Table_socioeca8.sandag.org_ws_abm2_f4[[#This Row],[scenario_id]]</f>
        <v>259</v>
      </c>
      <c r="M1333">
        <f>Table_socioeca8.sandag.org_ws_abm2_f4[[#This Row],[flow_day]]</f>
        <v>86852</v>
      </c>
      <c r="N1333">
        <f>Table_socioeca8.sandag.org_ws_abm2_f4[[#This Row],[flow_am]]</f>
        <v>22996</v>
      </c>
      <c r="O1333">
        <f>Table_socioeca8.sandag.org_ws_abm2_f4[[#This Row],[flow_pm]]</f>
        <v>17132</v>
      </c>
    </row>
    <row r="1334" spans="5:15" x14ac:dyDescent="0.25">
      <c r="E1334">
        <v>28119</v>
      </c>
      <c r="F1334">
        <f t="shared" si="20"/>
        <v>259</v>
      </c>
      <c r="G1334">
        <f>IFERROR(VLOOKUP(Table_socioeca8.sandag.org_ws_abm2_f4[[#This Row],[hwycov_id]],[2]flow_freeway!$A$2:$E$1643,3,FALSE),0)</f>
        <v>99264</v>
      </c>
      <c r="H1334">
        <f>IFERROR(VLOOKUP(Table_socioeca8.sandag.org_ws_abm2_f4[[#This Row],[hwycov_id]],[2]flow_freeway!$A$2:$E$1643,4,FALSE),0)</f>
        <v>14664</v>
      </c>
      <c r="I1334">
        <f>IFERROR(VLOOKUP(Table_socioeca8.sandag.org_ws_abm2_f4[[#This Row],[hwycov_id]],[2]flow_freeway!$A$2:$E$1643,5,FALSE),0)</f>
        <v>29357</v>
      </c>
      <c r="K1334">
        <f>Table_socioeca8.sandag.org_ws_abm2_f4[[#This Row],[hwycov_id]]</f>
        <v>28119</v>
      </c>
      <c r="L1334">
        <f>Table_socioeca8.sandag.org_ws_abm2_f4[[#This Row],[scenario_id]]</f>
        <v>259</v>
      </c>
      <c r="M1334">
        <f>Table_socioeca8.sandag.org_ws_abm2_f4[[#This Row],[flow_day]]</f>
        <v>99264</v>
      </c>
      <c r="N1334">
        <f>Table_socioeca8.sandag.org_ws_abm2_f4[[#This Row],[flow_am]]</f>
        <v>14664</v>
      </c>
      <c r="O1334">
        <f>Table_socioeca8.sandag.org_ws_abm2_f4[[#This Row],[flow_pm]]</f>
        <v>29357</v>
      </c>
    </row>
    <row r="1335" spans="5:15" x14ac:dyDescent="0.25">
      <c r="E1335">
        <v>28120</v>
      </c>
      <c r="F1335">
        <f t="shared" si="20"/>
        <v>259</v>
      </c>
      <c r="G1335">
        <f>IFERROR(VLOOKUP(Table_socioeca8.sandag.org_ws_abm2_f4[[#This Row],[hwycov_id]],[2]flow_freeway!$A$2:$E$1643,3,FALSE),0)</f>
        <v>92703</v>
      </c>
      <c r="H1335">
        <f>IFERROR(VLOOKUP(Table_socioeca8.sandag.org_ws_abm2_f4[[#This Row],[hwycov_id]],[2]flow_freeway!$A$2:$E$1643,4,FALSE),0)</f>
        <v>23769</v>
      </c>
      <c r="I1335">
        <f>IFERROR(VLOOKUP(Table_socioeca8.sandag.org_ws_abm2_f4[[#This Row],[hwycov_id]],[2]flow_freeway!$A$2:$E$1643,5,FALSE),0)</f>
        <v>18623</v>
      </c>
      <c r="K1335">
        <f>Table_socioeca8.sandag.org_ws_abm2_f4[[#This Row],[hwycov_id]]</f>
        <v>28120</v>
      </c>
      <c r="L1335">
        <f>Table_socioeca8.sandag.org_ws_abm2_f4[[#This Row],[scenario_id]]</f>
        <v>259</v>
      </c>
      <c r="M1335">
        <f>Table_socioeca8.sandag.org_ws_abm2_f4[[#This Row],[flow_day]]</f>
        <v>92703</v>
      </c>
      <c r="N1335">
        <f>Table_socioeca8.sandag.org_ws_abm2_f4[[#This Row],[flow_am]]</f>
        <v>23769</v>
      </c>
      <c r="O1335">
        <f>Table_socioeca8.sandag.org_ws_abm2_f4[[#This Row],[flow_pm]]</f>
        <v>18623</v>
      </c>
    </row>
    <row r="1336" spans="5:15" x14ac:dyDescent="0.25">
      <c r="E1336">
        <v>28123</v>
      </c>
      <c r="F1336">
        <f t="shared" si="20"/>
        <v>259</v>
      </c>
      <c r="G1336">
        <f>IFERROR(VLOOKUP(Table_socioeca8.sandag.org_ws_abm2_f4[[#This Row],[hwycov_id]],[2]flow_freeway!$A$2:$E$1643,3,FALSE),0)</f>
        <v>88305</v>
      </c>
      <c r="H1336">
        <f>IFERROR(VLOOKUP(Table_socioeca8.sandag.org_ws_abm2_f4[[#This Row],[hwycov_id]],[2]flow_freeway!$A$2:$E$1643,4,FALSE),0)</f>
        <v>13469</v>
      </c>
      <c r="I1336">
        <f>IFERROR(VLOOKUP(Table_socioeca8.sandag.org_ws_abm2_f4[[#This Row],[hwycov_id]],[2]flow_freeway!$A$2:$E$1643,5,FALSE),0)</f>
        <v>25768</v>
      </c>
      <c r="K1336">
        <f>Table_socioeca8.sandag.org_ws_abm2_f4[[#This Row],[hwycov_id]]</f>
        <v>28123</v>
      </c>
      <c r="L1336">
        <f>Table_socioeca8.sandag.org_ws_abm2_f4[[#This Row],[scenario_id]]</f>
        <v>259</v>
      </c>
      <c r="M1336">
        <f>Table_socioeca8.sandag.org_ws_abm2_f4[[#This Row],[flow_day]]</f>
        <v>88305</v>
      </c>
      <c r="N1336">
        <f>Table_socioeca8.sandag.org_ws_abm2_f4[[#This Row],[flow_am]]</f>
        <v>13469</v>
      </c>
      <c r="O1336">
        <f>Table_socioeca8.sandag.org_ws_abm2_f4[[#This Row],[flow_pm]]</f>
        <v>25768</v>
      </c>
    </row>
    <row r="1337" spans="5:15" x14ac:dyDescent="0.25">
      <c r="E1337">
        <v>28124</v>
      </c>
      <c r="F1337">
        <f t="shared" si="20"/>
        <v>259</v>
      </c>
      <c r="G1337">
        <f>IFERROR(VLOOKUP(Table_socioeca8.sandag.org_ws_abm2_f4[[#This Row],[hwycov_id]],[2]flow_freeway!$A$2:$E$1643,3,FALSE),0)</f>
        <v>84632</v>
      </c>
      <c r="H1337">
        <f>IFERROR(VLOOKUP(Table_socioeca8.sandag.org_ws_abm2_f4[[#This Row],[hwycov_id]],[2]flow_freeway!$A$2:$E$1643,4,FALSE),0)</f>
        <v>22002</v>
      </c>
      <c r="I1337">
        <f>IFERROR(VLOOKUP(Table_socioeca8.sandag.org_ws_abm2_f4[[#This Row],[hwycov_id]],[2]flow_freeway!$A$2:$E$1643,5,FALSE),0)</f>
        <v>17153</v>
      </c>
      <c r="K1337">
        <f>Table_socioeca8.sandag.org_ws_abm2_f4[[#This Row],[hwycov_id]]</f>
        <v>28124</v>
      </c>
      <c r="L1337">
        <f>Table_socioeca8.sandag.org_ws_abm2_f4[[#This Row],[scenario_id]]</f>
        <v>259</v>
      </c>
      <c r="M1337">
        <f>Table_socioeca8.sandag.org_ws_abm2_f4[[#This Row],[flow_day]]</f>
        <v>84632</v>
      </c>
      <c r="N1337">
        <f>Table_socioeca8.sandag.org_ws_abm2_f4[[#This Row],[flow_am]]</f>
        <v>22002</v>
      </c>
      <c r="O1337">
        <f>Table_socioeca8.sandag.org_ws_abm2_f4[[#This Row],[flow_pm]]</f>
        <v>17153</v>
      </c>
    </row>
    <row r="1338" spans="5:15" x14ac:dyDescent="0.25">
      <c r="E1338">
        <v>28126</v>
      </c>
      <c r="F1338">
        <f t="shared" si="20"/>
        <v>259</v>
      </c>
      <c r="G1338">
        <f>IFERROR(VLOOKUP(Table_socioeca8.sandag.org_ws_abm2_f4[[#This Row],[hwycov_id]],[2]flow_freeway!$A$2:$E$1643,3,FALSE),0)</f>
        <v>87206</v>
      </c>
      <c r="H1338">
        <f>IFERROR(VLOOKUP(Table_socioeca8.sandag.org_ws_abm2_f4[[#This Row],[hwycov_id]],[2]flow_freeway!$A$2:$E$1643,4,FALSE),0)</f>
        <v>22296</v>
      </c>
      <c r="I1338">
        <f>IFERROR(VLOOKUP(Table_socioeca8.sandag.org_ws_abm2_f4[[#This Row],[hwycov_id]],[2]flow_freeway!$A$2:$E$1643,5,FALSE),0)</f>
        <v>17556</v>
      </c>
      <c r="K1338">
        <f>Table_socioeca8.sandag.org_ws_abm2_f4[[#This Row],[hwycov_id]]</f>
        <v>28126</v>
      </c>
      <c r="L1338">
        <f>Table_socioeca8.sandag.org_ws_abm2_f4[[#This Row],[scenario_id]]</f>
        <v>259</v>
      </c>
      <c r="M1338">
        <f>Table_socioeca8.sandag.org_ws_abm2_f4[[#This Row],[flow_day]]</f>
        <v>87206</v>
      </c>
      <c r="N1338">
        <f>Table_socioeca8.sandag.org_ws_abm2_f4[[#This Row],[flow_am]]</f>
        <v>22296</v>
      </c>
      <c r="O1338">
        <f>Table_socioeca8.sandag.org_ws_abm2_f4[[#This Row],[flow_pm]]</f>
        <v>17556</v>
      </c>
    </row>
    <row r="1339" spans="5:15" x14ac:dyDescent="0.25">
      <c r="E1339">
        <v>28127</v>
      </c>
      <c r="F1339">
        <f t="shared" si="20"/>
        <v>259</v>
      </c>
      <c r="G1339">
        <f>IFERROR(VLOOKUP(Table_socioeca8.sandag.org_ws_abm2_f4[[#This Row],[hwycov_id]],[2]flow_freeway!$A$2:$E$1643,3,FALSE),0)</f>
        <v>93608</v>
      </c>
      <c r="H1339">
        <f>IFERROR(VLOOKUP(Table_socioeca8.sandag.org_ws_abm2_f4[[#This Row],[hwycov_id]],[2]flow_freeway!$A$2:$E$1643,4,FALSE),0)</f>
        <v>14622</v>
      </c>
      <c r="I1339">
        <f>IFERROR(VLOOKUP(Table_socioeca8.sandag.org_ws_abm2_f4[[#This Row],[hwycov_id]],[2]flow_freeway!$A$2:$E$1643,5,FALSE),0)</f>
        <v>27636</v>
      </c>
      <c r="K1339">
        <f>Table_socioeca8.sandag.org_ws_abm2_f4[[#This Row],[hwycov_id]]</f>
        <v>28127</v>
      </c>
      <c r="L1339">
        <f>Table_socioeca8.sandag.org_ws_abm2_f4[[#This Row],[scenario_id]]</f>
        <v>259</v>
      </c>
      <c r="M1339">
        <f>Table_socioeca8.sandag.org_ws_abm2_f4[[#This Row],[flow_day]]</f>
        <v>93608</v>
      </c>
      <c r="N1339">
        <f>Table_socioeca8.sandag.org_ws_abm2_f4[[#This Row],[flow_am]]</f>
        <v>14622</v>
      </c>
      <c r="O1339">
        <f>Table_socioeca8.sandag.org_ws_abm2_f4[[#This Row],[flow_pm]]</f>
        <v>27636</v>
      </c>
    </row>
    <row r="1340" spans="5:15" x14ac:dyDescent="0.25">
      <c r="E1340">
        <v>28143</v>
      </c>
      <c r="F1340">
        <f t="shared" si="20"/>
        <v>259</v>
      </c>
      <c r="G1340">
        <f>IFERROR(VLOOKUP(Table_socioeca8.sandag.org_ws_abm2_f4[[#This Row],[hwycov_id]],[2]flow_freeway!$A$2:$E$1643,3,FALSE),0)</f>
        <v>88131</v>
      </c>
      <c r="H1340">
        <f>IFERROR(VLOOKUP(Table_socioeca8.sandag.org_ws_abm2_f4[[#This Row],[hwycov_id]],[2]flow_freeway!$A$2:$E$1643,4,FALSE),0)</f>
        <v>13567</v>
      </c>
      <c r="I1340">
        <f>IFERROR(VLOOKUP(Table_socioeca8.sandag.org_ws_abm2_f4[[#This Row],[hwycov_id]],[2]flow_freeway!$A$2:$E$1643,5,FALSE),0)</f>
        <v>25959</v>
      </c>
      <c r="K1340">
        <f>Table_socioeca8.sandag.org_ws_abm2_f4[[#This Row],[hwycov_id]]</f>
        <v>28143</v>
      </c>
      <c r="L1340">
        <f>Table_socioeca8.sandag.org_ws_abm2_f4[[#This Row],[scenario_id]]</f>
        <v>259</v>
      </c>
      <c r="M1340">
        <f>Table_socioeca8.sandag.org_ws_abm2_f4[[#This Row],[flow_day]]</f>
        <v>88131</v>
      </c>
      <c r="N1340">
        <f>Table_socioeca8.sandag.org_ws_abm2_f4[[#This Row],[flow_am]]</f>
        <v>13567</v>
      </c>
      <c r="O1340">
        <f>Table_socioeca8.sandag.org_ws_abm2_f4[[#This Row],[flow_pm]]</f>
        <v>25959</v>
      </c>
    </row>
    <row r="1341" spans="5:15" x14ac:dyDescent="0.25">
      <c r="E1341">
        <v>28144</v>
      </c>
      <c r="F1341">
        <f t="shared" si="20"/>
        <v>259</v>
      </c>
      <c r="G1341">
        <f>IFERROR(VLOOKUP(Table_socioeca8.sandag.org_ws_abm2_f4[[#This Row],[hwycov_id]],[2]flow_freeway!$A$2:$E$1643,3,FALSE),0)</f>
        <v>86424</v>
      </c>
      <c r="H1341">
        <f>IFERROR(VLOOKUP(Table_socioeca8.sandag.org_ws_abm2_f4[[#This Row],[hwycov_id]],[2]flow_freeway!$A$2:$E$1643,4,FALSE),0)</f>
        <v>22132</v>
      </c>
      <c r="I1341">
        <f>IFERROR(VLOOKUP(Table_socioeca8.sandag.org_ws_abm2_f4[[#This Row],[hwycov_id]],[2]flow_freeway!$A$2:$E$1643,5,FALSE),0)</f>
        <v>17506</v>
      </c>
      <c r="K1341">
        <f>Table_socioeca8.sandag.org_ws_abm2_f4[[#This Row],[hwycov_id]]</f>
        <v>28144</v>
      </c>
      <c r="L1341">
        <f>Table_socioeca8.sandag.org_ws_abm2_f4[[#This Row],[scenario_id]]</f>
        <v>259</v>
      </c>
      <c r="M1341">
        <f>Table_socioeca8.sandag.org_ws_abm2_f4[[#This Row],[flow_day]]</f>
        <v>86424</v>
      </c>
      <c r="N1341">
        <f>Table_socioeca8.sandag.org_ws_abm2_f4[[#This Row],[flow_am]]</f>
        <v>22132</v>
      </c>
      <c r="O1341">
        <f>Table_socioeca8.sandag.org_ws_abm2_f4[[#This Row],[flow_pm]]</f>
        <v>17506</v>
      </c>
    </row>
    <row r="1342" spans="5:15" x14ac:dyDescent="0.25">
      <c r="E1342">
        <v>28167</v>
      </c>
      <c r="F1342">
        <f t="shared" si="20"/>
        <v>259</v>
      </c>
      <c r="G1342">
        <f>IFERROR(VLOOKUP(Table_socioeca8.sandag.org_ws_abm2_f4[[#This Row],[hwycov_id]],[2]flow_freeway!$A$2:$E$1643,3,FALSE),0)</f>
        <v>37010</v>
      </c>
      <c r="H1342">
        <f>IFERROR(VLOOKUP(Table_socioeca8.sandag.org_ws_abm2_f4[[#This Row],[hwycov_id]],[2]flow_freeway!$A$2:$E$1643,4,FALSE),0)</f>
        <v>7537</v>
      </c>
      <c r="I1342">
        <f>IFERROR(VLOOKUP(Table_socioeca8.sandag.org_ws_abm2_f4[[#This Row],[hwycov_id]],[2]flow_freeway!$A$2:$E$1643,5,FALSE),0)</f>
        <v>7961</v>
      </c>
      <c r="K1342">
        <f>Table_socioeca8.sandag.org_ws_abm2_f4[[#This Row],[hwycov_id]]</f>
        <v>28167</v>
      </c>
      <c r="L1342">
        <f>Table_socioeca8.sandag.org_ws_abm2_f4[[#This Row],[scenario_id]]</f>
        <v>259</v>
      </c>
      <c r="M1342">
        <f>Table_socioeca8.sandag.org_ws_abm2_f4[[#This Row],[flow_day]]</f>
        <v>37010</v>
      </c>
      <c r="N1342">
        <f>Table_socioeca8.sandag.org_ws_abm2_f4[[#This Row],[flow_am]]</f>
        <v>7537</v>
      </c>
      <c r="O1342">
        <f>Table_socioeca8.sandag.org_ws_abm2_f4[[#This Row],[flow_pm]]</f>
        <v>7961</v>
      </c>
    </row>
    <row r="1343" spans="5:15" x14ac:dyDescent="0.25">
      <c r="E1343">
        <v>28178</v>
      </c>
      <c r="F1343">
        <f t="shared" si="20"/>
        <v>259</v>
      </c>
      <c r="G1343">
        <f>IFERROR(VLOOKUP(Table_socioeca8.sandag.org_ws_abm2_f4[[#This Row],[hwycov_id]],[2]flow_freeway!$A$2:$E$1643,3,FALSE),0)</f>
        <v>67544</v>
      </c>
      <c r="H1343">
        <f>IFERROR(VLOOKUP(Table_socioeca8.sandag.org_ws_abm2_f4[[#This Row],[hwycov_id]],[2]flow_freeway!$A$2:$E$1643,4,FALSE),0)</f>
        <v>15437</v>
      </c>
      <c r="I1343">
        <f>IFERROR(VLOOKUP(Table_socioeca8.sandag.org_ws_abm2_f4[[#This Row],[hwycov_id]],[2]flow_freeway!$A$2:$E$1643,5,FALSE),0)</f>
        <v>11979</v>
      </c>
      <c r="K1343">
        <f>Table_socioeca8.sandag.org_ws_abm2_f4[[#This Row],[hwycov_id]]</f>
        <v>28178</v>
      </c>
      <c r="L1343">
        <f>Table_socioeca8.sandag.org_ws_abm2_f4[[#This Row],[scenario_id]]</f>
        <v>259</v>
      </c>
      <c r="M1343">
        <f>Table_socioeca8.sandag.org_ws_abm2_f4[[#This Row],[flow_day]]</f>
        <v>67544</v>
      </c>
      <c r="N1343">
        <f>Table_socioeca8.sandag.org_ws_abm2_f4[[#This Row],[flow_am]]</f>
        <v>15437</v>
      </c>
      <c r="O1343">
        <f>Table_socioeca8.sandag.org_ws_abm2_f4[[#This Row],[flow_pm]]</f>
        <v>11979</v>
      </c>
    </row>
    <row r="1344" spans="5:15" x14ac:dyDescent="0.25">
      <c r="E1344">
        <v>28179</v>
      </c>
      <c r="F1344">
        <f t="shared" si="20"/>
        <v>259</v>
      </c>
      <c r="G1344">
        <f>IFERROR(VLOOKUP(Table_socioeca8.sandag.org_ws_abm2_f4[[#This Row],[hwycov_id]],[2]flow_freeway!$A$2:$E$1643,3,FALSE),0)</f>
        <v>58936</v>
      </c>
      <c r="H1344">
        <f>IFERROR(VLOOKUP(Table_socioeca8.sandag.org_ws_abm2_f4[[#This Row],[hwycov_id]],[2]flow_freeway!$A$2:$E$1643,4,FALSE),0)</f>
        <v>8726</v>
      </c>
      <c r="I1344">
        <f>IFERROR(VLOOKUP(Table_socioeca8.sandag.org_ws_abm2_f4[[#This Row],[hwycov_id]],[2]flow_freeway!$A$2:$E$1643,5,FALSE),0)</f>
        <v>17782</v>
      </c>
      <c r="K1344">
        <f>Table_socioeca8.sandag.org_ws_abm2_f4[[#This Row],[hwycov_id]]</f>
        <v>28179</v>
      </c>
      <c r="L1344">
        <f>Table_socioeca8.sandag.org_ws_abm2_f4[[#This Row],[scenario_id]]</f>
        <v>259</v>
      </c>
      <c r="M1344">
        <f>Table_socioeca8.sandag.org_ws_abm2_f4[[#This Row],[flow_day]]</f>
        <v>58936</v>
      </c>
      <c r="N1344">
        <f>Table_socioeca8.sandag.org_ws_abm2_f4[[#This Row],[flow_am]]</f>
        <v>8726</v>
      </c>
      <c r="O1344">
        <f>Table_socioeca8.sandag.org_ws_abm2_f4[[#This Row],[flow_pm]]</f>
        <v>17782</v>
      </c>
    </row>
    <row r="1345" spans="5:15" x14ac:dyDescent="0.25">
      <c r="E1345">
        <v>28182</v>
      </c>
      <c r="F1345">
        <f t="shared" si="20"/>
        <v>259</v>
      </c>
      <c r="G1345">
        <f>IFERROR(VLOOKUP(Table_socioeca8.sandag.org_ws_abm2_f4[[#This Row],[hwycov_id]],[2]flow_freeway!$A$2:$E$1643,3,FALSE),0)</f>
        <v>56676</v>
      </c>
      <c r="H1345">
        <f>IFERROR(VLOOKUP(Table_socioeca8.sandag.org_ws_abm2_f4[[#This Row],[hwycov_id]],[2]flow_freeway!$A$2:$E$1643,4,FALSE),0)</f>
        <v>13223</v>
      </c>
      <c r="I1345">
        <f>IFERROR(VLOOKUP(Table_socioeca8.sandag.org_ws_abm2_f4[[#This Row],[hwycov_id]],[2]flow_freeway!$A$2:$E$1643,5,FALSE),0)</f>
        <v>9956</v>
      </c>
      <c r="K1345">
        <f>Table_socioeca8.sandag.org_ws_abm2_f4[[#This Row],[hwycov_id]]</f>
        <v>28182</v>
      </c>
      <c r="L1345">
        <f>Table_socioeca8.sandag.org_ws_abm2_f4[[#This Row],[scenario_id]]</f>
        <v>259</v>
      </c>
      <c r="M1345">
        <f>Table_socioeca8.sandag.org_ws_abm2_f4[[#This Row],[flow_day]]</f>
        <v>56676</v>
      </c>
      <c r="N1345">
        <f>Table_socioeca8.sandag.org_ws_abm2_f4[[#This Row],[flow_am]]</f>
        <v>13223</v>
      </c>
      <c r="O1345">
        <f>Table_socioeca8.sandag.org_ws_abm2_f4[[#This Row],[flow_pm]]</f>
        <v>9956</v>
      </c>
    </row>
    <row r="1346" spans="5:15" x14ac:dyDescent="0.25">
      <c r="E1346">
        <v>28184</v>
      </c>
      <c r="F1346">
        <f t="shared" si="20"/>
        <v>259</v>
      </c>
      <c r="G1346">
        <f>IFERROR(VLOOKUP(Table_socioeca8.sandag.org_ws_abm2_f4[[#This Row],[hwycov_id]],[2]flow_freeway!$A$2:$E$1643,3,FALSE),0)</f>
        <v>48769</v>
      </c>
      <c r="H1346">
        <f>IFERROR(VLOOKUP(Table_socioeca8.sandag.org_ws_abm2_f4[[#This Row],[hwycov_id]],[2]flow_freeway!$A$2:$E$1643,4,FALSE),0)</f>
        <v>6846</v>
      </c>
      <c r="I1346">
        <f>IFERROR(VLOOKUP(Table_socioeca8.sandag.org_ws_abm2_f4[[#This Row],[hwycov_id]],[2]flow_freeway!$A$2:$E$1643,5,FALSE),0)</f>
        <v>14839</v>
      </c>
      <c r="K1346">
        <f>Table_socioeca8.sandag.org_ws_abm2_f4[[#This Row],[hwycov_id]]</f>
        <v>28184</v>
      </c>
      <c r="L1346">
        <f>Table_socioeca8.sandag.org_ws_abm2_f4[[#This Row],[scenario_id]]</f>
        <v>259</v>
      </c>
      <c r="M1346">
        <f>Table_socioeca8.sandag.org_ws_abm2_f4[[#This Row],[flow_day]]</f>
        <v>48769</v>
      </c>
      <c r="N1346">
        <f>Table_socioeca8.sandag.org_ws_abm2_f4[[#This Row],[flow_am]]</f>
        <v>6846</v>
      </c>
      <c r="O1346">
        <f>Table_socioeca8.sandag.org_ws_abm2_f4[[#This Row],[flow_pm]]</f>
        <v>14839</v>
      </c>
    </row>
    <row r="1347" spans="5:15" x14ac:dyDescent="0.25">
      <c r="E1347">
        <v>28186</v>
      </c>
      <c r="F1347">
        <f t="shared" si="20"/>
        <v>259</v>
      </c>
      <c r="G1347">
        <f>IFERROR(VLOOKUP(Table_socioeca8.sandag.org_ws_abm2_f4[[#This Row],[hwycov_id]],[2]flow_freeway!$A$2:$E$1643,3,FALSE),0)</f>
        <v>51316</v>
      </c>
      <c r="H1347">
        <f>IFERROR(VLOOKUP(Table_socioeca8.sandag.org_ws_abm2_f4[[#This Row],[hwycov_id]],[2]flow_freeway!$A$2:$E$1643,4,FALSE),0)</f>
        <v>7273</v>
      </c>
      <c r="I1347">
        <f>IFERROR(VLOOKUP(Table_socioeca8.sandag.org_ws_abm2_f4[[#This Row],[hwycov_id]],[2]flow_freeway!$A$2:$E$1643,5,FALSE),0)</f>
        <v>15580</v>
      </c>
      <c r="K1347">
        <f>Table_socioeca8.sandag.org_ws_abm2_f4[[#This Row],[hwycov_id]]</f>
        <v>28186</v>
      </c>
      <c r="L1347">
        <f>Table_socioeca8.sandag.org_ws_abm2_f4[[#This Row],[scenario_id]]</f>
        <v>259</v>
      </c>
      <c r="M1347">
        <f>Table_socioeca8.sandag.org_ws_abm2_f4[[#This Row],[flow_day]]</f>
        <v>51316</v>
      </c>
      <c r="N1347">
        <f>Table_socioeca8.sandag.org_ws_abm2_f4[[#This Row],[flow_am]]</f>
        <v>7273</v>
      </c>
      <c r="O1347">
        <f>Table_socioeca8.sandag.org_ws_abm2_f4[[#This Row],[flow_pm]]</f>
        <v>15580</v>
      </c>
    </row>
    <row r="1348" spans="5:15" x14ac:dyDescent="0.25">
      <c r="E1348">
        <v>28188</v>
      </c>
      <c r="F1348">
        <f t="shared" ref="F1348:F1411" si="21">F1347</f>
        <v>259</v>
      </c>
      <c r="G1348">
        <f>IFERROR(VLOOKUP(Table_socioeca8.sandag.org_ws_abm2_f4[[#This Row],[hwycov_id]],[2]flow_freeway!$A$2:$E$1643,3,FALSE),0)</f>
        <v>59207</v>
      </c>
      <c r="H1348">
        <f>IFERROR(VLOOKUP(Table_socioeca8.sandag.org_ws_abm2_f4[[#This Row],[hwycov_id]],[2]flow_freeway!$A$2:$E$1643,4,FALSE),0)</f>
        <v>13717</v>
      </c>
      <c r="I1348">
        <f>IFERROR(VLOOKUP(Table_socioeca8.sandag.org_ws_abm2_f4[[#This Row],[hwycov_id]],[2]flow_freeway!$A$2:$E$1643,5,FALSE),0)</f>
        <v>10480</v>
      </c>
      <c r="K1348">
        <f>Table_socioeca8.sandag.org_ws_abm2_f4[[#This Row],[hwycov_id]]</f>
        <v>28188</v>
      </c>
      <c r="L1348">
        <f>Table_socioeca8.sandag.org_ws_abm2_f4[[#This Row],[scenario_id]]</f>
        <v>259</v>
      </c>
      <c r="M1348">
        <f>Table_socioeca8.sandag.org_ws_abm2_f4[[#This Row],[flow_day]]</f>
        <v>59207</v>
      </c>
      <c r="N1348">
        <f>Table_socioeca8.sandag.org_ws_abm2_f4[[#This Row],[flow_am]]</f>
        <v>13717</v>
      </c>
      <c r="O1348">
        <f>Table_socioeca8.sandag.org_ws_abm2_f4[[#This Row],[flow_pm]]</f>
        <v>10480</v>
      </c>
    </row>
    <row r="1349" spans="5:15" x14ac:dyDescent="0.25">
      <c r="E1349">
        <v>28191</v>
      </c>
      <c r="F1349">
        <f t="shared" si="21"/>
        <v>259</v>
      </c>
      <c r="G1349">
        <f>IFERROR(VLOOKUP(Table_socioeca8.sandag.org_ws_abm2_f4[[#This Row],[hwycov_id]],[2]flow_freeway!$A$2:$E$1643,3,FALSE),0)</f>
        <v>38726</v>
      </c>
      <c r="H1349">
        <f>IFERROR(VLOOKUP(Table_socioeca8.sandag.org_ws_abm2_f4[[#This Row],[hwycov_id]],[2]flow_freeway!$A$2:$E$1643,4,FALSE),0)</f>
        <v>5244</v>
      </c>
      <c r="I1349">
        <f>IFERROR(VLOOKUP(Table_socioeca8.sandag.org_ws_abm2_f4[[#This Row],[hwycov_id]],[2]flow_freeway!$A$2:$E$1643,5,FALSE),0)</f>
        <v>12353</v>
      </c>
      <c r="K1349">
        <f>Table_socioeca8.sandag.org_ws_abm2_f4[[#This Row],[hwycov_id]]</f>
        <v>28191</v>
      </c>
      <c r="L1349">
        <f>Table_socioeca8.sandag.org_ws_abm2_f4[[#This Row],[scenario_id]]</f>
        <v>259</v>
      </c>
      <c r="M1349">
        <f>Table_socioeca8.sandag.org_ws_abm2_f4[[#This Row],[flow_day]]</f>
        <v>38726</v>
      </c>
      <c r="N1349">
        <f>Table_socioeca8.sandag.org_ws_abm2_f4[[#This Row],[flow_am]]</f>
        <v>5244</v>
      </c>
      <c r="O1349">
        <f>Table_socioeca8.sandag.org_ws_abm2_f4[[#This Row],[flow_pm]]</f>
        <v>12353</v>
      </c>
    </row>
    <row r="1350" spans="5:15" x14ac:dyDescent="0.25">
      <c r="E1350">
        <v>28193</v>
      </c>
      <c r="F1350">
        <f t="shared" si="21"/>
        <v>259</v>
      </c>
      <c r="G1350">
        <f>IFERROR(VLOOKUP(Table_socioeca8.sandag.org_ws_abm2_f4[[#This Row],[hwycov_id]],[2]flow_freeway!$A$2:$E$1643,3,FALSE),0)</f>
        <v>41378</v>
      </c>
      <c r="H1350">
        <f>IFERROR(VLOOKUP(Table_socioeca8.sandag.org_ws_abm2_f4[[#This Row],[hwycov_id]],[2]flow_freeway!$A$2:$E$1643,4,FALSE),0)</f>
        <v>10895</v>
      </c>
      <c r="I1350">
        <f>IFERROR(VLOOKUP(Table_socioeca8.sandag.org_ws_abm2_f4[[#This Row],[hwycov_id]],[2]flow_freeway!$A$2:$E$1643,5,FALSE),0)</f>
        <v>7820</v>
      </c>
      <c r="K1350">
        <f>Table_socioeca8.sandag.org_ws_abm2_f4[[#This Row],[hwycov_id]]</f>
        <v>28193</v>
      </c>
      <c r="L1350">
        <f>Table_socioeca8.sandag.org_ws_abm2_f4[[#This Row],[scenario_id]]</f>
        <v>259</v>
      </c>
      <c r="M1350">
        <f>Table_socioeca8.sandag.org_ws_abm2_f4[[#This Row],[flow_day]]</f>
        <v>41378</v>
      </c>
      <c r="N1350">
        <f>Table_socioeca8.sandag.org_ws_abm2_f4[[#This Row],[flow_am]]</f>
        <v>10895</v>
      </c>
      <c r="O1350">
        <f>Table_socioeca8.sandag.org_ws_abm2_f4[[#This Row],[flow_pm]]</f>
        <v>7820</v>
      </c>
    </row>
    <row r="1351" spans="5:15" x14ac:dyDescent="0.25">
      <c r="E1351">
        <v>28195</v>
      </c>
      <c r="F1351">
        <f t="shared" si="21"/>
        <v>259</v>
      </c>
      <c r="G1351">
        <f>IFERROR(VLOOKUP(Table_socioeca8.sandag.org_ws_abm2_f4[[#This Row],[hwycov_id]],[2]flow_freeway!$A$2:$E$1643,3,FALSE),0)</f>
        <v>47221</v>
      </c>
      <c r="H1351">
        <f>IFERROR(VLOOKUP(Table_socioeca8.sandag.org_ws_abm2_f4[[#This Row],[hwycov_id]],[2]flow_freeway!$A$2:$E$1643,4,FALSE),0)</f>
        <v>11936</v>
      </c>
      <c r="I1351">
        <f>IFERROR(VLOOKUP(Table_socioeca8.sandag.org_ws_abm2_f4[[#This Row],[hwycov_id]],[2]flow_freeway!$A$2:$E$1643,5,FALSE),0)</f>
        <v>9112</v>
      </c>
      <c r="K1351">
        <f>Table_socioeca8.sandag.org_ws_abm2_f4[[#This Row],[hwycov_id]]</f>
        <v>28195</v>
      </c>
      <c r="L1351">
        <f>Table_socioeca8.sandag.org_ws_abm2_f4[[#This Row],[scenario_id]]</f>
        <v>259</v>
      </c>
      <c r="M1351">
        <f>Table_socioeca8.sandag.org_ws_abm2_f4[[#This Row],[flow_day]]</f>
        <v>47221</v>
      </c>
      <c r="N1351">
        <f>Table_socioeca8.sandag.org_ws_abm2_f4[[#This Row],[flow_am]]</f>
        <v>11936</v>
      </c>
      <c r="O1351">
        <f>Table_socioeca8.sandag.org_ws_abm2_f4[[#This Row],[flow_pm]]</f>
        <v>9112</v>
      </c>
    </row>
    <row r="1352" spans="5:15" x14ac:dyDescent="0.25">
      <c r="E1352">
        <v>28197</v>
      </c>
      <c r="F1352">
        <f t="shared" si="21"/>
        <v>259</v>
      </c>
      <c r="G1352">
        <f>IFERROR(VLOOKUP(Table_socioeca8.sandag.org_ws_abm2_f4[[#This Row],[hwycov_id]],[2]flow_freeway!$A$2:$E$1643,3,FALSE),0)</f>
        <v>47221</v>
      </c>
      <c r="H1352">
        <f>IFERROR(VLOOKUP(Table_socioeca8.sandag.org_ws_abm2_f4[[#This Row],[hwycov_id]],[2]flow_freeway!$A$2:$E$1643,4,FALSE),0)</f>
        <v>11936</v>
      </c>
      <c r="I1352">
        <f>IFERROR(VLOOKUP(Table_socioeca8.sandag.org_ws_abm2_f4[[#This Row],[hwycov_id]],[2]flow_freeway!$A$2:$E$1643,5,FALSE),0)</f>
        <v>9112</v>
      </c>
      <c r="K1352">
        <f>Table_socioeca8.sandag.org_ws_abm2_f4[[#This Row],[hwycov_id]]</f>
        <v>28197</v>
      </c>
      <c r="L1352">
        <f>Table_socioeca8.sandag.org_ws_abm2_f4[[#This Row],[scenario_id]]</f>
        <v>259</v>
      </c>
      <c r="M1352">
        <f>Table_socioeca8.sandag.org_ws_abm2_f4[[#This Row],[flow_day]]</f>
        <v>47221</v>
      </c>
      <c r="N1352">
        <f>Table_socioeca8.sandag.org_ws_abm2_f4[[#This Row],[flow_am]]</f>
        <v>11936</v>
      </c>
      <c r="O1352">
        <f>Table_socioeca8.sandag.org_ws_abm2_f4[[#This Row],[flow_pm]]</f>
        <v>9112</v>
      </c>
    </row>
    <row r="1353" spans="5:15" x14ac:dyDescent="0.25">
      <c r="E1353">
        <v>28199</v>
      </c>
      <c r="F1353">
        <f t="shared" si="21"/>
        <v>259</v>
      </c>
      <c r="G1353">
        <f>IFERROR(VLOOKUP(Table_socioeca8.sandag.org_ws_abm2_f4[[#This Row],[hwycov_id]],[2]flow_freeway!$A$2:$E$1643,3,FALSE),0)</f>
        <v>43857</v>
      </c>
      <c r="H1353">
        <f>IFERROR(VLOOKUP(Table_socioeca8.sandag.org_ws_abm2_f4[[#This Row],[hwycov_id]],[2]flow_freeway!$A$2:$E$1643,4,FALSE),0)</f>
        <v>6113</v>
      </c>
      <c r="I1353">
        <f>IFERROR(VLOOKUP(Table_socioeca8.sandag.org_ws_abm2_f4[[#This Row],[hwycov_id]],[2]flow_freeway!$A$2:$E$1643,5,FALSE),0)</f>
        <v>13632</v>
      </c>
      <c r="K1353">
        <f>Table_socioeca8.sandag.org_ws_abm2_f4[[#This Row],[hwycov_id]]</f>
        <v>28199</v>
      </c>
      <c r="L1353">
        <f>Table_socioeca8.sandag.org_ws_abm2_f4[[#This Row],[scenario_id]]</f>
        <v>259</v>
      </c>
      <c r="M1353">
        <f>Table_socioeca8.sandag.org_ws_abm2_f4[[#This Row],[flow_day]]</f>
        <v>43857</v>
      </c>
      <c r="N1353">
        <f>Table_socioeca8.sandag.org_ws_abm2_f4[[#This Row],[flow_am]]</f>
        <v>6113</v>
      </c>
      <c r="O1353">
        <f>Table_socioeca8.sandag.org_ws_abm2_f4[[#This Row],[flow_pm]]</f>
        <v>13632</v>
      </c>
    </row>
    <row r="1354" spans="5:15" x14ac:dyDescent="0.25">
      <c r="E1354">
        <v>28200</v>
      </c>
      <c r="F1354">
        <f t="shared" si="21"/>
        <v>259</v>
      </c>
      <c r="G1354">
        <f>IFERROR(VLOOKUP(Table_socioeca8.sandag.org_ws_abm2_f4[[#This Row],[hwycov_id]],[2]flow_freeway!$A$2:$E$1643,3,FALSE),0)</f>
        <v>37881</v>
      </c>
      <c r="H1354">
        <f>IFERROR(VLOOKUP(Table_socioeca8.sandag.org_ws_abm2_f4[[#This Row],[hwycov_id]],[2]flow_freeway!$A$2:$E$1643,4,FALSE),0)</f>
        <v>9778</v>
      </c>
      <c r="I1354">
        <f>IFERROR(VLOOKUP(Table_socioeca8.sandag.org_ws_abm2_f4[[#This Row],[hwycov_id]],[2]flow_freeway!$A$2:$E$1643,5,FALSE),0)</f>
        <v>7211</v>
      </c>
      <c r="K1354">
        <f>Table_socioeca8.sandag.org_ws_abm2_f4[[#This Row],[hwycov_id]]</f>
        <v>28200</v>
      </c>
      <c r="L1354">
        <f>Table_socioeca8.sandag.org_ws_abm2_f4[[#This Row],[scenario_id]]</f>
        <v>259</v>
      </c>
      <c r="M1354">
        <f>Table_socioeca8.sandag.org_ws_abm2_f4[[#This Row],[flow_day]]</f>
        <v>37881</v>
      </c>
      <c r="N1354">
        <f>Table_socioeca8.sandag.org_ws_abm2_f4[[#This Row],[flow_am]]</f>
        <v>9778</v>
      </c>
      <c r="O1354">
        <f>Table_socioeca8.sandag.org_ws_abm2_f4[[#This Row],[flow_pm]]</f>
        <v>7211</v>
      </c>
    </row>
    <row r="1355" spans="5:15" x14ac:dyDescent="0.25">
      <c r="E1355">
        <v>28203</v>
      </c>
      <c r="F1355">
        <f t="shared" si="21"/>
        <v>259</v>
      </c>
      <c r="G1355">
        <f>IFERROR(VLOOKUP(Table_socioeca8.sandag.org_ws_abm2_f4[[#This Row],[hwycov_id]],[2]flow_freeway!$A$2:$E$1643,3,FALSE),0)</f>
        <v>28771</v>
      </c>
      <c r="H1355">
        <f>IFERROR(VLOOKUP(Table_socioeca8.sandag.org_ws_abm2_f4[[#This Row],[hwycov_id]],[2]flow_freeway!$A$2:$E$1643,4,FALSE),0)</f>
        <v>3992</v>
      </c>
      <c r="I1355">
        <f>IFERROR(VLOOKUP(Table_socioeca8.sandag.org_ws_abm2_f4[[#This Row],[hwycov_id]],[2]flow_freeway!$A$2:$E$1643,5,FALSE),0)</f>
        <v>9155</v>
      </c>
      <c r="K1355">
        <f>Table_socioeca8.sandag.org_ws_abm2_f4[[#This Row],[hwycov_id]]</f>
        <v>28203</v>
      </c>
      <c r="L1355">
        <f>Table_socioeca8.sandag.org_ws_abm2_f4[[#This Row],[scenario_id]]</f>
        <v>259</v>
      </c>
      <c r="M1355">
        <f>Table_socioeca8.sandag.org_ws_abm2_f4[[#This Row],[flow_day]]</f>
        <v>28771</v>
      </c>
      <c r="N1355">
        <f>Table_socioeca8.sandag.org_ws_abm2_f4[[#This Row],[flow_am]]</f>
        <v>3992</v>
      </c>
      <c r="O1355">
        <f>Table_socioeca8.sandag.org_ws_abm2_f4[[#This Row],[flow_pm]]</f>
        <v>9155</v>
      </c>
    </row>
    <row r="1356" spans="5:15" x14ac:dyDescent="0.25">
      <c r="E1356">
        <v>28205</v>
      </c>
      <c r="F1356">
        <f t="shared" si="21"/>
        <v>259</v>
      </c>
      <c r="G1356">
        <f>IFERROR(VLOOKUP(Table_socioeca8.sandag.org_ws_abm2_f4[[#This Row],[hwycov_id]],[2]flow_freeway!$A$2:$E$1643,3,FALSE),0)</f>
        <v>26483</v>
      </c>
      <c r="H1356">
        <f>IFERROR(VLOOKUP(Table_socioeca8.sandag.org_ws_abm2_f4[[#This Row],[hwycov_id]],[2]flow_freeway!$A$2:$E$1643,4,FALSE),0)</f>
        <v>7382</v>
      </c>
      <c r="I1356">
        <f>IFERROR(VLOOKUP(Table_socioeca8.sandag.org_ws_abm2_f4[[#This Row],[hwycov_id]],[2]flow_freeway!$A$2:$E$1643,5,FALSE),0)</f>
        <v>5084</v>
      </c>
      <c r="K1356">
        <f>Table_socioeca8.sandag.org_ws_abm2_f4[[#This Row],[hwycov_id]]</f>
        <v>28205</v>
      </c>
      <c r="L1356">
        <f>Table_socioeca8.sandag.org_ws_abm2_f4[[#This Row],[scenario_id]]</f>
        <v>259</v>
      </c>
      <c r="M1356">
        <f>Table_socioeca8.sandag.org_ws_abm2_f4[[#This Row],[flow_day]]</f>
        <v>26483</v>
      </c>
      <c r="N1356">
        <f>Table_socioeca8.sandag.org_ws_abm2_f4[[#This Row],[flow_am]]</f>
        <v>7382</v>
      </c>
      <c r="O1356">
        <f>Table_socioeca8.sandag.org_ws_abm2_f4[[#This Row],[flow_pm]]</f>
        <v>5084</v>
      </c>
    </row>
    <row r="1357" spans="5:15" x14ac:dyDescent="0.25">
      <c r="E1357">
        <v>28206</v>
      </c>
      <c r="F1357">
        <f t="shared" si="21"/>
        <v>259</v>
      </c>
      <c r="G1357">
        <f>IFERROR(VLOOKUP(Table_socioeca8.sandag.org_ws_abm2_f4[[#This Row],[hwycov_id]],[2]flow_freeway!$A$2:$E$1643,3,FALSE),0)</f>
        <v>31382</v>
      </c>
      <c r="H1357">
        <f>IFERROR(VLOOKUP(Table_socioeca8.sandag.org_ws_abm2_f4[[#This Row],[hwycov_id]],[2]flow_freeway!$A$2:$E$1643,4,FALSE),0)</f>
        <v>8459</v>
      </c>
      <c r="I1357">
        <f>IFERROR(VLOOKUP(Table_socioeca8.sandag.org_ws_abm2_f4[[#This Row],[hwycov_id]],[2]flow_freeway!$A$2:$E$1643,5,FALSE),0)</f>
        <v>5921</v>
      </c>
      <c r="K1357">
        <f>Table_socioeca8.sandag.org_ws_abm2_f4[[#This Row],[hwycov_id]]</f>
        <v>28206</v>
      </c>
      <c r="L1357">
        <f>Table_socioeca8.sandag.org_ws_abm2_f4[[#This Row],[scenario_id]]</f>
        <v>259</v>
      </c>
      <c r="M1357">
        <f>Table_socioeca8.sandag.org_ws_abm2_f4[[#This Row],[flow_day]]</f>
        <v>31382</v>
      </c>
      <c r="N1357">
        <f>Table_socioeca8.sandag.org_ws_abm2_f4[[#This Row],[flow_am]]</f>
        <v>8459</v>
      </c>
      <c r="O1357">
        <f>Table_socioeca8.sandag.org_ws_abm2_f4[[#This Row],[flow_pm]]</f>
        <v>5921</v>
      </c>
    </row>
    <row r="1358" spans="5:15" x14ac:dyDescent="0.25">
      <c r="E1358">
        <v>28208</v>
      </c>
      <c r="F1358">
        <f t="shared" si="21"/>
        <v>259</v>
      </c>
      <c r="G1358">
        <f>IFERROR(VLOOKUP(Table_socioeca8.sandag.org_ws_abm2_f4[[#This Row],[hwycov_id]],[2]flow_freeway!$A$2:$E$1643,3,FALSE),0)</f>
        <v>29866</v>
      </c>
      <c r="H1358">
        <f>IFERROR(VLOOKUP(Table_socioeca8.sandag.org_ws_abm2_f4[[#This Row],[hwycov_id]],[2]flow_freeway!$A$2:$E$1643,4,FALSE),0)</f>
        <v>4125</v>
      </c>
      <c r="I1358">
        <f>IFERROR(VLOOKUP(Table_socioeca8.sandag.org_ws_abm2_f4[[#This Row],[hwycov_id]],[2]flow_freeway!$A$2:$E$1643,5,FALSE),0)</f>
        <v>9508</v>
      </c>
      <c r="K1358">
        <f>Table_socioeca8.sandag.org_ws_abm2_f4[[#This Row],[hwycov_id]]</f>
        <v>28208</v>
      </c>
      <c r="L1358">
        <f>Table_socioeca8.sandag.org_ws_abm2_f4[[#This Row],[scenario_id]]</f>
        <v>259</v>
      </c>
      <c r="M1358">
        <f>Table_socioeca8.sandag.org_ws_abm2_f4[[#This Row],[flow_day]]</f>
        <v>29866</v>
      </c>
      <c r="N1358">
        <f>Table_socioeca8.sandag.org_ws_abm2_f4[[#This Row],[flow_am]]</f>
        <v>4125</v>
      </c>
      <c r="O1358">
        <f>Table_socioeca8.sandag.org_ws_abm2_f4[[#This Row],[flow_pm]]</f>
        <v>9508</v>
      </c>
    </row>
    <row r="1359" spans="5:15" x14ac:dyDescent="0.25">
      <c r="E1359">
        <v>28209</v>
      </c>
      <c r="F1359">
        <f t="shared" si="21"/>
        <v>259</v>
      </c>
      <c r="G1359">
        <f>IFERROR(VLOOKUP(Table_socioeca8.sandag.org_ws_abm2_f4[[#This Row],[hwycov_id]],[2]flow_freeway!$A$2:$E$1643,3,FALSE),0)</f>
        <v>23192</v>
      </c>
      <c r="H1359">
        <f>IFERROR(VLOOKUP(Table_socioeca8.sandag.org_ws_abm2_f4[[#This Row],[hwycov_id]],[2]flow_freeway!$A$2:$E$1643,4,FALSE),0)</f>
        <v>3034</v>
      </c>
      <c r="I1359">
        <f>IFERROR(VLOOKUP(Table_socioeca8.sandag.org_ws_abm2_f4[[#This Row],[hwycov_id]],[2]flow_freeway!$A$2:$E$1643,5,FALSE),0)</f>
        <v>7698</v>
      </c>
      <c r="K1359">
        <f>Table_socioeca8.sandag.org_ws_abm2_f4[[#This Row],[hwycov_id]]</f>
        <v>28209</v>
      </c>
      <c r="L1359">
        <f>Table_socioeca8.sandag.org_ws_abm2_f4[[#This Row],[scenario_id]]</f>
        <v>259</v>
      </c>
      <c r="M1359">
        <f>Table_socioeca8.sandag.org_ws_abm2_f4[[#This Row],[flow_day]]</f>
        <v>23192</v>
      </c>
      <c r="N1359">
        <f>Table_socioeca8.sandag.org_ws_abm2_f4[[#This Row],[flow_am]]</f>
        <v>3034</v>
      </c>
      <c r="O1359">
        <f>Table_socioeca8.sandag.org_ws_abm2_f4[[#This Row],[flow_pm]]</f>
        <v>7698</v>
      </c>
    </row>
    <row r="1360" spans="5:15" x14ac:dyDescent="0.25">
      <c r="E1360">
        <v>28211</v>
      </c>
      <c r="F1360">
        <f t="shared" si="21"/>
        <v>259</v>
      </c>
      <c r="G1360">
        <f>IFERROR(VLOOKUP(Table_socioeca8.sandag.org_ws_abm2_f4[[#This Row],[hwycov_id]],[2]flow_freeway!$A$2:$E$1643,3,FALSE),0)</f>
        <v>23953</v>
      </c>
      <c r="H1360">
        <f>IFERROR(VLOOKUP(Table_socioeca8.sandag.org_ws_abm2_f4[[#This Row],[hwycov_id]],[2]flow_freeway!$A$2:$E$1643,4,FALSE),0)</f>
        <v>6462</v>
      </c>
      <c r="I1360">
        <f>IFERROR(VLOOKUP(Table_socioeca8.sandag.org_ws_abm2_f4[[#This Row],[hwycov_id]],[2]flow_freeway!$A$2:$E$1643,5,FALSE),0)</f>
        <v>4396</v>
      </c>
      <c r="K1360">
        <f>Table_socioeca8.sandag.org_ws_abm2_f4[[#This Row],[hwycov_id]]</f>
        <v>28211</v>
      </c>
      <c r="L1360">
        <f>Table_socioeca8.sandag.org_ws_abm2_f4[[#This Row],[scenario_id]]</f>
        <v>259</v>
      </c>
      <c r="M1360">
        <f>Table_socioeca8.sandag.org_ws_abm2_f4[[#This Row],[flow_day]]</f>
        <v>23953</v>
      </c>
      <c r="N1360">
        <f>Table_socioeca8.sandag.org_ws_abm2_f4[[#This Row],[flow_am]]</f>
        <v>6462</v>
      </c>
      <c r="O1360">
        <f>Table_socioeca8.sandag.org_ws_abm2_f4[[#This Row],[flow_pm]]</f>
        <v>4396</v>
      </c>
    </row>
    <row r="1361" spans="5:15" x14ac:dyDescent="0.25">
      <c r="E1361">
        <v>28214</v>
      </c>
      <c r="F1361">
        <f t="shared" si="21"/>
        <v>259</v>
      </c>
      <c r="G1361">
        <f>IFERROR(VLOOKUP(Table_socioeca8.sandag.org_ws_abm2_f4[[#This Row],[hwycov_id]],[2]flow_freeway!$A$2:$E$1643,3,FALSE),0)</f>
        <v>28136</v>
      </c>
      <c r="H1361">
        <f>IFERROR(VLOOKUP(Table_socioeca8.sandag.org_ws_abm2_f4[[#This Row],[hwycov_id]],[2]flow_freeway!$A$2:$E$1643,4,FALSE),0)</f>
        <v>3793</v>
      </c>
      <c r="I1361">
        <f>IFERROR(VLOOKUP(Table_socioeca8.sandag.org_ws_abm2_f4[[#This Row],[hwycov_id]],[2]flow_freeway!$A$2:$E$1643,5,FALSE),0)</f>
        <v>8969</v>
      </c>
      <c r="K1361">
        <f>Table_socioeca8.sandag.org_ws_abm2_f4[[#This Row],[hwycov_id]]</f>
        <v>28214</v>
      </c>
      <c r="L1361">
        <f>Table_socioeca8.sandag.org_ws_abm2_f4[[#This Row],[scenario_id]]</f>
        <v>259</v>
      </c>
      <c r="M1361">
        <f>Table_socioeca8.sandag.org_ws_abm2_f4[[#This Row],[flow_day]]</f>
        <v>28136</v>
      </c>
      <c r="N1361">
        <f>Table_socioeca8.sandag.org_ws_abm2_f4[[#This Row],[flow_am]]</f>
        <v>3793</v>
      </c>
      <c r="O1361">
        <f>Table_socioeca8.sandag.org_ws_abm2_f4[[#This Row],[flow_pm]]</f>
        <v>8969</v>
      </c>
    </row>
    <row r="1362" spans="5:15" x14ac:dyDescent="0.25">
      <c r="E1362">
        <v>28215</v>
      </c>
      <c r="F1362">
        <f t="shared" si="21"/>
        <v>259</v>
      </c>
      <c r="G1362">
        <f>IFERROR(VLOOKUP(Table_socioeca8.sandag.org_ws_abm2_f4[[#This Row],[hwycov_id]],[2]flow_freeway!$A$2:$E$1643,3,FALSE),0)</f>
        <v>28533</v>
      </c>
      <c r="H1362">
        <f>IFERROR(VLOOKUP(Table_socioeca8.sandag.org_ws_abm2_f4[[#This Row],[hwycov_id]],[2]flow_freeway!$A$2:$E$1643,4,FALSE),0)</f>
        <v>7557</v>
      </c>
      <c r="I1362">
        <f>IFERROR(VLOOKUP(Table_socioeca8.sandag.org_ws_abm2_f4[[#This Row],[hwycov_id]],[2]flow_freeway!$A$2:$E$1643,5,FALSE),0)</f>
        <v>5323</v>
      </c>
      <c r="K1362">
        <f>Table_socioeca8.sandag.org_ws_abm2_f4[[#This Row],[hwycov_id]]</f>
        <v>28215</v>
      </c>
      <c r="L1362">
        <f>Table_socioeca8.sandag.org_ws_abm2_f4[[#This Row],[scenario_id]]</f>
        <v>259</v>
      </c>
      <c r="M1362">
        <f>Table_socioeca8.sandag.org_ws_abm2_f4[[#This Row],[flow_day]]</f>
        <v>28533</v>
      </c>
      <c r="N1362">
        <f>Table_socioeca8.sandag.org_ws_abm2_f4[[#This Row],[flow_am]]</f>
        <v>7557</v>
      </c>
      <c r="O1362">
        <f>Table_socioeca8.sandag.org_ws_abm2_f4[[#This Row],[flow_pm]]</f>
        <v>5323</v>
      </c>
    </row>
    <row r="1363" spans="5:15" x14ac:dyDescent="0.25">
      <c r="E1363">
        <v>28216</v>
      </c>
      <c r="F1363">
        <f t="shared" si="21"/>
        <v>259</v>
      </c>
      <c r="G1363">
        <f>IFERROR(VLOOKUP(Table_socioeca8.sandag.org_ws_abm2_f4[[#This Row],[hwycov_id]],[2]flow_freeway!$A$2:$E$1643,3,FALSE),0)</f>
        <v>28317</v>
      </c>
      <c r="H1363">
        <f>IFERROR(VLOOKUP(Table_socioeca8.sandag.org_ws_abm2_f4[[#This Row],[hwycov_id]],[2]flow_freeway!$A$2:$E$1643,4,FALSE),0)</f>
        <v>3819</v>
      </c>
      <c r="I1363">
        <f>IFERROR(VLOOKUP(Table_socioeca8.sandag.org_ws_abm2_f4[[#This Row],[hwycov_id]],[2]flow_freeway!$A$2:$E$1643,5,FALSE),0)</f>
        <v>9018</v>
      </c>
      <c r="K1363">
        <f>Table_socioeca8.sandag.org_ws_abm2_f4[[#This Row],[hwycov_id]]</f>
        <v>28216</v>
      </c>
      <c r="L1363">
        <f>Table_socioeca8.sandag.org_ws_abm2_f4[[#This Row],[scenario_id]]</f>
        <v>259</v>
      </c>
      <c r="M1363">
        <f>Table_socioeca8.sandag.org_ws_abm2_f4[[#This Row],[flow_day]]</f>
        <v>28317</v>
      </c>
      <c r="N1363">
        <f>Table_socioeca8.sandag.org_ws_abm2_f4[[#This Row],[flow_am]]</f>
        <v>3819</v>
      </c>
      <c r="O1363">
        <f>Table_socioeca8.sandag.org_ws_abm2_f4[[#This Row],[flow_pm]]</f>
        <v>9018</v>
      </c>
    </row>
    <row r="1364" spans="5:15" x14ac:dyDescent="0.25">
      <c r="E1364">
        <v>28219</v>
      </c>
      <c r="F1364">
        <f t="shared" si="21"/>
        <v>259</v>
      </c>
      <c r="G1364">
        <f>IFERROR(VLOOKUP(Table_socioeca8.sandag.org_ws_abm2_f4[[#This Row],[hwycov_id]],[2]flow_freeway!$A$2:$E$1643,3,FALSE),0)</f>
        <v>24441</v>
      </c>
      <c r="H1364">
        <f>IFERROR(VLOOKUP(Table_socioeca8.sandag.org_ws_abm2_f4[[#This Row],[hwycov_id]],[2]flow_freeway!$A$2:$E$1643,4,FALSE),0)</f>
        <v>6296</v>
      </c>
      <c r="I1364">
        <f>IFERROR(VLOOKUP(Table_socioeca8.sandag.org_ws_abm2_f4[[#This Row],[hwycov_id]],[2]flow_freeway!$A$2:$E$1643,5,FALSE),0)</f>
        <v>4491</v>
      </c>
      <c r="K1364">
        <f>Table_socioeca8.sandag.org_ws_abm2_f4[[#This Row],[hwycov_id]]</f>
        <v>28219</v>
      </c>
      <c r="L1364">
        <f>Table_socioeca8.sandag.org_ws_abm2_f4[[#This Row],[scenario_id]]</f>
        <v>259</v>
      </c>
      <c r="M1364">
        <f>Table_socioeca8.sandag.org_ws_abm2_f4[[#This Row],[flow_day]]</f>
        <v>24441</v>
      </c>
      <c r="N1364">
        <f>Table_socioeca8.sandag.org_ws_abm2_f4[[#This Row],[flow_am]]</f>
        <v>6296</v>
      </c>
      <c r="O1364">
        <f>Table_socioeca8.sandag.org_ws_abm2_f4[[#This Row],[flow_pm]]</f>
        <v>4491</v>
      </c>
    </row>
    <row r="1365" spans="5:15" x14ac:dyDescent="0.25">
      <c r="E1365">
        <v>28222</v>
      </c>
      <c r="F1365">
        <f t="shared" si="21"/>
        <v>259</v>
      </c>
      <c r="G1365">
        <f>IFERROR(VLOOKUP(Table_socioeca8.sandag.org_ws_abm2_f4[[#This Row],[hwycov_id]],[2]flow_freeway!$A$2:$E$1643,3,FALSE),0)</f>
        <v>24260</v>
      </c>
      <c r="H1365">
        <f>IFERROR(VLOOKUP(Table_socioeca8.sandag.org_ws_abm2_f4[[#This Row],[hwycov_id]],[2]flow_freeway!$A$2:$E$1643,4,FALSE),0)</f>
        <v>3140</v>
      </c>
      <c r="I1365">
        <f>IFERROR(VLOOKUP(Table_socioeca8.sandag.org_ws_abm2_f4[[#This Row],[hwycov_id]],[2]flow_freeway!$A$2:$E$1643,5,FALSE),0)</f>
        <v>7499</v>
      </c>
      <c r="K1365">
        <f>Table_socioeca8.sandag.org_ws_abm2_f4[[#This Row],[hwycov_id]]</f>
        <v>28222</v>
      </c>
      <c r="L1365">
        <f>Table_socioeca8.sandag.org_ws_abm2_f4[[#This Row],[scenario_id]]</f>
        <v>259</v>
      </c>
      <c r="M1365">
        <f>Table_socioeca8.sandag.org_ws_abm2_f4[[#This Row],[flow_day]]</f>
        <v>24260</v>
      </c>
      <c r="N1365">
        <f>Table_socioeca8.sandag.org_ws_abm2_f4[[#This Row],[flow_am]]</f>
        <v>3140</v>
      </c>
      <c r="O1365">
        <f>Table_socioeca8.sandag.org_ws_abm2_f4[[#This Row],[flow_pm]]</f>
        <v>7499</v>
      </c>
    </row>
    <row r="1366" spans="5:15" x14ac:dyDescent="0.25">
      <c r="E1366">
        <v>28223</v>
      </c>
      <c r="F1366">
        <f t="shared" si="21"/>
        <v>259</v>
      </c>
      <c r="G1366">
        <f>IFERROR(VLOOKUP(Table_socioeca8.sandag.org_ws_abm2_f4[[#This Row],[hwycov_id]],[2]flow_freeway!$A$2:$E$1643,3,FALSE),0)</f>
        <v>25156</v>
      </c>
      <c r="H1366">
        <f>IFERROR(VLOOKUP(Table_socioeca8.sandag.org_ws_abm2_f4[[#This Row],[hwycov_id]],[2]flow_freeway!$A$2:$E$1643,4,FALSE),0)</f>
        <v>6412</v>
      </c>
      <c r="I1366">
        <f>IFERROR(VLOOKUP(Table_socioeca8.sandag.org_ws_abm2_f4[[#This Row],[hwycov_id]],[2]flow_freeway!$A$2:$E$1643,5,FALSE),0)</f>
        <v>4670</v>
      </c>
      <c r="K1366">
        <f>Table_socioeca8.sandag.org_ws_abm2_f4[[#This Row],[hwycov_id]]</f>
        <v>28223</v>
      </c>
      <c r="L1366">
        <f>Table_socioeca8.sandag.org_ws_abm2_f4[[#This Row],[scenario_id]]</f>
        <v>259</v>
      </c>
      <c r="M1366">
        <f>Table_socioeca8.sandag.org_ws_abm2_f4[[#This Row],[flow_day]]</f>
        <v>25156</v>
      </c>
      <c r="N1366">
        <f>Table_socioeca8.sandag.org_ws_abm2_f4[[#This Row],[flow_am]]</f>
        <v>6412</v>
      </c>
      <c r="O1366">
        <f>Table_socioeca8.sandag.org_ws_abm2_f4[[#This Row],[flow_pm]]</f>
        <v>4670</v>
      </c>
    </row>
    <row r="1367" spans="5:15" x14ac:dyDescent="0.25">
      <c r="E1367">
        <v>28227</v>
      </c>
      <c r="F1367">
        <f t="shared" si="21"/>
        <v>259</v>
      </c>
      <c r="G1367">
        <f>IFERROR(VLOOKUP(Table_socioeca8.sandag.org_ws_abm2_f4[[#This Row],[hwycov_id]],[2]flow_freeway!$A$2:$E$1643,3,FALSE),0)</f>
        <v>15908</v>
      </c>
      <c r="H1367">
        <f>IFERROR(VLOOKUP(Table_socioeca8.sandag.org_ws_abm2_f4[[#This Row],[hwycov_id]],[2]flow_freeway!$A$2:$E$1643,4,FALSE),0)</f>
        <v>2082</v>
      </c>
      <c r="I1367">
        <f>IFERROR(VLOOKUP(Table_socioeca8.sandag.org_ws_abm2_f4[[#This Row],[hwycov_id]],[2]flow_freeway!$A$2:$E$1643,5,FALSE),0)</f>
        <v>4876</v>
      </c>
      <c r="K1367">
        <f>Table_socioeca8.sandag.org_ws_abm2_f4[[#This Row],[hwycov_id]]</f>
        <v>28227</v>
      </c>
      <c r="L1367">
        <f>Table_socioeca8.sandag.org_ws_abm2_f4[[#This Row],[scenario_id]]</f>
        <v>259</v>
      </c>
      <c r="M1367">
        <f>Table_socioeca8.sandag.org_ws_abm2_f4[[#This Row],[flow_day]]</f>
        <v>15908</v>
      </c>
      <c r="N1367">
        <f>Table_socioeca8.sandag.org_ws_abm2_f4[[#This Row],[flow_am]]</f>
        <v>2082</v>
      </c>
      <c r="O1367">
        <f>Table_socioeca8.sandag.org_ws_abm2_f4[[#This Row],[flow_pm]]</f>
        <v>4876</v>
      </c>
    </row>
    <row r="1368" spans="5:15" x14ac:dyDescent="0.25">
      <c r="E1368">
        <v>28229</v>
      </c>
      <c r="F1368">
        <f t="shared" si="21"/>
        <v>259</v>
      </c>
      <c r="G1368">
        <f>IFERROR(VLOOKUP(Table_socioeca8.sandag.org_ws_abm2_f4[[#This Row],[hwycov_id]],[2]flow_freeway!$A$2:$E$1643,3,FALSE),0)</f>
        <v>16071</v>
      </c>
      <c r="H1368">
        <f>IFERROR(VLOOKUP(Table_socioeca8.sandag.org_ws_abm2_f4[[#This Row],[hwycov_id]],[2]flow_freeway!$A$2:$E$1643,4,FALSE),0)</f>
        <v>3815</v>
      </c>
      <c r="I1368">
        <f>IFERROR(VLOOKUP(Table_socioeca8.sandag.org_ws_abm2_f4[[#This Row],[hwycov_id]],[2]flow_freeway!$A$2:$E$1643,5,FALSE),0)</f>
        <v>2923</v>
      </c>
      <c r="K1368">
        <f>Table_socioeca8.sandag.org_ws_abm2_f4[[#This Row],[hwycov_id]]</f>
        <v>28229</v>
      </c>
      <c r="L1368">
        <f>Table_socioeca8.sandag.org_ws_abm2_f4[[#This Row],[scenario_id]]</f>
        <v>259</v>
      </c>
      <c r="M1368">
        <f>Table_socioeca8.sandag.org_ws_abm2_f4[[#This Row],[flow_day]]</f>
        <v>16071</v>
      </c>
      <c r="N1368">
        <f>Table_socioeca8.sandag.org_ws_abm2_f4[[#This Row],[flow_am]]</f>
        <v>3815</v>
      </c>
      <c r="O1368">
        <f>Table_socioeca8.sandag.org_ws_abm2_f4[[#This Row],[flow_pm]]</f>
        <v>2923</v>
      </c>
    </row>
    <row r="1369" spans="5:15" x14ac:dyDescent="0.25">
      <c r="E1369">
        <v>28231</v>
      </c>
      <c r="F1369">
        <f t="shared" si="21"/>
        <v>259</v>
      </c>
      <c r="G1369">
        <f>IFERROR(VLOOKUP(Table_socioeca8.sandag.org_ws_abm2_f4[[#This Row],[hwycov_id]],[2]flow_freeway!$A$2:$E$1643,3,FALSE),0)</f>
        <v>16530</v>
      </c>
      <c r="H1369">
        <f>IFERROR(VLOOKUP(Table_socioeca8.sandag.org_ws_abm2_f4[[#This Row],[hwycov_id]],[2]flow_freeway!$A$2:$E$1643,4,FALSE),0)</f>
        <v>3924</v>
      </c>
      <c r="I1369">
        <f>IFERROR(VLOOKUP(Table_socioeca8.sandag.org_ws_abm2_f4[[#This Row],[hwycov_id]],[2]flow_freeway!$A$2:$E$1643,5,FALSE),0)</f>
        <v>3008</v>
      </c>
      <c r="K1369">
        <f>Table_socioeca8.sandag.org_ws_abm2_f4[[#This Row],[hwycov_id]]</f>
        <v>28231</v>
      </c>
      <c r="L1369">
        <f>Table_socioeca8.sandag.org_ws_abm2_f4[[#This Row],[scenario_id]]</f>
        <v>259</v>
      </c>
      <c r="M1369">
        <f>Table_socioeca8.sandag.org_ws_abm2_f4[[#This Row],[flow_day]]</f>
        <v>16530</v>
      </c>
      <c r="N1369">
        <f>Table_socioeca8.sandag.org_ws_abm2_f4[[#This Row],[flow_am]]</f>
        <v>3924</v>
      </c>
      <c r="O1369">
        <f>Table_socioeca8.sandag.org_ws_abm2_f4[[#This Row],[flow_pm]]</f>
        <v>3008</v>
      </c>
    </row>
    <row r="1370" spans="5:15" x14ac:dyDescent="0.25">
      <c r="E1370">
        <v>28232</v>
      </c>
      <c r="F1370">
        <f t="shared" si="21"/>
        <v>259</v>
      </c>
      <c r="G1370">
        <f>IFERROR(VLOOKUP(Table_socioeca8.sandag.org_ws_abm2_f4[[#This Row],[hwycov_id]],[2]flow_freeway!$A$2:$E$1643,3,FALSE),0)</f>
        <v>16331</v>
      </c>
      <c r="H1370">
        <f>IFERROR(VLOOKUP(Table_socioeca8.sandag.org_ws_abm2_f4[[#This Row],[hwycov_id]],[2]flow_freeway!$A$2:$E$1643,4,FALSE),0)</f>
        <v>2131</v>
      </c>
      <c r="I1370">
        <f>IFERROR(VLOOKUP(Table_socioeca8.sandag.org_ws_abm2_f4[[#This Row],[hwycov_id]],[2]flow_freeway!$A$2:$E$1643,5,FALSE),0)</f>
        <v>5022</v>
      </c>
      <c r="K1370">
        <f>Table_socioeca8.sandag.org_ws_abm2_f4[[#This Row],[hwycov_id]]</f>
        <v>28232</v>
      </c>
      <c r="L1370">
        <f>Table_socioeca8.sandag.org_ws_abm2_f4[[#This Row],[scenario_id]]</f>
        <v>259</v>
      </c>
      <c r="M1370">
        <f>Table_socioeca8.sandag.org_ws_abm2_f4[[#This Row],[flow_day]]</f>
        <v>16331</v>
      </c>
      <c r="N1370">
        <f>Table_socioeca8.sandag.org_ws_abm2_f4[[#This Row],[flow_am]]</f>
        <v>2131</v>
      </c>
      <c r="O1370">
        <f>Table_socioeca8.sandag.org_ws_abm2_f4[[#This Row],[flow_pm]]</f>
        <v>5022</v>
      </c>
    </row>
    <row r="1371" spans="5:15" x14ac:dyDescent="0.25">
      <c r="E1371">
        <v>28235</v>
      </c>
      <c r="F1371">
        <f t="shared" si="21"/>
        <v>259</v>
      </c>
      <c r="G1371">
        <f>IFERROR(VLOOKUP(Table_socioeca8.sandag.org_ws_abm2_f4[[#This Row],[hwycov_id]],[2]flow_freeway!$A$2:$E$1643,3,FALSE),0)</f>
        <v>12406</v>
      </c>
      <c r="H1371">
        <f>IFERROR(VLOOKUP(Table_socioeca8.sandag.org_ws_abm2_f4[[#This Row],[hwycov_id]],[2]flow_freeway!$A$2:$E$1643,4,FALSE),0)</f>
        <v>1261</v>
      </c>
      <c r="I1371">
        <f>IFERROR(VLOOKUP(Table_socioeca8.sandag.org_ws_abm2_f4[[#This Row],[hwycov_id]],[2]flow_freeway!$A$2:$E$1643,5,FALSE),0)</f>
        <v>4109</v>
      </c>
      <c r="K1371">
        <f>Table_socioeca8.sandag.org_ws_abm2_f4[[#This Row],[hwycov_id]]</f>
        <v>28235</v>
      </c>
      <c r="L1371">
        <f>Table_socioeca8.sandag.org_ws_abm2_f4[[#This Row],[scenario_id]]</f>
        <v>259</v>
      </c>
      <c r="M1371">
        <f>Table_socioeca8.sandag.org_ws_abm2_f4[[#This Row],[flow_day]]</f>
        <v>12406</v>
      </c>
      <c r="N1371">
        <f>Table_socioeca8.sandag.org_ws_abm2_f4[[#This Row],[flow_am]]</f>
        <v>1261</v>
      </c>
      <c r="O1371">
        <f>Table_socioeca8.sandag.org_ws_abm2_f4[[#This Row],[flow_pm]]</f>
        <v>4109</v>
      </c>
    </row>
    <row r="1372" spans="5:15" x14ac:dyDescent="0.25">
      <c r="E1372">
        <v>28237</v>
      </c>
      <c r="F1372">
        <f t="shared" si="21"/>
        <v>259</v>
      </c>
      <c r="G1372">
        <f>IFERROR(VLOOKUP(Table_socioeca8.sandag.org_ws_abm2_f4[[#This Row],[hwycov_id]],[2]flow_freeway!$A$2:$E$1643,3,FALSE),0)</f>
        <v>12464</v>
      </c>
      <c r="H1372">
        <f>IFERROR(VLOOKUP(Table_socioeca8.sandag.org_ws_abm2_f4[[#This Row],[hwycov_id]],[2]flow_freeway!$A$2:$E$1643,4,FALSE),0)</f>
        <v>3239</v>
      </c>
      <c r="I1372">
        <f>IFERROR(VLOOKUP(Table_socioeca8.sandag.org_ws_abm2_f4[[#This Row],[hwycov_id]],[2]flow_freeway!$A$2:$E$1643,5,FALSE),0)</f>
        <v>1744</v>
      </c>
      <c r="K1372">
        <f>Table_socioeca8.sandag.org_ws_abm2_f4[[#This Row],[hwycov_id]]</f>
        <v>28237</v>
      </c>
      <c r="L1372">
        <f>Table_socioeca8.sandag.org_ws_abm2_f4[[#This Row],[scenario_id]]</f>
        <v>259</v>
      </c>
      <c r="M1372">
        <f>Table_socioeca8.sandag.org_ws_abm2_f4[[#This Row],[flow_day]]</f>
        <v>12464</v>
      </c>
      <c r="N1372">
        <f>Table_socioeca8.sandag.org_ws_abm2_f4[[#This Row],[flow_am]]</f>
        <v>3239</v>
      </c>
      <c r="O1372">
        <f>Table_socioeca8.sandag.org_ws_abm2_f4[[#This Row],[flow_pm]]</f>
        <v>1744</v>
      </c>
    </row>
    <row r="1373" spans="5:15" x14ac:dyDescent="0.25">
      <c r="E1373">
        <v>28239</v>
      </c>
      <c r="F1373">
        <f t="shared" si="21"/>
        <v>259</v>
      </c>
      <c r="G1373">
        <f>IFERROR(VLOOKUP(Table_socioeca8.sandag.org_ws_abm2_f4[[#This Row],[hwycov_id]],[2]flow_freeway!$A$2:$E$1643,3,FALSE),0)</f>
        <v>13022</v>
      </c>
      <c r="H1373">
        <f>IFERROR(VLOOKUP(Table_socioeca8.sandag.org_ws_abm2_f4[[#This Row],[hwycov_id]],[2]flow_freeway!$A$2:$E$1643,4,FALSE),0)</f>
        <v>3395</v>
      </c>
      <c r="I1373">
        <f>IFERROR(VLOOKUP(Table_socioeca8.sandag.org_ws_abm2_f4[[#This Row],[hwycov_id]],[2]flow_freeway!$A$2:$E$1643,5,FALSE),0)</f>
        <v>1845</v>
      </c>
      <c r="K1373">
        <f>Table_socioeca8.sandag.org_ws_abm2_f4[[#This Row],[hwycov_id]]</f>
        <v>28239</v>
      </c>
      <c r="L1373">
        <f>Table_socioeca8.sandag.org_ws_abm2_f4[[#This Row],[scenario_id]]</f>
        <v>259</v>
      </c>
      <c r="M1373">
        <f>Table_socioeca8.sandag.org_ws_abm2_f4[[#This Row],[flow_day]]</f>
        <v>13022</v>
      </c>
      <c r="N1373">
        <f>Table_socioeca8.sandag.org_ws_abm2_f4[[#This Row],[flow_am]]</f>
        <v>3395</v>
      </c>
      <c r="O1373">
        <f>Table_socioeca8.sandag.org_ws_abm2_f4[[#This Row],[flow_pm]]</f>
        <v>1845</v>
      </c>
    </row>
    <row r="1374" spans="5:15" x14ac:dyDescent="0.25">
      <c r="E1374">
        <v>28240</v>
      </c>
      <c r="F1374">
        <f t="shared" si="21"/>
        <v>259</v>
      </c>
      <c r="G1374">
        <f>IFERROR(VLOOKUP(Table_socioeca8.sandag.org_ws_abm2_f4[[#This Row],[hwycov_id]],[2]flow_freeway!$A$2:$E$1643,3,FALSE),0)</f>
        <v>13007</v>
      </c>
      <c r="H1374">
        <f>IFERROR(VLOOKUP(Table_socioeca8.sandag.org_ws_abm2_f4[[#This Row],[hwycov_id]],[2]flow_freeway!$A$2:$E$1643,4,FALSE),0)</f>
        <v>1339</v>
      </c>
      <c r="I1374">
        <f>IFERROR(VLOOKUP(Table_socioeca8.sandag.org_ws_abm2_f4[[#This Row],[hwycov_id]],[2]flow_freeway!$A$2:$E$1643,5,FALSE),0)</f>
        <v>4300</v>
      </c>
      <c r="K1374">
        <f>Table_socioeca8.sandag.org_ws_abm2_f4[[#This Row],[hwycov_id]]</f>
        <v>28240</v>
      </c>
      <c r="L1374">
        <f>Table_socioeca8.sandag.org_ws_abm2_f4[[#This Row],[scenario_id]]</f>
        <v>259</v>
      </c>
      <c r="M1374">
        <f>Table_socioeca8.sandag.org_ws_abm2_f4[[#This Row],[flow_day]]</f>
        <v>13007</v>
      </c>
      <c r="N1374">
        <f>Table_socioeca8.sandag.org_ws_abm2_f4[[#This Row],[flow_am]]</f>
        <v>1339</v>
      </c>
      <c r="O1374">
        <f>Table_socioeca8.sandag.org_ws_abm2_f4[[#This Row],[flow_pm]]</f>
        <v>4300</v>
      </c>
    </row>
    <row r="1375" spans="5:15" x14ac:dyDescent="0.25">
      <c r="E1375">
        <v>28244</v>
      </c>
      <c r="F1375">
        <f t="shared" si="21"/>
        <v>259</v>
      </c>
      <c r="G1375">
        <f>IFERROR(VLOOKUP(Table_socioeca8.sandag.org_ws_abm2_f4[[#This Row],[hwycov_id]],[2]flow_freeway!$A$2:$E$1643,3,FALSE),0)</f>
        <v>13019</v>
      </c>
      <c r="H1375">
        <f>IFERROR(VLOOKUP(Table_socioeca8.sandag.org_ws_abm2_f4[[#This Row],[hwycov_id]],[2]flow_freeway!$A$2:$E$1643,4,FALSE),0)</f>
        <v>3395</v>
      </c>
      <c r="I1375">
        <f>IFERROR(VLOOKUP(Table_socioeca8.sandag.org_ws_abm2_f4[[#This Row],[hwycov_id]],[2]flow_freeway!$A$2:$E$1643,5,FALSE),0)</f>
        <v>1842</v>
      </c>
      <c r="K1375">
        <f>Table_socioeca8.sandag.org_ws_abm2_f4[[#This Row],[hwycov_id]]</f>
        <v>28244</v>
      </c>
      <c r="L1375">
        <f>Table_socioeca8.sandag.org_ws_abm2_f4[[#This Row],[scenario_id]]</f>
        <v>259</v>
      </c>
      <c r="M1375">
        <f>Table_socioeca8.sandag.org_ws_abm2_f4[[#This Row],[flow_day]]</f>
        <v>13019</v>
      </c>
      <c r="N1375">
        <f>Table_socioeca8.sandag.org_ws_abm2_f4[[#This Row],[flow_am]]</f>
        <v>3395</v>
      </c>
      <c r="O1375">
        <f>Table_socioeca8.sandag.org_ws_abm2_f4[[#This Row],[flow_pm]]</f>
        <v>1842</v>
      </c>
    </row>
    <row r="1376" spans="5:15" x14ac:dyDescent="0.25">
      <c r="E1376">
        <v>28245</v>
      </c>
      <c r="F1376">
        <f t="shared" si="21"/>
        <v>259</v>
      </c>
      <c r="G1376">
        <f>IFERROR(VLOOKUP(Table_socioeca8.sandag.org_ws_abm2_f4[[#This Row],[hwycov_id]],[2]flow_freeway!$A$2:$E$1643,3,FALSE),0)</f>
        <v>12985</v>
      </c>
      <c r="H1376">
        <f>IFERROR(VLOOKUP(Table_socioeca8.sandag.org_ws_abm2_f4[[#This Row],[hwycov_id]],[2]flow_freeway!$A$2:$E$1643,4,FALSE),0)</f>
        <v>1332</v>
      </c>
      <c r="I1376">
        <f>IFERROR(VLOOKUP(Table_socioeca8.sandag.org_ws_abm2_f4[[#This Row],[hwycov_id]],[2]flow_freeway!$A$2:$E$1643,5,FALSE),0)</f>
        <v>4291</v>
      </c>
      <c r="K1376">
        <f>Table_socioeca8.sandag.org_ws_abm2_f4[[#This Row],[hwycov_id]]</f>
        <v>28245</v>
      </c>
      <c r="L1376">
        <f>Table_socioeca8.sandag.org_ws_abm2_f4[[#This Row],[scenario_id]]</f>
        <v>259</v>
      </c>
      <c r="M1376">
        <f>Table_socioeca8.sandag.org_ws_abm2_f4[[#This Row],[flow_day]]</f>
        <v>12985</v>
      </c>
      <c r="N1376">
        <f>Table_socioeca8.sandag.org_ws_abm2_f4[[#This Row],[flow_am]]</f>
        <v>1332</v>
      </c>
      <c r="O1376">
        <f>Table_socioeca8.sandag.org_ws_abm2_f4[[#This Row],[flow_pm]]</f>
        <v>4291</v>
      </c>
    </row>
    <row r="1377" spans="5:15" x14ac:dyDescent="0.25">
      <c r="E1377">
        <v>28246</v>
      </c>
      <c r="F1377">
        <f t="shared" si="21"/>
        <v>259</v>
      </c>
      <c r="G1377">
        <f>IFERROR(VLOOKUP(Table_socioeca8.sandag.org_ws_abm2_f4[[#This Row],[hwycov_id]],[2]flow_freeway!$A$2:$E$1643,3,FALSE),0)</f>
        <v>14220</v>
      </c>
      <c r="H1377">
        <f>IFERROR(VLOOKUP(Table_socioeca8.sandag.org_ws_abm2_f4[[#This Row],[hwycov_id]],[2]flow_freeway!$A$2:$E$1643,4,FALSE),0)</f>
        <v>3739</v>
      </c>
      <c r="I1377">
        <f>IFERROR(VLOOKUP(Table_socioeca8.sandag.org_ws_abm2_f4[[#This Row],[hwycov_id]],[2]flow_freeway!$A$2:$E$1643,5,FALSE),0)</f>
        <v>2044</v>
      </c>
      <c r="K1377">
        <f>Table_socioeca8.sandag.org_ws_abm2_f4[[#This Row],[hwycov_id]]</f>
        <v>28246</v>
      </c>
      <c r="L1377">
        <f>Table_socioeca8.sandag.org_ws_abm2_f4[[#This Row],[scenario_id]]</f>
        <v>259</v>
      </c>
      <c r="M1377">
        <f>Table_socioeca8.sandag.org_ws_abm2_f4[[#This Row],[flow_day]]</f>
        <v>14220</v>
      </c>
      <c r="N1377">
        <f>Table_socioeca8.sandag.org_ws_abm2_f4[[#This Row],[flow_am]]</f>
        <v>3739</v>
      </c>
      <c r="O1377">
        <f>Table_socioeca8.sandag.org_ws_abm2_f4[[#This Row],[flow_pm]]</f>
        <v>2044</v>
      </c>
    </row>
    <row r="1378" spans="5:15" x14ac:dyDescent="0.25">
      <c r="E1378">
        <v>28247</v>
      </c>
      <c r="F1378">
        <f t="shared" si="21"/>
        <v>259</v>
      </c>
      <c r="G1378">
        <f>IFERROR(VLOOKUP(Table_socioeca8.sandag.org_ws_abm2_f4[[#This Row],[hwycov_id]],[2]flow_freeway!$A$2:$E$1643,3,FALSE),0)</f>
        <v>14194</v>
      </c>
      <c r="H1378">
        <f>IFERROR(VLOOKUP(Table_socioeca8.sandag.org_ws_abm2_f4[[#This Row],[hwycov_id]],[2]flow_freeway!$A$2:$E$1643,4,FALSE),0)</f>
        <v>1429</v>
      </c>
      <c r="I1378">
        <f>IFERROR(VLOOKUP(Table_socioeca8.sandag.org_ws_abm2_f4[[#This Row],[hwycov_id]],[2]flow_freeway!$A$2:$E$1643,5,FALSE),0)</f>
        <v>4737</v>
      </c>
      <c r="K1378">
        <f>Table_socioeca8.sandag.org_ws_abm2_f4[[#This Row],[hwycov_id]]</f>
        <v>28247</v>
      </c>
      <c r="L1378">
        <f>Table_socioeca8.sandag.org_ws_abm2_f4[[#This Row],[scenario_id]]</f>
        <v>259</v>
      </c>
      <c r="M1378">
        <f>Table_socioeca8.sandag.org_ws_abm2_f4[[#This Row],[flow_day]]</f>
        <v>14194</v>
      </c>
      <c r="N1378">
        <f>Table_socioeca8.sandag.org_ws_abm2_f4[[#This Row],[flow_am]]</f>
        <v>1429</v>
      </c>
      <c r="O1378">
        <f>Table_socioeca8.sandag.org_ws_abm2_f4[[#This Row],[flow_pm]]</f>
        <v>4737</v>
      </c>
    </row>
    <row r="1379" spans="5:15" x14ac:dyDescent="0.25">
      <c r="E1379">
        <v>28250</v>
      </c>
      <c r="F1379">
        <f t="shared" si="21"/>
        <v>259</v>
      </c>
      <c r="G1379">
        <f>IFERROR(VLOOKUP(Table_socioeca8.sandag.org_ws_abm2_f4[[#This Row],[hwycov_id]],[2]flow_freeway!$A$2:$E$1643,3,FALSE),0)</f>
        <v>9805</v>
      </c>
      <c r="H1379">
        <f>IFERROR(VLOOKUP(Table_socioeca8.sandag.org_ws_abm2_f4[[#This Row],[hwycov_id]],[2]flow_freeway!$A$2:$E$1643,4,FALSE),0)</f>
        <v>2603</v>
      </c>
      <c r="I1379">
        <f>IFERROR(VLOOKUP(Table_socioeca8.sandag.org_ws_abm2_f4[[#This Row],[hwycov_id]],[2]flow_freeway!$A$2:$E$1643,5,FALSE),0)</f>
        <v>1288</v>
      </c>
      <c r="K1379">
        <f>Table_socioeca8.sandag.org_ws_abm2_f4[[#This Row],[hwycov_id]]</f>
        <v>28250</v>
      </c>
      <c r="L1379">
        <f>Table_socioeca8.sandag.org_ws_abm2_f4[[#This Row],[scenario_id]]</f>
        <v>259</v>
      </c>
      <c r="M1379">
        <f>Table_socioeca8.sandag.org_ws_abm2_f4[[#This Row],[flow_day]]</f>
        <v>9805</v>
      </c>
      <c r="N1379">
        <f>Table_socioeca8.sandag.org_ws_abm2_f4[[#This Row],[flow_am]]</f>
        <v>2603</v>
      </c>
      <c r="O1379">
        <f>Table_socioeca8.sandag.org_ws_abm2_f4[[#This Row],[flow_pm]]</f>
        <v>1288</v>
      </c>
    </row>
    <row r="1380" spans="5:15" x14ac:dyDescent="0.25">
      <c r="E1380">
        <v>28253</v>
      </c>
      <c r="F1380">
        <f t="shared" si="21"/>
        <v>259</v>
      </c>
      <c r="G1380">
        <f>IFERROR(VLOOKUP(Table_socioeca8.sandag.org_ws_abm2_f4[[#This Row],[hwycov_id]],[2]flow_freeway!$A$2:$E$1643,3,FALSE),0)</f>
        <v>9914</v>
      </c>
      <c r="H1380">
        <f>IFERROR(VLOOKUP(Table_socioeca8.sandag.org_ws_abm2_f4[[#This Row],[hwycov_id]],[2]flow_freeway!$A$2:$E$1643,4,FALSE),0)</f>
        <v>1043</v>
      </c>
      <c r="I1380">
        <f>IFERROR(VLOOKUP(Table_socioeca8.sandag.org_ws_abm2_f4[[#This Row],[hwycov_id]],[2]flow_freeway!$A$2:$E$1643,5,FALSE),0)</f>
        <v>3248</v>
      </c>
      <c r="K1380">
        <f>Table_socioeca8.sandag.org_ws_abm2_f4[[#This Row],[hwycov_id]]</f>
        <v>28253</v>
      </c>
      <c r="L1380">
        <f>Table_socioeca8.sandag.org_ws_abm2_f4[[#This Row],[scenario_id]]</f>
        <v>259</v>
      </c>
      <c r="M1380">
        <f>Table_socioeca8.sandag.org_ws_abm2_f4[[#This Row],[flow_day]]</f>
        <v>9914</v>
      </c>
      <c r="N1380">
        <f>Table_socioeca8.sandag.org_ws_abm2_f4[[#This Row],[flow_am]]</f>
        <v>1043</v>
      </c>
      <c r="O1380">
        <f>Table_socioeca8.sandag.org_ws_abm2_f4[[#This Row],[flow_pm]]</f>
        <v>3248</v>
      </c>
    </row>
    <row r="1381" spans="5:15" x14ac:dyDescent="0.25">
      <c r="E1381">
        <v>28254</v>
      </c>
      <c r="F1381">
        <f t="shared" si="21"/>
        <v>259</v>
      </c>
      <c r="G1381">
        <f>IFERROR(VLOOKUP(Table_socioeca8.sandag.org_ws_abm2_f4[[#This Row],[hwycov_id]],[2]flow_freeway!$A$2:$E$1643,3,FALSE),0)</f>
        <v>9915</v>
      </c>
      <c r="H1381">
        <f>IFERROR(VLOOKUP(Table_socioeca8.sandag.org_ws_abm2_f4[[#This Row],[hwycov_id]],[2]flow_freeway!$A$2:$E$1643,4,FALSE),0)</f>
        <v>2616</v>
      </c>
      <c r="I1381">
        <f>IFERROR(VLOOKUP(Table_socioeca8.sandag.org_ws_abm2_f4[[#This Row],[hwycov_id]],[2]flow_freeway!$A$2:$E$1643,5,FALSE),0)</f>
        <v>1320</v>
      </c>
      <c r="K1381">
        <f>Table_socioeca8.sandag.org_ws_abm2_f4[[#This Row],[hwycov_id]]</f>
        <v>28254</v>
      </c>
      <c r="L1381">
        <f>Table_socioeca8.sandag.org_ws_abm2_f4[[#This Row],[scenario_id]]</f>
        <v>259</v>
      </c>
      <c r="M1381">
        <f>Table_socioeca8.sandag.org_ws_abm2_f4[[#This Row],[flow_day]]</f>
        <v>9915</v>
      </c>
      <c r="N1381">
        <f>Table_socioeca8.sandag.org_ws_abm2_f4[[#This Row],[flow_am]]</f>
        <v>2616</v>
      </c>
      <c r="O1381">
        <f>Table_socioeca8.sandag.org_ws_abm2_f4[[#This Row],[flow_pm]]</f>
        <v>1320</v>
      </c>
    </row>
    <row r="1382" spans="5:15" x14ac:dyDescent="0.25">
      <c r="E1382">
        <v>28257</v>
      </c>
      <c r="F1382">
        <f t="shared" si="21"/>
        <v>259</v>
      </c>
      <c r="G1382">
        <f>IFERROR(VLOOKUP(Table_socioeca8.sandag.org_ws_abm2_f4[[#This Row],[hwycov_id]],[2]flow_freeway!$A$2:$E$1643,3,FALSE),0)</f>
        <v>8847</v>
      </c>
      <c r="H1382">
        <f>IFERROR(VLOOKUP(Table_socioeca8.sandag.org_ws_abm2_f4[[#This Row],[hwycov_id]],[2]flow_freeway!$A$2:$E$1643,4,FALSE),0)</f>
        <v>2308</v>
      </c>
      <c r="I1382">
        <f>IFERROR(VLOOKUP(Table_socioeca8.sandag.org_ws_abm2_f4[[#This Row],[hwycov_id]],[2]flow_freeway!$A$2:$E$1643,5,FALSE),0)</f>
        <v>1158</v>
      </c>
      <c r="K1382">
        <f>Table_socioeca8.sandag.org_ws_abm2_f4[[#This Row],[hwycov_id]]</f>
        <v>28257</v>
      </c>
      <c r="L1382">
        <f>Table_socioeca8.sandag.org_ws_abm2_f4[[#This Row],[scenario_id]]</f>
        <v>259</v>
      </c>
      <c r="M1382">
        <f>Table_socioeca8.sandag.org_ws_abm2_f4[[#This Row],[flow_day]]</f>
        <v>8847</v>
      </c>
      <c r="N1382">
        <f>Table_socioeca8.sandag.org_ws_abm2_f4[[#This Row],[flow_am]]</f>
        <v>2308</v>
      </c>
      <c r="O1382">
        <f>Table_socioeca8.sandag.org_ws_abm2_f4[[#This Row],[flow_pm]]</f>
        <v>1158</v>
      </c>
    </row>
    <row r="1383" spans="5:15" x14ac:dyDescent="0.25">
      <c r="E1383">
        <v>28258</v>
      </c>
      <c r="F1383">
        <f t="shared" si="21"/>
        <v>259</v>
      </c>
      <c r="G1383">
        <f>IFERROR(VLOOKUP(Table_socioeca8.sandag.org_ws_abm2_f4[[#This Row],[hwycov_id]],[2]flow_freeway!$A$2:$E$1643,3,FALSE),0)</f>
        <v>8959</v>
      </c>
      <c r="H1383">
        <f>IFERROR(VLOOKUP(Table_socioeca8.sandag.org_ws_abm2_f4[[#This Row],[hwycov_id]],[2]flow_freeway!$A$2:$E$1643,4,FALSE),0)</f>
        <v>1026</v>
      </c>
      <c r="I1383">
        <f>IFERROR(VLOOKUP(Table_socioeca8.sandag.org_ws_abm2_f4[[#This Row],[hwycov_id]],[2]flow_freeway!$A$2:$E$1643,5,FALSE),0)</f>
        <v>2881</v>
      </c>
      <c r="K1383">
        <f>Table_socioeca8.sandag.org_ws_abm2_f4[[#This Row],[hwycov_id]]</f>
        <v>28258</v>
      </c>
      <c r="L1383">
        <f>Table_socioeca8.sandag.org_ws_abm2_f4[[#This Row],[scenario_id]]</f>
        <v>259</v>
      </c>
      <c r="M1383">
        <f>Table_socioeca8.sandag.org_ws_abm2_f4[[#This Row],[flow_day]]</f>
        <v>8959</v>
      </c>
      <c r="N1383">
        <f>Table_socioeca8.sandag.org_ws_abm2_f4[[#This Row],[flow_am]]</f>
        <v>1026</v>
      </c>
      <c r="O1383">
        <f>Table_socioeca8.sandag.org_ws_abm2_f4[[#This Row],[flow_pm]]</f>
        <v>2881</v>
      </c>
    </row>
    <row r="1384" spans="5:15" x14ac:dyDescent="0.25">
      <c r="E1384">
        <v>28260</v>
      </c>
      <c r="F1384">
        <f t="shared" si="21"/>
        <v>259</v>
      </c>
      <c r="G1384">
        <f>IFERROR(VLOOKUP(Table_socioeca8.sandag.org_ws_abm2_f4[[#This Row],[hwycov_id]],[2]flow_freeway!$A$2:$E$1643,3,FALSE),0)</f>
        <v>8968</v>
      </c>
      <c r="H1384">
        <f>IFERROR(VLOOKUP(Table_socioeca8.sandag.org_ws_abm2_f4[[#This Row],[hwycov_id]],[2]flow_freeway!$A$2:$E$1643,4,FALSE),0)</f>
        <v>2334</v>
      </c>
      <c r="I1384">
        <f>IFERROR(VLOOKUP(Table_socioeca8.sandag.org_ws_abm2_f4[[#This Row],[hwycov_id]],[2]flow_freeway!$A$2:$E$1643,5,FALSE),0)</f>
        <v>1180</v>
      </c>
      <c r="K1384">
        <f>Table_socioeca8.sandag.org_ws_abm2_f4[[#This Row],[hwycov_id]]</f>
        <v>28260</v>
      </c>
      <c r="L1384">
        <f>Table_socioeca8.sandag.org_ws_abm2_f4[[#This Row],[scenario_id]]</f>
        <v>259</v>
      </c>
      <c r="M1384">
        <f>Table_socioeca8.sandag.org_ws_abm2_f4[[#This Row],[flow_day]]</f>
        <v>8968</v>
      </c>
      <c r="N1384">
        <f>Table_socioeca8.sandag.org_ws_abm2_f4[[#This Row],[flow_am]]</f>
        <v>2334</v>
      </c>
      <c r="O1384">
        <f>Table_socioeca8.sandag.org_ws_abm2_f4[[#This Row],[flow_pm]]</f>
        <v>1180</v>
      </c>
    </row>
    <row r="1385" spans="5:15" x14ac:dyDescent="0.25">
      <c r="E1385">
        <v>28261</v>
      </c>
      <c r="F1385">
        <f t="shared" si="21"/>
        <v>259</v>
      </c>
      <c r="G1385">
        <f>IFERROR(VLOOKUP(Table_socioeca8.sandag.org_ws_abm2_f4[[#This Row],[hwycov_id]],[2]flow_freeway!$A$2:$E$1643,3,FALSE),0)</f>
        <v>9220</v>
      </c>
      <c r="H1385">
        <f>IFERROR(VLOOKUP(Table_socioeca8.sandag.org_ws_abm2_f4[[#This Row],[hwycov_id]],[2]flow_freeway!$A$2:$E$1643,4,FALSE),0)</f>
        <v>1094</v>
      </c>
      <c r="I1385">
        <f>IFERROR(VLOOKUP(Table_socioeca8.sandag.org_ws_abm2_f4[[#This Row],[hwycov_id]],[2]flow_freeway!$A$2:$E$1643,5,FALSE),0)</f>
        <v>2935</v>
      </c>
      <c r="K1385">
        <f>Table_socioeca8.sandag.org_ws_abm2_f4[[#This Row],[hwycov_id]]</f>
        <v>28261</v>
      </c>
      <c r="L1385">
        <f>Table_socioeca8.sandag.org_ws_abm2_f4[[#This Row],[scenario_id]]</f>
        <v>259</v>
      </c>
      <c r="M1385">
        <f>Table_socioeca8.sandag.org_ws_abm2_f4[[#This Row],[flow_day]]</f>
        <v>9220</v>
      </c>
      <c r="N1385">
        <f>Table_socioeca8.sandag.org_ws_abm2_f4[[#This Row],[flow_am]]</f>
        <v>1094</v>
      </c>
      <c r="O1385">
        <f>Table_socioeca8.sandag.org_ws_abm2_f4[[#This Row],[flow_pm]]</f>
        <v>2935</v>
      </c>
    </row>
    <row r="1386" spans="5:15" x14ac:dyDescent="0.25">
      <c r="E1386">
        <v>28264</v>
      </c>
      <c r="F1386">
        <f t="shared" si="21"/>
        <v>259</v>
      </c>
      <c r="G1386">
        <f>IFERROR(VLOOKUP(Table_socioeca8.sandag.org_ws_abm2_f4[[#This Row],[hwycov_id]],[2]flow_freeway!$A$2:$E$1643,3,FALSE),0)</f>
        <v>8994</v>
      </c>
      <c r="H1386">
        <f>IFERROR(VLOOKUP(Table_socioeca8.sandag.org_ws_abm2_f4[[#This Row],[hwycov_id]],[2]flow_freeway!$A$2:$E$1643,4,FALSE),0)</f>
        <v>1092</v>
      </c>
      <c r="I1386">
        <f>IFERROR(VLOOKUP(Table_socioeca8.sandag.org_ws_abm2_f4[[#This Row],[hwycov_id]],[2]flow_freeway!$A$2:$E$1643,5,FALSE),0)</f>
        <v>2853</v>
      </c>
      <c r="K1386">
        <f>Table_socioeca8.sandag.org_ws_abm2_f4[[#This Row],[hwycov_id]]</f>
        <v>28264</v>
      </c>
      <c r="L1386">
        <f>Table_socioeca8.sandag.org_ws_abm2_f4[[#This Row],[scenario_id]]</f>
        <v>259</v>
      </c>
      <c r="M1386">
        <f>Table_socioeca8.sandag.org_ws_abm2_f4[[#This Row],[flow_day]]</f>
        <v>8994</v>
      </c>
      <c r="N1386">
        <f>Table_socioeca8.sandag.org_ws_abm2_f4[[#This Row],[flow_am]]</f>
        <v>1092</v>
      </c>
      <c r="O1386">
        <f>Table_socioeca8.sandag.org_ws_abm2_f4[[#This Row],[flow_pm]]</f>
        <v>2853</v>
      </c>
    </row>
    <row r="1387" spans="5:15" x14ac:dyDescent="0.25">
      <c r="E1387">
        <v>28265</v>
      </c>
      <c r="F1387">
        <f t="shared" si="21"/>
        <v>259</v>
      </c>
      <c r="G1387">
        <f>IFERROR(VLOOKUP(Table_socioeca8.sandag.org_ws_abm2_f4[[#This Row],[hwycov_id]],[2]flow_freeway!$A$2:$E$1643,3,FALSE),0)</f>
        <v>8907</v>
      </c>
      <c r="H1387">
        <f>IFERROR(VLOOKUP(Table_socioeca8.sandag.org_ws_abm2_f4[[#This Row],[hwycov_id]],[2]flow_freeway!$A$2:$E$1643,4,FALSE),0)</f>
        <v>1068</v>
      </c>
      <c r="I1387">
        <f>IFERROR(VLOOKUP(Table_socioeca8.sandag.org_ws_abm2_f4[[#This Row],[hwycov_id]],[2]flow_freeway!$A$2:$E$1643,5,FALSE),0)</f>
        <v>2831</v>
      </c>
      <c r="K1387">
        <f>Table_socioeca8.sandag.org_ws_abm2_f4[[#This Row],[hwycov_id]]</f>
        <v>28265</v>
      </c>
      <c r="L1387">
        <f>Table_socioeca8.sandag.org_ws_abm2_f4[[#This Row],[scenario_id]]</f>
        <v>259</v>
      </c>
      <c r="M1387">
        <f>Table_socioeca8.sandag.org_ws_abm2_f4[[#This Row],[flow_day]]</f>
        <v>8907</v>
      </c>
      <c r="N1387">
        <f>Table_socioeca8.sandag.org_ws_abm2_f4[[#This Row],[flow_am]]</f>
        <v>1068</v>
      </c>
      <c r="O1387">
        <f>Table_socioeca8.sandag.org_ws_abm2_f4[[#This Row],[flow_pm]]</f>
        <v>2831</v>
      </c>
    </row>
    <row r="1388" spans="5:15" x14ac:dyDescent="0.25">
      <c r="E1388">
        <v>28267</v>
      </c>
      <c r="F1388">
        <f t="shared" si="21"/>
        <v>259</v>
      </c>
      <c r="G1388">
        <f>IFERROR(VLOOKUP(Table_socioeca8.sandag.org_ws_abm2_f4[[#This Row],[hwycov_id]],[2]flow_freeway!$A$2:$E$1643,3,FALSE),0)</f>
        <v>8651</v>
      </c>
      <c r="H1388">
        <f>IFERROR(VLOOKUP(Table_socioeca8.sandag.org_ws_abm2_f4[[#This Row],[hwycov_id]],[2]flow_freeway!$A$2:$E$1643,4,FALSE),0)</f>
        <v>2234</v>
      </c>
      <c r="I1388">
        <f>IFERROR(VLOOKUP(Table_socioeca8.sandag.org_ws_abm2_f4[[#This Row],[hwycov_id]],[2]flow_freeway!$A$2:$E$1643,5,FALSE),0)</f>
        <v>1140</v>
      </c>
      <c r="K1388">
        <f>Table_socioeca8.sandag.org_ws_abm2_f4[[#This Row],[hwycov_id]]</f>
        <v>28267</v>
      </c>
      <c r="L1388">
        <f>Table_socioeca8.sandag.org_ws_abm2_f4[[#This Row],[scenario_id]]</f>
        <v>259</v>
      </c>
      <c r="M1388">
        <f>Table_socioeca8.sandag.org_ws_abm2_f4[[#This Row],[flow_day]]</f>
        <v>8651</v>
      </c>
      <c r="N1388">
        <f>Table_socioeca8.sandag.org_ws_abm2_f4[[#This Row],[flow_am]]</f>
        <v>2234</v>
      </c>
      <c r="O1388">
        <f>Table_socioeca8.sandag.org_ws_abm2_f4[[#This Row],[flow_pm]]</f>
        <v>1140</v>
      </c>
    </row>
    <row r="1389" spans="5:15" x14ac:dyDescent="0.25">
      <c r="E1389">
        <v>28269</v>
      </c>
      <c r="F1389">
        <f t="shared" si="21"/>
        <v>259</v>
      </c>
      <c r="G1389">
        <f>IFERROR(VLOOKUP(Table_socioeca8.sandag.org_ws_abm2_f4[[#This Row],[hwycov_id]],[2]flow_freeway!$A$2:$E$1643,3,FALSE),0)</f>
        <v>7502</v>
      </c>
      <c r="H1389">
        <f>IFERROR(VLOOKUP(Table_socioeca8.sandag.org_ws_abm2_f4[[#This Row],[hwycov_id]],[2]flow_freeway!$A$2:$E$1643,4,FALSE),0)</f>
        <v>946</v>
      </c>
      <c r="I1389">
        <f>IFERROR(VLOOKUP(Table_socioeca8.sandag.org_ws_abm2_f4[[#This Row],[hwycov_id]],[2]flow_freeway!$A$2:$E$1643,5,FALSE),0)</f>
        <v>2341</v>
      </c>
      <c r="K1389">
        <f>Table_socioeca8.sandag.org_ws_abm2_f4[[#This Row],[hwycov_id]]</f>
        <v>28269</v>
      </c>
      <c r="L1389">
        <f>Table_socioeca8.sandag.org_ws_abm2_f4[[#This Row],[scenario_id]]</f>
        <v>259</v>
      </c>
      <c r="M1389">
        <f>Table_socioeca8.sandag.org_ws_abm2_f4[[#This Row],[flow_day]]</f>
        <v>7502</v>
      </c>
      <c r="N1389">
        <f>Table_socioeca8.sandag.org_ws_abm2_f4[[#This Row],[flow_am]]</f>
        <v>946</v>
      </c>
      <c r="O1389">
        <f>Table_socioeca8.sandag.org_ws_abm2_f4[[#This Row],[flow_pm]]</f>
        <v>2341</v>
      </c>
    </row>
    <row r="1390" spans="5:15" x14ac:dyDescent="0.25">
      <c r="E1390">
        <v>28270</v>
      </c>
      <c r="F1390">
        <f t="shared" si="21"/>
        <v>259</v>
      </c>
      <c r="G1390">
        <f>IFERROR(VLOOKUP(Table_socioeca8.sandag.org_ws_abm2_f4[[#This Row],[hwycov_id]],[2]flow_freeway!$A$2:$E$1643,3,FALSE),0)</f>
        <v>7361</v>
      </c>
      <c r="H1390">
        <f>IFERROR(VLOOKUP(Table_socioeca8.sandag.org_ws_abm2_f4[[#This Row],[hwycov_id]],[2]flow_freeway!$A$2:$E$1643,4,FALSE),0)</f>
        <v>1910</v>
      </c>
      <c r="I1390">
        <f>IFERROR(VLOOKUP(Table_socioeca8.sandag.org_ws_abm2_f4[[#This Row],[hwycov_id]],[2]flow_freeway!$A$2:$E$1643,5,FALSE),0)</f>
        <v>933</v>
      </c>
      <c r="K1390">
        <f>Table_socioeca8.sandag.org_ws_abm2_f4[[#This Row],[hwycov_id]]</f>
        <v>28270</v>
      </c>
      <c r="L1390">
        <f>Table_socioeca8.sandag.org_ws_abm2_f4[[#This Row],[scenario_id]]</f>
        <v>259</v>
      </c>
      <c r="M1390">
        <f>Table_socioeca8.sandag.org_ws_abm2_f4[[#This Row],[flow_day]]</f>
        <v>7361</v>
      </c>
      <c r="N1390">
        <f>Table_socioeca8.sandag.org_ws_abm2_f4[[#This Row],[flow_am]]</f>
        <v>1910</v>
      </c>
      <c r="O1390">
        <f>Table_socioeca8.sandag.org_ws_abm2_f4[[#This Row],[flow_pm]]</f>
        <v>933</v>
      </c>
    </row>
    <row r="1391" spans="5:15" x14ac:dyDescent="0.25">
      <c r="E1391">
        <v>28276</v>
      </c>
      <c r="F1391">
        <f t="shared" si="21"/>
        <v>259</v>
      </c>
      <c r="G1391">
        <f>IFERROR(VLOOKUP(Table_socioeca8.sandag.org_ws_abm2_f4[[#This Row],[hwycov_id]],[2]flow_freeway!$A$2:$E$1643,3,FALSE),0)</f>
        <v>31713</v>
      </c>
      <c r="H1391">
        <f>IFERROR(VLOOKUP(Table_socioeca8.sandag.org_ws_abm2_f4[[#This Row],[hwycov_id]],[2]flow_freeway!$A$2:$E$1643,4,FALSE),0)</f>
        <v>6644</v>
      </c>
      <c r="I1391">
        <f>IFERROR(VLOOKUP(Table_socioeca8.sandag.org_ws_abm2_f4[[#This Row],[hwycov_id]],[2]flow_freeway!$A$2:$E$1643,5,FALSE),0)</f>
        <v>9761</v>
      </c>
      <c r="K1391">
        <f>Table_socioeca8.sandag.org_ws_abm2_f4[[#This Row],[hwycov_id]]</f>
        <v>28276</v>
      </c>
      <c r="L1391">
        <f>Table_socioeca8.sandag.org_ws_abm2_f4[[#This Row],[scenario_id]]</f>
        <v>259</v>
      </c>
      <c r="M1391">
        <f>Table_socioeca8.sandag.org_ws_abm2_f4[[#This Row],[flow_day]]</f>
        <v>31713</v>
      </c>
      <c r="N1391">
        <f>Table_socioeca8.sandag.org_ws_abm2_f4[[#This Row],[flow_am]]</f>
        <v>6644</v>
      </c>
      <c r="O1391">
        <f>Table_socioeca8.sandag.org_ws_abm2_f4[[#This Row],[flow_pm]]</f>
        <v>9761</v>
      </c>
    </row>
    <row r="1392" spans="5:15" x14ac:dyDescent="0.25">
      <c r="E1392">
        <v>28279</v>
      </c>
      <c r="F1392">
        <f t="shared" si="21"/>
        <v>259</v>
      </c>
      <c r="G1392">
        <f>IFERROR(VLOOKUP(Table_socioeca8.sandag.org_ws_abm2_f4[[#This Row],[hwycov_id]],[2]flow_freeway!$A$2:$E$1643,3,FALSE),0)</f>
        <v>36293</v>
      </c>
      <c r="H1392">
        <f>IFERROR(VLOOKUP(Table_socioeca8.sandag.org_ws_abm2_f4[[#This Row],[hwycov_id]],[2]flow_freeway!$A$2:$E$1643,4,FALSE),0)</f>
        <v>9234</v>
      </c>
      <c r="I1392">
        <f>IFERROR(VLOOKUP(Table_socioeca8.sandag.org_ws_abm2_f4[[#This Row],[hwycov_id]],[2]flow_freeway!$A$2:$E$1643,5,FALSE),0)</f>
        <v>8464</v>
      </c>
      <c r="K1392">
        <f>Table_socioeca8.sandag.org_ws_abm2_f4[[#This Row],[hwycov_id]]</f>
        <v>28279</v>
      </c>
      <c r="L1392">
        <f>Table_socioeca8.sandag.org_ws_abm2_f4[[#This Row],[scenario_id]]</f>
        <v>259</v>
      </c>
      <c r="M1392">
        <f>Table_socioeca8.sandag.org_ws_abm2_f4[[#This Row],[flow_day]]</f>
        <v>36293</v>
      </c>
      <c r="N1392">
        <f>Table_socioeca8.sandag.org_ws_abm2_f4[[#This Row],[flow_am]]</f>
        <v>9234</v>
      </c>
      <c r="O1392">
        <f>Table_socioeca8.sandag.org_ws_abm2_f4[[#This Row],[flow_pm]]</f>
        <v>8464</v>
      </c>
    </row>
    <row r="1393" spans="5:15" x14ac:dyDescent="0.25">
      <c r="E1393">
        <v>28280</v>
      </c>
      <c r="F1393">
        <f t="shared" si="21"/>
        <v>259</v>
      </c>
      <c r="G1393">
        <f>IFERROR(VLOOKUP(Table_socioeca8.sandag.org_ws_abm2_f4[[#This Row],[hwycov_id]],[2]flow_freeway!$A$2:$E$1643,3,FALSE),0)</f>
        <v>42654</v>
      </c>
      <c r="H1393">
        <f>IFERROR(VLOOKUP(Table_socioeca8.sandag.org_ws_abm2_f4[[#This Row],[hwycov_id]],[2]flow_freeway!$A$2:$E$1643,4,FALSE),0)</f>
        <v>10466</v>
      </c>
      <c r="I1393">
        <f>IFERROR(VLOOKUP(Table_socioeca8.sandag.org_ws_abm2_f4[[#This Row],[hwycov_id]],[2]flow_freeway!$A$2:$E$1643,5,FALSE),0)</f>
        <v>10214</v>
      </c>
      <c r="K1393">
        <f>Table_socioeca8.sandag.org_ws_abm2_f4[[#This Row],[hwycov_id]]</f>
        <v>28280</v>
      </c>
      <c r="L1393">
        <f>Table_socioeca8.sandag.org_ws_abm2_f4[[#This Row],[scenario_id]]</f>
        <v>259</v>
      </c>
      <c r="M1393">
        <f>Table_socioeca8.sandag.org_ws_abm2_f4[[#This Row],[flow_day]]</f>
        <v>42654</v>
      </c>
      <c r="N1393">
        <f>Table_socioeca8.sandag.org_ws_abm2_f4[[#This Row],[flow_am]]</f>
        <v>10466</v>
      </c>
      <c r="O1393">
        <f>Table_socioeca8.sandag.org_ws_abm2_f4[[#This Row],[flow_pm]]</f>
        <v>10214</v>
      </c>
    </row>
    <row r="1394" spans="5:15" x14ac:dyDescent="0.25">
      <c r="E1394">
        <v>28281</v>
      </c>
      <c r="F1394">
        <f t="shared" si="21"/>
        <v>259</v>
      </c>
      <c r="G1394">
        <f>IFERROR(VLOOKUP(Table_socioeca8.sandag.org_ws_abm2_f4[[#This Row],[hwycov_id]],[2]flow_freeway!$A$2:$E$1643,3,FALSE),0)</f>
        <v>39388</v>
      </c>
      <c r="H1394">
        <f>IFERROR(VLOOKUP(Table_socioeca8.sandag.org_ws_abm2_f4[[#This Row],[hwycov_id]],[2]flow_freeway!$A$2:$E$1643,4,FALSE),0)</f>
        <v>9093</v>
      </c>
      <c r="I1394">
        <f>IFERROR(VLOOKUP(Table_socioeca8.sandag.org_ws_abm2_f4[[#This Row],[hwycov_id]],[2]flow_freeway!$A$2:$E$1643,5,FALSE),0)</f>
        <v>11442</v>
      </c>
      <c r="K1394">
        <f>Table_socioeca8.sandag.org_ws_abm2_f4[[#This Row],[hwycov_id]]</f>
        <v>28281</v>
      </c>
      <c r="L1394">
        <f>Table_socioeca8.sandag.org_ws_abm2_f4[[#This Row],[scenario_id]]</f>
        <v>259</v>
      </c>
      <c r="M1394">
        <f>Table_socioeca8.sandag.org_ws_abm2_f4[[#This Row],[flow_day]]</f>
        <v>39388</v>
      </c>
      <c r="N1394">
        <f>Table_socioeca8.sandag.org_ws_abm2_f4[[#This Row],[flow_am]]</f>
        <v>9093</v>
      </c>
      <c r="O1394">
        <f>Table_socioeca8.sandag.org_ws_abm2_f4[[#This Row],[flow_pm]]</f>
        <v>11442</v>
      </c>
    </row>
    <row r="1395" spans="5:15" x14ac:dyDescent="0.25">
      <c r="E1395">
        <v>28284</v>
      </c>
      <c r="F1395">
        <f t="shared" si="21"/>
        <v>259</v>
      </c>
      <c r="G1395">
        <f>IFERROR(VLOOKUP(Table_socioeca8.sandag.org_ws_abm2_f4[[#This Row],[hwycov_id]],[2]flow_freeway!$A$2:$E$1643,3,FALSE),0)</f>
        <v>35147</v>
      </c>
      <c r="H1395">
        <f>IFERROR(VLOOKUP(Table_socioeca8.sandag.org_ws_abm2_f4[[#This Row],[hwycov_id]],[2]flow_freeway!$A$2:$E$1643,4,FALSE),0)</f>
        <v>8231</v>
      </c>
      <c r="I1395">
        <f>IFERROR(VLOOKUP(Table_socioeca8.sandag.org_ws_abm2_f4[[#This Row],[hwycov_id]],[2]flow_freeway!$A$2:$E$1643,5,FALSE),0)</f>
        <v>10166</v>
      </c>
      <c r="K1395">
        <f>Table_socioeca8.sandag.org_ws_abm2_f4[[#This Row],[hwycov_id]]</f>
        <v>28284</v>
      </c>
      <c r="L1395">
        <f>Table_socioeca8.sandag.org_ws_abm2_f4[[#This Row],[scenario_id]]</f>
        <v>259</v>
      </c>
      <c r="M1395">
        <f>Table_socioeca8.sandag.org_ws_abm2_f4[[#This Row],[flow_day]]</f>
        <v>35147</v>
      </c>
      <c r="N1395">
        <f>Table_socioeca8.sandag.org_ws_abm2_f4[[#This Row],[flow_am]]</f>
        <v>8231</v>
      </c>
      <c r="O1395">
        <f>Table_socioeca8.sandag.org_ws_abm2_f4[[#This Row],[flow_pm]]</f>
        <v>10166</v>
      </c>
    </row>
    <row r="1396" spans="5:15" x14ac:dyDescent="0.25">
      <c r="E1396">
        <v>28292</v>
      </c>
      <c r="F1396">
        <f t="shared" si="21"/>
        <v>259</v>
      </c>
      <c r="G1396">
        <f>IFERROR(VLOOKUP(Table_socioeca8.sandag.org_ws_abm2_f4[[#This Row],[hwycov_id]],[2]flow_freeway!$A$2:$E$1643,3,FALSE),0)</f>
        <v>31249</v>
      </c>
      <c r="H1396">
        <f>IFERROR(VLOOKUP(Table_socioeca8.sandag.org_ws_abm2_f4[[#This Row],[hwycov_id]],[2]flow_freeway!$A$2:$E$1643,4,FALSE),0)</f>
        <v>9812</v>
      </c>
      <c r="I1396">
        <f>IFERROR(VLOOKUP(Table_socioeca8.sandag.org_ws_abm2_f4[[#This Row],[hwycov_id]],[2]flow_freeway!$A$2:$E$1643,5,FALSE),0)</f>
        <v>5751</v>
      </c>
      <c r="K1396">
        <f>Table_socioeca8.sandag.org_ws_abm2_f4[[#This Row],[hwycov_id]]</f>
        <v>28292</v>
      </c>
      <c r="L1396">
        <f>Table_socioeca8.sandag.org_ws_abm2_f4[[#This Row],[scenario_id]]</f>
        <v>259</v>
      </c>
      <c r="M1396">
        <f>Table_socioeca8.sandag.org_ws_abm2_f4[[#This Row],[flow_day]]</f>
        <v>31249</v>
      </c>
      <c r="N1396">
        <f>Table_socioeca8.sandag.org_ws_abm2_f4[[#This Row],[flow_am]]</f>
        <v>9812</v>
      </c>
      <c r="O1396">
        <f>Table_socioeca8.sandag.org_ws_abm2_f4[[#This Row],[flow_pm]]</f>
        <v>5751</v>
      </c>
    </row>
    <row r="1397" spans="5:15" x14ac:dyDescent="0.25">
      <c r="E1397">
        <v>28379</v>
      </c>
      <c r="F1397">
        <f t="shared" si="21"/>
        <v>259</v>
      </c>
      <c r="G1397">
        <f>IFERROR(VLOOKUP(Table_socioeca8.sandag.org_ws_abm2_f4[[#This Row],[hwycov_id]],[2]flow_freeway!$A$2:$E$1643,3,FALSE),0)</f>
        <v>43088</v>
      </c>
      <c r="H1397">
        <f>IFERROR(VLOOKUP(Table_socioeca8.sandag.org_ws_abm2_f4[[#This Row],[hwycov_id]],[2]flow_freeway!$A$2:$E$1643,4,FALSE),0)</f>
        <v>11196</v>
      </c>
      <c r="I1397">
        <f>IFERROR(VLOOKUP(Table_socioeca8.sandag.org_ws_abm2_f4[[#This Row],[hwycov_id]],[2]flow_freeway!$A$2:$E$1643,5,FALSE),0)</f>
        <v>8177</v>
      </c>
      <c r="K1397">
        <f>Table_socioeca8.sandag.org_ws_abm2_f4[[#This Row],[hwycov_id]]</f>
        <v>28379</v>
      </c>
      <c r="L1397">
        <f>Table_socioeca8.sandag.org_ws_abm2_f4[[#This Row],[scenario_id]]</f>
        <v>259</v>
      </c>
      <c r="M1397">
        <f>Table_socioeca8.sandag.org_ws_abm2_f4[[#This Row],[flow_day]]</f>
        <v>43088</v>
      </c>
      <c r="N1397">
        <f>Table_socioeca8.sandag.org_ws_abm2_f4[[#This Row],[flow_am]]</f>
        <v>11196</v>
      </c>
      <c r="O1397">
        <f>Table_socioeca8.sandag.org_ws_abm2_f4[[#This Row],[flow_pm]]</f>
        <v>8177</v>
      </c>
    </row>
    <row r="1398" spans="5:15" x14ac:dyDescent="0.25">
      <c r="E1398">
        <v>28380</v>
      </c>
      <c r="F1398">
        <f t="shared" si="21"/>
        <v>259</v>
      </c>
      <c r="G1398">
        <f>IFERROR(VLOOKUP(Table_socioeca8.sandag.org_ws_abm2_f4[[#This Row],[hwycov_id]],[2]flow_freeway!$A$2:$E$1643,3,FALSE),0)</f>
        <v>40954</v>
      </c>
      <c r="H1398">
        <f>IFERROR(VLOOKUP(Table_socioeca8.sandag.org_ws_abm2_f4[[#This Row],[hwycov_id]],[2]flow_freeway!$A$2:$E$1643,4,FALSE),0)</f>
        <v>5573</v>
      </c>
      <c r="I1398">
        <f>IFERROR(VLOOKUP(Table_socioeca8.sandag.org_ws_abm2_f4[[#This Row],[hwycov_id]],[2]flow_freeway!$A$2:$E$1643,5,FALSE),0)</f>
        <v>12877</v>
      </c>
      <c r="K1398">
        <f>Table_socioeca8.sandag.org_ws_abm2_f4[[#This Row],[hwycov_id]]</f>
        <v>28380</v>
      </c>
      <c r="L1398">
        <f>Table_socioeca8.sandag.org_ws_abm2_f4[[#This Row],[scenario_id]]</f>
        <v>259</v>
      </c>
      <c r="M1398">
        <f>Table_socioeca8.sandag.org_ws_abm2_f4[[#This Row],[flow_day]]</f>
        <v>40954</v>
      </c>
      <c r="N1398">
        <f>Table_socioeca8.sandag.org_ws_abm2_f4[[#This Row],[flow_am]]</f>
        <v>5573</v>
      </c>
      <c r="O1398">
        <f>Table_socioeca8.sandag.org_ws_abm2_f4[[#This Row],[flow_pm]]</f>
        <v>12877</v>
      </c>
    </row>
    <row r="1399" spans="5:15" x14ac:dyDescent="0.25">
      <c r="E1399">
        <v>28381</v>
      </c>
      <c r="F1399">
        <f t="shared" si="21"/>
        <v>259</v>
      </c>
      <c r="G1399">
        <f>IFERROR(VLOOKUP(Table_socioeca8.sandag.org_ws_abm2_f4[[#This Row],[hwycov_id]],[2]flow_freeway!$A$2:$E$1643,3,FALSE),0)</f>
        <v>40954</v>
      </c>
      <c r="H1399">
        <f>IFERROR(VLOOKUP(Table_socioeca8.sandag.org_ws_abm2_f4[[#This Row],[hwycov_id]],[2]flow_freeway!$A$2:$E$1643,4,FALSE),0)</f>
        <v>5573</v>
      </c>
      <c r="I1399">
        <f>IFERROR(VLOOKUP(Table_socioeca8.sandag.org_ws_abm2_f4[[#This Row],[hwycov_id]],[2]flow_freeway!$A$2:$E$1643,5,FALSE),0)</f>
        <v>12877</v>
      </c>
      <c r="K1399">
        <f>Table_socioeca8.sandag.org_ws_abm2_f4[[#This Row],[hwycov_id]]</f>
        <v>28381</v>
      </c>
      <c r="L1399">
        <f>Table_socioeca8.sandag.org_ws_abm2_f4[[#This Row],[scenario_id]]</f>
        <v>259</v>
      </c>
      <c r="M1399">
        <f>Table_socioeca8.sandag.org_ws_abm2_f4[[#This Row],[flow_day]]</f>
        <v>40954</v>
      </c>
      <c r="N1399">
        <f>Table_socioeca8.sandag.org_ws_abm2_f4[[#This Row],[flow_am]]</f>
        <v>5573</v>
      </c>
      <c r="O1399">
        <f>Table_socioeca8.sandag.org_ws_abm2_f4[[#This Row],[flow_pm]]</f>
        <v>12877</v>
      </c>
    </row>
    <row r="1400" spans="5:15" x14ac:dyDescent="0.25">
      <c r="E1400">
        <v>28390</v>
      </c>
      <c r="F1400">
        <f t="shared" si="21"/>
        <v>259</v>
      </c>
      <c r="G1400">
        <f>IFERROR(VLOOKUP(Table_socioeca8.sandag.org_ws_abm2_f4[[#This Row],[hwycov_id]],[2]flow_freeway!$A$2:$E$1643,3,FALSE),0)</f>
        <v>82455</v>
      </c>
      <c r="H1400">
        <f>IFERROR(VLOOKUP(Table_socioeca8.sandag.org_ws_abm2_f4[[#This Row],[hwycov_id]],[2]flow_freeway!$A$2:$E$1643,4,FALSE),0)</f>
        <v>12734</v>
      </c>
      <c r="I1400">
        <f>IFERROR(VLOOKUP(Table_socioeca8.sandag.org_ws_abm2_f4[[#This Row],[hwycov_id]],[2]flow_freeway!$A$2:$E$1643,5,FALSE),0)</f>
        <v>24318</v>
      </c>
      <c r="K1400">
        <f>Table_socioeca8.sandag.org_ws_abm2_f4[[#This Row],[hwycov_id]]</f>
        <v>28390</v>
      </c>
      <c r="L1400">
        <f>Table_socioeca8.sandag.org_ws_abm2_f4[[#This Row],[scenario_id]]</f>
        <v>259</v>
      </c>
      <c r="M1400">
        <f>Table_socioeca8.sandag.org_ws_abm2_f4[[#This Row],[flow_day]]</f>
        <v>82455</v>
      </c>
      <c r="N1400">
        <f>Table_socioeca8.sandag.org_ws_abm2_f4[[#This Row],[flow_am]]</f>
        <v>12734</v>
      </c>
      <c r="O1400">
        <f>Table_socioeca8.sandag.org_ws_abm2_f4[[#This Row],[flow_pm]]</f>
        <v>24318</v>
      </c>
    </row>
    <row r="1401" spans="5:15" x14ac:dyDescent="0.25">
      <c r="E1401">
        <v>28396</v>
      </c>
      <c r="F1401">
        <f t="shared" si="21"/>
        <v>259</v>
      </c>
      <c r="G1401">
        <f>IFERROR(VLOOKUP(Table_socioeca8.sandag.org_ws_abm2_f4[[#This Row],[hwycov_id]],[2]flow_freeway!$A$2:$E$1643,3,FALSE),0)</f>
        <v>52259</v>
      </c>
      <c r="H1401">
        <f>IFERROR(VLOOKUP(Table_socioeca8.sandag.org_ws_abm2_f4[[#This Row],[hwycov_id]],[2]flow_freeway!$A$2:$E$1643,4,FALSE),0)</f>
        <v>14008</v>
      </c>
      <c r="I1401">
        <f>IFERROR(VLOOKUP(Table_socioeca8.sandag.org_ws_abm2_f4[[#This Row],[hwycov_id]],[2]flow_freeway!$A$2:$E$1643,5,FALSE),0)</f>
        <v>10487</v>
      </c>
      <c r="K1401">
        <f>Table_socioeca8.sandag.org_ws_abm2_f4[[#This Row],[hwycov_id]]</f>
        <v>28396</v>
      </c>
      <c r="L1401">
        <f>Table_socioeca8.sandag.org_ws_abm2_f4[[#This Row],[scenario_id]]</f>
        <v>259</v>
      </c>
      <c r="M1401">
        <f>Table_socioeca8.sandag.org_ws_abm2_f4[[#This Row],[flow_day]]</f>
        <v>52259</v>
      </c>
      <c r="N1401">
        <f>Table_socioeca8.sandag.org_ws_abm2_f4[[#This Row],[flow_am]]</f>
        <v>14008</v>
      </c>
      <c r="O1401">
        <f>Table_socioeca8.sandag.org_ws_abm2_f4[[#This Row],[flow_pm]]</f>
        <v>10487</v>
      </c>
    </row>
    <row r="1402" spans="5:15" x14ac:dyDescent="0.25">
      <c r="E1402">
        <v>28397</v>
      </c>
      <c r="F1402">
        <f t="shared" si="21"/>
        <v>259</v>
      </c>
      <c r="G1402">
        <f>IFERROR(VLOOKUP(Table_socioeca8.sandag.org_ws_abm2_f4[[#This Row],[hwycov_id]],[2]flow_freeway!$A$2:$E$1643,3,FALSE),0)</f>
        <v>78894</v>
      </c>
      <c r="H1402">
        <f>IFERROR(VLOOKUP(Table_socioeca8.sandag.org_ws_abm2_f4[[#This Row],[hwycov_id]],[2]flow_freeway!$A$2:$E$1643,4,FALSE),0)</f>
        <v>20759</v>
      </c>
      <c r="I1402">
        <f>IFERROR(VLOOKUP(Table_socioeca8.sandag.org_ws_abm2_f4[[#This Row],[hwycov_id]],[2]flow_freeway!$A$2:$E$1643,5,FALSE),0)</f>
        <v>15777</v>
      </c>
      <c r="K1402">
        <f>Table_socioeca8.sandag.org_ws_abm2_f4[[#This Row],[hwycov_id]]</f>
        <v>28397</v>
      </c>
      <c r="L1402">
        <f>Table_socioeca8.sandag.org_ws_abm2_f4[[#This Row],[scenario_id]]</f>
        <v>259</v>
      </c>
      <c r="M1402">
        <f>Table_socioeca8.sandag.org_ws_abm2_f4[[#This Row],[flow_day]]</f>
        <v>78894</v>
      </c>
      <c r="N1402">
        <f>Table_socioeca8.sandag.org_ws_abm2_f4[[#This Row],[flow_am]]</f>
        <v>20759</v>
      </c>
      <c r="O1402">
        <f>Table_socioeca8.sandag.org_ws_abm2_f4[[#This Row],[flow_pm]]</f>
        <v>15777</v>
      </c>
    </row>
    <row r="1403" spans="5:15" x14ac:dyDescent="0.25">
      <c r="E1403">
        <v>28417</v>
      </c>
      <c r="F1403">
        <f t="shared" si="21"/>
        <v>259</v>
      </c>
      <c r="G1403">
        <f>IFERROR(VLOOKUP(Table_socioeca8.sandag.org_ws_abm2_f4[[#This Row],[hwycov_id]],[2]flow_freeway!$A$2:$E$1643,3,FALSE),0)</f>
        <v>66731</v>
      </c>
      <c r="H1403">
        <f>IFERROR(VLOOKUP(Table_socioeca8.sandag.org_ws_abm2_f4[[#This Row],[hwycov_id]],[2]flow_freeway!$A$2:$E$1643,4,FALSE),0)</f>
        <v>14669</v>
      </c>
      <c r="I1403">
        <f>IFERROR(VLOOKUP(Table_socioeca8.sandag.org_ws_abm2_f4[[#This Row],[hwycov_id]],[2]flow_freeway!$A$2:$E$1643,5,FALSE),0)</f>
        <v>16488</v>
      </c>
      <c r="K1403">
        <f>Table_socioeca8.sandag.org_ws_abm2_f4[[#This Row],[hwycov_id]]</f>
        <v>28417</v>
      </c>
      <c r="L1403">
        <f>Table_socioeca8.sandag.org_ws_abm2_f4[[#This Row],[scenario_id]]</f>
        <v>259</v>
      </c>
      <c r="M1403">
        <f>Table_socioeca8.sandag.org_ws_abm2_f4[[#This Row],[flow_day]]</f>
        <v>66731</v>
      </c>
      <c r="N1403">
        <f>Table_socioeca8.sandag.org_ws_abm2_f4[[#This Row],[flow_am]]</f>
        <v>14669</v>
      </c>
      <c r="O1403">
        <f>Table_socioeca8.sandag.org_ws_abm2_f4[[#This Row],[flow_pm]]</f>
        <v>16488</v>
      </c>
    </row>
    <row r="1404" spans="5:15" x14ac:dyDescent="0.25">
      <c r="E1404">
        <v>28418</v>
      </c>
      <c r="F1404">
        <f t="shared" si="21"/>
        <v>259</v>
      </c>
      <c r="G1404">
        <f>IFERROR(VLOOKUP(Table_socioeca8.sandag.org_ws_abm2_f4[[#This Row],[hwycov_id]],[2]flow_freeway!$A$2:$E$1643,3,FALSE),0)</f>
        <v>66731</v>
      </c>
      <c r="H1404">
        <f>IFERROR(VLOOKUP(Table_socioeca8.sandag.org_ws_abm2_f4[[#This Row],[hwycov_id]],[2]flow_freeway!$A$2:$E$1643,4,FALSE),0)</f>
        <v>14669</v>
      </c>
      <c r="I1404">
        <f>IFERROR(VLOOKUP(Table_socioeca8.sandag.org_ws_abm2_f4[[#This Row],[hwycov_id]],[2]flow_freeway!$A$2:$E$1643,5,FALSE),0)</f>
        <v>16488</v>
      </c>
      <c r="K1404">
        <f>Table_socioeca8.sandag.org_ws_abm2_f4[[#This Row],[hwycov_id]]</f>
        <v>28418</v>
      </c>
      <c r="L1404">
        <f>Table_socioeca8.sandag.org_ws_abm2_f4[[#This Row],[scenario_id]]</f>
        <v>259</v>
      </c>
      <c r="M1404">
        <f>Table_socioeca8.sandag.org_ws_abm2_f4[[#This Row],[flow_day]]</f>
        <v>66731</v>
      </c>
      <c r="N1404">
        <f>Table_socioeca8.sandag.org_ws_abm2_f4[[#This Row],[flow_am]]</f>
        <v>14669</v>
      </c>
      <c r="O1404">
        <f>Table_socioeca8.sandag.org_ws_abm2_f4[[#This Row],[flow_pm]]</f>
        <v>16488</v>
      </c>
    </row>
    <row r="1405" spans="5:15" x14ac:dyDescent="0.25">
      <c r="E1405">
        <v>28453</v>
      </c>
      <c r="F1405">
        <f t="shared" si="21"/>
        <v>259</v>
      </c>
      <c r="G1405">
        <f>IFERROR(VLOOKUP(Table_socioeca8.sandag.org_ws_abm2_f4[[#This Row],[hwycov_id]],[2]flow_freeway!$A$2:$E$1643,3,FALSE),0)</f>
        <v>35622</v>
      </c>
      <c r="H1405">
        <f>IFERROR(VLOOKUP(Table_socioeca8.sandag.org_ws_abm2_f4[[#This Row],[hwycov_id]],[2]flow_freeway!$A$2:$E$1643,4,FALSE),0)</f>
        <v>7201</v>
      </c>
      <c r="I1405">
        <f>IFERROR(VLOOKUP(Table_socioeca8.sandag.org_ws_abm2_f4[[#This Row],[hwycov_id]],[2]flow_freeway!$A$2:$E$1643,5,FALSE),0)</f>
        <v>9497</v>
      </c>
      <c r="K1405">
        <f>Table_socioeca8.sandag.org_ws_abm2_f4[[#This Row],[hwycov_id]]</f>
        <v>28453</v>
      </c>
      <c r="L1405">
        <f>Table_socioeca8.sandag.org_ws_abm2_f4[[#This Row],[scenario_id]]</f>
        <v>259</v>
      </c>
      <c r="M1405">
        <f>Table_socioeca8.sandag.org_ws_abm2_f4[[#This Row],[flow_day]]</f>
        <v>35622</v>
      </c>
      <c r="N1405">
        <f>Table_socioeca8.sandag.org_ws_abm2_f4[[#This Row],[flow_am]]</f>
        <v>7201</v>
      </c>
      <c r="O1405">
        <f>Table_socioeca8.sandag.org_ws_abm2_f4[[#This Row],[flow_pm]]</f>
        <v>9497</v>
      </c>
    </row>
    <row r="1406" spans="5:15" x14ac:dyDescent="0.25">
      <c r="E1406">
        <v>28455</v>
      </c>
      <c r="F1406">
        <f t="shared" si="21"/>
        <v>259</v>
      </c>
      <c r="G1406">
        <f>IFERROR(VLOOKUP(Table_socioeca8.sandag.org_ws_abm2_f4[[#This Row],[hwycov_id]],[2]flow_freeway!$A$2:$E$1643,3,FALSE),0)</f>
        <v>25831</v>
      </c>
      <c r="H1406">
        <f>IFERROR(VLOOKUP(Table_socioeca8.sandag.org_ws_abm2_f4[[#This Row],[hwycov_id]],[2]flow_freeway!$A$2:$E$1643,4,FALSE),0)</f>
        <v>7108</v>
      </c>
      <c r="I1406">
        <f>IFERROR(VLOOKUP(Table_socioeca8.sandag.org_ws_abm2_f4[[#This Row],[hwycov_id]],[2]flow_freeway!$A$2:$E$1643,5,FALSE),0)</f>
        <v>6271</v>
      </c>
      <c r="K1406">
        <f>Table_socioeca8.sandag.org_ws_abm2_f4[[#This Row],[hwycov_id]]</f>
        <v>28455</v>
      </c>
      <c r="L1406">
        <f>Table_socioeca8.sandag.org_ws_abm2_f4[[#This Row],[scenario_id]]</f>
        <v>259</v>
      </c>
      <c r="M1406">
        <f>Table_socioeca8.sandag.org_ws_abm2_f4[[#This Row],[flow_day]]</f>
        <v>25831</v>
      </c>
      <c r="N1406">
        <f>Table_socioeca8.sandag.org_ws_abm2_f4[[#This Row],[flow_am]]</f>
        <v>7108</v>
      </c>
      <c r="O1406">
        <f>Table_socioeca8.sandag.org_ws_abm2_f4[[#This Row],[flow_pm]]</f>
        <v>6271</v>
      </c>
    </row>
    <row r="1407" spans="5:15" x14ac:dyDescent="0.25">
      <c r="E1407">
        <v>28465</v>
      </c>
      <c r="F1407">
        <f t="shared" si="21"/>
        <v>259</v>
      </c>
      <c r="G1407">
        <f>IFERROR(VLOOKUP(Table_socioeca8.sandag.org_ws_abm2_f4[[#This Row],[hwycov_id]],[2]flow_freeway!$A$2:$E$1643,3,FALSE),0)</f>
        <v>39965</v>
      </c>
      <c r="H1407">
        <f>IFERROR(VLOOKUP(Table_socioeca8.sandag.org_ws_abm2_f4[[#This Row],[hwycov_id]],[2]flow_freeway!$A$2:$E$1643,4,FALSE),0)</f>
        <v>8043</v>
      </c>
      <c r="I1407">
        <f>IFERROR(VLOOKUP(Table_socioeca8.sandag.org_ws_abm2_f4[[#This Row],[hwycov_id]],[2]flow_freeway!$A$2:$E$1643,5,FALSE),0)</f>
        <v>12215</v>
      </c>
      <c r="K1407">
        <f>Table_socioeca8.sandag.org_ws_abm2_f4[[#This Row],[hwycov_id]]</f>
        <v>28465</v>
      </c>
      <c r="L1407">
        <f>Table_socioeca8.sandag.org_ws_abm2_f4[[#This Row],[scenario_id]]</f>
        <v>259</v>
      </c>
      <c r="M1407">
        <f>Table_socioeca8.sandag.org_ws_abm2_f4[[#This Row],[flow_day]]</f>
        <v>39965</v>
      </c>
      <c r="N1407">
        <f>Table_socioeca8.sandag.org_ws_abm2_f4[[#This Row],[flow_am]]</f>
        <v>8043</v>
      </c>
      <c r="O1407">
        <f>Table_socioeca8.sandag.org_ws_abm2_f4[[#This Row],[flow_pm]]</f>
        <v>12215</v>
      </c>
    </row>
    <row r="1408" spans="5:15" x14ac:dyDescent="0.25">
      <c r="E1408">
        <v>28466</v>
      </c>
      <c r="F1408">
        <f t="shared" si="21"/>
        <v>259</v>
      </c>
      <c r="G1408">
        <f>IFERROR(VLOOKUP(Table_socioeca8.sandag.org_ws_abm2_f4[[#This Row],[hwycov_id]],[2]flow_freeway!$A$2:$E$1643,3,FALSE),0)</f>
        <v>32580</v>
      </c>
      <c r="H1408">
        <f>IFERROR(VLOOKUP(Table_socioeca8.sandag.org_ws_abm2_f4[[#This Row],[hwycov_id]],[2]flow_freeway!$A$2:$E$1643,4,FALSE),0)</f>
        <v>6948</v>
      </c>
      <c r="I1408">
        <f>IFERROR(VLOOKUP(Table_socioeca8.sandag.org_ws_abm2_f4[[#This Row],[hwycov_id]],[2]flow_freeway!$A$2:$E$1643,5,FALSE),0)</f>
        <v>10616</v>
      </c>
      <c r="K1408">
        <f>Table_socioeca8.sandag.org_ws_abm2_f4[[#This Row],[hwycov_id]]</f>
        <v>28466</v>
      </c>
      <c r="L1408">
        <f>Table_socioeca8.sandag.org_ws_abm2_f4[[#This Row],[scenario_id]]</f>
        <v>259</v>
      </c>
      <c r="M1408">
        <f>Table_socioeca8.sandag.org_ws_abm2_f4[[#This Row],[flow_day]]</f>
        <v>32580</v>
      </c>
      <c r="N1408">
        <f>Table_socioeca8.sandag.org_ws_abm2_f4[[#This Row],[flow_am]]</f>
        <v>6948</v>
      </c>
      <c r="O1408">
        <f>Table_socioeca8.sandag.org_ws_abm2_f4[[#This Row],[flow_pm]]</f>
        <v>10616</v>
      </c>
    </row>
    <row r="1409" spans="5:15" x14ac:dyDescent="0.25">
      <c r="E1409">
        <v>28472</v>
      </c>
      <c r="F1409">
        <f t="shared" si="21"/>
        <v>259</v>
      </c>
      <c r="G1409">
        <f>IFERROR(VLOOKUP(Table_socioeca8.sandag.org_ws_abm2_f4[[#This Row],[hwycov_id]],[2]flow_freeway!$A$2:$E$1643,3,FALSE),0)</f>
        <v>17153</v>
      </c>
      <c r="H1409">
        <f>IFERROR(VLOOKUP(Table_socioeca8.sandag.org_ws_abm2_f4[[#This Row],[hwycov_id]],[2]flow_freeway!$A$2:$E$1643,4,FALSE),0)</f>
        <v>4788</v>
      </c>
      <c r="I1409">
        <f>IFERROR(VLOOKUP(Table_socioeca8.sandag.org_ws_abm2_f4[[#This Row],[hwycov_id]],[2]flow_freeway!$A$2:$E$1643,5,FALSE),0)</f>
        <v>3893</v>
      </c>
      <c r="K1409">
        <f>Table_socioeca8.sandag.org_ws_abm2_f4[[#This Row],[hwycov_id]]</f>
        <v>28472</v>
      </c>
      <c r="L1409">
        <f>Table_socioeca8.sandag.org_ws_abm2_f4[[#This Row],[scenario_id]]</f>
        <v>259</v>
      </c>
      <c r="M1409">
        <f>Table_socioeca8.sandag.org_ws_abm2_f4[[#This Row],[flow_day]]</f>
        <v>17153</v>
      </c>
      <c r="N1409">
        <f>Table_socioeca8.sandag.org_ws_abm2_f4[[#This Row],[flow_am]]</f>
        <v>4788</v>
      </c>
      <c r="O1409">
        <f>Table_socioeca8.sandag.org_ws_abm2_f4[[#This Row],[flow_pm]]</f>
        <v>3893</v>
      </c>
    </row>
    <row r="1410" spans="5:15" x14ac:dyDescent="0.25">
      <c r="E1410">
        <v>28473</v>
      </c>
      <c r="F1410">
        <f t="shared" si="21"/>
        <v>259</v>
      </c>
      <c r="G1410">
        <f>IFERROR(VLOOKUP(Table_socioeca8.sandag.org_ws_abm2_f4[[#This Row],[hwycov_id]],[2]flow_freeway!$A$2:$E$1643,3,FALSE),0)</f>
        <v>45897</v>
      </c>
      <c r="H1410">
        <f>IFERROR(VLOOKUP(Table_socioeca8.sandag.org_ws_abm2_f4[[#This Row],[hwycov_id]],[2]flow_freeway!$A$2:$E$1643,4,FALSE),0)</f>
        <v>11736</v>
      </c>
      <c r="I1410">
        <f>IFERROR(VLOOKUP(Table_socioeca8.sandag.org_ws_abm2_f4[[#This Row],[hwycov_id]],[2]flow_freeway!$A$2:$E$1643,5,FALSE),0)</f>
        <v>10919</v>
      </c>
      <c r="K1410">
        <f>Table_socioeca8.sandag.org_ws_abm2_f4[[#This Row],[hwycov_id]]</f>
        <v>28473</v>
      </c>
      <c r="L1410">
        <f>Table_socioeca8.sandag.org_ws_abm2_f4[[#This Row],[scenario_id]]</f>
        <v>259</v>
      </c>
      <c r="M1410">
        <f>Table_socioeca8.sandag.org_ws_abm2_f4[[#This Row],[flow_day]]</f>
        <v>45897</v>
      </c>
      <c r="N1410">
        <f>Table_socioeca8.sandag.org_ws_abm2_f4[[#This Row],[flow_am]]</f>
        <v>11736</v>
      </c>
      <c r="O1410">
        <f>Table_socioeca8.sandag.org_ws_abm2_f4[[#This Row],[flow_pm]]</f>
        <v>10919</v>
      </c>
    </row>
    <row r="1411" spans="5:15" x14ac:dyDescent="0.25">
      <c r="E1411">
        <v>28477</v>
      </c>
      <c r="F1411">
        <f t="shared" si="21"/>
        <v>259</v>
      </c>
      <c r="G1411">
        <f>IFERROR(VLOOKUP(Table_socioeca8.sandag.org_ws_abm2_f4[[#This Row],[hwycov_id]],[2]flow_freeway!$A$2:$E$1643,3,FALSE),0)</f>
        <v>16309</v>
      </c>
      <c r="H1411">
        <f>IFERROR(VLOOKUP(Table_socioeca8.sandag.org_ws_abm2_f4[[#This Row],[hwycov_id]],[2]flow_freeway!$A$2:$E$1643,4,FALSE),0)</f>
        <v>3966</v>
      </c>
      <c r="I1411">
        <f>IFERROR(VLOOKUP(Table_socioeca8.sandag.org_ws_abm2_f4[[#This Row],[hwycov_id]],[2]flow_freeway!$A$2:$E$1643,5,FALSE),0)</f>
        <v>5287</v>
      </c>
      <c r="K1411">
        <f>Table_socioeca8.sandag.org_ws_abm2_f4[[#This Row],[hwycov_id]]</f>
        <v>28477</v>
      </c>
      <c r="L1411">
        <f>Table_socioeca8.sandag.org_ws_abm2_f4[[#This Row],[scenario_id]]</f>
        <v>259</v>
      </c>
      <c r="M1411">
        <f>Table_socioeca8.sandag.org_ws_abm2_f4[[#This Row],[flow_day]]</f>
        <v>16309</v>
      </c>
      <c r="N1411">
        <f>Table_socioeca8.sandag.org_ws_abm2_f4[[#This Row],[flow_am]]</f>
        <v>3966</v>
      </c>
      <c r="O1411">
        <f>Table_socioeca8.sandag.org_ws_abm2_f4[[#This Row],[flow_pm]]</f>
        <v>5287</v>
      </c>
    </row>
    <row r="1412" spans="5:15" x14ac:dyDescent="0.25">
      <c r="E1412">
        <v>28479</v>
      </c>
      <c r="F1412">
        <f t="shared" ref="F1412:F1475" si="22">F1411</f>
        <v>259</v>
      </c>
      <c r="G1412">
        <f>IFERROR(VLOOKUP(Table_socioeca8.sandag.org_ws_abm2_f4[[#This Row],[hwycov_id]],[2]flow_freeway!$A$2:$E$1643,3,FALSE),0)</f>
        <v>100531</v>
      </c>
      <c r="H1412">
        <f>IFERROR(VLOOKUP(Table_socioeca8.sandag.org_ws_abm2_f4[[#This Row],[hwycov_id]],[2]flow_freeway!$A$2:$E$1643,4,FALSE),0)</f>
        <v>20242</v>
      </c>
      <c r="I1412">
        <f>IFERROR(VLOOKUP(Table_socioeca8.sandag.org_ws_abm2_f4[[#This Row],[hwycov_id]],[2]flow_freeway!$A$2:$E$1643,5,FALSE),0)</f>
        <v>23863</v>
      </c>
      <c r="K1412">
        <f>Table_socioeca8.sandag.org_ws_abm2_f4[[#This Row],[hwycov_id]]</f>
        <v>28479</v>
      </c>
      <c r="L1412">
        <f>Table_socioeca8.sandag.org_ws_abm2_f4[[#This Row],[scenario_id]]</f>
        <v>259</v>
      </c>
      <c r="M1412">
        <f>Table_socioeca8.sandag.org_ws_abm2_f4[[#This Row],[flow_day]]</f>
        <v>100531</v>
      </c>
      <c r="N1412">
        <f>Table_socioeca8.sandag.org_ws_abm2_f4[[#This Row],[flow_am]]</f>
        <v>20242</v>
      </c>
      <c r="O1412">
        <f>Table_socioeca8.sandag.org_ws_abm2_f4[[#This Row],[flow_pm]]</f>
        <v>23863</v>
      </c>
    </row>
    <row r="1413" spans="5:15" x14ac:dyDescent="0.25">
      <c r="E1413">
        <v>28486</v>
      </c>
      <c r="F1413">
        <f t="shared" si="22"/>
        <v>259</v>
      </c>
      <c r="G1413">
        <f>IFERROR(VLOOKUP(Table_socioeca8.sandag.org_ws_abm2_f4[[#This Row],[hwycov_id]],[2]flow_freeway!$A$2:$E$1643,3,FALSE),0)</f>
        <v>59322</v>
      </c>
      <c r="H1413">
        <f>IFERROR(VLOOKUP(Table_socioeca8.sandag.org_ws_abm2_f4[[#This Row],[hwycov_id]],[2]flow_freeway!$A$2:$E$1643,4,FALSE),0)</f>
        <v>12256</v>
      </c>
      <c r="I1413">
        <f>IFERROR(VLOOKUP(Table_socioeca8.sandag.org_ws_abm2_f4[[#This Row],[hwycov_id]],[2]flow_freeway!$A$2:$E$1643,5,FALSE),0)</f>
        <v>14668</v>
      </c>
      <c r="K1413">
        <f>Table_socioeca8.sandag.org_ws_abm2_f4[[#This Row],[hwycov_id]]</f>
        <v>28486</v>
      </c>
      <c r="L1413">
        <f>Table_socioeca8.sandag.org_ws_abm2_f4[[#This Row],[scenario_id]]</f>
        <v>259</v>
      </c>
      <c r="M1413">
        <f>Table_socioeca8.sandag.org_ws_abm2_f4[[#This Row],[flow_day]]</f>
        <v>59322</v>
      </c>
      <c r="N1413">
        <f>Table_socioeca8.sandag.org_ws_abm2_f4[[#This Row],[flow_am]]</f>
        <v>12256</v>
      </c>
      <c r="O1413">
        <f>Table_socioeca8.sandag.org_ws_abm2_f4[[#This Row],[flow_pm]]</f>
        <v>14668</v>
      </c>
    </row>
    <row r="1414" spans="5:15" x14ac:dyDescent="0.25">
      <c r="E1414">
        <v>28490</v>
      </c>
      <c r="F1414">
        <f t="shared" si="22"/>
        <v>259</v>
      </c>
      <c r="G1414">
        <f>IFERROR(VLOOKUP(Table_socioeca8.sandag.org_ws_abm2_f4[[#This Row],[hwycov_id]],[2]flow_freeway!$A$2:$E$1643,3,FALSE),0)</f>
        <v>85351</v>
      </c>
      <c r="H1414">
        <f>IFERROR(VLOOKUP(Table_socioeca8.sandag.org_ws_abm2_f4[[#This Row],[hwycov_id]],[2]flow_freeway!$A$2:$E$1643,4,FALSE),0)</f>
        <v>18040</v>
      </c>
      <c r="I1414">
        <f>IFERROR(VLOOKUP(Table_socioeca8.sandag.org_ws_abm2_f4[[#This Row],[hwycov_id]],[2]flow_freeway!$A$2:$E$1643,5,FALSE),0)</f>
        <v>17526</v>
      </c>
      <c r="K1414">
        <f>Table_socioeca8.sandag.org_ws_abm2_f4[[#This Row],[hwycov_id]]</f>
        <v>28490</v>
      </c>
      <c r="L1414">
        <f>Table_socioeca8.sandag.org_ws_abm2_f4[[#This Row],[scenario_id]]</f>
        <v>259</v>
      </c>
      <c r="M1414">
        <f>Table_socioeca8.sandag.org_ws_abm2_f4[[#This Row],[flow_day]]</f>
        <v>85351</v>
      </c>
      <c r="N1414">
        <f>Table_socioeca8.sandag.org_ws_abm2_f4[[#This Row],[flow_am]]</f>
        <v>18040</v>
      </c>
      <c r="O1414">
        <f>Table_socioeca8.sandag.org_ws_abm2_f4[[#This Row],[flow_pm]]</f>
        <v>17526</v>
      </c>
    </row>
    <row r="1415" spans="5:15" x14ac:dyDescent="0.25">
      <c r="E1415">
        <v>28492</v>
      </c>
      <c r="F1415">
        <f t="shared" si="22"/>
        <v>259</v>
      </c>
      <c r="G1415">
        <f>IFERROR(VLOOKUP(Table_socioeca8.sandag.org_ws_abm2_f4[[#This Row],[hwycov_id]],[2]flow_freeway!$A$2:$E$1643,3,FALSE),0)</f>
        <v>89716</v>
      </c>
      <c r="H1415">
        <f>IFERROR(VLOOKUP(Table_socioeca8.sandag.org_ws_abm2_f4[[#This Row],[hwycov_id]],[2]flow_freeway!$A$2:$E$1643,4,FALSE),0)</f>
        <v>18869</v>
      </c>
      <c r="I1415">
        <f>IFERROR(VLOOKUP(Table_socioeca8.sandag.org_ws_abm2_f4[[#This Row],[hwycov_id]],[2]flow_freeway!$A$2:$E$1643,5,FALSE),0)</f>
        <v>18158</v>
      </c>
      <c r="K1415">
        <f>Table_socioeca8.sandag.org_ws_abm2_f4[[#This Row],[hwycov_id]]</f>
        <v>28492</v>
      </c>
      <c r="L1415">
        <f>Table_socioeca8.sandag.org_ws_abm2_f4[[#This Row],[scenario_id]]</f>
        <v>259</v>
      </c>
      <c r="M1415">
        <f>Table_socioeca8.sandag.org_ws_abm2_f4[[#This Row],[flow_day]]</f>
        <v>89716</v>
      </c>
      <c r="N1415">
        <f>Table_socioeca8.sandag.org_ws_abm2_f4[[#This Row],[flow_am]]</f>
        <v>18869</v>
      </c>
      <c r="O1415">
        <f>Table_socioeca8.sandag.org_ws_abm2_f4[[#This Row],[flow_pm]]</f>
        <v>18158</v>
      </c>
    </row>
    <row r="1416" spans="5:15" x14ac:dyDescent="0.25">
      <c r="E1416">
        <v>28493</v>
      </c>
      <c r="F1416">
        <f t="shared" si="22"/>
        <v>259</v>
      </c>
      <c r="G1416">
        <f>IFERROR(VLOOKUP(Table_socioeca8.sandag.org_ws_abm2_f4[[#This Row],[hwycov_id]],[2]flow_freeway!$A$2:$E$1643,3,FALSE),0)</f>
        <v>83034</v>
      </c>
      <c r="H1416">
        <f>IFERROR(VLOOKUP(Table_socioeca8.sandag.org_ws_abm2_f4[[#This Row],[hwycov_id]],[2]flow_freeway!$A$2:$E$1643,4,FALSE),0)</f>
        <v>17493</v>
      </c>
      <c r="I1416">
        <f>IFERROR(VLOOKUP(Table_socioeca8.sandag.org_ws_abm2_f4[[#This Row],[hwycov_id]],[2]flow_freeway!$A$2:$E$1643,5,FALSE),0)</f>
        <v>17017</v>
      </c>
      <c r="K1416">
        <f>Table_socioeca8.sandag.org_ws_abm2_f4[[#This Row],[hwycov_id]]</f>
        <v>28493</v>
      </c>
      <c r="L1416">
        <f>Table_socioeca8.sandag.org_ws_abm2_f4[[#This Row],[scenario_id]]</f>
        <v>259</v>
      </c>
      <c r="M1416">
        <f>Table_socioeca8.sandag.org_ws_abm2_f4[[#This Row],[flow_day]]</f>
        <v>83034</v>
      </c>
      <c r="N1416">
        <f>Table_socioeca8.sandag.org_ws_abm2_f4[[#This Row],[flow_am]]</f>
        <v>17493</v>
      </c>
      <c r="O1416">
        <f>Table_socioeca8.sandag.org_ws_abm2_f4[[#This Row],[flow_pm]]</f>
        <v>17017</v>
      </c>
    </row>
    <row r="1417" spans="5:15" x14ac:dyDescent="0.25">
      <c r="E1417">
        <v>28495</v>
      </c>
      <c r="F1417">
        <f t="shared" si="22"/>
        <v>259</v>
      </c>
      <c r="G1417">
        <f>IFERROR(VLOOKUP(Table_socioeca8.sandag.org_ws_abm2_f4[[#This Row],[hwycov_id]],[2]flow_freeway!$A$2:$E$1643,3,FALSE),0)</f>
        <v>77826</v>
      </c>
      <c r="H1417">
        <f>IFERROR(VLOOKUP(Table_socioeca8.sandag.org_ws_abm2_f4[[#This Row],[hwycov_id]],[2]flow_freeway!$A$2:$E$1643,4,FALSE),0)</f>
        <v>14343</v>
      </c>
      <c r="I1417">
        <f>IFERROR(VLOOKUP(Table_socioeca8.sandag.org_ws_abm2_f4[[#This Row],[hwycov_id]],[2]flow_freeway!$A$2:$E$1643,5,FALSE),0)</f>
        <v>20097</v>
      </c>
      <c r="K1417">
        <f>Table_socioeca8.sandag.org_ws_abm2_f4[[#This Row],[hwycov_id]]</f>
        <v>28495</v>
      </c>
      <c r="L1417">
        <f>Table_socioeca8.sandag.org_ws_abm2_f4[[#This Row],[scenario_id]]</f>
        <v>259</v>
      </c>
      <c r="M1417">
        <f>Table_socioeca8.sandag.org_ws_abm2_f4[[#This Row],[flow_day]]</f>
        <v>77826</v>
      </c>
      <c r="N1417">
        <f>Table_socioeca8.sandag.org_ws_abm2_f4[[#This Row],[flow_am]]</f>
        <v>14343</v>
      </c>
      <c r="O1417">
        <f>Table_socioeca8.sandag.org_ws_abm2_f4[[#This Row],[flow_pm]]</f>
        <v>20097</v>
      </c>
    </row>
    <row r="1418" spans="5:15" x14ac:dyDescent="0.25">
      <c r="E1418">
        <v>28511</v>
      </c>
      <c r="F1418">
        <f t="shared" si="22"/>
        <v>259</v>
      </c>
      <c r="G1418">
        <f>IFERROR(VLOOKUP(Table_socioeca8.sandag.org_ws_abm2_f4[[#This Row],[hwycov_id]],[2]flow_freeway!$A$2:$E$1643,3,FALSE),0)</f>
        <v>79325</v>
      </c>
      <c r="H1418">
        <f>IFERROR(VLOOKUP(Table_socioeca8.sandag.org_ws_abm2_f4[[#This Row],[hwycov_id]],[2]flow_freeway!$A$2:$E$1643,4,FALSE),0)</f>
        <v>14626</v>
      </c>
      <c r="I1418">
        <f>IFERROR(VLOOKUP(Table_socioeca8.sandag.org_ws_abm2_f4[[#This Row],[hwycov_id]],[2]flow_freeway!$A$2:$E$1643,5,FALSE),0)</f>
        <v>20436</v>
      </c>
      <c r="K1418">
        <f>Table_socioeca8.sandag.org_ws_abm2_f4[[#This Row],[hwycov_id]]</f>
        <v>28511</v>
      </c>
      <c r="L1418">
        <f>Table_socioeca8.sandag.org_ws_abm2_f4[[#This Row],[scenario_id]]</f>
        <v>259</v>
      </c>
      <c r="M1418">
        <f>Table_socioeca8.sandag.org_ws_abm2_f4[[#This Row],[flow_day]]</f>
        <v>79325</v>
      </c>
      <c r="N1418">
        <f>Table_socioeca8.sandag.org_ws_abm2_f4[[#This Row],[flow_am]]</f>
        <v>14626</v>
      </c>
      <c r="O1418">
        <f>Table_socioeca8.sandag.org_ws_abm2_f4[[#This Row],[flow_pm]]</f>
        <v>20436</v>
      </c>
    </row>
    <row r="1419" spans="5:15" x14ac:dyDescent="0.25">
      <c r="E1419">
        <v>28512</v>
      </c>
      <c r="F1419">
        <f t="shared" si="22"/>
        <v>259</v>
      </c>
      <c r="G1419">
        <f>IFERROR(VLOOKUP(Table_socioeca8.sandag.org_ws_abm2_f4[[#This Row],[hwycov_id]],[2]flow_freeway!$A$2:$E$1643,3,FALSE),0)</f>
        <v>69812</v>
      </c>
      <c r="H1419">
        <f>IFERROR(VLOOKUP(Table_socioeca8.sandag.org_ws_abm2_f4[[#This Row],[hwycov_id]],[2]flow_freeway!$A$2:$E$1643,4,FALSE),0)</f>
        <v>13332</v>
      </c>
      <c r="I1419">
        <f>IFERROR(VLOOKUP(Table_socioeca8.sandag.org_ws_abm2_f4[[#This Row],[hwycov_id]],[2]flow_freeway!$A$2:$E$1643,5,FALSE),0)</f>
        <v>17297</v>
      </c>
      <c r="K1419">
        <f>Table_socioeca8.sandag.org_ws_abm2_f4[[#This Row],[hwycov_id]]</f>
        <v>28512</v>
      </c>
      <c r="L1419">
        <f>Table_socioeca8.sandag.org_ws_abm2_f4[[#This Row],[scenario_id]]</f>
        <v>259</v>
      </c>
      <c r="M1419">
        <f>Table_socioeca8.sandag.org_ws_abm2_f4[[#This Row],[flow_day]]</f>
        <v>69812</v>
      </c>
      <c r="N1419">
        <f>Table_socioeca8.sandag.org_ws_abm2_f4[[#This Row],[flow_am]]</f>
        <v>13332</v>
      </c>
      <c r="O1419">
        <f>Table_socioeca8.sandag.org_ws_abm2_f4[[#This Row],[flow_pm]]</f>
        <v>17297</v>
      </c>
    </row>
    <row r="1420" spans="5:15" x14ac:dyDescent="0.25">
      <c r="E1420">
        <v>28515</v>
      </c>
      <c r="F1420">
        <f t="shared" si="22"/>
        <v>259</v>
      </c>
      <c r="G1420">
        <f>IFERROR(VLOOKUP(Table_socioeca8.sandag.org_ws_abm2_f4[[#This Row],[hwycov_id]],[2]flow_freeway!$A$2:$E$1643,3,FALSE),0)</f>
        <v>72888</v>
      </c>
      <c r="H1420">
        <f>IFERROR(VLOOKUP(Table_socioeca8.sandag.org_ws_abm2_f4[[#This Row],[hwycov_id]],[2]flow_freeway!$A$2:$E$1643,4,FALSE),0)</f>
        <v>14702</v>
      </c>
      <c r="I1420">
        <f>IFERROR(VLOOKUP(Table_socioeca8.sandag.org_ws_abm2_f4[[#This Row],[hwycov_id]],[2]flow_freeway!$A$2:$E$1643,5,FALSE),0)</f>
        <v>14962</v>
      </c>
      <c r="K1420">
        <f>Table_socioeca8.sandag.org_ws_abm2_f4[[#This Row],[hwycov_id]]</f>
        <v>28515</v>
      </c>
      <c r="L1420">
        <f>Table_socioeca8.sandag.org_ws_abm2_f4[[#This Row],[scenario_id]]</f>
        <v>259</v>
      </c>
      <c r="M1420">
        <f>Table_socioeca8.sandag.org_ws_abm2_f4[[#This Row],[flow_day]]</f>
        <v>72888</v>
      </c>
      <c r="N1420">
        <f>Table_socioeca8.sandag.org_ws_abm2_f4[[#This Row],[flow_am]]</f>
        <v>14702</v>
      </c>
      <c r="O1420">
        <f>Table_socioeca8.sandag.org_ws_abm2_f4[[#This Row],[flow_pm]]</f>
        <v>14962</v>
      </c>
    </row>
    <row r="1421" spans="5:15" x14ac:dyDescent="0.25">
      <c r="E1421">
        <v>28534</v>
      </c>
      <c r="F1421">
        <f t="shared" si="22"/>
        <v>259</v>
      </c>
      <c r="G1421">
        <f>IFERROR(VLOOKUP(Table_socioeca8.sandag.org_ws_abm2_f4[[#This Row],[hwycov_id]],[2]flow_freeway!$A$2:$E$1643,3,FALSE),0)</f>
        <v>52769</v>
      </c>
      <c r="H1421">
        <f>IFERROR(VLOOKUP(Table_socioeca8.sandag.org_ws_abm2_f4[[#This Row],[hwycov_id]],[2]flow_freeway!$A$2:$E$1643,4,FALSE),0)</f>
        <v>12024</v>
      </c>
      <c r="I1421">
        <f>IFERROR(VLOOKUP(Table_socioeca8.sandag.org_ws_abm2_f4[[#This Row],[hwycov_id]],[2]flow_freeway!$A$2:$E$1643,5,FALSE),0)</f>
        <v>11072</v>
      </c>
      <c r="K1421">
        <f>Table_socioeca8.sandag.org_ws_abm2_f4[[#This Row],[hwycov_id]]</f>
        <v>28534</v>
      </c>
      <c r="L1421">
        <f>Table_socioeca8.sandag.org_ws_abm2_f4[[#This Row],[scenario_id]]</f>
        <v>259</v>
      </c>
      <c r="M1421">
        <f>Table_socioeca8.sandag.org_ws_abm2_f4[[#This Row],[flow_day]]</f>
        <v>52769</v>
      </c>
      <c r="N1421">
        <f>Table_socioeca8.sandag.org_ws_abm2_f4[[#This Row],[flow_am]]</f>
        <v>12024</v>
      </c>
      <c r="O1421">
        <f>Table_socioeca8.sandag.org_ws_abm2_f4[[#This Row],[flow_pm]]</f>
        <v>11072</v>
      </c>
    </row>
    <row r="1422" spans="5:15" x14ac:dyDescent="0.25">
      <c r="E1422">
        <v>28535</v>
      </c>
      <c r="F1422">
        <f t="shared" si="22"/>
        <v>259</v>
      </c>
      <c r="G1422">
        <f>IFERROR(VLOOKUP(Table_socioeca8.sandag.org_ws_abm2_f4[[#This Row],[hwycov_id]],[2]flow_freeway!$A$2:$E$1643,3,FALSE),0)</f>
        <v>54062</v>
      </c>
      <c r="H1422">
        <f>IFERROR(VLOOKUP(Table_socioeca8.sandag.org_ws_abm2_f4[[#This Row],[hwycov_id]],[2]flow_freeway!$A$2:$E$1643,4,FALSE),0)</f>
        <v>9239</v>
      </c>
      <c r="I1422">
        <f>IFERROR(VLOOKUP(Table_socioeca8.sandag.org_ws_abm2_f4[[#This Row],[hwycov_id]],[2]flow_freeway!$A$2:$E$1643,5,FALSE),0)</f>
        <v>14657</v>
      </c>
      <c r="K1422">
        <f>Table_socioeca8.sandag.org_ws_abm2_f4[[#This Row],[hwycov_id]]</f>
        <v>28535</v>
      </c>
      <c r="L1422">
        <f>Table_socioeca8.sandag.org_ws_abm2_f4[[#This Row],[scenario_id]]</f>
        <v>259</v>
      </c>
      <c r="M1422">
        <f>Table_socioeca8.sandag.org_ws_abm2_f4[[#This Row],[flow_day]]</f>
        <v>54062</v>
      </c>
      <c r="N1422">
        <f>Table_socioeca8.sandag.org_ws_abm2_f4[[#This Row],[flow_am]]</f>
        <v>9239</v>
      </c>
      <c r="O1422">
        <f>Table_socioeca8.sandag.org_ws_abm2_f4[[#This Row],[flow_pm]]</f>
        <v>14657</v>
      </c>
    </row>
    <row r="1423" spans="5:15" x14ac:dyDescent="0.25">
      <c r="E1423">
        <v>28540</v>
      </c>
      <c r="F1423">
        <f t="shared" si="22"/>
        <v>259</v>
      </c>
      <c r="G1423">
        <f>IFERROR(VLOOKUP(Table_socioeca8.sandag.org_ws_abm2_f4[[#This Row],[hwycov_id]],[2]flow_freeway!$A$2:$E$1643,3,FALSE),0)</f>
        <v>51804</v>
      </c>
      <c r="H1423">
        <f>IFERROR(VLOOKUP(Table_socioeca8.sandag.org_ws_abm2_f4[[#This Row],[hwycov_id]],[2]flow_freeway!$A$2:$E$1643,4,FALSE),0)</f>
        <v>11856</v>
      </c>
      <c r="I1423">
        <f>IFERROR(VLOOKUP(Table_socioeca8.sandag.org_ws_abm2_f4[[#This Row],[hwycov_id]],[2]flow_freeway!$A$2:$E$1643,5,FALSE),0)</f>
        <v>11398</v>
      </c>
      <c r="K1423">
        <f>Table_socioeca8.sandag.org_ws_abm2_f4[[#This Row],[hwycov_id]]</f>
        <v>28540</v>
      </c>
      <c r="L1423">
        <f>Table_socioeca8.sandag.org_ws_abm2_f4[[#This Row],[scenario_id]]</f>
        <v>259</v>
      </c>
      <c r="M1423">
        <f>Table_socioeca8.sandag.org_ws_abm2_f4[[#This Row],[flow_day]]</f>
        <v>51804</v>
      </c>
      <c r="N1423">
        <f>Table_socioeca8.sandag.org_ws_abm2_f4[[#This Row],[flow_am]]</f>
        <v>11856</v>
      </c>
      <c r="O1423">
        <f>Table_socioeca8.sandag.org_ws_abm2_f4[[#This Row],[flow_pm]]</f>
        <v>11398</v>
      </c>
    </row>
    <row r="1424" spans="5:15" x14ac:dyDescent="0.25">
      <c r="E1424">
        <v>28564</v>
      </c>
      <c r="F1424">
        <f t="shared" si="22"/>
        <v>259</v>
      </c>
      <c r="G1424">
        <f>IFERROR(VLOOKUP(Table_socioeca8.sandag.org_ws_abm2_f4[[#This Row],[hwycov_id]],[2]flow_freeway!$A$2:$E$1643,3,FALSE),0)</f>
        <v>66699</v>
      </c>
      <c r="H1424">
        <f>IFERROR(VLOOKUP(Table_socioeca8.sandag.org_ws_abm2_f4[[#This Row],[hwycov_id]],[2]flow_freeway!$A$2:$E$1643,4,FALSE),0)</f>
        <v>12900</v>
      </c>
      <c r="I1424">
        <f>IFERROR(VLOOKUP(Table_socioeca8.sandag.org_ws_abm2_f4[[#This Row],[hwycov_id]],[2]flow_freeway!$A$2:$E$1643,5,FALSE),0)</f>
        <v>13967</v>
      </c>
      <c r="K1424">
        <f>Table_socioeca8.sandag.org_ws_abm2_f4[[#This Row],[hwycov_id]]</f>
        <v>28564</v>
      </c>
      <c r="L1424">
        <f>Table_socioeca8.sandag.org_ws_abm2_f4[[#This Row],[scenario_id]]</f>
        <v>259</v>
      </c>
      <c r="M1424">
        <f>Table_socioeca8.sandag.org_ws_abm2_f4[[#This Row],[flow_day]]</f>
        <v>66699</v>
      </c>
      <c r="N1424">
        <f>Table_socioeca8.sandag.org_ws_abm2_f4[[#This Row],[flow_am]]</f>
        <v>12900</v>
      </c>
      <c r="O1424">
        <f>Table_socioeca8.sandag.org_ws_abm2_f4[[#This Row],[flow_pm]]</f>
        <v>13967</v>
      </c>
    </row>
    <row r="1425" spans="5:15" x14ac:dyDescent="0.25">
      <c r="E1425">
        <v>28565</v>
      </c>
      <c r="F1425">
        <f t="shared" si="22"/>
        <v>259</v>
      </c>
      <c r="G1425">
        <f>IFERROR(VLOOKUP(Table_socioeca8.sandag.org_ws_abm2_f4[[#This Row],[hwycov_id]],[2]flow_freeway!$A$2:$E$1643,3,FALSE),0)</f>
        <v>66005</v>
      </c>
      <c r="H1425">
        <f>IFERROR(VLOOKUP(Table_socioeca8.sandag.org_ws_abm2_f4[[#This Row],[hwycov_id]],[2]flow_freeway!$A$2:$E$1643,4,FALSE),0)</f>
        <v>13833</v>
      </c>
      <c r="I1425">
        <f>IFERROR(VLOOKUP(Table_socioeca8.sandag.org_ws_abm2_f4[[#This Row],[hwycov_id]],[2]flow_freeway!$A$2:$E$1643,5,FALSE),0)</f>
        <v>17512</v>
      </c>
      <c r="K1425">
        <f>Table_socioeca8.sandag.org_ws_abm2_f4[[#This Row],[hwycov_id]]</f>
        <v>28565</v>
      </c>
      <c r="L1425">
        <f>Table_socioeca8.sandag.org_ws_abm2_f4[[#This Row],[scenario_id]]</f>
        <v>259</v>
      </c>
      <c r="M1425">
        <f>Table_socioeca8.sandag.org_ws_abm2_f4[[#This Row],[flow_day]]</f>
        <v>66005</v>
      </c>
      <c r="N1425">
        <f>Table_socioeca8.sandag.org_ws_abm2_f4[[#This Row],[flow_am]]</f>
        <v>13833</v>
      </c>
      <c r="O1425">
        <f>Table_socioeca8.sandag.org_ws_abm2_f4[[#This Row],[flow_pm]]</f>
        <v>17512</v>
      </c>
    </row>
    <row r="1426" spans="5:15" x14ac:dyDescent="0.25">
      <c r="E1426">
        <v>28568</v>
      </c>
      <c r="F1426">
        <f t="shared" si="22"/>
        <v>259</v>
      </c>
      <c r="G1426">
        <f>IFERROR(VLOOKUP(Table_socioeca8.sandag.org_ws_abm2_f4[[#This Row],[hwycov_id]],[2]flow_freeway!$A$2:$E$1643,3,FALSE),0)</f>
        <v>65747</v>
      </c>
      <c r="H1426">
        <f>IFERROR(VLOOKUP(Table_socioeca8.sandag.org_ws_abm2_f4[[#This Row],[hwycov_id]],[2]flow_freeway!$A$2:$E$1643,4,FALSE),0)</f>
        <v>9622</v>
      </c>
      <c r="I1426">
        <f>IFERROR(VLOOKUP(Table_socioeca8.sandag.org_ws_abm2_f4[[#This Row],[hwycov_id]],[2]flow_freeway!$A$2:$E$1643,5,FALSE),0)</f>
        <v>20590</v>
      </c>
      <c r="K1426">
        <f>Table_socioeca8.sandag.org_ws_abm2_f4[[#This Row],[hwycov_id]]</f>
        <v>28568</v>
      </c>
      <c r="L1426">
        <f>Table_socioeca8.sandag.org_ws_abm2_f4[[#This Row],[scenario_id]]</f>
        <v>259</v>
      </c>
      <c r="M1426">
        <f>Table_socioeca8.sandag.org_ws_abm2_f4[[#This Row],[flow_day]]</f>
        <v>65747</v>
      </c>
      <c r="N1426">
        <f>Table_socioeca8.sandag.org_ws_abm2_f4[[#This Row],[flow_am]]</f>
        <v>9622</v>
      </c>
      <c r="O1426">
        <f>Table_socioeca8.sandag.org_ws_abm2_f4[[#This Row],[flow_pm]]</f>
        <v>20590</v>
      </c>
    </row>
    <row r="1427" spans="5:15" x14ac:dyDescent="0.25">
      <c r="E1427">
        <v>28569</v>
      </c>
      <c r="F1427">
        <f t="shared" si="22"/>
        <v>259</v>
      </c>
      <c r="G1427">
        <f>IFERROR(VLOOKUP(Table_socioeca8.sandag.org_ws_abm2_f4[[#This Row],[hwycov_id]],[2]flow_freeway!$A$2:$E$1643,3,FALSE),0)</f>
        <v>63139</v>
      </c>
      <c r="H1427">
        <f>IFERROR(VLOOKUP(Table_socioeca8.sandag.org_ws_abm2_f4[[#This Row],[hwycov_id]],[2]flow_freeway!$A$2:$E$1643,4,FALSE),0)</f>
        <v>15810</v>
      </c>
      <c r="I1427">
        <f>IFERROR(VLOOKUP(Table_socioeca8.sandag.org_ws_abm2_f4[[#This Row],[hwycov_id]],[2]flow_freeway!$A$2:$E$1643,5,FALSE),0)</f>
        <v>10468</v>
      </c>
      <c r="K1427">
        <f>Table_socioeca8.sandag.org_ws_abm2_f4[[#This Row],[hwycov_id]]</f>
        <v>28569</v>
      </c>
      <c r="L1427">
        <f>Table_socioeca8.sandag.org_ws_abm2_f4[[#This Row],[scenario_id]]</f>
        <v>259</v>
      </c>
      <c r="M1427">
        <f>Table_socioeca8.sandag.org_ws_abm2_f4[[#This Row],[flow_day]]</f>
        <v>63139</v>
      </c>
      <c r="N1427">
        <f>Table_socioeca8.sandag.org_ws_abm2_f4[[#This Row],[flow_am]]</f>
        <v>15810</v>
      </c>
      <c r="O1427">
        <f>Table_socioeca8.sandag.org_ws_abm2_f4[[#This Row],[flow_pm]]</f>
        <v>10468</v>
      </c>
    </row>
    <row r="1428" spans="5:15" x14ac:dyDescent="0.25">
      <c r="E1428">
        <v>28587</v>
      </c>
      <c r="F1428">
        <f t="shared" si="22"/>
        <v>259</v>
      </c>
      <c r="G1428">
        <f>IFERROR(VLOOKUP(Table_socioeca8.sandag.org_ws_abm2_f4[[#This Row],[hwycov_id]],[2]flow_freeway!$A$2:$E$1643,3,FALSE),0)</f>
        <v>107564</v>
      </c>
      <c r="H1428">
        <f>IFERROR(VLOOKUP(Table_socioeca8.sandag.org_ws_abm2_f4[[#This Row],[hwycov_id]],[2]flow_freeway!$A$2:$E$1643,4,FALSE),0)</f>
        <v>24586</v>
      </c>
      <c r="I1428">
        <f>IFERROR(VLOOKUP(Table_socioeca8.sandag.org_ws_abm2_f4[[#This Row],[hwycov_id]],[2]flow_freeway!$A$2:$E$1643,5,FALSE),0)</f>
        <v>21740</v>
      </c>
      <c r="K1428">
        <f>Table_socioeca8.sandag.org_ws_abm2_f4[[#This Row],[hwycov_id]]</f>
        <v>28587</v>
      </c>
      <c r="L1428">
        <f>Table_socioeca8.sandag.org_ws_abm2_f4[[#This Row],[scenario_id]]</f>
        <v>259</v>
      </c>
      <c r="M1428">
        <f>Table_socioeca8.sandag.org_ws_abm2_f4[[#This Row],[flow_day]]</f>
        <v>107564</v>
      </c>
      <c r="N1428">
        <f>Table_socioeca8.sandag.org_ws_abm2_f4[[#This Row],[flow_am]]</f>
        <v>24586</v>
      </c>
      <c r="O1428">
        <f>Table_socioeca8.sandag.org_ws_abm2_f4[[#This Row],[flow_pm]]</f>
        <v>21740</v>
      </c>
    </row>
    <row r="1429" spans="5:15" x14ac:dyDescent="0.25">
      <c r="E1429">
        <v>28588</v>
      </c>
      <c r="F1429">
        <f t="shared" si="22"/>
        <v>259</v>
      </c>
      <c r="G1429">
        <f>IFERROR(VLOOKUP(Table_socioeca8.sandag.org_ws_abm2_f4[[#This Row],[hwycov_id]],[2]flow_freeway!$A$2:$E$1643,3,FALSE),0)</f>
        <v>98831</v>
      </c>
      <c r="H1429">
        <f>IFERROR(VLOOKUP(Table_socioeca8.sandag.org_ws_abm2_f4[[#This Row],[hwycov_id]],[2]flow_freeway!$A$2:$E$1643,4,FALSE),0)</f>
        <v>16070</v>
      </c>
      <c r="I1429">
        <f>IFERROR(VLOOKUP(Table_socioeca8.sandag.org_ws_abm2_f4[[#This Row],[hwycov_id]],[2]flow_freeway!$A$2:$E$1643,5,FALSE),0)</f>
        <v>28062</v>
      </c>
      <c r="K1429">
        <f>Table_socioeca8.sandag.org_ws_abm2_f4[[#This Row],[hwycov_id]]</f>
        <v>28588</v>
      </c>
      <c r="L1429">
        <f>Table_socioeca8.sandag.org_ws_abm2_f4[[#This Row],[scenario_id]]</f>
        <v>259</v>
      </c>
      <c r="M1429">
        <f>Table_socioeca8.sandag.org_ws_abm2_f4[[#This Row],[flow_day]]</f>
        <v>98831</v>
      </c>
      <c r="N1429">
        <f>Table_socioeca8.sandag.org_ws_abm2_f4[[#This Row],[flow_am]]</f>
        <v>16070</v>
      </c>
      <c r="O1429">
        <f>Table_socioeca8.sandag.org_ws_abm2_f4[[#This Row],[flow_pm]]</f>
        <v>28062</v>
      </c>
    </row>
    <row r="1430" spans="5:15" x14ac:dyDescent="0.25">
      <c r="E1430">
        <v>28601</v>
      </c>
      <c r="F1430">
        <f t="shared" si="22"/>
        <v>259</v>
      </c>
      <c r="G1430">
        <f>IFERROR(VLOOKUP(Table_socioeca8.sandag.org_ws_abm2_f4[[#This Row],[hwycov_id]],[2]flow_freeway!$A$2:$E$1643,3,FALSE),0)</f>
        <v>25404</v>
      </c>
      <c r="H1430">
        <f>IFERROR(VLOOKUP(Table_socioeca8.sandag.org_ws_abm2_f4[[#This Row],[hwycov_id]],[2]flow_freeway!$A$2:$E$1643,4,FALSE),0)</f>
        <v>4548</v>
      </c>
      <c r="I1430">
        <f>IFERROR(VLOOKUP(Table_socioeca8.sandag.org_ws_abm2_f4[[#This Row],[hwycov_id]],[2]flow_freeway!$A$2:$E$1643,5,FALSE),0)</f>
        <v>7072</v>
      </c>
      <c r="K1430">
        <f>Table_socioeca8.sandag.org_ws_abm2_f4[[#This Row],[hwycov_id]]</f>
        <v>28601</v>
      </c>
      <c r="L1430">
        <f>Table_socioeca8.sandag.org_ws_abm2_f4[[#This Row],[scenario_id]]</f>
        <v>259</v>
      </c>
      <c r="M1430">
        <f>Table_socioeca8.sandag.org_ws_abm2_f4[[#This Row],[flow_day]]</f>
        <v>25404</v>
      </c>
      <c r="N1430">
        <f>Table_socioeca8.sandag.org_ws_abm2_f4[[#This Row],[flow_am]]</f>
        <v>4548</v>
      </c>
      <c r="O1430">
        <f>Table_socioeca8.sandag.org_ws_abm2_f4[[#This Row],[flow_pm]]</f>
        <v>7072</v>
      </c>
    </row>
    <row r="1431" spans="5:15" x14ac:dyDescent="0.25">
      <c r="E1431">
        <v>28611</v>
      </c>
      <c r="F1431">
        <f t="shared" si="22"/>
        <v>259</v>
      </c>
      <c r="G1431">
        <f>IFERROR(VLOOKUP(Table_socioeca8.sandag.org_ws_abm2_f4[[#This Row],[hwycov_id]],[2]flow_freeway!$A$2:$E$1643,3,FALSE),0)</f>
        <v>34551</v>
      </c>
      <c r="H1431">
        <f>IFERROR(VLOOKUP(Table_socioeca8.sandag.org_ws_abm2_f4[[#This Row],[hwycov_id]],[2]flow_freeway!$A$2:$E$1643,4,FALSE),0)</f>
        <v>5218</v>
      </c>
      <c r="I1431">
        <f>IFERROR(VLOOKUP(Table_socioeca8.sandag.org_ws_abm2_f4[[#This Row],[hwycov_id]],[2]flow_freeway!$A$2:$E$1643,5,FALSE),0)</f>
        <v>10283</v>
      </c>
      <c r="K1431">
        <f>Table_socioeca8.sandag.org_ws_abm2_f4[[#This Row],[hwycov_id]]</f>
        <v>28611</v>
      </c>
      <c r="L1431">
        <f>Table_socioeca8.sandag.org_ws_abm2_f4[[#This Row],[scenario_id]]</f>
        <v>259</v>
      </c>
      <c r="M1431">
        <f>Table_socioeca8.sandag.org_ws_abm2_f4[[#This Row],[flow_day]]</f>
        <v>34551</v>
      </c>
      <c r="N1431">
        <f>Table_socioeca8.sandag.org_ws_abm2_f4[[#This Row],[flow_am]]</f>
        <v>5218</v>
      </c>
      <c r="O1431">
        <f>Table_socioeca8.sandag.org_ws_abm2_f4[[#This Row],[flow_pm]]</f>
        <v>10283</v>
      </c>
    </row>
    <row r="1432" spans="5:15" x14ac:dyDescent="0.25">
      <c r="E1432">
        <v>28613</v>
      </c>
      <c r="F1432">
        <f t="shared" si="22"/>
        <v>259</v>
      </c>
      <c r="G1432">
        <f>IFERROR(VLOOKUP(Table_socioeca8.sandag.org_ws_abm2_f4[[#This Row],[hwycov_id]],[2]flow_freeway!$A$2:$E$1643,3,FALSE),0)</f>
        <v>36580</v>
      </c>
      <c r="H1432">
        <f>IFERROR(VLOOKUP(Table_socioeca8.sandag.org_ws_abm2_f4[[#This Row],[hwycov_id]],[2]flow_freeway!$A$2:$E$1643,4,FALSE),0)</f>
        <v>5896</v>
      </c>
      <c r="I1432">
        <f>IFERROR(VLOOKUP(Table_socioeca8.sandag.org_ws_abm2_f4[[#This Row],[hwycov_id]],[2]flow_freeway!$A$2:$E$1643,5,FALSE),0)</f>
        <v>10820</v>
      </c>
      <c r="K1432">
        <f>Table_socioeca8.sandag.org_ws_abm2_f4[[#This Row],[hwycov_id]]</f>
        <v>28613</v>
      </c>
      <c r="L1432">
        <f>Table_socioeca8.sandag.org_ws_abm2_f4[[#This Row],[scenario_id]]</f>
        <v>259</v>
      </c>
      <c r="M1432">
        <f>Table_socioeca8.sandag.org_ws_abm2_f4[[#This Row],[flow_day]]</f>
        <v>36580</v>
      </c>
      <c r="N1432">
        <f>Table_socioeca8.sandag.org_ws_abm2_f4[[#This Row],[flow_am]]</f>
        <v>5896</v>
      </c>
      <c r="O1432">
        <f>Table_socioeca8.sandag.org_ws_abm2_f4[[#This Row],[flow_pm]]</f>
        <v>10820</v>
      </c>
    </row>
    <row r="1433" spans="5:15" x14ac:dyDescent="0.25">
      <c r="E1433">
        <v>28615</v>
      </c>
      <c r="F1433">
        <f t="shared" si="22"/>
        <v>259</v>
      </c>
      <c r="G1433">
        <f>IFERROR(VLOOKUP(Table_socioeca8.sandag.org_ws_abm2_f4[[#This Row],[hwycov_id]],[2]flow_freeway!$A$2:$E$1643,3,FALSE),0)</f>
        <v>28013</v>
      </c>
      <c r="H1433">
        <f>IFERROR(VLOOKUP(Table_socioeca8.sandag.org_ws_abm2_f4[[#This Row],[hwycov_id]],[2]flow_freeway!$A$2:$E$1643,4,FALSE),0)</f>
        <v>4546</v>
      </c>
      <c r="I1433">
        <f>IFERROR(VLOOKUP(Table_socioeca8.sandag.org_ws_abm2_f4[[#This Row],[hwycov_id]],[2]flow_freeway!$A$2:$E$1643,5,FALSE),0)</f>
        <v>8413</v>
      </c>
      <c r="K1433">
        <f>Table_socioeca8.sandag.org_ws_abm2_f4[[#This Row],[hwycov_id]]</f>
        <v>28615</v>
      </c>
      <c r="L1433">
        <f>Table_socioeca8.sandag.org_ws_abm2_f4[[#This Row],[scenario_id]]</f>
        <v>259</v>
      </c>
      <c r="M1433">
        <f>Table_socioeca8.sandag.org_ws_abm2_f4[[#This Row],[flow_day]]</f>
        <v>28013</v>
      </c>
      <c r="N1433">
        <f>Table_socioeca8.sandag.org_ws_abm2_f4[[#This Row],[flow_am]]</f>
        <v>4546</v>
      </c>
      <c r="O1433">
        <f>Table_socioeca8.sandag.org_ws_abm2_f4[[#This Row],[flow_pm]]</f>
        <v>8413</v>
      </c>
    </row>
    <row r="1434" spans="5:15" x14ac:dyDescent="0.25">
      <c r="E1434">
        <v>28619</v>
      </c>
      <c r="F1434">
        <f t="shared" si="22"/>
        <v>259</v>
      </c>
      <c r="G1434">
        <f>IFERROR(VLOOKUP(Table_socioeca8.sandag.org_ws_abm2_f4[[#This Row],[hwycov_id]],[2]flow_freeway!$A$2:$E$1643,3,FALSE),0)</f>
        <v>29328</v>
      </c>
      <c r="H1434">
        <f>IFERROR(VLOOKUP(Table_socioeca8.sandag.org_ws_abm2_f4[[#This Row],[hwycov_id]],[2]flow_freeway!$A$2:$E$1643,4,FALSE),0)</f>
        <v>4854</v>
      </c>
      <c r="I1434">
        <f>IFERROR(VLOOKUP(Table_socioeca8.sandag.org_ws_abm2_f4[[#This Row],[hwycov_id]],[2]flow_freeway!$A$2:$E$1643,5,FALSE),0)</f>
        <v>8669</v>
      </c>
      <c r="K1434">
        <f>Table_socioeca8.sandag.org_ws_abm2_f4[[#This Row],[hwycov_id]]</f>
        <v>28619</v>
      </c>
      <c r="L1434">
        <f>Table_socioeca8.sandag.org_ws_abm2_f4[[#This Row],[scenario_id]]</f>
        <v>259</v>
      </c>
      <c r="M1434">
        <f>Table_socioeca8.sandag.org_ws_abm2_f4[[#This Row],[flow_day]]</f>
        <v>29328</v>
      </c>
      <c r="N1434">
        <f>Table_socioeca8.sandag.org_ws_abm2_f4[[#This Row],[flow_am]]</f>
        <v>4854</v>
      </c>
      <c r="O1434">
        <f>Table_socioeca8.sandag.org_ws_abm2_f4[[#This Row],[flow_pm]]</f>
        <v>8669</v>
      </c>
    </row>
    <row r="1435" spans="5:15" x14ac:dyDescent="0.25">
      <c r="E1435">
        <v>28623</v>
      </c>
      <c r="F1435">
        <f t="shared" si="22"/>
        <v>259</v>
      </c>
      <c r="G1435">
        <f>IFERROR(VLOOKUP(Table_socioeca8.sandag.org_ws_abm2_f4[[#This Row],[hwycov_id]],[2]flow_freeway!$A$2:$E$1643,3,FALSE),0)</f>
        <v>26907</v>
      </c>
      <c r="H1435">
        <f>IFERROR(VLOOKUP(Table_socioeca8.sandag.org_ws_abm2_f4[[#This Row],[hwycov_id]],[2]flow_freeway!$A$2:$E$1643,4,FALSE),0)</f>
        <v>4468</v>
      </c>
      <c r="I1435">
        <f>IFERROR(VLOOKUP(Table_socioeca8.sandag.org_ws_abm2_f4[[#This Row],[hwycov_id]],[2]flow_freeway!$A$2:$E$1643,5,FALSE),0)</f>
        <v>7686</v>
      </c>
      <c r="K1435">
        <f>Table_socioeca8.sandag.org_ws_abm2_f4[[#This Row],[hwycov_id]]</f>
        <v>28623</v>
      </c>
      <c r="L1435">
        <f>Table_socioeca8.sandag.org_ws_abm2_f4[[#This Row],[scenario_id]]</f>
        <v>259</v>
      </c>
      <c r="M1435">
        <f>Table_socioeca8.sandag.org_ws_abm2_f4[[#This Row],[flow_day]]</f>
        <v>26907</v>
      </c>
      <c r="N1435">
        <f>Table_socioeca8.sandag.org_ws_abm2_f4[[#This Row],[flow_am]]</f>
        <v>4468</v>
      </c>
      <c r="O1435">
        <f>Table_socioeca8.sandag.org_ws_abm2_f4[[#This Row],[flow_pm]]</f>
        <v>7686</v>
      </c>
    </row>
    <row r="1436" spans="5:15" x14ac:dyDescent="0.25">
      <c r="E1436">
        <v>28634</v>
      </c>
      <c r="F1436">
        <f t="shared" si="22"/>
        <v>259</v>
      </c>
      <c r="G1436">
        <f>IFERROR(VLOOKUP(Table_socioeca8.sandag.org_ws_abm2_f4[[#This Row],[hwycov_id]],[2]flow_freeway!$A$2:$E$1643,3,FALSE),0)</f>
        <v>43088</v>
      </c>
      <c r="H1436">
        <f>IFERROR(VLOOKUP(Table_socioeca8.sandag.org_ws_abm2_f4[[#This Row],[hwycov_id]],[2]flow_freeway!$A$2:$E$1643,4,FALSE),0)</f>
        <v>11196</v>
      </c>
      <c r="I1436">
        <f>IFERROR(VLOOKUP(Table_socioeca8.sandag.org_ws_abm2_f4[[#This Row],[hwycov_id]],[2]flow_freeway!$A$2:$E$1643,5,FALSE),0)</f>
        <v>8177</v>
      </c>
      <c r="K1436">
        <f>Table_socioeca8.sandag.org_ws_abm2_f4[[#This Row],[hwycov_id]]</f>
        <v>28634</v>
      </c>
      <c r="L1436">
        <f>Table_socioeca8.sandag.org_ws_abm2_f4[[#This Row],[scenario_id]]</f>
        <v>259</v>
      </c>
      <c r="M1436">
        <f>Table_socioeca8.sandag.org_ws_abm2_f4[[#This Row],[flow_day]]</f>
        <v>43088</v>
      </c>
      <c r="N1436">
        <f>Table_socioeca8.sandag.org_ws_abm2_f4[[#This Row],[flow_am]]</f>
        <v>11196</v>
      </c>
      <c r="O1436">
        <f>Table_socioeca8.sandag.org_ws_abm2_f4[[#This Row],[flow_pm]]</f>
        <v>8177</v>
      </c>
    </row>
    <row r="1437" spans="5:15" x14ac:dyDescent="0.25">
      <c r="E1437">
        <v>28635</v>
      </c>
      <c r="F1437">
        <f t="shared" si="22"/>
        <v>259</v>
      </c>
      <c r="G1437">
        <f>IFERROR(VLOOKUP(Table_socioeca8.sandag.org_ws_abm2_f4[[#This Row],[hwycov_id]],[2]flow_freeway!$A$2:$E$1643,3,FALSE),0)</f>
        <v>34945</v>
      </c>
      <c r="H1437">
        <f>IFERROR(VLOOKUP(Table_socioeca8.sandag.org_ws_abm2_f4[[#This Row],[hwycov_id]],[2]flow_freeway!$A$2:$E$1643,4,FALSE),0)</f>
        <v>4742</v>
      </c>
      <c r="I1437">
        <f>IFERROR(VLOOKUP(Table_socioeca8.sandag.org_ws_abm2_f4[[#This Row],[hwycov_id]],[2]flow_freeway!$A$2:$E$1643,5,FALSE),0)</f>
        <v>11031</v>
      </c>
      <c r="K1437">
        <f>Table_socioeca8.sandag.org_ws_abm2_f4[[#This Row],[hwycov_id]]</f>
        <v>28635</v>
      </c>
      <c r="L1437">
        <f>Table_socioeca8.sandag.org_ws_abm2_f4[[#This Row],[scenario_id]]</f>
        <v>259</v>
      </c>
      <c r="M1437">
        <f>Table_socioeca8.sandag.org_ws_abm2_f4[[#This Row],[flow_day]]</f>
        <v>34945</v>
      </c>
      <c r="N1437">
        <f>Table_socioeca8.sandag.org_ws_abm2_f4[[#This Row],[flow_am]]</f>
        <v>4742</v>
      </c>
      <c r="O1437">
        <f>Table_socioeca8.sandag.org_ws_abm2_f4[[#This Row],[flow_pm]]</f>
        <v>11031</v>
      </c>
    </row>
    <row r="1438" spans="5:15" x14ac:dyDescent="0.25">
      <c r="E1438">
        <v>28636</v>
      </c>
      <c r="F1438">
        <f t="shared" si="22"/>
        <v>259</v>
      </c>
      <c r="G1438">
        <f>IFERROR(VLOOKUP(Table_socioeca8.sandag.org_ws_abm2_f4[[#This Row],[hwycov_id]],[2]flow_freeway!$A$2:$E$1643,3,FALSE),0)</f>
        <v>37014</v>
      </c>
      <c r="H1438">
        <f>IFERROR(VLOOKUP(Table_socioeca8.sandag.org_ws_abm2_f4[[#This Row],[hwycov_id]],[2]flow_freeway!$A$2:$E$1643,4,FALSE),0)</f>
        <v>5126</v>
      </c>
      <c r="I1438">
        <f>IFERROR(VLOOKUP(Table_socioeca8.sandag.org_ws_abm2_f4[[#This Row],[hwycov_id]],[2]flow_freeway!$A$2:$E$1643,5,FALSE),0)</f>
        <v>11544</v>
      </c>
      <c r="K1438">
        <f>Table_socioeca8.sandag.org_ws_abm2_f4[[#This Row],[hwycov_id]]</f>
        <v>28636</v>
      </c>
      <c r="L1438">
        <f>Table_socioeca8.sandag.org_ws_abm2_f4[[#This Row],[scenario_id]]</f>
        <v>259</v>
      </c>
      <c r="M1438">
        <f>Table_socioeca8.sandag.org_ws_abm2_f4[[#This Row],[flow_day]]</f>
        <v>37014</v>
      </c>
      <c r="N1438">
        <f>Table_socioeca8.sandag.org_ws_abm2_f4[[#This Row],[flow_am]]</f>
        <v>5126</v>
      </c>
      <c r="O1438">
        <f>Table_socioeca8.sandag.org_ws_abm2_f4[[#This Row],[flow_pm]]</f>
        <v>11544</v>
      </c>
    </row>
    <row r="1439" spans="5:15" x14ac:dyDescent="0.25">
      <c r="E1439">
        <v>28637</v>
      </c>
      <c r="F1439">
        <f t="shared" si="22"/>
        <v>259</v>
      </c>
      <c r="G1439">
        <f>IFERROR(VLOOKUP(Table_socioeca8.sandag.org_ws_abm2_f4[[#This Row],[hwycov_id]],[2]flow_freeway!$A$2:$E$1643,3,FALSE),0)</f>
        <v>39458</v>
      </c>
      <c r="H1439">
        <f>IFERROR(VLOOKUP(Table_socioeca8.sandag.org_ws_abm2_f4[[#This Row],[hwycov_id]],[2]flow_freeway!$A$2:$E$1643,4,FALSE),0)</f>
        <v>10122</v>
      </c>
      <c r="I1439">
        <f>IFERROR(VLOOKUP(Table_socioeca8.sandag.org_ws_abm2_f4[[#This Row],[hwycov_id]],[2]flow_freeway!$A$2:$E$1643,5,FALSE),0)</f>
        <v>7496</v>
      </c>
      <c r="K1439">
        <f>Table_socioeca8.sandag.org_ws_abm2_f4[[#This Row],[hwycov_id]]</f>
        <v>28637</v>
      </c>
      <c r="L1439">
        <f>Table_socioeca8.sandag.org_ws_abm2_f4[[#This Row],[scenario_id]]</f>
        <v>259</v>
      </c>
      <c r="M1439">
        <f>Table_socioeca8.sandag.org_ws_abm2_f4[[#This Row],[flow_day]]</f>
        <v>39458</v>
      </c>
      <c r="N1439">
        <f>Table_socioeca8.sandag.org_ws_abm2_f4[[#This Row],[flow_am]]</f>
        <v>10122</v>
      </c>
      <c r="O1439">
        <f>Table_socioeca8.sandag.org_ws_abm2_f4[[#This Row],[flow_pm]]</f>
        <v>7496</v>
      </c>
    </row>
    <row r="1440" spans="5:15" x14ac:dyDescent="0.25">
      <c r="E1440">
        <v>28638</v>
      </c>
      <c r="F1440">
        <f t="shared" si="22"/>
        <v>259</v>
      </c>
      <c r="G1440">
        <f>IFERROR(VLOOKUP(Table_socioeca8.sandag.org_ws_abm2_f4[[#This Row],[hwycov_id]],[2]flow_freeway!$A$2:$E$1643,3,FALSE),0)</f>
        <v>30274</v>
      </c>
      <c r="H1440">
        <f>IFERROR(VLOOKUP(Table_socioeca8.sandag.org_ws_abm2_f4[[#This Row],[hwycov_id]],[2]flow_freeway!$A$2:$E$1643,4,FALSE),0)</f>
        <v>8236</v>
      </c>
      <c r="I1440">
        <f>IFERROR(VLOOKUP(Table_socioeca8.sandag.org_ws_abm2_f4[[#This Row],[hwycov_id]],[2]flow_freeway!$A$2:$E$1643,5,FALSE),0)</f>
        <v>5684</v>
      </c>
      <c r="K1440">
        <f>Table_socioeca8.sandag.org_ws_abm2_f4[[#This Row],[hwycov_id]]</f>
        <v>28638</v>
      </c>
      <c r="L1440">
        <f>Table_socioeca8.sandag.org_ws_abm2_f4[[#This Row],[scenario_id]]</f>
        <v>259</v>
      </c>
      <c r="M1440">
        <f>Table_socioeca8.sandag.org_ws_abm2_f4[[#This Row],[flow_day]]</f>
        <v>30274</v>
      </c>
      <c r="N1440">
        <f>Table_socioeca8.sandag.org_ws_abm2_f4[[#This Row],[flow_am]]</f>
        <v>8236</v>
      </c>
      <c r="O1440">
        <f>Table_socioeca8.sandag.org_ws_abm2_f4[[#This Row],[flow_pm]]</f>
        <v>5684</v>
      </c>
    </row>
    <row r="1441" spans="5:15" x14ac:dyDescent="0.25">
      <c r="E1441">
        <v>28673</v>
      </c>
      <c r="F1441">
        <f t="shared" si="22"/>
        <v>259</v>
      </c>
      <c r="G1441">
        <f>IFERROR(VLOOKUP(Table_socioeca8.sandag.org_ws_abm2_f4[[#This Row],[hwycov_id]],[2]flow_freeway!$A$2:$E$1643,3,FALSE),0)</f>
        <v>82248</v>
      </c>
      <c r="H1441">
        <f>IFERROR(VLOOKUP(Table_socioeca8.sandag.org_ws_abm2_f4[[#This Row],[hwycov_id]],[2]flow_freeway!$A$2:$E$1643,4,FALSE),0)</f>
        <v>16214</v>
      </c>
      <c r="I1441">
        <f>IFERROR(VLOOKUP(Table_socioeca8.sandag.org_ws_abm2_f4[[#This Row],[hwycov_id]],[2]flow_freeway!$A$2:$E$1643,5,FALSE),0)</f>
        <v>17032</v>
      </c>
      <c r="K1441">
        <f>Table_socioeca8.sandag.org_ws_abm2_f4[[#This Row],[hwycov_id]]</f>
        <v>28673</v>
      </c>
      <c r="L1441">
        <f>Table_socioeca8.sandag.org_ws_abm2_f4[[#This Row],[scenario_id]]</f>
        <v>259</v>
      </c>
      <c r="M1441">
        <f>Table_socioeca8.sandag.org_ws_abm2_f4[[#This Row],[flow_day]]</f>
        <v>82248</v>
      </c>
      <c r="N1441">
        <f>Table_socioeca8.sandag.org_ws_abm2_f4[[#This Row],[flow_am]]</f>
        <v>16214</v>
      </c>
      <c r="O1441">
        <f>Table_socioeca8.sandag.org_ws_abm2_f4[[#This Row],[flow_pm]]</f>
        <v>17032</v>
      </c>
    </row>
    <row r="1442" spans="5:15" x14ac:dyDescent="0.25">
      <c r="E1442">
        <v>28675</v>
      </c>
      <c r="F1442">
        <f t="shared" si="22"/>
        <v>259</v>
      </c>
      <c r="G1442">
        <f>IFERROR(VLOOKUP(Table_socioeca8.sandag.org_ws_abm2_f4[[#This Row],[hwycov_id]],[2]flow_freeway!$A$2:$E$1643,3,FALSE),0)</f>
        <v>52448</v>
      </c>
      <c r="H1442">
        <f>IFERROR(VLOOKUP(Table_socioeca8.sandag.org_ws_abm2_f4[[#This Row],[hwycov_id]],[2]flow_freeway!$A$2:$E$1643,4,FALSE),0)</f>
        <v>14702</v>
      </c>
      <c r="I1442">
        <f>IFERROR(VLOOKUP(Table_socioeca8.sandag.org_ws_abm2_f4[[#This Row],[hwycov_id]],[2]flow_freeway!$A$2:$E$1643,5,FALSE),0)</f>
        <v>10398</v>
      </c>
      <c r="K1442">
        <f>Table_socioeca8.sandag.org_ws_abm2_f4[[#This Row],[hwycov_id]]</f>
        <v>28675</v>
      </c>
      <c r="L1442">
        <f>Table_socioeca8.sandag.org_ws_abm2_f4[[#This Row],[scenario_id]]</f>
        <v>259</v>
      </c>
      <c r="M1442">
        <f>Table_socioeca8.sandag.org_ws_abm2_f4[[#This Row],[flow_day]]</f>
        <v>52448</v>
      </c>
      <c r="N1442">
        <f>Table_socioeca8.sandag.org_ws_abm2_f4[[#This Row],[flow_am]]</f>
        <v>14702</v>
      </c>
      <c r="O1442">
        <f>Table_socioeca8.sandag.org_ws_abm2_f4[[#This Row],[flow_pm]]</f>
        <v>10398</v>
      </c>
    </row>
    <row r="1443" spans="5:15" x14ac:dyDescent="0.25">
      <c r="E1443">
        <v>28676</v>
      </c>
      <c r="F1443">
        <f t="shared" si="22"/>
        <v>259</v>
      </c>
      <c r="G1443">
        <f>IFERROR(VLOOKUP(Table_socioeca8.sandag.org_ws_abm2_f4[[#This Row],[hwycov_id]],[2]flow_freeway!$A$2:$E$1643,3,FALSE),0)</f>
        <v>58859</v>
      </c>
      <c r="H1443">
        <f>IFERROR(VLOOKUP(Table_socioeca8.sandag.org_ws_abm2_f4[[#This Row],[hwycov_id]],[2]flow_freeway!$A$2:$E$1643,4,FALSE),0)</f>
        <v>9444</v>
      </c>
      <c r="I1443">
        <f>IFERROR(VLOOKUP(Table_socioeca8.sandag.org_ws_abm2_f4[[#This Row],[hwycov_id]],[2]flow_freeway!$A$2:$E$1643,5,FALSE),0)</f>
        <v>18195</v>
      </c>
      <c r="K1443">
        <f>Table_socioeca8.sandag.org_ws_abm2_f4[[#This Row],[hwycov_id]]</f>
        <v>28676</v>
      </c>
      <c r="L1443">
        <f>Table_socioeca8.sandag.org_ws_abm2_f4[[#This Row],[scenario_id]]</f>
        <v>259</v>
      </c>
      <c r="M1443">
        <f>Table_socioeca8.sandag.org_ws_abm2_f4[[#This Row],[flow_day]]</f>
        <v>58859</v>
      </c>
      <c r="N1443">
        <f>Table_socioeca8.sandag.org_ws_abm2_f4[[#This Row],[flow_am]]</f>
        <v>9444</v>
      </c>
      <c r="O1443">
        <f>Table_socioeca8.sandag.org_ws_abm2_f4[[#This Row],[flow_pm]]</f>
        <v>18195</v>
      </c>
    </row>
    <row r="1444" spans="5:15" x14ac:dyDescent="0.25">
      <c r="E1444">
        <v>28677</v>
      </c>
      <c r="F1444">
        <f t="shared" si="22"/>
        <v>259</v>
      </c>
      <c r="G1444">
        <f>IFERROR(VLOOKUP(Table_socioeca8.sandag.org_ws_abm2_f4[[#This Row],[hwycov_id]],[2]flow_freeway!$A$2:$E$1643,3,FALSE),0)</f>
        <v>59647</v>
      </c>
      <c r="H1444">
        <f>IFERROR(VLOOKUP(Table_socioeca8.sandag.org_ws_abm2_f4[[#This Row],[hwycov_id]],[2]flow_freeway!$A$2:$E$1643,4,FALSE),0)</f>
        <v>16613</v>
      </c>
      <c r="I1444">
        <f>IFERROR(VLOOKUP(Table_socioeca8.sandag.org_ws_abm2_f4[[#This Row],[hwycov_id]],[2]flow_freeway!$A$2:$E$1643,5,FALSE),0)</f>
        <v>11597</v>
      </c>
      <c r="K1444">
        <f>Table_socioeca8.sandag.org_ws_abm2_f4[[#This Row],[hwycov_id]]</f>
        <v>28677</v>
      </c>
      <c r="L1444">
        <f>Table_socioeca8.sandag.org_ws_abm2_f4[[#This Row],[scenario_id]]</f>
        <v>259</v>
      </c>
      <c r="M1444">
        <f>Table_socioeca8.sandag.org_ws_abm2_f4[[#This Row],[flow_day]]</f>
        <v>59647</v>
      </c>
      <c r="N1444">
        <f>Table_socioeca8.sandag.org_ws_abm2_f4[[#This Row],[flow_am]]</f>
        <v>16613</v>
      </c>
      <c r="O1444">
        <f>Table_socioeca8.sandag.org_ws_abm2_f4[[#This Row],[flow_pm]]</f>
        <v>11597</v>
      </c>
    </row>
    <row r="1445" spans="5:15" x14ac:dyDescent="0.25">
      <c r="E1445">
        <v>28678</v>
      </c>
      <c r="F1445">
        <f t="shared" si="22"/>
        <v>259</v>
      </c>
      <c r="G1445">
        <f>IFERROR(VLOOKUP(Table_socioeca8.sandag.org_ws_abm2_f4[[#This Row],[hwycov_id]],[2]flow_freeway!$A$2:$E$1643,3,FALSE),0)</f>
        <v>51167</v>
      </c>
      <c r="H1445">
        <f>IFERROR(VLOOKUP(Table_socioeca8.sandag.org_ws_abm2_f4[[#This Row],[hwycov_id]],[2]flow_freeway!$A$2:$E$1643,4,FALSE),0)</f>
        <v>8393</v>
      </c>
      <c r="I1445">
        <f>IFERROR(VLOOKUP(Table_socioeca8.sandag.org_ws_abm2_f4[[#This Row],[hwycov_id]],[2]flow_freeway!$A$2:$E$1643,5,FALSE),0)</f>
        <v>15688</v>
      </c>
      <c r="K1445">
        <f>Table_socioeca8.sandag.org_ws_abm2_f4[[#This Row],[hwycov_id]]</f>
        <v>28678</v>
      </c>
      <c r="L1445">
        <f>Table_socioeca8.sandag.org_ws_abm2_f4[[#This Row],[scenario_id]]</f>
        <v>259</v>
      </c>
      <c r="M1445">
        <f>Table_socioeca8.sandag.org_ws_abm2_f4[[#This Row],[flow_day]]</f>
        <v>51167</v>
      </c>
      <c r="N1445">
        <f>Table_socioeca8.sandag.org_ws_abm2_f4[[#This Row],[flow_am]]</f>
        <v>8393</v>
      </c>
      <c r="O1445">
        <f>Table_socioeca8.sandag.org_ws_abm2_f4[[#This Row],[flow_pm]]</f>
        <v>15688</v>
      </c>
    </row>
    <row r="1446" spans="5:15" x14ac:dyDescent="0.25">
      <c r="E1446">
        <v>28695</v>
      </c>
      <c r="F1446">
        <f t="shared" si="22"/>
        <v>259</v>
      </c>
      <c r="G1446">
        <f>IFERROR(VLOOKUP(Table_socioeca8.sandag.org_ws_abm2_f4[[#This Row],[hwycov_id]],[2]flow_freeway!$A$2:$E$1643,3,FALSE),0)</f>
        <v>105738</v>
      </c>
      <c r="H1446">
        <f>IFERROR(VLOOKUP(Table_socioeca8.sandag.org_ws_abm2_f4[[#This Row],[hwycov_id]],[2]flow_freeway!$A$2:$E$1643,4,FALSE),0)</f>
        <v>28021</v>
      </c>
      <c r="I1446">
        <f>IFERROR(VLOOKUP(Table_socioeca8.sandag.org_ws_abm2_f4[[#This Row],[hwycov_id]],[2]flow_freeway!$A$2:$E$1643,5,FALSE),0)</f>
        <v>20626</v>
      </c>
      <c r="K1446">
        <f>Table_socioeca8.sandag.org_ws_abm2_f4[[#This Row],[hwycov_id]]</f>
        <v>28695</v>
      </c>
      <c r="L1446">
        <f>Table_socioeca8.sandag.org_ws_abm2_f4[[#This Row],[scenario_id]]</f>
        <v>259</v>
      </c>
      <c r="M1446">
        <f>Table_socioeca8.sandag.org_ws_abm2_f4[[#This Row],[flow_day]]</f>
        <v>105738</v>
      </c>
      <c r="N1446">
        <f>Table_socioeca8.sandag.org_ws_abm2_f4[[#This Row],[flow_am]]</f>
        <v>28021</v>
      </c>
      <c r="O1446">
        <f>Table_socioeca8.sandag.org_ws_abm2_f4[[#This Row],[flow_pm]]</f>
        <v>20626</v>
      </c>
    </row>
    <row r="1447" spans="5:15" x14ac:dyDescent="0.25">
      <c r="E1447">
        <v>28696</v>
      </c>
      <c r="F1447">
        <f t="shared" si="22"/>
        <v>259</v>
      </c>
      <c r="G1447">
        <f>IFERROR(VLOOKUP(Table_socioeca8.sandag.org_ws_abm2_f4[[#This Row],[hwycov_id]],[2]flow_freeway!$A$2:$E$1643,3,FALSE),0)</f>
        <v>112815</v>
      </c>
      <c r="H1447">
        <f>IFERROR(VLOOKUP(Table_socioeca8.sandag.org_ws_abm2_f4[[#This Row],[hwycov_id]],[2]flow_freeway!$A$2:$E$1643,4,FALSE),0)</f>
        <v>29961</v>
      </c>
      <c r="I1447">
        <f>IFERROR(VLOOKUP(Table_socioeca8.sandag.org_ws_abm2_f4[[#This Row],[hwycov_id]],[2]flow_freeway!$A$2:$E$1643,5,FALSE),0)</f>
        <v>21929</v>
      </c>
      <c r="K1447">
        <f>Table_socioeca8.sandag.org_ws_abm2_f4[[#This Row],[hwycov_id]]</f>
        <v>28696</v>
      </c>
      <c r="L1447">
        <f>Table_socioeca8.sandag.org_ws_abm2_f4[[#This Row],[scenario_id]]</f>
        <v>259</v>
      </c>
      <c r="M1447">
        <f>Table_socioeca8.sandag.org_ws_abm2_f4[[#This Row],[flow_day]]</f>
        <v>112815</v>
      </c>
      <c r="N1447">
        <f>Table_socioeca8.sandag.org_ws_abm2_f4[[#This Row],[flow_am]]</f>
        <v>29961</v>
      </c>
      <c r="O1447">
        <f>Table_socioeca8.sandag.org_ws_abm2_f4[[#This Row],[flow_pm]]</f>
        <v>21929</v>
      </c>
    </row>
    <row r="1448" spans="5:15" x14ac:dyDescent="0.25">
      <c r="E1448">
        <v>28698</v>
      </c>
      <c r="F1448">
        <f t="shared" si="22"/>
        <v>259</v>
      </c>
      <c r="G1448">
        <f>IFERROR(VLOOKUP(Table_socioeca8.sandag.org_ws_abm2_f4[[#This Row],[hwycov_id]],[2]flow_freeway!$A$2:$E$1643,3,FALSE),0)</f>
        <v>88799</v>
      </c>
      <c r="H1448">
        <f>IFERROR(VLOOKUP(Table_socioeca8.sandag.org_ws_abm2_f4[[#This Row],[hwycov_id]],[2]flow_freeway!$A$2:$E$1643,4,FALSE),0)</f>
        <v>22438</v>
      </c>
      <c r="I1448">
        <f>IFERROR(VLOOKUP(Table_socioeca8.sandag.org_ws_abm2_f4[[#This Row],[hwycov_id]],[2]flow_freeway!$A$2:$E$1643,5,FALSE),0)</f>
        <v>17195</v>
      </c>
      <c r="K1448">
        <f>Table_socioeca8.sandag.org_ws_abm2_f4[[#This Row],[hwycov_id]]</f>
        <v>28698</v>
      </c>
      <c r="L1448">
        <f>Table_socioeca8.sandag.org_ws_abm2_f4[[#This Row],[scenario_id]]</f>
        <v>259</v>
      </c>
      <c r="M1448">
        <f>Table_socioeca8.sandag.org_ws_abm2_f4[[#This Row],[flow_day]]</f>
        <v>88799</v>
      </c>
      <c r="N1448">
        <f>Table_socioeca8.sandag.org_ws_abm2_f4[[#This Row],[flow_am]]</f>
        <v>22438</v>
      </c>
      <c r="O1448">
        <f>Table_socioeca8.sandag.org_ws_abm2_f4[[#This Row],[flow_pm]]</f>
        <v>17195</v>
      </c>
    </row>
    <row r="1449" spans="5:15" x14ac:dyDescent="0.25">
      <c r="E1449">
        <v>28700</v>
      </c>
      <c r="F1449">
        <f t="shared" si="22"/>
        <v>259</v>
      </c>
      <c r="G1449">
        <f>IFERROR(VLOOKUP(Table_socioeca8.sandag.org_ws_abm2_f4[[#This Row],[hwycov_id]],[2]flow_freeway!$A$2:$E$1643,3,FALSE),0)</f>
        <v>78495</v>
      </c>
      <c r="H1449">
        <f>IFERROR(VLOOKUP(Table_socioeca8.sandag.org_ws_abm2_f4[[#This Row],[hwycov_id]],[2]flow_freeway!$A$2:$E$1643,4,FALSE),0)</f>
        <v>11463</v>
      </c>
      <c r="I1449">
        <f>IFERROR(VLOOKUP(Table_socioeca8.sandag.org_ws_abm2_f4[[#This Row],[hwycov_id]],[2]flow_freeway!$A$2:$E$1643,5,FALSE),0)</f>
        <v>23907</v>
      </c>
      <c r="K1449">
        <f>Table_socioeca8.sandag.org_ws_abm2_f4[[#This Row],[hwycov_id]]</f>
        <v>28700</v>
      </c>
      <c r="L1449">
        <f>Table_socioeca8.sandag.org_ws_abm2_f4[[#This Row],[scenario_id]]</f>
        <v>259</v>
      </c>
      <c r="M1449">
        <f>Table_socioeca8.sandag.org_ws_abm2_f4[[#This Row],[flow_day]]</f>
        <v>78495</v>
      </c>
      <c r="N1449">
        <f>Table_socioeca8.sandag.org_ws_abm2_f4[[#This Row],[flow_am]]</f>
        <v>11463</v>
      </c>
      <c r="O1449">
        <f>Table_socioeca8.sandag.org_ws_abm2_f4[[#This Row],[flow_pm]]</f>
        <v>23907</v>
      </c>
    </row>
    <row r="1450" spans="5:15" x14ac:dyDescent="0.25">
      <c r="E1450">
        <v>28701</v>
      </c>
      <c r="F1450">
        <f t="shared" si="22"/>
        <v>259</v>
      </c>
      <c r="G1450">
        <f>IFERROR(VLOOKUP(Table_socioeca8.sandag.org_ws_abm2_f4[[#This Row],[hwycov_id]],[2]flow_freeway!$A$2:$E$1643,3,FALSE),0)</f>
        <v>102000</v>
      </c>
      <c r="H1450">
        <f>IFERROR(VLOOKUP(Table_socioeca8.sandag.org_ws_abm2_f4[[#This Row],[hwycov_id]],[2]flow_freeway!$A$2:$E$1643,4,FALSE),0)</f>
        <v>14728</v>
      </c>
      <c r="I1450">
        <f>IFERROR(VLOOKUP(Table_socioeca8.sandag.org_ws_abm2_f4[[#This Row],[hwycov_id]],[2]flow_freeway!$A$2:$E$1643,5,FALSE),0)</f>
        <v>31114</v>
      </c>
      <c r="K1450">
        <f>Table_socioeca8.sandag.org_ws_abm2_f4[[#This Row],[hwycov_id]]</f>
        <v>28701</v>
      </c>
      <c r="L1450">
        <f>Table_socioeca8.sandag.org_ws_abm2_f4[[#This Row],[scenario_id]]</f>
        <v>259</v>
      </c>
      <c r="M1450">
        <f>Table_socioeca8.sandag.org_ws_abm2_f4[[#This Row],[flow_day]]</f>
        <v>102000</v>
      </c>
      <c r="N1450">
        <f>Table_socioeca8.sandag.org_ws_abm2_f4[[#This Row],[flow_am]]</f>
        <v>14728</v>
      </c>
      <c r="O1450">
        <f>Table_socioeca8.sandag.org_ws_abm2_f4[[#This Row],[flow_pm]]</f>
        <v>31114</v>
      </c>
    </row>
    <row r="1451" spans="5:15" x14ac:dyDescent="0.25">
      <c r="E1451">
        <v>28705</v>
      </c>
      <c r="F1451">
        <f t="shared" si="22"/>
        <v>259</v>
      </c>
      <c r="G1451">
        <f>IFERROR(VLOOKUP(Table_socioeca8.sandag.org_ws_abm2_f4[[#This Row],[hwycov_id]],[2]flow_freeway!$A$2:$E$1643,3,FALSE),0)</f>
        <v>98825</v>
      </c>
      <c r="H1451">
        <f>IFERROR(VLOOKUP(Table_socioeca8.sandag.org_ws_abm2_f4[[#This Row],[hwycov_id]],[2]flow_freeway!$A$2:$E$1643,4,FALSE),0)</f>
        <v>14441</v>
      </c>
      <c r="I1451">
        <f>IFERROR(VLOOKUP(Table_socioeca8.sandag.org_ws_abm2_f4[[#This Row],[hwycov_id]],[2]flow_freeway!$A$2:$E$1643,5,FALSE),0)</f>
        <v>30240</v>
      </c>
      <c r="K1451">
        <f>Table_socioeca8.sandag.org_ws_abm2_f4[[#This Row],[hwycov_id]]</f>
        <v>28705</v>
      </c>
      <c r="L1451">
        <f>Table_socioeca8.sandag.org_ws_abm2_f4[[#This Row],[scenario_id]]</f>
        <v>259</v>
      </c>
      <c r="M1451">
        <f>Table_socioeca8.sandag.org_ws_abm2_f4[[#This Row],[flow_day]]</f>
        <v>98825</v>
      </c>
      <c r="N1451">
        <f>Table_socioeca8.sandag.org_ws_abm2_f4[[#This Row],[flow_am]]</f>
        <v>14441</v>
      </c>
      <c r="O1451">
        <f>Table_socioeca8.sandag.org_ws_abm2_f4[[#This Row],[flow_pm]]</f>
        <v>30240</v>
      </c>
    </row>
    <row r="1452" spans="5:15" x14ac:dyDescent="0.25">
      <c r="E1452">
        <v>28706</v>
      </c>
      <c r="F1452">
        <f t="shared" si="22"/>
        <v>259</v>
      </c>
      <c r="G1452">
        <f>IFERROR(VLOOKUP(Table_socioeca8.sandag.org_ws_abm2_f4[[#This Row],[hwycov_id]],[2]flow_freeway!$A$2:$E$1643,3,FALSE),0)</f>
        <v>92488</v>
      </c>
      <c r="H1452">
        <f>IFERROR(VLOOKUP(Table_socioeca8.sandag.org_ws_abm2_f4[[#This Row],[hwycov_id]],[2]flow_freeway!$A$2:$E$1643,4,FALSE),0)</f>
        <v>13285</v>
      </c>
      <c r="I1452">
        <f>IFERROR(VLOOKUP(Table_socioeca8.sandag.org_ws_abm2_f4[[#This Row],[hwycov_id]],[2]flow_freeway!$A$2:$E$1643,5,FALSE),0)</f>
        <v>28558</v>
      </c>
      <c r="K1452">
        <f>Table_socioeca8.sandag.org_ws_abm2_f4[[#This Row],[hwycov_id]]</f>
        <v>28706</v>
      </c>
      <c r="L1452">
        <f>Table_socioeca8.sandag.org_ws_abm2_f4[[#This Row],[scenario_id]]</f>
        <v>259</v>
      </c>
      <c r="M1452">
        <f>Table_socioeca8.sandag.org_ws_abm2_f4[[#This Row],[flow_day]]</f>
        <v>92488</v>
      </c>
      <c r="N1452">
        <f>Table_socioeca8.sandag.org_ws_abm2_f4[[#This Row],[flow_am]]</f>
        <v>13285</v>
      </c>
      <c r="O1452">
        <f>Table_socioeca8.sandag.org_ws_abm2_f4[[#This Row],[flow_pm]]</f>
        <v>28558</v>
      </c>
    </row>
    <row r="1453" spans="5:15" x14ac:dyDescent="0.25">
      <c r="E1453">
        <v>28708</v>
      </c>
      <c r="F1453">
        <f t="shared" si="22"/>
        <v>259</v>
      </c>
      <c r="G1453">
        <f>IFERROR(VLOOKUP(Table_socioeca8.sandag.org_ws_abm2_f4[[#This Row],[hwycov_id]],[2]flow_freeway!$A$2:$E$1643,3,FALSE),0)</f>
        <v>113000</v>
      </c>
      <c r="H1453">
        <f>IFERROR(VLOOKUP(Table_socioeca8.sandag.org_ws_abm2_f4[[#This Row],[hwycov_id]],[2]flow_freeway!$A$2:$E$1643,4,FALSE),0)</f>
        <v>29293</v>
      </c>
      <c r="I1453">
        <f>IFERROR(VLOOKUP(Table_socioeca8.sandag.org_ws_abm2_f4[[#This Row],[hwycov_id]],[2]flow_freeway!$A$2:$E$1643,5,FALSE),0)</f>
        <v>22407</v>
      </c>
      <c r="K1453">
        <f>Table_socioeca8.sandag.org_ws_abm2_f4[[#This Row],[hwycov_id]]</f>
        <v>28708</v>
      </c>
      <c r="L1453">
        <f>Table_socioeca8.sandag.org_ws_abm2_f4[[#This Row],[scenario_id]]</f>
        <v>259</v>
      </c>
      <c r="M1453">
        <f>Table_socioeca8.sandag.org_ws_abm2_f4[[#This Row],[flow_day]]</f>
        <v>113000</v>
      </c>
      <c r="N1453">
        <f>Table_socioeca8.sandag.org_ws_abm2_f4[[#This Row],[flow_am]]</f>
        <v>29293</v>
      </c>
      <c r="O1453">
        <f>Table_socioeca8.sandag.org_ws_abm2_f4[[#This Row],[flow_pm]]</f>
        <v>22407</v>
      </c>
    </row>
    <row r="1454" spans="5:15" x14ac:dyDescent="0.25">
      <c r="E1454">
        <v>28710</v>
      </c>
      <c r="F1454">
        <f t="shared" si="22"/>
        <v>259</v>
      </c>
      <c r="G1454">
        <f>IFERROR(VLOOKUP(Table_socioeca8.sandag.org_ws_abm2_f4[[#This Row],[hwycov_id]],[2]flow_freeway!$A$2:$E$1643,3,FALSE),0)</f>
        <v>102606</v>
      </c>
      <c r="H1454">
        <f>IFERROR(VLOOKUP(Table_socioeca8.sandag.org_ws_abm2_f4[[#This Row],[hwycov_id]],[2]flow_freeway!$A$2:$E$1643,4,FALSE),0)</f>
        <v>26395</v>
      </c>
      <c r="I1454">
        <f>IFERROR(VLOOKUP(Table_socioeca8.sandag.org_ws_abm2_f4[[#This Row],[hwycov_id]],[2]flow_freeway!$A$2:$E$1643,5,FALSE),0)</f>
        <v>20665</v>
      </c>
      <c r="K1454">
        <f>Table_socioeca8.sandag.org_ws_abm2_f4[[#This Row],[hwycov_id]]</f>
        <v>28710</v>
      </c>
      <c r="L1454">
        <f>Table_socioeca8.sandag.org_ws_abm2_f4[[#This Row],[scenario_id]]</f>
        <v>259</v>
      </c>
      <c r="M1454">
        <f>Table_socioeca8.sandag.org_ws_abm2_f4[[#This Row],[flow_day]]</f>
        <v>102606</v>
      </c>
      <c r="N1454">
        <f>Table_socioeca8.sandag.org_ws_abm2_f4[[#This Row],[flow_am]]</f>
        <v>26395</v>
      </c>
      <c r="O1454">
        <f>Table_socioeca8.sandag.org_ws_abm2_f4[[#This Row],[flow_pm]]</f>
        <v>20665</v>
      </c>
    </row>
    <row r="1455" spans="5:15" x14ac:dyDescent="0.25">
      <c r="E1455">
        <v>28716</v>
      </c>
      <c r="F1455">
        <f t="shared" si="22"/>
        <v>259</v>
      </c>
      <c r="G1455">
        <f>IFERROR(VLOOKUP(Table_socioeca8.sandag.org_ws_abm2_f4[[#This Row],[hwycov_id]],[2]flow_freeway!$A$2:$E$1643,3,FALSE),0)</f>
        <v>94899</v>
      </c>
      <c r="H1455">
        <f>IFERROR(VLOOKUP(Table_socioeca8.sandag.org_ws_abm2_f4[[#This Row],[hwycov_id]],[2]flow_freeway!$A$2:$E$1643,4,FALSE),0)</f>
        <v>13913</v>
      </c>
      <c r="I1455">
        <f>IFERROR(VLOOKUP(Table_socioeca8.sandag.org_ws_abm2_f4[[#This Row],[hwycov_id]],[2]flow_freeway!$A$2:$E$1643,5,FALSE),0)</f>
        <v>28745</v>
      </c>
      <c r="K1455">
        <f>Table_socioeca8.sandag.org_ws_abm2_f4[[#This Row],[hwycov_id]]</f>
        <v>28716</v>
      </c>
      <c r="L1455">
        <f>Table_socioeca8.sandag.org_ws_abm2_f4[[#This Row],[scenario_id]]</f>
        <v>259</v>
      </c>
      <c r="M1455">
        <f>Table_socioeca8.sandag.org_ws_abm2_f4[[#This Row],[flow_day]]</f>
        <v>94899</v>
      </c>
      <c r="N1455">
        <f>Table_socioeca8.sandag.org_ws_abm2_f4[[#This Row],[flow_am]]</f>
        <v>13913</v>
      </c>
      <c r="O1455">
        <f>Table_socioeca8.sandag.org_ws_abm2_f4[[#This Row],[flow_pm]]</f>
        <v>28745</v>
      </c>
    </row>
    <row r="1456" spans="5:15" x14ac:dyDescent="0.25">
      <c r="E1456">
        <v>28717</v>
      </c>
      <c r="F1456">
        <f t="shared" si="22"/>
        <v>259</v>
      </c>
      <c r="G1456">
        <f>IFERROR(VLOOKUP(Table_socioeca8.sandag.org_ws_abm2_f4[[#This Row],[hwycov_id]],[2]flow_freeway!$A$2:$E$1643,3,FALSE),0)</f>
        <v>99742</v>
      </c>
      <c r="H1456">
        <f>IFERROR(VLOOKUP(Table_socioeca8.sandag.org_ws_abm2_f4[[#This Row],[hwycov_id]],[2]flow_freeway!$A$2:$E$1643,4,FALSE),0)</f>
        <v>15000</v>
      </c>
      <c r="I1456">
        <f>IFERROR(VLOOKUP(Table_socioeca8.sandag.org_ws_abm2_f4[[#This Row],[hwycov_id]],[2]flow_freeway!$A$2:$E$1643,5,FALSE),0)</f>
        <v>29607</v>
      </c>
      <c r="K1456">
        <f>Table_socioeca8.sandag.org_ws_abm2_f4[[#This Row],[hwycov_id]]</f>
        <v>28717</v>
      </c>
      <c r="L1456">
        <f>Table_socioeca8.sandag.org_ws_abm2_f4[[#This Row],[scenario_id]]</f>
        <v>259</v>
      </c>
      <c r="M1456">
        <f>Table_socioeca8.sandag.org_ws_abm2_f4[[#This Row],[flow_day]]</f>
        <v>99742</v>
      </c>
      <c r="N1456">
        <f>Table_socioeca8.sandag.org_ws_abm2_f4[[#This Row],[flow_am]]</f>
        <v>15000</v>
      </c>
      <c r="O1456">
        <f>Table_socioeca8.sandag.org_ws_abm2_f4[[#This Row],[flow_pm]]</f>
        <v>29607</v>
      </c>
    </row>
    <row r="1457" spans="5:15" x14ac:dyDescent="0.25">
      <c r="E1457">
        <v>28718</v>
      </c>
      <c r="F1457">
        <f t="shared" si="22"/>
        <v>259</v>
      </c>
      <c r="G1457">
        <f>IFERROR(VLOOKUP(Table_socioeca8.sandag.org_ws_abm2_f4[[#This Row],[hwycov_id]],[2]flow_freeway!$A$2:$E$1643,3,FALSE),0)</f>
        <v>97408</v>
      </c>
      <c r="H1457">
        <f>IFERROR(VLOOKUP(Table_socioeca8.sandag.org_ws_abm2_f4[[#This Row],[hwycov_id]],[2]flow_freeway!$A$2:$E$1643,4,FALSE),0)</f>
        <v>25060</v>
      </c>
      <c r="I1457">
        <f>IFERROR(VLOOKUP(Table_socioeca8.sandag.org_ws_abm2_f4[[#This Row],[hwycov_id]],[2]flow_freeway!$A$2:$E$1643,5,FALSE),0)</f>
        <v>19611</v>
      </c>
      <c r="K1457">
        <f>Table_socioeca8.sandag.org_ws_abm2_f4[[#This Row],[hwycov_id]]</f>
        <v>28718</v>
      </c>
      <c r="L1457">
        <f>Table_socioeca8.sandag.org_ws_abm2_f4[[#This Row],[scenario_id]]</f>
        <v>259</v>
      </c>
      <c r="M1457">
        <f>Table_socioeca8.sandag.org_ws_abm2_f4[[#This Row],[flow_day]]</f>
        <v>97408</v>
      </c>
      <c r="N1457">
        <f>Table_socioeca8.sandag.org_ws_abm2_f4[[#This Row],[flow_am]]</f>
        <v>25060</v>
      </c>
      <c r="O1457">
        <f>Table_socioeca8.sandag.org_ws_abm2_f4[[#This Row],[flow_pm]]</f>
        <v>19611</v>
      </c>
    </row>
    <row r="1458" spans="5:15" x14ac:dyDescent="0.25">
      <c r="E1458">
        <v>28722</v>
      </c>
      <c r="F1458">
        <f t="shared" si="22"/>
        <v>259</v>
      </c>
      <c r="G1458">
        <f>IFERROR(VLOOKUP(Table_socioeca8.sandag.org_ws_abm2_f4[[#This Row],[hwycov_id]],[2]flow_freeway!$A$2:$E$1643,3,FALSE),0)</f>
        <v>96586</v>
      </c>
      <c r="H1458">
        <f>IFERROR(VLOOKUP(Table_socioeca8.sandag.org_ws_abm2_f4[[#This Row],[hwycov_id]],[2]flow_freeway!$A$2:$E$1643,4,FALSE),0)</f>
        <v>14483</v>
      </c>
      <c r="I1458">
        <f>IFERROR(VLOOKUP(Table_socioeca8.sandag.org_ws_abm2_f4[[#This Row],[hwycov_id]],[2]flow_freeway!$A$2:$E$1643,5,FALSE),0)</f>
        <v>28874</v>
      </c>
      <c r="K1458">
        <f>Table_socioeca8.sandag.org_ws_abm2_f4[[#This Row],[hwycov_id]]</f>
        <v>28722</v>
      </c>
      <c r="L1458">
        <f>Table_socioeca8.sandag.org_ws_abm2_f4[[#This Row],[scenario_id]]</f>
        <v>259</v>
      </c>
      <c r="M1458">
        <f>Table_socioeca8.sandag.org_ws_abm2_f4[[#This Row],[flow_day]]</f>
        <v>96586</v>
      </c>
      <c r="N1458">
        <f>Table_socioeca8.sandag.org_ws_abm2_f4[[#This Row],[flow_am]]</f>
        <v>14483</v>
      </c>
      <c r="O1458">
        <f>Table_socioeca8.sandag.org_ws_abm2_f4[[#This Row],[flow_pm]]</f>
        <v>28874</v>
      </c>
    </row>
    <row r="1459" spans="5:15" x14ac:dyDescent="0.25">
      <c r="E1459">
        <v>28725</v>
      </c>
      <c r="F1459">
        <f t="shared" si="22"/>
        <v>259</v>
      </c>
      <c r="G1459">
        <f>IFERROR(VLOOKUP(Table_socioeca8.sandag.org_ws_abm2_f4[[#This Row],[hwycov_id]],[2]flow_freeway!$A$2:$E$1643,3,FALSE),0)</f>
        <v>105726</v>
      </c>
      <c r="H1459">
        <f>IFERROR(VLOOKUP(Table_socioeca8.sandag.org_ws_abm2_f4[[#This Row],[hwycov_id]],[2]flow_freeway!$A$2:$E$1643,4,FALSE),0)</f>
        <v>26281</v>
      </c>
      <c r="I1459">
        <f>IFERROR(VLOOKUP(Table_socioeca8.sandag.org_ws_abm2_f4[[#This Row],[hwycov_id]],[2]flow_freeway!$A$2:$E$1643,5,FALSE),0)</f>
        <v>21909</v>
      </c>
      <c r="K1459">
        <f>Table_socioeca8.sandag.org_ws_abm2_f4[[#This Row],[hwycov_id]]</f>
        <v>28725</v>
      </c>
      <c r="L1459">
        <f>Table_socioeca8.sandag.org_ws_abm2_f4[[#This Row],[scenario_id]]</f>
        <v>259</v>
      </c>
      <c r="M1459">
        <f>Table_socioeca8.sandag.org_ws_abm2_f4[[#This Row],[flow_day]]</f>
        <v>105726</v>
      </c>
      <c r="N1459">
        <f>Table_socioeca8.sandag.org_ws_abm2_f4[[#This Row],[flow_am]]</f>
        <v>26281</v>
      </c>
      <c r="O1459">
        <f>Table_socioeca8.sandag.org_ws_abm2_f4[[#This Row],[flow_pm]]</f>
        <v>21909</v>
      </c>
    </row>
    <row r="1460" spans="5:15" x14ac:dyDescent="0.25">
      <c r="E1460">
        <v>28726</v>
      </c>
      <c r="F1460">
        <f t="shared" si="22"/>
        <v>259</v>
      </c>
      <c r="G1460">
        <f>IFERROR(VLOOKUP(Table_socioeca8.sandag.org_ws_abm2_f4[[#This Row],[hwycov_id]],[2]flow_freeway!$A$2:$E$1643,3,FALSE),0)</f>
        <v>110551</v>
      </c>
      <c r="H1460">
        <f>IFERROR(VLOOKUP(Table_socioeca8.sandag.org_ws_abm2_f4[[#This Row],[hwycov_id]],[2]flow_freeway!$A$2:$E$1643,4,FALSE),0)</f>
        <v>17003</v>
      </c>
      <c r="I1460">
        <f>IFERROR(VLOOKUP(Table_socioeca8.sandag.org_ws_abm2_f4[[#This Row],[hwycov_id]],[2]flow_freeway!$A$2:$E$1643,5,FALSE),0)</f>
        <v>32660</v>
      </c>
      <c r="K1460">
        <f>Table_socioeca8.sandag.org_ws_abm2_f4[[#This Row],[hwycov_id]]</f>
        <v>28726</v>
      </c>
      <c r="L1460">
        <f>Table_socioeca8.sandag.org_ws_abm2_f4[[#This Row],[scenario_id]]</f>
        <v>259</v>
      </c>
      <c r="M1460">
        <f>Table_socioeca8.sandag.org_ws_abm2_f4[[#This Row],[flow_day]]</f>
        <v>110551</v>
      </c>
      <c r="N1460">
        <f>Table_socioeca8.sandag.org_ws_abm2_f4[[#This Row],[flow_am]]</f>
        <v>17003</v>
      </c>
      <c r="O1460">
        <f>Table_socioeca8.sandag.org_ws_abm2_f4[[#This Row],[flow_pm]]</f>
        <v>32660</v>
      </c>
    </row>
    <row r="1461" spans="5:15" x14ac:dyDescent="0.25">
      <c r="E1461">
        <v>28727</v>
      </c>
      <c r="F1461">
        <f t="shared" si="22"/>
        <v>259</v>
      </c>
      <c r="G1461">
        <f>IFERROR(VLOOKUP(Table_socioeca8.sandag.org_ws_abm2_f4[[#This Row],[hwycov_id]],[2]flow_freeway!$A$2:$E$1643,3,FALSE),0)</f>
        <v>120224</v>
      </c>
      <c r="H1461">
        <f>IFERROR(VLOOKUP(Table_socioeca8.sandag.org_ws_abm2_f4[[#This Row],[hwycov_id]],[2]flow_freeway!$A$2:$E$1643,4,FALSE),0)</f>
        <v>29074</v>
      </c>
      <c r="I1461">
        <f>IFERROR(VLOOKUP(Table_socioeca8.sandag.org_ws_abm2_f4[[#This Row],[hwycov_id]],[2]flow_freeway!$A$2:$E$1643,5,FALSE),0)</f>
        <v>25567</v>
      </c>
      <c r="K1461">
        <f>Table_socioeca8.sandag.org_ws_abm2_f4[[#This Row],[hwycov_id]]</f>
        <v>28727</v>
      </c>
      <c r="L1461">
        <f>Table_socioeca8.sandag.org_ws_abm2_f4[[#This Row],[scenario_id]]</f>
        <v>259</v>
      </c>
      <c r="M1461">
        <f>Table_socioeca8.sandag.org_ws_abm2_f4[[#This Row],[flow_day]]</f>
        <v>120224</v>
      </c>
      <c r="N1461">
        <f>Table_socioeca8.sandag.org_ws_abm2_f4[[#This Row],[flow_am]]</f>
        <v>29074</v>
      </c>
      <c r="O1461">
        <f>Table_socioeca8.sandag.org_ws_abm2_f4[[#This Row],[flow_pm]]</f>
        <v>25567</v>
      </c>
    </row>
    <row r="1462" spans="5:15" x14ac:dyDescent="0.25">
      <c r="E1462">
        <v>28730</v>
      </c>
      <c r="F1462">
        <f t="shared" si="22"/>
        <v>259</v>
      </c>
      <c r="G1462">
        <f>IFERROR(VLOOKUP(Table_socioeca8.sandag.org_ws_abm2_f4[[#This Row],[hwycov_id]],[2]flow_freeway!$A$2:$E$1643,3,FALSE),0)</f>
        <v>114374</v>
      </c>
      <c r="H1462">
        <f>IFERROR(VLOOKUP(Table_socioeca8.sandag.org_ws_abm2_f4[[#This Row],[hwycov_id]],[2]flow_freeway!$A$2:$E$1643,4,FALSE),0)</f>
        <v>28152</v>
      </c>
      <c r="I1462">
        <f>IFERROR(VLOOKUP(Table_socioeca8.sandag.org_ws_abm2_f4[[#This Row],[hwycov_id]],[2]flow_freeway!$A$2:$E$1643,5,FALSE),0)</f>
        <v>24072</v>
      </c>
      <c r="K1462">
        <f>Table_socioeca8.sandag.org_ws_abm2_f4[[#This Row],[hwycov_id]]</f>
        <v>28730</v>
      </c>
      <c r="L1462">
        <f>Table_socioeca8.sandag.org_ws_abm2_f4[[#This Row],[scenario_id]]</f>
        <v>259</v>
      </c>
      <c r="M1462">
        <f>Table_socioeca8.sandag.org_ws_abm2_f4[[#This Row],[flow_day]]</f>
        <v>114374</v>
      </c>
      <c r="N1462">
        <f>Table_socioeca8.sandag.org_ws_abm2_f4[[#This Row],[flow_am]]</f>
        <v>28152</v>
      </c>
      <c r="O1462">
        <f>Table_socioeca8.sandag.org_ws_abm2_f4[[#This Row],[flow_pm]]</f>
        <v>24072</v>
      </c>
    </row>
    <row r="1463" spans="5:15" x14ac:dyDescent="0.25">
      <c r="E1463">
        <v>28735</v>
      </c>
      <c r="F1463">
        <f t="shared" si="22"/>
        <v>259</v>
      </c>
      <c r="G1463">
        <f>IFERROR(VLOOKUP(Table_socioeca8.sandag.org_ws_abm2_f4[[#This Row],[hwycov_id]],[2]flow_freeway!$A$2:$E$1643,3,FALSE),0)</f>
        <v>97829</v>
      </c>
      <c r="H1463">
        <f>IFERROR(VLOOKUP(Table_socioeca8.sandag.org_ws_abm2_f4[[#This Row],[hwycov_id]],[2]flow_freeway!$A$2:$E$1643,4,FALSE),0)</f>
        <v>26848</v>
      </c>
      <c r="I1463">
        <f>IFERROR(VLOOKUP(Table_socioeca8.sandag.org_ws_abm2_f4[[#This Row],[hwycov_id]],[2]flow_freeway!$A$2:$E$1643,5,FALSE),0)</f>
        <v>19600</v>
      </c>
      <c r="K1463">
        <f>Table_socioeca8.sandag.org_ws_abm2_f4[[#This Row],[hwycov_id]]</f>
        <v>28735</v>
      </c>
      <c r="L1463">
        <f>Table_socioeca8.sandag.org_ws_abm2_f4[[#This Row],[scenario_id]]</f>
        <v>259</v>
      </c>
      <c r="M1463">
        <f>Table_socioeca8.sandag.org_ws_abm2_f4[[#This Row],[flow_day]]</f>
        <v>97829</v>
      </c>
      <c r="N1463">
        <f>Table_socioeca8.sandag.org_ws_abm2_f4[[#This Row],[flow_am]]</f>
        <v>26848</v>
      </c>
      <c r="O1463">
        <f>Table_socioeca8.sandag.org_ws_abm2_f4[[#This Row],[flow_pm]]</f>
        <v>19600</v>
      </c>
    </row>
    <row r="1464" spans="5:15" x14ac:dyDescent="0.25">
      <c r="E1464">
        <v>28736</v>
      </c>
      <c r="F1464">
        <f t="shared" si="22"/>
        <v>259</v>
      </c>
      <c r="G1464">
        <f>IFERROR(VLOOKUP(Table_socioeca8.sandag.org_ws_abm2_f4[[#This Row],[hwycov_id]],[2]flow_freeway!$A$2:$E$1643,3,FALSE),0)</f>
        <v>95176</v>
      </c>
      <c r="H1464">
        <f>IFERROR(VLOOKUP(Table_socioeca8.sandag.org_ws_abm2_f4[[#This Row],[hwycov_id]],[2]flow_freeway!$A$2:$E$1643,4,FALSE),0)</f>
        <v>13580</v>
      </c>
      <c r="I1464">
        <f>IFERROR(VLOOKUP(Table_socioeca8.sandag.org_ws_abm2_f4[[#This Row],[hwycov_id]],[2]flow_freeway!$A$2:$E$1643,5,FALSE),0)</f>
        <v>29373</v>
      </c>
      <c r="K1464">
        <f>Table_socioeca8.sandag.org_ws_abm2_f4[[#This Row],[hwycov_id]]</f>
        <v>28736</v>
      </c>
      <c r="L1464">
        <f>Table_socioeca8.sandag.org_ws_abm2_f4[[#This Row],[scenario_id]]</f>
        <v>259</v>
      </c>
      <c r="M1464">
        <f>Table_socioeca8.sandag.org_ws_abm2_f4[[#This Row],[flow_day]]</f>
        <v>95176</v>
      </c>
      <c r="N1464">
        <f>Table_socioeca8.sandag.org_ws_abm2_f4[[#This Row],[flow_am]]</f>
        <v>13580</v>
      </c>
      <c r="O1464">
        <f>Table_socioeca8.sandag.org_ws_abm2_f4[[#This Row],[flow_pm]]</f>
        <v>29373</v>
      </c>
    </row>
    <row r="1465" spans="5:15" x14ac:dyDescent="0.25">
      <c r="E1465">
        <v>28745</v>
      </c>
      <c r="F1465">
        <f t="shared" si="22"/>
        <v>259</v>
      </c>
      <c r="G1465">
        <f>IFERROR(VLOOKUP(Table_socioeca8.sandag.org_ws_abm2_f4[[#This Row],[hwycov_id]],[2]flow_freeway!$A$2:$E$1643,3,FALSE),0)</f>
        <v>101948</v>
      </c>
      <c r="H1465">
        <f>IFERROR(VLOOKUP(Table_socioeca8.sandag.org_ws_abm2_f4[[#This Row],[hwycov_id]],[2]flow_freeway!$A$2:$E$1643,4,FALSE),0)</f>
        <v>15083</v>
      </c>
      <c r="I1465">
        <f>IFERROR(VLOOKUP(Table_socioeca8.sandag.org_ws_abm2_f4[[#This Row],[hwycov_id]],[2]flow_freeway!$A$2:$E$1643,5,FALSE),0)</f>
        <v>31339</v>
      </c>
      <c r="K1465">
        <f>Table_socioeca8.sandag.org_ws_abm2_f4[[#This Row],[hwycov_id]]</f>
        <v>28745</v>
      </c>
      <c r="L1465">
        <f>Table_socioeca8.sandag.org_ws_abm2_f4[[#This Row],[scenario_id]]</f>
        <v>259</v>
      </c>
      <c r="M1465">
        <f>Table_socioeca8.sandag.org_ws_abm2_f4[[#This Row],[flow_day]]</f>
        <v>101948</v>
      </c>
      <c r="N1465">
        <f>Table_socioeca8.sandag.org_ws_abm2_f4[[#This Row],[flow_am]]</f>
        <v>15083</v>
      </c>
      <c r="O1465">
        <f>Table_socioeca8.sandag.org_ws_abm2_f4[[#This Row],[flow_pm]]</f>
        <v>31339</v>
      </c>
    </row>
    <row r="1466" spans="5:15" x14ac:dyDescent="0.25">
      <c r="E1466">
        <v>28746</v>
      </c>
      <c r="F1466">
        <f t="shared" si="22"/>
        <v>259</v>
      </c>
      <c r="G1466">
        <f>IFERROR(VLOOKUP(Table_socioeca8.sandag.org_ws_abm2_f4[[#This Row],[hwycov_id]],[2]flow_freeway!$A$2:$E$1643,3,FALSE),0)</f>
        <v>102154</v>
      </c>
      <c r="H1466">
        <f>IFERROR(VLOOKUP(Table_socioeca8.sandag.org_ws_abm2_f4[[#This Row],[hwycov_id]],[2]flow_freeway!$A$2:$E$1643,4,FALSE),0)</f>
        <v>27192</v>
      </c>
      <c r="I1466">
        <f>IFERROR(VLOOKUP(Table_socioeca8.sandag.org_ws_abm2_f4[[#This Row],[hwycov_id]],[2]flow_freeway!$A$2:$E$1643,5,FALSE),0)</f>
        <v>21023</v>
      </c>
      <c r="K1466">
        <f>Table_socioeca8.sandag.org_ws_abm2_f4[[#This Row],[hwycov_id]]</f>
        <v>28746</v>
      </c>
      <c r="L1466">
        <f>Table_socioeca8.sandag.org_ws_abm2_f4[[#This Row],[scenario_id]]</f>
        <v>259</v>
      </c>
      <c r="M1466">
        <f>Table_socioeca8.sandag.org_ws_abm2_f4[[#This Row],[flow_day]]</f>
        <v>102154</v>
      </c>
      <c r="N1466">
        <f>Table_socioeca8.sandag.org_ws_abm2_f4[[#This Row],[flow_am]]</f>
        <v>27192</v>
      </c>
      <c r="O1466">
        <f>Table_socioeca8.sandag.org_ws_abm2_f4[[#This Row],[flow_pm]]</f>
        <v>21023</v>
      </c>
    </row>
    <row r="1467" spans="5:15" x14ac:dyDescent="0.25">
      <c r="E1467">
        <v>28747</v>
      </c>
      <c r="F1467">
        <f t="shared" si="22"/>
        <v>259</v>
      </c>
      <c r="G1467">
        <f>IFERROR(VLOOKUP(Table_socioeca8.sandag.org_ws_abm2_f4[[#This Row],[hwycov_id]],[2]flow_freeway!$A$2:$E$1643,3,FALSE),0)</f>
        <v>107010</v>
      </c>
      <c r="H1467">
        <f>IFERROR(VLOOKUP(Table_socioeca8.sandag.org_ws_abm2_f4[[#This Row],[hwycov_id]],[2]flow_freeway!$A$2:$E$1643,4,FALSE),0)</f>
        <v>28805</v>
      </c>
      <c r="I1467">
        <f>IFERROR(VLOOKUP(Table_socioeca8.sandag.org_ws_abm2_f4[[#This Row],[hwycov_id]],[2]flow_freeway!$A$2:$E$1643,5,FALSE),0)</f>
        <v>22115</v>
      </c>
      <c r="K1467">
        <f>Table_socioeca8.sandag.org_ws_abm2_f4[[#This Row],[hwycov_id]]</f>
        <v>28747</v>
      </c>
      <c r="L1467">
        <f>Table_socioeca8.sandag.org_ws_abm2_f4[[#This Row],[scenario_id]]</f>
        <v>259</v>
      </c>
      <c r="M1467">
        <f>Table_socioeca8.sandag.org_ws_abm2_f4[[#This Row],[flow_day]]</f>
        <v>107010</v>
      </c>
      <c r="N1467">
        <f>Table_socioeca8.sandag.org_ws_abm2_f4[[#This Row],[flow_am]]</f>
        <v>28805</v>
      </c>
      <c r="O1467">
        <f>Table_socioeca8.sandag.org_ws_abm2_f4[[#This Row],[flow_pm]]</f>
        <v>22115</v>
      </c>
    </row>
    <row r="1468" spans="5:15" x14ac:dyDescent="0.25">
      <c r="E1468">
        <v>28752</v>
      </c>
      <c r="F1468">
        <f t="shared" si="22"/>
        <v>259</v>
      </c>
      <c r="G1468">
        <f>IFERROR(VLOOKUP(Table_socioeca8.sandag.org_ws_abm2_f4[[#This Row],[hwycov_id]],[2]flow_freeway!$A$2:$E$1643,3,FALSE),0)</f>
        <v>47143</v>
      </c>
      <c r="H1468">
        <f>IFERROR(VLOOKUP(Table_socioeca8.sandag.org_ws_abm2_f4[[#This Row],[hwycov_id]],[2]flow_freeway!$A$2:$E$1643,4,FALSE),0)</f>
        <v>7700</v>
      </c>
      <c r="I1468">
        <f>IFERROR(VLOOKUP(Table_socioeca8.sandag.org_ws_abm2_f4[[#This Row],[hwycov_id]],[2]flow_freeway!$A$2:$E$1643,5,FALSE),0)</f>
        <v>14322</v>
      </c>
      <c r="K1468">
        <f>Table_socioeca8.sandag.org_ws_abm2_f4[[#This Row],[hwycov_id]]</f>
        <v>28752</v>
      </c>
      <c r="L1468">
        <f>Table_socioeca8.sandag.org_ws_abm2_f4[[#This Row],[scenario_id]]</f>
        <v>259</v>
      </c>
      <c r="M1468">
        <f>Table_socioeca8.sandag.org_ws_abm2_f4[[#This Row],[flow_day]]</f>
        <v>47143</v>
      </c>
      <c r="N1468">
        <f>Table_socioeca8.sandag.org_ws_abm2_f4[[#This Row],[flow_am]]</f>
        <v>7700</v>
      </c>
      <c r="O1468">
        <f>Table_socioeca8.sandag.org_ws_abm2_f4[[#This Row],[flow_pm]]</f>
        <v>14322</v>
      </c>
    </row>
    <row r="1469" spans="5:15" x14ac:dyDescent="0.25">
      <c r="E1469">
        <v>28779</v>
      </c>
      <c r="F1469">
        <f t="shared" si="22"/>
        <v>259</v>
      </c>
      <c r="G1469">
        <f>IFERROR(VLOOKUP(Table_socioeca8.sandag.org_ws_abm2_f4[[#This Row],[hwycov_id]],[2]flow_freeway!$A$2:$E$1643,3,FALSE),0)</f>
        <v>7563</v>
      </c>
      <c r="H1469">
        <f>IFERROR(VLOOKUP(Table_socioeca8.sandag.org_ws_abm2_f4[[#This Row],[hwycov_id]],[2]flow_freeway!$A$2:$E$1643,4,FALSE),0)</f>
        <v>1308</v>
      </c>
      <c r="I1469">
        <f>IFERROR(VLOOKUP(Table_socioeca8.sandag.org_ws_abm2_f4[[#This Row],[hwycov_id]],[2]flow_freeway!$A$2:$E$1643,5,FALSE),0)</f>
        <v>2385</v>
      </c>
      <c r="K1469">
        <f>Table_socioeca8.sandag.org_ws_abm2_f4[[#This Row],[hwycov_id]]</f>
        <v>28779</v>
      </c>
      <c r="L1469">
        <f>Table_socioeca8.sandag.org_ws_abm2_f4[[#This Row],[scenario_id]]</f>
        <v>259</v>
      </c>
      <c r="M1469">
        <f>Table_socioeca8.sandag.org_ws_abm2_f4[[#This Row],[flow_day]]</f>
        <v>7563</v>
      </c>
      <c r="N1469">
        <f>Table_socioeca8.sandag.org_ws_abm2_f4[[#This Row],[flow_am]]</f>
        <v>1308</v>
      </c>
      <c r="O1469">
        <f>Table_socioeca8.sandag.org_ws_abm2_f4[[#This Row],[flow_pm]]</f>
        <v>2385</v>
      </c>
    </row>
    <row r="1470" spans="5:15" x14ac:dyDescent="0.25">
      <c r="E1470">
        <v>28781</v>
      </c>
      <c r="F1470">
        <f t="shared" si="22"/>
        <v>259</v>
      </c>
      <c r="G1470">
        <f>IFERROR(VLOOKUP(Table_socioeca8.sandag.org_ws_abm2_f4[[#This Row],[hwycov_id]],[2]flow_freeway!$A$2:$E$1643,3,FALSE),0)</f>
        <v>12324</v>
      </c>
      <c r="H1470">
        <f>IFERROR(VLOOKUP(Table_socioeca8.sandag.org_ws_abm2_f4[[#This Row],[hwycov_id]],[2]flow_freeway!$A$2:$E$1643,4,FALSE),0)</f>
        <v>6623</v>
      </c>
      <c r="I1470">
        <f>IFERROR(VLOOKUP(Table_socioeca8.sandag.org_ws_abm2_f4[[#This Row],[hwycov_id]],[2]flow_freeway!$A$2:$E$1643,5,FALSE),0)</f>
        <v>1510</v>
      </c>
      <c r="K1470">
        <f>Table_socioeca8.sandag.org_ws_abm2_f4[[#This Row],[hwycov_id]]</f>
        <v>28781</v>
      </c>
      <c r="L1470">
        <f>Table_socioeca8.sandag.org_ws_abm2_f4[[#This Row],[scenario_id]]</f>
        <v>259</v>
      </c>
      <c r="M1470">
        <f>Table_socioeca8.sandag.org_ws_abm2_f4[[#This Row],[flow_day]]</f>
        <v>12324</v>
      </c>
      <c r="N1470">
        <f>Table_socioeca8.sandag.org_ws_abm2_f4[[#This Row],[flow_am]]</f>
        <v>6623</v>
      </c>
      <c r="O1470">
        <f>Table_socioeca8.sandag.org_ws_abm2_f4[[#This Row],[flow_pm]]</f>
        <v>1510</v>
      </c>
    </row>
    <row r="1471" spans="5:15" x14ac:dyDescent="0.25">
      <c r="E1471">
        <v>28787</v>
      </c>
      <c r="F1471">
        <f t="shared" si="22"/>
        <v>259</v>
      </c>
      <c r="G1471">
        <f>IFERROR(VLOOKUP(Table_socioeca8.sandag.org_ws_abm2_f4[[#This Row],[hwycov_id]],[2]flow_freeway!$A$2:$E$1643,3,FALSE),0)</f>
        <v>45816</v>
      </c>
      <c r="H1471">
        <f>IFERROR(VLOOKUP(Table_socioeca8.sandag.org_ws_abm2_f4[[#This Row],[hwycov_id]],[2]flow_freeway!$A$2:$E$1643,4,FALSE),0)</f>
        <v>17100</v>
      </c>
      <c r="I1471">
        <f>IFERROR(VLOOKUP(Table_socioeca8.sandag.org_ws_abm2_f4[[#This Row],[hwycov_id]],[2]flow_freeway!$A$2:$E$1643,5,FALSE),0)</f>
        <v>7782</v>
      </c>
      <c r="K1471">
        <f>Table_socioeca8.sandag.org_ws_abm2_f4[[#This Row],[hwycov_id]]</f>
        <v>28787</v>
      </c>
      <c r="L1471">
        <f>Table_socioeca8.sandag.org_ws_abm2_f4[[#This Row],[scenario_id]]</f>
        <v>259</v>
      </c>
      <c r="M1471">
        <f>Table_socioeca8.sandag.org_ws_abm2_f4[[#This Row],[flow_day]]</f>
        <v>45816</v>
      </c>
      <c r="N1471">
        <f>Table_socioeca8.sandag.org_ws_abm2_f4[[#This Row],[flow_am]]</f>
        <v>17100</v>
      </c>
      <c r="O1471">
        <f>Table_socioeca8.sandag.org_ws_abm2_f4[[#This Row],[flow_pm]]</f>
        <v>7782</v>
      </c>
    </row>
    <row r="1472" spans="5:15" x14ac:dyDescent="0.25">
      <c r="E1472">
        <v>28789</v>
      </c>
      <c r="F1472">
        <f t="shared" si="22"/>
        <v>259</v>
      </c>
      <c r="G1472">
        <f>IFERROR(VLOOKUP(Table_socioeca8.sandag.org_ws_abm2_f4[[#This Row],[hwycov_id]],[2]flow_freeway!$A$2:$E$1643,3,FALSE),0)</f>
        <v>43369</v>
      </c>
      <c r="H1472">
        <f>IFERROR(VLOOKUP(Table_socioeca8.sandag.org_ws_abm2_f4[[#This Row],[hwycov_id]],[2]flow_freeway!$A$2:$E$1643,4,FALSE),0)</f>
        <v>5598</v>
      </c>
      <c r="I1472">
        <f>IFERROR(VLOOKUP(Table_socioeca8.sandag.org_ws_abm2_f4[[#This Row],[hwycov_id]],[2]flow_freeway!$A$2:$E$1643,5,FALSE),0)</f>
        <v>14601</v>
      </c>
      <c r="K1472">
        <f>Table_socioeca8.sandag.org_ws_abm2_f4[[#This Row],[hwycov_id]]</f>
        <v>28789</v>
      </c>
      <c r="L1472">
        <f>Table_socioeca8.sandag.org_ws_abm2_f4[[#This Row],[scenario_id]]</f>
        <v>259</v>
      </c>
      <c r="M1472">
        <f>Table_socioeca8.sandag.org_ws_abm2_f4[[#This Row],[flow_day]]</f>
        <v>43369</v>
      </c>
      <c r="N1472">
        <f>Table_socioeca8.sandag.org_ws_abm2_f4[[#This Row],[flow_am]]</f>
        <v>5598</v>
      </c>
      <c r="O1472">
        <f>Table_socioeca8.sandag.org_ws_abm2_f4[[#This Row],[flow_pm]]</f>
        <v>14601</v>
      </c>
    </row>
    <row r="1473" spans="5:15" x14ac:dyDescent="0.25">
      <c r="E1473">
        <v>28790</v>
      </c>
      <c r="F1473">
        <f t="shared" si="22"/>
        <v>259</v>
      </c>
      <c r="G1473">
        <f>IFERROR(VLOOKUP(Table_socioeca8.sandag.org_ws_abm2_f4[[#This Row],[hwycov_id]],[2]flow_freeway!$A$2:$E$1643,3,FALSE),0)</f>
        <v>32959</v>
      </c>
      <c r="H1473">
        <f>IFERROR(VLOOKUP(Table_socioeca8.sandag.org_ws_abm2_f4[[#This Row],[hwycov_id]],[2]flow_freeway!$A$2:$E$1643,4,FALSE),0)</f>
        <v>4088</v>
      </c>
      <c r="I1473">
        <f>IFERROR(VLOOKUP(Table_socioeca8.sandag.org_ws_abm2_f4[[#This Row],[hwycov_id]],[2]flow_freeway!$A$2:$E$1643,5,FALSE),0)</f>
        <v>11549</v>
      </c>
      <c r="K1473">
        <f>Table_socioeca8.sandag.org_ws_abm2_f4[[#This Row],[hwycov_id]]</f>
        <v>28790</v>
      </c>
      <c r="L1473">
        <f>Table_socioeca8.sandag.org_ws_abm2_f4[[#This Row],[scenario_id]]</f>
        <v>259</v>
      </c>
      <c r="M1473">
        <f>Table_socioeca8.sandag.org_ws_abm2_f4[[#This Row],[flow_day]]</f>
        <v>32959</v>
      </c>
      <c r="N1473">
        <f>Table_socioeca8.sandag.org_ws_abm2_f4[[#This Row],[flow_am]]</f>
        <v>4088</v>
      </c>
      <c r="O1473">
        <f>Table_socioeca8.sandag.org_ws_abm2_f4[[#This Row],[flow_pm]]</f>
        <v>11549</v>
      </c>
    </row>
    <row r="1474" spans="5:15" x14ac:dyDescent="0.25">
      <c r="E1474">
        <v>28791</v>
      </c>
      <c r="F1474">
        <f t="shared" si="22"/>
        <v>259</v>
      </c>
      <c r="G1474">
        <f>IFERROR(VLOOKUP(Table_socioeca8.sandag.org_ws_abm2_f4[[#This Row],[hwycov_id]],[2]flow_freeway!$A$2:$E$1643,3,FALSE),0)</f>
        <v>35256</v>
      </c>
      <c r="H1474">
        <f>IFERROR(VLOOKUP(Table_socioeca8.sandag.org_ws_abm2_f4[[#This Row],[hwycov_id]],[2]flow_freeway!$A$2:$E$1643,4,FALSE),0)</f>
        <v>14444</v>
      </c>
      <c r="I1474">
        <f>IFERROR(VLOOKUP(Table_socioeca8.sandag.org_ws_abm2_f4[[#This Row],[hwycov_id]],[2]flow_freeway!$A$2:$E$1643,5,FALSE),0)</f>
        <v>5791</v>
      </c>
      <c r="K1474">
        <f>Table_socioeca8.sandag.org_ws_abm2_f4[[#This Row],[hwycov_id]]</f>
        <v>28791</v>
      </c>
      <c r="L1474">
        <f>Table_socioeca8.sandag.org_ws_abm2_f4[[#This Row],[scenario_id]]</f>
        <v>259</v>
      </c>
      <c r="M1474">
        <f>Table_socioeca8.sandag.org_ws_abm2_f4[[#This Row],[flow_day]]</f>
        <v>35256</v>
      </c>
      <c r="N1474">
        <f>Table_socioeca8.sandag.org_ws_abm2_f4[[#This Row],[flow_am]]</f>
        <v>14444</v>
      </c>
      <c r="O1474">
        <f>Table_socioeca8.sandag.org_ws_abm2_f4[[#This Row],[flow_pm]]</f>
        <v>5791</v>
      </c>
    </row>
    <row r="1475" spans="5:15" x14ac:dyDescent="0.25">
      <c r="E1475">
        <v>28792</v>
      </c>
      <c r="F1475">
        <f t="shared" si="22"/>
        <v>259</v>
      </c>
      <c r="G1475">
        <f>IFERROR(VLOOKUP(Table_socioeca8.sandag.org_ws_abm2_f4[[#This Row],[hwycov_id]],[2]flow_freeway!$A$2:$E$1643,3,FALSE),0)</f>
        <v>45825</v>
      </c>
      <c r="H1475">
        <f>IFERROR(VLOOKUP(Table_socioeca8.sandag.org_ws_abm2_f4[[#This Row],[hwycov_id]],[2]flow_freeway!$A$2:$E$1643,4,FALSE),0)</f>
        <v>16662</v>
      </c>
      <c r="I1475">
        <f>IFERROR(VLOOKUP(Table_socioeca8.sandag.org_ws_abm2_f4[[#This Row],[hwycov_id]],[2]flow_freeway!$A$2:$E$1643,5,FALSE),0)</f>
        <v>8442</v>
      </c>
      <c r="K1475">
        <f>Table_socioeca8.sandag.org_ws_abm2_f4[[#This Row],[hwycov_id]]</f>
        <v>28792</v>
      </c>
      <c r="L1475">
        <f>Table_socioeca8.sandag.org_ws_abm2_f4[[#This Row],[scenario_id]]</f>
        <v>259</v>
      </c>
      <c r="M1475">
        <f>Table_socioeca8.sandag.org_ws_abm2_f4[[#This Row],[flow_day]]</f>
        <v>45825</v>
      </c>
      <c r="N1475">
        <f>Table_socioeca8.sandag.org_ws_abm2_f4[[#This Row],[flow_am]]</f>
        <v>16662</v>
      </c>
      <c r="O1475">
        <f>Table_socioeca8.sandag.org_ws_abm2_f4[[#This Row],[flow_pm]]</f>
        <v>8442</v>
      </c>
    </row>
    <row r="1476" spans="5:15" x14ac:dyDescent="0.25">
      <c r="E1476">
        <v>28793</v>
      </c>
      <c r="F1476">
        <f t="shared" ref="F1476:F1539" si="23">F1475</f>
        <v>259</v>
      </c>
      <c r="G1476">
        <f>IFERROR(VLOOKUP(Table_socioeca8.sandag.org_ws_abm2_f4[[#This Row],[hwycov_id]],[2]flow_freeway!$A$2:$E$1643,3,FALSE),0)</f>
        <v>62413</v>
      </c>
      <c r="H1476">
        <f>IFERROR(VLOOKUP(Table_socioeca8.sandag.org_ws_abm2_f4[[#This Row],[hwycov_id]],[2]flow_freeway!$A$2:$E$1643,4,FALSE),0)</f>
        <v>13048</v>
      </c>
      <c r="I1476">
        <f>IFERROR(VLOOKUP(Table_socioeca8.sandag.org_ws_abm2_f4[[#This Row],[hwycov_id]],[2]flow_freeway!$A$2:$E$1643,5,FALSE),0)</f>
        <v>12397</v>
      </c>
      <c r="K1476">
        <f>Table_socioeca8.sandag.org_ws_abm2_f4[[#This Row],[hwycov_id]]</f>
        <v>28793</v>
      </c>
      <c r="L1476">
        <f>Table_socioeca8.sandag.org_ws_abm2_f4[[#This Row],[scenario_id]]</f>
        <v>259</v>
      </c>
      <c r="M1476">
        <f>Table_socioeca8.sandag.org_ws_abm2_f4[[#This Row],[flow_day]]</f>
        <v>62413</v>
      </c>
      <c r="N1476">
        <f>Table_socioeca8.sandag.org_ws_abm2_f4[[#This Row],[flow_am]]</f>
        <v>13048</v>
      </c>
      <c r="O1476">
        <f>Table_socioeca8.sandag.org_ws_abm2_f4[[#This Row],[flow_pm]]</f>
        <v>12397</v>
      </c>
    </row>
    <row r="1477" spans="5:15" x14ac:dyDescent="0.25">
      <c r="E1477">
        <v>28794</v>
      </c>
      <c r="F1477">
        <f t="shared" si="23"/>
        <v>259</v>
      </c>
      <c r="G1477">
        <f>IFERROR(VLOOKUP(Table_socioeca8.sandag.org_ws_abm2_f4[[#This Row],[hwycov_id]],[2]flow_freeway!$A$2:$E$1643,3,FALSE),0)</f>
        <v>25207</v>
      </c>
      <c r="H1477">
        <f>IFERROR(VLOOKUP(Table_socioeca8.sandag.org_ws_abm2_f4[[#This Row],[hwycov_id]],[2]flow_freeway!$A$2:$E$1643,4,FALSE),0)</f>
        <v>3608</v>
      </c>
      <c r="I1477">
        <f>IFERROR(VLOOKUP(Table_socioeca8.sandag.org_ws_abm2_f4[[#This Row],[hwycov_id]],[2]flow_freeway!$A$2:$E$1643,5,FALSE),0)</f>
        <v>8600</v>
      </c>
      <c r="K1477">
        <f>Table_socioeca8.sandag.org_ws_abm2_f4[[#This Row],[hwycov_id]]</f>
        <v>28794</v>
      </c>
      <c r="L1477">
        <f>Table_socioeca8.sandag.org_ws_abm2_f4[[#This Row],[scenario_id]]</f>
        <v>259</v>
      </c>
      <c r="M1477">
        <f>Table_socioeca8.sandag.org_ws_abm2_f4[[#This Row],[flow_day]]</f>
        <v>25207</v>
      </c>
      <c r="N1477">
        <f>Table_socioeca8.sandag.org_ws_abm2_f4[[#This Row],[flow_am]]</f>
        <v>3608</v>
      </c>
      <c r="O1477">
        <f>Table_socioeca8.sandag.org_ws_abm2_f4[[#This Row],[flow_pm]]</f>
        <v>8600</v>
      </c>
    </row>
    <row r="1478" spans="5:15" x14ac:dyDescent="0.25">
      <c r="E1478">
        <v>28795</v>
      </c>
      <c r="F1478">
        <f t="shared" si="23"/>
        <v>259</v>
      </c>
      <c r="G1478">
        <f>IFERROR(VLOOKUP(Table_socioeca8.sandag.org_ws_abm2_f4[[#This Row],[hwycov_id]],[2]flow_freeway!$A$2:$E$1643,3,FALSE),0)</f>
        <v>43927</v>
      </c>
      <c r="H1478">
        <f>IFERROR(VLOOKUP(Table_socioeca8.sandag.org_ws_abm2_f4[[#This Row],[hwycov_id]],[2]flow_freeway!$A$2:$E$1643,4,FALSE),0)</f>
        <v>6492</v>
      </c>
      <c r="I1478">
        <f>IFERROR(VLOOKUP(Table_socioeca8.sandag.org_ws_abm2_f4[[#This Row],[hwycov_id]],[2]flow_freeway!$A$2:$E$1643,5,FALSE),0)</f>
        <v>14252</v>
      </c>
      <c r="K1478">
        <f>Table_socioeca8.sandag.org_ws_abm2_f4[[#This Row],[hwycov_id]]</f>
        <v>28795</v>
      </c>
      <c r="L1478">
        <f>Table_socioeca8.sandag.org_ws_abm2_f4[[#This Row],[scenario_id]]</f>
        <v>259</v>
      </c>
      <c r="M1478">
        <f>Table_socioeca8.sandag.org_ws_abm2_f4[[#This Row],[flow_day]]</f>
        <v>43927</v>
      </c>
      <c r="N1478">
        <f>Table_socioeca8.sandag.org_ws_abm2_f4[[#This Row],[flow_am]]</f>
        <v>6492</v>
      </c>
      <c r="O1478">
        <f>Table_socioeca8.sandag.org_ws_abm2_f4[[#This Row],[flow_pm]]</f>
        <v>14252</v>
      </c>
    </row>
    <row r="1479" spans="5:15" x14ac:dyDescent="0.25">
      <c r="E1479">
        <v>28796</v>
      </c>
      <c r="F1479">
        <f t="shared" si="23"/>
        <v>259</v>
      </c>
      <c r="G1479">
        <f>IFERROR(VLOOKUP(Table_socioeca8.sandag.org_ws_abm2_f4[[#This Row],[hwycov_id]],[2]flow_freeway!$A$2:$E$1643,3,FALSE),0)</f>
        <v>64558</v>
      </c>
      <c r="H1479">
        <f>IFERROR(VLOOKUP(Table_socioeca8.sandag.org_ws_abm2_f4[[#This Row],[hwycov_id]],[2]flow_freeway!$A$2:$E$1643,4,FALSE),0)</f>
        <v>10201</v>
      </c>
      <c r="I1479">
        <f>IFERROR(VLOOKUP(Table_socioeca8.sandag.org_ws_abm2_f4[[#This Row],[hwycov_id]],[2]flow_freeway!$A$2:$E$1643,5,FALSE),0)</f>
        <v>17708</v>
      </c>
      <c r="K1479">
        <f>Table_socioeca8.sandag.org_ws_abm2_f4[[#This Row],[hwycov_id]]</f>
        <v>28796</v>
      </c>
      <c r="L1479">
        <f>Table_socioeca8.sandag.org_ws_abm2_f4[[#This Row],[scenario_id]]</f>
        <v>259</v>
      </c>
      <c r="M1479">
        <f>Table_socioeca8.sandag.org_ws_abm2_f4[[#This Row],[flow_day]]</f>
        <v>64558</v>
      </c>
      <c r="N1479">
        <f>Table_socioeca8.sandag.org_ws_abm2_f4[[#This Row],[flow_am]]</f>
        <v>10201</v>
      </c>
      <c r="O1479">
        <f>Table_socioeca8.sandag.org_ws_abm2_f4[[#This Row],[flow_pm]]</f>
        <v>17708</v>
      </c>
    </row>
    <row r="1480" spans="5:15" x14ac:dyDescent="0.25">
      <c r="E1480">
        <v>28797</v>
      </c>
      <c r="F1480">
        <f t="shared" si="23"/>
        <v>259</v>
      </c>
      <c r="G1480">
        <f>IFERROR(VLOOKUP(Table_socioeca8.sandag.org_ws_abm2_f4[[#This Row],[hwycov_id]],[2]flow_freeway!$A$2:$E$1643,3,FALSE),0)</f>
        <v>18719</v>
      </c>
      <c r="H1480">
        <f>IFERROR(VLOOKUP(Table_socioeca8.sandag.org_ws_abm2_f4[[#This Row],[hwycov_id]],[2]flow_freeway!$A$2:$E$1643,4,FALSE),0)</f>
        <v>2884</v>
      </c>
      <c r="I1480">
        <f>IFERROR(VLOOKUP(Table_socioeca8.sandag.org_ws_abm2_f4[[#This Row],[hwycov_id]],[2]flow_freeway!$A$2:$E$1643,5,FALSE),0)</f>
        <v>5652</v>
      </c>
      <c r="K1480">
        <f>Table_socioeca8.sandag.org_ws_abm2_f4[[#This Row],[hwycov_id]]</f>
        <v>28797</v>
      </c>
      <c r="L1480">
        <f>Table_socioeca8.sandag.org_ws_abm2_f4[[#This Row],[scenario_id]]</f>
        <v>259</v>
      </c>
      <c r="M1480">
        <f>Table_socioeca8.sandag.org_ws_abm2_f4[[#This Row],[flow_day]]</f>
        <v>18719</v>
      </c>
      <c r="N1480">
        <f>Table_socioeca8.sandag.org_ws_abm2_f4[[#This Row],[flow_am]]</f>
        <v>2884</v>
      </c>
      <c r="O1480">
        <f>Table_socioeca8.sandag.org_ws_abm2_f4[[#This Row],[flow_pm]]</f>
        <v>5652</v>
      </c>
    </row>
    <row r="1481" spans="5:15" x14ac:dyDescent="0.25">
      <c r="E1481">
        <v>28798</v>
      </c>
      <c r="F1481">
        <f t="shared" si="23"/>
        <v>259</v>
      </c>
      <c r="G1481">
        <f>IFERROR(VLOOKUP(Table_socioeca8.sandag.org_ws_abm2_f4[[#This Row],[hwycov_id]],[2]flow_freeway!$A$2:$E$1643,3,FALSE),0)</f>
        <v>70088</v>
      </c>
      <c r="H1481">
        <f>IFERROR(VLOOKUP(Table_socioeca8.sandag.org_ws_abm2_f4[[#This Row],[hwycov_id]],[2]flow_freeway!$A$2:$E$1643,4,FALSE),0)</f>
        <v>16987</v>
      </c>
      <c r="I1481">
        <f>IFERROR(VLOOKUP(Table_socioeca8.sandag.org_ws_abm2_f4[[#This Row],[hwycov_id]],[2]flow_freeway!$A$2:$E$1643,5,FALSE),0)</f>
        <v>14575</v>
      </c>
      <c r="K1481">
        <f>Table_socioeca8.sandag.org_ws_abm2_f4[[#This Row],[hwycov_id]]</f>
        <v>28798</v>
      </c>
      <c r="L1481">
        <f>Table_socioeca8.sandag.org_ws_abm2_f4[[#This Row],[scenario_id]]</f>
        <v>259</v>
      </c>
      <c r="M1481">
        <f>Table_socioeca8.sandag.org_ws_abm2_f4[[#This Row],[flow_day]]</f>
        <v>70088</v>
      </c>
      <c r="N1481">
        <f>Table_socioeca8.sandag.org_ws_abm2_f4[[#This Row],[flow_am]]</f>
        <v>16987</v>
      </c>
      <c r="O1481">
        <f>Table_socioeca8.sandag.org_ws_abm2_f4[[#This Row],[flow_pm]]</f>
        <v>14575</v>
      </c>
    </row>
    <row r="1482" spans="5:15" x14ac:dyDescent="0.25">
      <c r="E1482">
        <v>28805</v>
      </c>
      <c r="F1482">
        <f t="shared" si="23"/>
        <v>259</v>
      </c>
      <c r="G1482">
        <f>IFERROR(VLOOKUP(Table_socioeca8.sandag.org_ws_abm2_f4[[#This Row],[hwycov_id]],[2]flow_freeway!$A$2:$E$1643,3,FALSE),0)</f>
        <v>86002</v>
      </c>
      <c r="H1482">
        <f>IFERROR(VLOOKUP(Table_socioeca8.sandag.org_ws_abm2_f4[[#This Row],[hwycov_id]],[2]flow_freeway!$A$2:$E$1643,4,FALSE),0)</f>
        <v>16903</v>
      </c>
      <c r="I1482">
        <f>IFERROR(VLOOKUP(Table_socioeca8.sandag.org_ws_abm2_f4[[#This Row],[hwycov_id]],[2]flow_freeway!$A$2:$E$1643,5,FALSE),0)</f>
        <v>21398</v>
      </c>
      <c r="K1482">
        <f>Table_socioeca8.sandag.org_ws_abm2_f4[[#This Row],[hwycov_id]]</f>
        <v>28805</v>
      </c>
      <c r="L1482">
        <f>Table_socioeca8.sandag.org_ws_abm2_f4[[#This Row],[scenario_id]]</f>
        <v>259</v>
      </c>
      <c r="M1482">
        <f>Table_socioeca8.sandag.org_ws_abm2_f4[[#This Row],[flow_day]]</f>
        <v>86002</v>
      </c>
      <c r="N1482">
        <f>Table_socioeca8.sandag.org_ws_abm2_f4[[#This Row],[flow_am]]</f>
        <v>16903</v>
      </c>
      <c r="O1482">
        <f>Table_socioeca8.sandag.org_ws_abm2_f4[[#This Row],[flow_pm]]</f>
        <v>21398</v>
      </c>
    </row>
    <row r="1483" spans="5:15" x14ac:dyDescent="0.25">
      <c r="E1483">
        <v>28806</v>
      </c>
      <c r="F1483">
        <f t="shared" si="23"/>
        <v>259</v>
      </c>
      <c r="G1483">
        <f>IFERROR(VLOOKUP(Table_socioeca8.sandag.org_ws_abm2_f4[[#This Row],[hwycov_id]],[2]flow_freeway!$A$2:$E$1643,3,FALSE),0)</f>
        <v>70005</v>
      </c>
      <c r="H1483">
        <f>IFERROR(VLOOKUP(Table_socioeca8.sandag.org_ws_abm2_f4[[#This Row],[hwycov_id]],[2]flow_freeway!$A$2:$E$1643,4,FALSE),0)</f>
        <v>11607</v>
      </c>
      <c r="I1483">
        <f>IFERROR(VLOOKUP(Table_socioeca8.sandag.org_ws_abm2_f4[[#This Row],[hwycov_id]],[2]flow_freeway!$A$2:$E$1643,5,FALSE),0)</f>
        <v>19195</v>
      </c>
      <c r="K1483">
        <f>Table_socioeca8.sandag.org_ws_abm2_f4[[#This Row],[hwycov_id]]</f>
        <v>28806</v>
      </c>
      <c r="L1483">
        <f>Table_socioeca8.sandag.org_ws_abm2_f4[[#This Row],[scenario_id]]</f>
        <v>259</v>
      </c>
      <c r="M1483">
        <f>Table_socioeca8.sandag.org_ws_abm2_f4[[#This Row],[flow_day]]</f>
        <v>70005</v>
      </c>
      <c r="N1483">
        <f>Table_socioeca8.sandag.org_ws_abm2_f4[[#This Row],[flow_am]]</f>
        <v>11607</v>
      </c>
      <c r="O1483">
        <f>Table_socioeca8.sandag.org_ws_abm2_f4[[#This Row],[flow_pm]]</f>
        <v>19195</v>
      </c>
    </row>
    <row r="1484" spans="5:15" x14ac:dyDescent="0.25">
      <c r="E1484">
        <v>28809</v>
      </c>
      <c r="F1484">
        <f t="shared" si="23"/>
        <v>259</v>
      </c>
      <c r="G1484">
        <f>IFERROR(VLOOKUP(Table_socioeca8.sandag.org_ws_abm2_f4[[#This Row],[hwycov_id]],[2]flow_freeway!$A$2:$E$1643,3,FALSE),0)</f>
        <v>129138</v>
      </c>
      <c r="H1484">
        <f>IFERROR(VLOOKUP(Table_socioeca8.sandag.org_ws_abm2_f4[[#This Row],[hwycov_id]],[2]flow_freeway!$A$2:$E$1643,4,FALSE),0)</f>
        <v>30905</v>
      </c>
      <c r="I1484">
        <f>IFERROR(VLOOKUP(Table_socioeca8.sandag.org_ws_abm2_f4[[#This Row],[hwycov_id]],[2]flow_freeway!$A$2:$E$1643,5,FALSE),0)</f>
        <v>23847</v>
      </c>
      <c r="K1484">
        <f>Table_socioeca8.sandag.org_ws_abm2_f4[[#This Row],[hwycov_id]]</f>
        <v>28809</v>
      </c>
      <c r="L1484">
        <f>Table_socioeca8.sandag.org_ws_abm2_f4[[#This Row],[scenario_id]]</f>
        <v>259</v>
      </c>
      <c r="M1484">
        <f>Table_socioeca8.sandag.org_ws_abm2_f4[[#This Row],[flow_day]]</f>
        <v>129138</v>
      </c>
      <c r="N1484">
        <f>Table_socioeca8.sandag.org_ws_abm2_f4[[#This Row],[flow_am]]</f>
        <v>30905</v>
      </c>
      <c r="O1484">
        <f>Table_socioeca8.sandag.org_ws_abm2_f4[[#This Row],[flow_pm]]</f>
        <v>23847</v>
      </c>
    </row>
    <row r="1485" spans="5:15" x14ac:dyDescent="0.25">
      <c r="E1485">
        <v>28810</v>
      </c>
      <c r="F1485">
        <f t="shared" si="23"/>
        <v>259</v>
      </c>
      <c r="G1485">
        <f>IFERROR(VLOOKUP(Table_socioeca8.sandag.org_ws_abm2_f4[[#This Row],[hwycov_id]],[2]flow_freeway!$A$2:$E$1643,3,FALSE),0)</f>
        <v>128233</v>
      </c>
      <c r="H1485">
        <f>IFERROR(VLOOKUP(Table_socioeca8.sandag.org_ws_abm2_f4[[#This Row],[hwycov_id]],[2]flow_freeway!$A$2:$E$1643,4,FALSE),0)</f>
        <v>20219</v>
      </c>
      <c r="I1485">
        <f>IFERROR(VLOOKUP(Table_socioeca8.sandag.org_ws_abm2_f4[[#This Row],[hwycov_id]],[2]flow_freeway!$A$2:$E$1643,5,FALSE),0)</f>
        <v>37519</v>
      </c>
      <c r="K1485">
        <f>Table_socioeca8.sandag.org_ws_abm2_f4[[#This Row],[hwycov_id]]</f>
        <v>28810</v>
      </c>
      <c r="L1485">
        <f>Table_socioeca8.sandag.org_ws_abm2_f4[[#This Row],[scenario_id]]</f>
        <v>259</v>
      </c>
      <c r="M1485">
        <f>Table_socioeca8.sandag.org_ws_abm2_f4[[#This Row],[flow_day]]</f>
        <v>128233</v>
      </c>
      <c r="N1485">
        <f>Table_socioeca8.sandag.org_ws_abm2_f4[[#This Row],[flow_am]]</f>
        <v>20219</v>
      </c>
      <c r="O1485">
        <f>Table_socioeca8.sandag.org_ws_abm2_f4[[#This Row],[flow_pm]]</f>
        <v>37519</v>
      </c>
    </row>
    <row r="1486" spans="5:15" x14ac:dyDescent="0.25">
      <c r="E1486">
        <v>28839</v>
      </c>
      <c r="F1486">
        <f t="shared" si="23"/>
        <v>259</v>
      </c>
      <c r="G1486">
        <f>IFERROR(VLOOKUP(Table_socioeca8.sandag.org_ws_abm2_f4[[#This Row],[hwycov_id]],[2]flow_freeway!$A$2:$E$1643,3,FALSE),0)</f>
        <v>65289</v>
      </c>
      <c r="H1486">
        <f>IFERROR(VLOOKUP(Table_socioeca8.sandag.org_ws_abm2_f4[[#This Row],[hwycov_id]],[2]flow_freeway!$A$2:$E$1643,4,FALSE),0)</f>
        <v>13174</v>
      </c>
      <c r="I1486">
        <f>IFERROR(VLOOKUP(Table_socioeca8.sandag.org_ws_abm2_f4[[#This Row],[hwycov_id]],[2]flow_freeway!$A$2:$E$1643,5,FALSE),0)</f>
        <v>14556</v>
      </c>
      <c r="K1486">
        <f>Table_socioeca8.sandag.org_ws_abm2_f4[[#This Row],[hwycov_id]]</f>
        <v>28839</v>
      </c>
      <c r="L1486">
        <f>Table_socioeca8.sandag.org_ws_abm2_f4[[#This Row],[scenario_id]]</f>
        <v>259</v>
      </c>
      <c r="M1486">
        <f>Table_socioeca8.sandag.org_ws_abm2_f4[[#This Row],[flow_day]]</f>
        <v>65289</v>
      </c>
      <c r="N1486">
        <f>Table_socioeca8.sandag.org_ws_abm2_f4[[#This Row],[flow_am]]</f>
        <v>13174</v>
      </c>
      <c r="O1486">
        <f>Table_socioeca8.sandag.org_ws_abm2_f4[[#This Row],[flow_pm]]</f>
        <v>14556</v>
      </c>
    </row>
    <row r="1487" spans="5:15" x14ac:dyDescent="0.25">
      <c r="E1487">
        <v>28849</v>
      </c>
      <c r="F1487">
        <f t="shared" si="23"/>
        <v>259</v>
      </c>
      <c r="G1487">
        <f>IFERROR(VLOOKUP(Table_socioeca8.sandag.org_ws_abm2_f4[[#This Row],[hwycov_id]],[2]flow_freeway!$A$2:$E$1643,3,FALSE),0)</f>
        <v>58454</v>
      </c>
      <c r="H1487">
        <f>IFERROR(VLOOKUP(Table_socioeca8.sandag.org_ws_abm2_f4[[#This Row],[hwycov_id]],[2]flow_freeway!$A$2:$E$1643,4,FALSE),0)</f>
        <v>12104</v>
      </c>
      <c r="I1487">
        <f>IFERROR(VLOOKUP(Table_socioeca8.sandag.org_ws_abm2_f4[[#This Row],[hwycov_id]],[2]flow_freeway!$A$2:$E$1643,5,FALSE),0)</f>
        <v>14548</v>
      </c>
      <c r="K1487">
        <f>Table_socioeca8.sandag.org_ws_abm2_f4[[#This Row],[hwycov_id]]</f>
        <v>28849</v>
      </c>
      <c r="L1487">
        <f>Table_socioeca8.sandag.org_ws_abm2_f4[[#This Row],[scenario_id]]</f>
        <v>259</v>
      </c>
      <c r="M1487">
        <f>Table_socioeca8.sandag.org_ws_abm2_f4[[#This Row],[flow_day]]</f>
        <v>58454</v>
      </c>
      <c r="N1487">
        <f>Table_socioeca8.sandag.org_ws_abm2_f4[[#This Row],[flow_am]]</f>
        <v>12104</v>
      </c>
      <c r="O1487">
        <f>Table_socioeca8.sandag.org_ws_abm2_f4[[#This Row],[flow_pm]]</f>
        <v>14548</v>
      </c>
    </row>
    <row r="1488" spans="5:15" x14ac:dyDescent="0.25">
      <c r="E1488">
        <v>28850</v>
      </c>
      <c r="F1488">
        <f t="shared" si="23"/>
        <v>259</v>
      </c>
      <c r="G1488">
        <f>IFERROR(VLOOKUP(Table_socioeca8.sandag.org_ws_abm2_f4[[#This Row],[hwycov_id]],[2]flow_freeway!$A$2:$E$1643,3,FALSE),0)</f>
        <v>58712</v>
      </c>
      <c r="H1488">
        <f>IFERROR(VLOOKUP(Table_socioeca8.sandag.org_ws_abm2_f4[[#This Row],[hwycov_id]],[2]flow_freeway!$A$2:$E$1643,4,FALSE),0)</f>
        <v>11790</v>
      </c>
      <c r="I1488">
        <f>IFERROR(VLOOKUP(Table_socioeca8.sandag.org_ws_abm2_f4[[#This Row],[hwycov_id]],[2]flow_freeway!$A$2:$E$1643,5,FALSE),0)</f>
        <v>14251</v>
      </c>
      <c r="K1488">
        <f>Table_socioeca8.sandag.org_ws_abm2_f4[[#This Row],[hwycov_id]]</f>
        <v>28850</v>
      </c>
      <c r="L1488">
        <f>Table_socioeca8.sandag.org_ws_abm2_f4[[#This Row],[scenario_id]]</f>
        <v>259</v>
      </c>
      <c r="M1488">
        <f>Table_socioeca8.sandag.org_ws_abm2_f4[[#This Row],[flow_day]]</f>
        <v>58712</v>
      </c>
      <c r="N1488">
        <f>Table_socioeca8.sandag.org_ws_abm2_f4[[#This Row],[flow_am]]</f>
        <v>11790</v>
      </c>
      <c r="O1488">
        <f>Table_socioeca8.sandag.org_ws_abm2_f4[[#This Row],[flow_pm]]</f>
        <v>14251</v>
      </c>
    </row>
    <row r="1489" spans="5:15" x14ac:dyDescent="0.25">
      <c r="E1489">
        <v>28868</v>
      </c>
      <c r="F1489">
        <f t="shared" si="23"/>
        <v>259</v>
      </c>
      <c r="G1489">
        <f>IFERROR(VLOOKUP(Table_socioeca8.sandag.org_ws_abm2_f4[[#This Row],[hwycov_id]],[2]flow_freeway!$A$2:$E$1643,3,FALSE),0)</f>
        <v>35408</v>
      </c>
      <c r="H1489">
        <f>IFERROR(VLOOKUP(Table_socioeca8.sandag.org_ws_abm2_f4[[#This Row],[hwycov_id]],[2]flow_freeway!$A$2:$E$1643,4,FALSE),0)</f>
        <v>8429</v>
      </c>
      <c r="I1489">
        <f>IFERROR(VLOOKUP(Table_socioeca8.sandag.org_ws_abm2_f4[[#This Row],[hwycov_id]],[2]flow_freeway!$A$2:$E$1643,5,FALSE),0)</f>
        <v>8118</v>
      </c>
      <c r="K1489">
        <f>Table_socioeca8.sandag.org_ws_abm2_f4[[#This Row],[hwycov_id]]</f>
        <v>28868</v>
      </c>
      <c r="L1489">
        <f>Table_socioeca8.sandag.org_ws_abm2_f4[[#This Row],[scenario_id]]</f>
        <v>259</v>
      </c>
      <c r="M1489">
        <f>Table_socioeca8.sandag.org_ws_abm2_f4[[#This Row],[flow_day]]</f>
        <v>35408</v>
      </c>
      <c r="N1489">
        <f>Table_socioeca8.sandag.org_ws_abm2_f4[[#This Row],[flow_am]]</f>
        <v>8429</v>
      </c>
      <c r="O1489">
        <f>Table_socioeca8.sandag.org_ws_abm2_f4[[#This Row],[flow_pm]]</f>
        <v>8118</v>
      </c>
    </row>
    <row r="1490" spans="5:15" x14ac:dyDescent="0.25">
      <c r="E1490">
        <v>28899</v>
      </c>
      <c r="F1490">
        <f t="shared" si="23"/>
        <v>259</v>
      </c>
      <c r="G1490">
        <f>IFERROR(VLOOKUP(Table_socioeca8.sandag.org_ws_abm2_f4[[#This Row],[hwycov_id]],[2]flow_freeway!$A$2:$E$1643,3,FALSE),0)</f>
        <v>82168</v>
      </c>
      <c r="H1490">
        <f>IFERROR(VLOOKUP(Table_socioeca8.sandag.org_ws_abm2_f4[[#This Row],[hwycov_id]],[2]flow_freeway!$A$2:$E$1643,4,FALSE),0)</f>
        <v>17852</v>
      </c>
      <c r="I1490">
        <f>IFERROR(VLOOKUP(Table_socioeca8.sandag.org_ws_abm2_f4[[#This Row],[hwycov_id]],[2]flow_freeway!$A$2:$E$1643,5,FALSE),0)</f>
        <v>19648</v>
      </c>
      <c r="K1490">
        <f>Table_socioeca8.sandag.org_ws_abm2_f4[[#This Row],[hwycov_id]]</f>
        <v>28899</v>
      </c>
      <c r="L1490">
        <f>Table_socioeca8.sandag.org_ws_abm2_f4[[#This Row],[scenario_id]]</f>
        <v>259</v>
      </c>
      <c r="M1490">
        <f>Table_socioeca8.sandag.org_ws_abm2_f4[[#This Row],[flow_day]]</f>
        <v>82168</v>
      </c>
      <c r="N1490">
        <f>Table_socioeca8.sandag.org_ws_abm2_f4[[#This Row],[flow_am]]</f>
        <v>17852</v>
      </c>
      <c r="O1490">
        <f>Table_socioeca8.sandag.org_ws_abm2_f4[[#This Row],[flow_pm]]</f>
        <v>19648</v>
      </c>
    </row>
    <row r="1491" spans="5:15" x14ac:dyDescent="0.25">
      <c r="E1491">
        <v>28902</v>
      </c>
      <c r="F1491">
        <f t="shared" si="23"/>
        <v>259</v>
      </c>
      <c r="G1491">
        <f>IFERROR(VLOOKUP(Table_socioeca8.sandag.org_ws_abm2_f4[[#This Row],[hwycov_id]],[2]flow_freeway!$A$2:$E$1643,3,FALSE),0)</f>
        <v>28970</v>
      </c>
      <c r="H1491">
        <f>IFERROR(VLOOKUP(Table_socioeca8.sandag.org_ws_abm2_f4[[#This Row],[hwycov_id]],[2]flow_freeway!$A$2:$E$1643,4,FALSE),0)</f>
        <v>4307</v>
      </c>
      <c r="I1491">
        <f>IFERROR(VLOOKUP(Table_socioeca8.sandag.org_ws_abm2_f4[[#This Row],[hwycov_id]],[2]flow_freeway!$A$2:$E$1643,5,FALSE),0)</f>
        <v>9798</v>
      </c>
      <c r="K1491">
        <f>Table_socioeca8.sandag.org_ws_abm2_f4[[#This Row],[hwycov_id]]</f>
        <v>28902</v>
      </c>
      <c r="L1491">
        <f>Table_socioeca8.sandag.org_ws_abm2_f4[[#This Row],[scenario_id]]</f>
        <v>259</v>
      </c>
      <c r="M1491">
        <f>Table_socioeca8.sandag.org_ws_abm2_f4[[#This Row],[flow_day]]</f>
        <v>28970</v>
      </c>
      <c r="N1491">
        <f>Table_socioeca8.sandag.org_ws_abm2_f4[[#This Row],[flow_am]]</f>
        <v>4307</v>
      </c>
      <c r="O1491">
        <f>Table_socioeca8.sandag.org_ws_abm2_f4[[#This Row],[flow_pm]]</f>
        <v>9798</v>
      </c>
    </row>
    <row r="1492" spans="5:15" x14ac:dyDescent="0.25">
      <c r="E1492">
        <v>28904</v>
      </c>
      <c r="F1492">
        <f t="shared" si="23"/>
        <v>259</v>
      </c>
      <c r="G1492">
        <f>IFERROR(VLOOKUP(Table_socioeca8.sandag.org_ws_abm2_f4[[#This Row],[hwycov_id]],[2]flow_freeway!$A$2:$E$1643,3,FALSE),0)</f>
        <v>38907</v>
      </c>
      <c r="H1492">
        <f>IFERROR(VLOOKUP(Table_socioeca8.sandag.org_ws_abm2_f4[[#This Row],[hwycov_id]],[2]flow_freeway!$A$2:$E$1643,4,FALSE),0)</f>
        <v>5481</v>
      </c>
      <c r="I1492">
        <f>IFERROR(VLOOKUP(Table_socioeca8.sandag.org_ws_abm2_f4[[#This Row],[hwycov_id]],[2]flow_freeway!$A$2:$E$1643,5,FALSE),0)</f>
        <v>13053</v>
      </c>
      <c r="K1492">
        <f>Table_socioeca8.sandag.org_ws_abm2_f4[[#This Row],[hwycov_id]]</f>
        <v>28904</v>
      </c>
      <c r="L1492">
        <f>Table_socioeca8.sandag.org_ws_abm2_f4[[#This Row],[scenario_id]]</f>
        <v>259</v>
      </c>
      <c r="M1492">
        <f>Table_socioeca8.sandag.org_ws_abm2_f4[[#This Row],[flow_day]]</f>
        <v>38907</v>
      </c>
      <c r="N1492">
        <f>Table_socioeca8.sandag.org_ws_abm2_f4[[#This Row],[flow_am]]</f>
        <v>5481</v>
      </c>
      <c r="O1492">
        <f>Table_socioeca8.sandag.org_ws_abm2_f4[[#This Row],[flow_pm]]</f>
        <v>13053</v>
      </c>
    </row>
    <row r="1493" spans="5:15" x14ac:dyDescent="0.25">
      <c r="E1493">
        <v>28916</v>
      </c>
      <c r="F1493">
        <f t="shared" si="23"/>
        <v>259</v>
      </c>
      <c r="G1493">
        <f>IFERROR(VLOOKUP(Table_socioeca8.sandag.org_ws_abm2_f4[[#This Row],[hwycov_id]],[2]flow_freeway!$A$2:$E$1643,3,FALSE),0)</f>
        <v>39767</v>
      </c>
      <c r="H1493">
        <f>IFERROR(VLOOKUP(Table_socioeca8.sandag.org_ws_abm2_f4[[#This Row],[hwycov_id]],[2]flow_freeway!$A$2:$E$1643,4,FALSE),0)</f>
        <v>10139</v>
      </c>
      <c r="I1493">
        <f>IFERROR(VLOOKUP(Table_socioeca8.sandag.org_ws_abm2_f4[[#This Row],[hwycov_id]],[2]flow_freeway!$A$2:$E$1643,5,FALSE),0)</f>
        <v>7828</v>
      </c>
      <c r="K1493">
        <f>Table_socioeca8.sandag.org_ws_abm2_f4[[#This Row],[hwycov_id]]</f>
        <v>28916</v>
      </c>
      <c r="L1493">
        <f>Table_socioeca8.sandag.org_ws_abm2_f4[[#This Row],[scenario_id]]</f>
        <v>259</v>
      </c>
      <c r="M1493">
        <f>Table_socioeca8.sandag.org_ws_abm2_f4[[#This Row],[flow_day]]</f>
        <v>39767</v>
      </c>
      <c r="N1493">
        <f>Table_socioeca8.sandag.org_ws_abm2_f4[[#This Row],[flow_am]]</f>
        <v>10139</v>
      </c>
      <c r="O1493">
        <f>Table_socioeca8.sandag.org_ws_abm2_f4[[#This Row],[flow_pm]]</f>
        <v>7828</v>
      </c>
    </row>
    <row r="1494" spans="5:15" x14ac:dyDescent="0.25">
      <c r="E1494">
        <v>28920</v>
      </c>
      <c r="F1494">
        <f t="shared" si="23"/>
        <v>259</v>
      </c>
      <c r="G1494">
        <f>IFERROR(VLOOKUP(Table_socioeca8.sandag.org_ws_abm2_f4[[#This Row],[hwycov_id]],[2]flow_freeway!$A$2:$E$1643,3,FALSE),0)</f>
        <v>17708</v>
      </c>
      <c r="H1494">
        <f>IFERROR(VLOOKUP(Table_socioeca8.sandag.org_ws_abm2_f4[[#This Row],[hwycov_id]],[2]flow_freeway!$A$2:$E$1643,4,FALSE),0)</f>
        <v>3643</v>
      </c>
      <c r="I1494">
        <f>IFERROR(VLOOKUP(Table_socioeca8.sandag.org_ws_abm2_f4[[#This Row],[hwycov_id]],[2]flow_freeway!$A$2:$E$1643,5,FALSE),0)</f>
        <v>4599</v>
      </c>
      <c r="K1494">
        <f>Table_socioeca8.sandag.org_ws_abm2_f4[[#This Row],[hwycov_id]]</f>
        <v>28920</v>
      </c>
      <c r="L1494">
        <f>Table_socioeca8.sandag.org_ws_abm2_f4[[#This Row],[scenario_id]]</f>
        <v>259</v>
      </c>
      <c r="M1494">
        <f>Table_socioeca8.sandag.org_ws_abm2_f4[[#This Row],[flow_day]]</f>
        <v>17708</v>
      </c>
      <c r="N1494">
        <f>Table_socioeca8.sandag.org_ws_abm2_f4[[#This Row],[flow_am]]</f>
        <v>3643</v>
      </c>
      <c r="O1494">
        <f>Table_socioeca8.sandag.org_ws_abm2_f4[[#This Row],[flow_pm]]</f>
        <v>4599</v>
      </c>
    </row>
    <row r="1495" spans="5:15" x14ac:dyDescent="0.25">
      <c r="E1495">
        <v>28923</v>
      </c>
      <c r="F1495">
        <f t="shared" si="23"/>
        <v>259</v>
      </c>
      <c r="G1495">
        <f>IFERROR(VLOOKUP(Table_socioeca8.sandag.org_ws_abm2_f4[[#This Row],[hwycov_id]],[2]flow_freeway!$A$2:$E$1643,3,FALSE),0)</f>
        <v>18377</v>
      </c>
      <c r="H1495">
        <f>IFERROR(VLOOKUP(Table_socioeca8.sandag.org_ws_abm2_f4[[#This Row],[hwycov_id]],[2]flow_freeway!$A$2:$E$1643,4,FALSE),0)</f>
        <v>3173</v>
      </c>
      <c r="I1495">
        <f>IFERROR(VLOOKUP(Table_socioeca8.sandag.org_ws_abm2_f4[[#This Row],[hwycov_id]],[2]flow_freeway!$A$2:$E$1643,5,FALSE),0)</f>
        <v>5068</v>
      </c>
      <c r="K1495">
        <f>Table_socioeca8.sandag.org_ws_abm2_f4[[#This Row],[hwycov_id]]</f>
        <v>28923</v>
      </c>
      <c r="L1495">
        <f>Table_socioeca8.sandag.org_ws_abm2_f4[[#This Row],[scenario_id]]</f>
        <v>259</v>
      </c>
      <c r="M1495">
        <f>Table_socioeca8.sandag.org_ws_abm2_f4[[#This Row],[flow_day]]</f>
        <v>18377</v>
      </c>
      <c r="N1495">
        <f>Table_socioeca8.sandag.org_ws_abm2_f4[[#This Row],[flow_am]]</f>
        <v>3173</v>
      </c>
      <c r="O1495">
        <f>Table_socioeca8.sandag.org_ws_abm2_f4[[#This Row],[flow_pm]]</f>
        <v>5068</v>
      </c>
    </row>
    <row r="1496" spans="5:15" x14ac:dyDescent="0.25">
      <c r="E1496">
        <v>28924</v>
      </c>
      <c r="F1496">
        <f t="shared" si="23"/>
        <v>259</v>
      </c>
      <c r="G1496">
        <f>IFERROR(VLOOKUP(Table_socioeca8.sandag.org_ws_abm2_f4[[#This Row],[hwycov_id]],[2]flow_freeway!$A$2:$E$1643,3,FALSE),0)</f>
        <v>37415</v>
      </c>
      <c r="H1496">
        <f>IFERROR(VLOOKUP(Table_socioeca8.sandag.org_ws_abm2_f4[[#This Row],[hwycov_id]],[2]flow_freeway!$A$2:$E$1643,4,FALSE),0)</f>
        <v>8240</v>
      </c>
      <c r="I1496">
        <f>IFERROR(VLOOKUP(Table_socioeca8.sandag.org_ws_abm2_f4[[#This Row],[hwycov_id]],[2]flow_freeway!$A$2:$E$1643,5,FALSE),0)</f>
        <v>9278</v>
      </c>
      <c r="K1496">
        <f>Table_socioeca8.sandag.org_ws_abm2_f4[[#This Row],[hwycov_id]]</f>
        <v>28924</v>
      </c>
      <c r="L1496">
        <f>Table_socioeca8.sandag.org_ws_abm2_f4[[#This Row],[scenario_id]]</f>
        <v>259</v>
      </c>
      <c r="M1496">
        <f>Table_socioeca8.sandag.org_ws_abm2_f4[[#This Row],[flow_day]]</f>
        <v>37415</v>
      </c>
      <c r="N1496">
        <f>Table_socioeca8.sandag.org_ws_abm2_f4[[#This Row],[flow_am]]</f>
        <v>8240</v>
      </c>
      <c r="O1496">
        <f>Table_socioeca8.sandag.org_ws_abm2_f4[[#This Row],[flow_pm]]</f>
        <v>9278</v>
      </c>
    </row>
    <row r="1497" spans="5:15" x14ac:dyDescent="0.25">
      <c r="E1497">
        <v>28925</v>
      </c>
      <c r="F1497">
        <f t="shared" si="23"/>
        <v>259</v>
      </c>
      <c r="G1497">
        <f>IFERROR(VLOOKUP(Table_socioeca8.sandag.org_ws_abm2_f4[[#This Row],[hwycov_id]],[2]flow_freeway!$A$2:$E$1643,3,FALSE),0)</f>
        <v>19557</v>
      </c>
      <c r="H1497">
        <f>IFERROR(VLOOKUP(Table_socioeca8.sandag.org_ws_abm2_f4[[#This Row],[hwycov_id]],[2]flow_freeway!$A$2:$E$1643,4,FALSE),0)</f>
        <v>3963</v>
      </c>
      <c r="I1497">
        <f>IFERROR(VLOOKUP(Table_socioeca8.sandag.org_ws_abm2_f4[[#This Row],[hwycov_id]],[2]flow_freeway!$A$2:$E$1643,5,FALSE),0)</f>
        <v>4880</v>
      </c>
      <c r="K1497">
        <f>Table_socioeca8.sandag.org_ws_abm2_f4[[#This Row],[hwycov_id]]</f>
        <v>28925</v>
      </c>
      <c r="L1497">
        <f>Table_socioeca8.sandag.org_ws_abm2_f4[[#This Row],[scenario_id]]</f>
        <v>259</v>
      </c>
      <c r="M1497">
        <f>Table_socioeca8.sandag.org_ws_abm2_f4[[#This Row],[flow_day]]</f>
        <v>19557</v>
      </c>
      <c r="N1497">
        <f>Table_socioeca8.sandag.org_ws_abm2_f4[[#This Row],[flow_am]]</f>
        <v>3963</v>
      </c>
      <c r="O1497">
        <f>Table_socioeca8.sandag.org_ws_abm2_f4[[#This Row],[flow_pm]]</f>
        <v>4880</v>
      </c>
    </row>
    <row r="1498" spans="5:15" x14ac:dyDescent="0.25">
      <c r="E1498">
        <v>28929</v>
      </c>
      <c r="F1498">
        <f t="shared" si="23"/>
        <v>259</v>
      </c>
      <c r="G1498">
        <f>IFERROR(VLOOKUP(Table_socioeca8.sandag.org_ws_abm2_f4[[#This Row],[hwycov_id]],[2]flow_freeway!$A$2:$E$1643,3,FALSE),0)</f>
        <v>51668</v>
      </c>
      <c r="H1498">
        <f>IFERROR(VLOOKUP(Table_socioeca8.sandag.org_ws_abm2_f4[[#This Row],[hwycov_id]],[2]flow_freeway!$A$2:$E$1643,4,FALSE),0)</f>
        <v>13706</v>
      </c>
      <c r="I1498">
        <f>IFERROR(VLOOKUP(Table_socioeca8.sandag.org_ws_abm2_f4[[#This Row],[hwycov_id]],[2]flow_freeway!$A$2:$E$1643,5,FALSE),0)</f>
        <v>10302</v>
      </c>
      <c r="K1498">
        <f>Table_socioeca8.sandag.org_ws_abm2_f4[[#This Row],[hwycov_id]]</f>
        <v>28929</v>
      </c>
      <c r="L1498">
        <f>Table_socioeca8.sandag.org_ws_abm2_f4[[#This Row],[scenario_id]]</f>
        <v>259</v>
      </c>
      <c r="M1498">
        <f>Table_socioeca8.sandag.org_ws_abm2_f4[[#This Row],[flow_day]]</f>
        <v>51668</v>
      </c>
      <c r="N1498">
        <f>Table_socioeca8.sandag.org_ws_abm2_f4[[#This Row],[flow_am]]</f>
        <v>13706</v>
      </c>
      <c r="O1498">
        <f>Table_socioeca8.sandag.org_ws_abm2_f4[[#This Row],[flow_pm]]</f>
        <v>10302</v>
      </c>
    </row>
    <row r="1499" spans="5:15" x14ac:dyDescent="0.25">
      <c r="E1499">
        <v>28938</v>
      </c>
      <c r="F1499">
        <f t="shared" si="23"/>
        <v>259</v>
      </c>
      <c r="G1499">
        <f>IFERROR(VLOOKUP(Table_socioeca8.sandag.org_ws_abm2_f4[[#This Row],[hwycov_id]],[2]flow_freeway!$A$2:$E$1643,3,FALSE),0)</f>
        <v>38173</v>
      </c>
      <c r="H1499">
        <f>IFERROR(VLOOKUP(Table_socioeca8.sandag.org_ws_abm2_f4[[#This Row],[hwycov_id]],[2]flow_freeway!$A$2:$E$1643,4,FALSE),0)</f>
        <v>7599</v>
      </c>
      <c r="I1499">
        <f>IFERROR(VLOOKUP(Table_socioeca8.sandag.org_ws_abm2_f4[[#This Row],[hwycov_id]],[2]flow_freeway!$A$2:$E$1643,5,FALSE),0)</f>
        <v>10119</v>
      </c>
      <c r="K1499">
        <f>Table_socioeca8.sandag.org_ws_abm2_f4[[#This Row],[hwycov_id]]</f>
        <v>28938</v>
      </c>
      <c r="L1499">
        <f>Table_socioeca8.sandag.org_ws_abm2_f4[[#This Row],[scenario_id]]</f>
        <v>259</v>
      </c>
      <c r="M1499">
        <f>Table_socioeca8.sandag.org_ws_abm2_f4[[#This Row],[flow_day]]</f>
        <v>38173</v>
      </c>
      <c r="N1499">
        <f>Table_socioeca8.sandag.org_ws_abm2_f4[[#This Row],[flow_am]]</f>
        <v>7599</v>
      </c>
      <c r="O1499">
        <f>Table_socioeca8.sandag.org_ws_abm2_f4[[#This Row],[flow_pm]]</f>
        <v>10119</v>
      </c>
    </row>
    <row r="1500" spans="5:15" x14ac:dyDescent="0.25">
      <c r="E1500">
        <v>28939</v>
      </c>
      <c r="F1500">
        <f t="shared" si="23"/>
        <v>259</v>
      </c>
      <c r="G1500">
        <f>IFERROR(VLOOKUP(Table_socioeca8.sandag.org_ws_abm2_f4[[#This Row],[hwycov_id]],[2]flow_freeway!$A$2:$E$1643,3,FALSE),0)</f>
        <v>40127</v>
      </c>
      <c r="H1500">
        <f>IFERROR(VLOOKUP(Table_socioeca8.sandag.org_ws_abm2_f4[[#This Row],[hwycov_id]],[2]flow_freeway!$A$2:$E$1643,4,FALSE),0)</f>
        <v>9120</v>
      </c>
      <c r="I1500">
        <f>IFERROR(VLOOKUP(Table_socioeca8.sandag.org_ws_abm2_f4[[#This Row],[hwycov_id]],[2]flow_freeway!$A$2:$E$1643,5,FALSE),0)</f>
        <v>9570</v>
      </c>
      <c r="K1500">
        <f>Table_socioeca8.sandag.org_ws_abm2_f4[[#This Row],[hwycov_id]]</f>
        <v>28939</v>
      </c>
      <c r="L1500">
        <f>Table_socioeca8.sandag.org_ws_abm2_f4[[#This Row],[scenario_id]]</f>
        <v>259</v>
      </c>
      <c r="M1500">
        <f>Table_socioeca8.sandag.org_ws_abm2_f4[[#This Row],[flow_day]]</f>
        <v>40127</v>
      </c>
      <c r="N1500">
        <f>Table_socioeca8.sandag.org_ws_abm2_f4[[#This Row],[flow_am]]</f>
        <v>9120</v>
      </c>
      <c r="O1500">
        <f>Table_socioeca8.sandag.org_ws_abm2_f4[[#This Row],[flow_pm]]</f>
        <v>9570</v>
      </c>
    </row>
    <row r="1501" spans="5:15" x14ac:dyDescent="0.25">
      <c r="E1501">
        <v>28940</v>
      </c>
      <c r="F1501">
        <f t="shared" si="23"/>
        <v>259</v>
      </c>
      <c r="G1501">
        <f>IFERROR(VLOOKUP(Table_socioeca8.sandag.org_ws_abm2_f4[[#This Row],[hwycov_id]],[2]flow_freeway!$A$2:$E$1643,3,FALSE),0)</f>
        <v>43566</v>
      </c>
      <c r="H1501">
        <f>IFERROR(VLOOKUP(Table_socioeca8.sandag.org_ws_abm2_f4[[#This Row],[hwycov_id]],[2]flow_freeway!$A$2:$E$1643,4,FALSE),0)</f>
        <v>9655</v>
      </c>
      <c r="I1501">
        <f>IFERROR(VLOOKUP(Table_socioeca8.sandag.org_ws_abm2_f4[[#This Row],[hwycov_id]],[2]flow_freeway!$A$2:$E$1643,5,FALSE),0)</f>
        <v>10619</v>
      </c>
      <c r="K1501">
        <f>Table_socioeca8.sandag.org_ws_abm2_f4[[#This Row],[hwycov_id]]</f>
        <v>28940</v>
      </c>
      <c r="L1501">
        <f>Table_socioeca8.sandag.org_ws_abm2_f4[[#This Row],[scenario_id]]</f>
        <v>259</v>
      </c>
      <c r="M1501">
        <f>Table_socioeca8.sandag.org_ws_abm2_f4[[#This Row],[flow_day]]</f>
        <v>43566</v>
      </c>
      <c r="N1501">
        <f>Table_socioeca8.sandag.org_ws_abm2_f4[[#This Row],[flow_am]]</f>
        <v>9655</v>
      </c>
      <c r="O1501">
        <f>Table_socioeca8.sandag.org_ws_abm2_f4[[#This Row],[flow_pm]]</f>
        <v>10619</v>
      </c>
    </row>
    <row r="1502" spans="5:15" x14ac:dyDescent="0.25">
      <c r="E1502">
        <v>28941</v>
      </c>
      <c r="F1502">
        <f t="shared" si="23"/>
        <v>259</v>
      </c>
      <c r="G1502">
        <f>IFERROR(VLOOKUP(Table_socioeca8.sandag.org_ws_abm2_f4[[#This Row],[hwycov_id]],[2]flow_freeway!$A$2:$E$1643,3,FALSE),0)</f>
        <v>40896</v>
      </c>
      <c r="H1502">
        <f>IFERROR(VLOOKUP(Table_socioeca8.sandag.org_ws_abm2_f4[[#This Row],[hwycov_id]],[2]flow_freeway!$A$2:$E$1643,4,FALSE),0)</f>
        <v>8232</v>
      </c>
      <c r="I1502">
        <f>IFERROR(VLOOKUP(Table_socioeca8.sandag.org_ws_abm2_f4[[#This Row],[hwycov_id]],[2]flow_freeway!$A$2:$E$1643,5,FALSE),0)</f>
        <v>10970</v>
      </c>
      <c r="K1502">
        <f>Table_socioeca8.sandag.org_ws_abm2_f4[[#This Row],[hwycov_id]]</f>
        <v>28941</v>
      </c>
      <c r="L1502">
        <f>Table_socioeca8.sandag.org_ws_abm2_f4[[#This Row],[scenario_id]]</f>
        <v>259</v>
      </c>
      <c r="M1502">
        <f>Table_socioeca8.sandag.org_ws_abm2_f4[[#This Row],[flow_day]]</f>
        <v>40896</v>
      </c>
      <c r="N1502">
        <f>Table_socioeca8.sandag.org_ws_abm2_f4[[#This Row],[flow_am]]</f>
        <v>8232</v>
      </c>
      <c r="O1502">
        <f>Table_socioeca8.sandag.org_ws_abm2_f4[[#This Row],[flow_pm]]</f>
        <v>10970</v>
      </c>
    </row>
    <row r="1503" spans="5:15" x14ac:dyDescent="0.25">
      <c r="E1503">
        <v>28945</v>
      </c>
      <c r="F1503">
        <f t="shared" si="23"/>
        <v>259</v>
      </c>
      <c r="G1503">
        <f>IFERROR(VLOOKUP(Table_socioeca8.sandag.org_ws_abm2_f4[[#This Row],[hwycov_id]],[2]flow_freeway!$A$2:$E$1643,3,FALSE),0)</f>
        <v>26136</v>
      </c>
      <c r="H1503">
        <f>IFERROR(VLOOKUP(Table_socioeca8.sandag.org_ws_abm2_f4[[#This Row],[hwycov_id]],[2]flow_freeway!$A$2:$E$1643,4,FALSE),0)</f>
        <v>5821</v>
      </c>
      <c r="I1503">
        <f>IFERROR(VLOOKUP(Table_socioeca8.sandag.org_ws_abm2_f4[[#This Row],[hwycov_id]],[2]flow_freeway!$A$2:$E$1643,5,FALSE),0)</f>
        <v>6658</v>
      </c>
      <c r="K1503">
        <f>Table_socioeca8.sandag.org_ws_abm2_f4[[#This Row],[hwycov_id]]</f>
        <v>28945</v>
      </c>
      <c r="L1503">
        <f>Table_socioeca8.sandag.org_ws_abm2_f4[[#This Row],[scenario_id]]</f>
        <v>259</v>
      </c>
      <c r="M1503">
        <f>Table_socioeca8.sandag.org_ws_abm2_f4[[#This Row],[flow_day]]</f>
        <v>26136</v>
      </c>
      <c r="N1503">
        <f>Table_socioeca8.sandag.org_ws_abm2_f4[[#This Row],[flow_am]]</f>
        <v>5821</v>
      </c>
      <c r="O1503">
        <f>Table_socioeca8.sandag.org_ws_abm2_f4[[#This Row],[flow_pm]]</f>
        <v>6658</v>
      </c>
    </row>
    <row r="1504" spans="5:15" x14ac:dyDescent="0.25">
      <c r="E1504">
        <v>28948</v>
      </c>
      <c r="F1504">
        <f t="shared" si="23"/>
        <v>259</v>
      </c>
      <c r="G1504">
        <f>IFERROR(VLOOKUP(Table_socioeca8.sandag.org_ws_abm2_f4[[#This Row],[hwycov_id]],[2]flow_freeway!$A$2:$E$1643,3,FALSE),0)</f>
        <v>26136</v>
      </c>
      <c r="H1504">
        <f>IFERROR(VLOOKUP(Table_socioeca8.sandag.org_ws_abm2_f4[[#This Row],[hwycov_id]],[2]flow_freeway!$A$2:$E$1643,4,FALSE),0)</f>
        <v>5821</v>
      </c>
      <c r="I1504">
        <f>IFERROR(VLOOKUP(Table_socioeca8.sandag.org_ws_abm2_f4[[#This Row],[hwycov_id]],[2]flow_freeway!$A$2:$E$1643,5,FALSE),0)</f>
        <v>6658</v>
      </c>
      <c r="K1504">
        <f>Table_socioeca8.sandag.org_ws_abm2_f4[[#This Row],[hwycov_id]]</f>
        <v>28948</v>
      </c>
      <c r="L1504">
        <f>Table_socioeca8.sandag.org_ws_abm2_f4[[#This Row],[scenario_id]]</f>
        <v>259</v>
      </c>
      <c r="M1504">
        <f>Table_socioeca8.sandag.org_ws_abm2_f4[[#This Row],[flow_day]]</f>
        <v>26136</v>
      </c>
      <c r="N1504">
        <f>Table_socioeca8.sandag.org_ws_abm2_f4[[#This Row],[flow_am]]</f>
        <v>5821</v>
      </c>
      <c r="O1504">
        <f>Table_socioeca8.sandag.org_ws_abm2_f4[[#This Row],[flow_pm]]</f>
        <v>6658</v>
      </c>
    </row>
    <row r="1505" spans="5:15" x14ac:dyDescent="0.25">
      <c r="E1505">
        <v>28949</v>
      </c>
      <c r="F1505">
        <f t="shared" si="23"/>
        <v>259</v>
      </c>
      <c r="G1505">
        <f>IFERROR(VLOOKUP(Table_socioeca8.sandag.org_ws_abm2_f4[[#This Row],[hwycov_id]],[2]flow_freeway!$A$2:$E$1643,3,FALSE),0)</f>
        <v>18895</v>
      </c>
      <c r="H1505">
        <f>IFERROR(VLOOKUP(Table_socioeca8.sandag.org_ws_abm2_f4[[#This Row],[hwycov_id]],[2]flow_freeway!$A$2:$E$1643,4,FALSE),0)</f>
        <v>3905</v>
      </c>
      <c r="I1505">
        <f>IFERROR(VLOOKUP(Table_socioeca8.sandag.org_ws_abm2_f4[[#This Row],[hwycov_id]],[2]flow_freeway!$A$2:$E$1643,5,FALSE),0)</f>
        <v>5336</v>
      </c>
      <c r="K1505">
        <f>Table_socioeca8.sandag.org_ws_abm2_f4[[#This Row],[hwycov_id]]</f>
        <v>28949</v>
      </c>
      <c r="L1505">
        <f>Table_socioeca8.sandag.org_ws_abm2_f4[[#This Row],[scenario_id]]</f>
        <v>259</v>
      </c>
      <c r="M1505">
        <f>Table_socioeca8.sandag.org_ws_abm2_f4[[#This Row],[flow_day]]</f>
        <v>18895</v>
      </c>
      <c r="N1505">
        <f>Table_socioeca8.sandag.org_ws_abm2_f4[[#This Row],[flow_am]]</f>
        <v>3905</v>
      </c>
      <c r="O1505">
        <f>Table_socioeca8.sandag.org_ws_abm2_f4[[#This Row],[flow_pm]]</f>
        <v>5336</v>
      </c>
    </row>
    <row r="1506" spans="5:15" x14ac:dyDescent="0.25">
      <c r="E1506">
        <v>28950</v>
      </c>
      <c r="F1506">
        <f t="shared" si="23"/>
        <v>259</v>
      </c>
      <c r="G1506">
        <f>IFERROR(VLOOKUP(Table_socioeca8.sandag.org_ws_abm2_f4[[#This Row],[hwycov_id]],[2]flow_freeway!$A$2:$E$1643,3,FALSE),0)</f>
        <v>28074</v>
      </c>
      <c r="H1506">
        <f>IFERROR(VLOOKUP(Table_socioeca8.sandag.org_ws_abm2_f4[[#This Row],[hwycov_id]],[2]flow_freeway!$A$2:$E$1643,4,FALSE),0)</f>
        <v>5655</v>
      </c>
      <c r="I1506">
        <f>IFERROR(VLOOKUP(Table_socioeca8.sandag.org_ws_abm2_f4[[#This Row],[hwycov_id]],[2]flow_freeway!$A$2:$E$1643,5,FALSE),0)</f>
        <v>7928</v>
      </c>
      <c r="K1506">
        <f>Table_socioeca8.sandag.org_ws_abm2_f4[[#This Row],[hwycov_id]]</f>
        <v>28950</v>
      </c>
      <c r="L1506">
        <f>Table_socioeca8.sandag.org_ws_abm2_f4[[#This Row],[scenario_id]]</f>
        <v>259</v>
      </c>
      <c r="M1506">
        <f>Table_socioeca8.sandag.org_ws_abm2_f4[[#This Row],[flow_day]]</f>
        <v>28074</v>
      </c>
      <c r="N1506">
        <f>Table_socioeca8.sandag.org_ws_abm2_f4[[#This Row],[flow_am]]</f>
        <v>5655</v>
      </c>
      <c r="O1506">
        <f>Table_socioeca8.sandag.org_ws_abm2_f4[[#This Row],[flow_pm]]</f>
        <v>7928</v>
      </c>
    </row>
    <row r="1507" spans="5:15" x14ac:dyDescent="0.25">
      <c r="E1507">
        <v>29016</v>
      </c>
      <c r="F1507">
        <f t="shared" si="23"/>
        <v>259</v>
      </c>
      <c r="G1507">
        <f>IFERROR(VLOOKUP(Table_socioeca8.sandag.org_ws_abm2_f4[[#This Row],[hwycov_id]],[2]flow_freeway!$A$2:$E$1643,3,FALSE),0)</f>
        <v>76007</v>
      </c>
      <c r="H1507">
        <f>IFERROR(VLOOKUP(Table_socioeca8.sandag.org_ws_abm2_f4[[#This Row],[hwycov_id]],[2]flow_freeway!$A$2:$E$1643,4,FALSE),0)</f>
        <v>20483</v>
      </c>
      <c r="I1507">
        <f>IFERROR(VLOOKUP(Table_socioeca8.sandag.org_ws_abm2_f4[[#This Row],[hwycov_id]],[2]flow_freeway!$A$2:$E$1643,5,FALSE),0)</f>
        <v>14890</v>
      </c>
      <c r="K1507">
        <f>Table_socioeca8.sandag.org_ws_abm2_f4[[#This Row],[hwycov_id]]</f>
        <v>29016</v>
      </c>
      <c r="L1507">
        <f>Table_socioeca8.sandag.org_ws_abm2_f4[[#This Row],[scenario_id]]</f>
        <v>259</v>
      </c>
      <c r="M1507">
        <f>Table_socioeca8.sandag.org_ws_abm2_f4[[#This Row],[flow_day]]</f>
        <v>76007</v>
      </c>
      <c r="N1507">
        <f>Table_socioeca8.sandag.org_ws_abm2_f4[[#This Row],[flow_am]]</f>
        <v>20483</v>
      </c>
      <c r="O1507">
        <f>Table_socioeca8.sandag.org_ws_abm2_f4[[#This Row],[flow_pm]]</f>
        <v>14890</v>
      </c>
    </row>
    <row r="1508" spans="5:15" x14ac:dyDescent="0.25">
      <c r="E1508">
        <v>29018</v>
      </c>
      <c r="F1508">
        <f t="shared" si="23"/>
        <v>259</v>
      </c>
      <c r="G1508">
        <f>IFERROR(VLOOKUP(Table_socioeca8.sandag.org_ws_abm2_f4[[#This Row],[hwycov_id]],[2]flow_freeway!$A$2:$E$1643,3,FALSE),0)</f>
        <v>89992</v>
      </c>
      <c r="H1508">
        <f>IFERROR(VLOOKUP(Table_socioeca8.sandag.org_ws_abm2_f4[[#This Row],[hwycov_id]],[2]flow_freeway!$A$2:$E$1643,4,FALSE),0)</f>
        <v>23252</v>
      </c>
      <c r="I1508">
        <f>IFERROR(VLOOKUP(Table_socioeca8.sandag.org_ws_abm2_f4[[#This Row],[hwycov_id]],[2]flow_freeway!$A$2:$E$1643,5,FALSE),0)</f>
        <v>17108</v>
      </c>
      <c r="K1508">
        <f>Table_socioeca8.sandag.org_ws_abm2_f4[[#This Row],[hwycov_id]]</f>
        <v>29018</v>
      </c>
      <c r="L1508">
        <f>Table_socioeca8.sandag.org_ws_abm2_f4[[#This Row],[scenario_id]]</f>
        <v>259</v>
      </c>
      <c r="M1508">
        <f>Table_socioeca8.sandag.org_ws_abm2_f4[[#This Row],[flow_day]]</f>
        <v>89992</v>
      </c>
      <c r="N1508">
        <f>Table_socioeca8.sandag.org_ws_abm2_f4[[#This Row],[flow_am]]</f>
        <v>23252</v>
      </c>
      <c r="O1508">
        <f>Table_socioeca8.sandag.org_ws_abm2_f4[[#This Row],[flow_pm]]</f>
        <v>17108</v>
      </c>
    </row>
    <row r="1509" spans="5:15" x14ac:dyDescent="0.25">
      <c r="E1509">
        <v>29019</v>
      </c>
      <c r="F1509">
        <f t="shared" si="23"/>
        <v>259</v>
      </c>
      <c r="G1509">
        <f>IFERROR(VLOOKUP(Table_socioeca8.sandag.org_ws_abm2_f4[[#This Row],[hwycov_id]],[2]flow_freeway!$A$2:$E$1643,3,FALSE),0)</f>
        <v>91139</v>
      </c>
      <c r="H1509">
        <f>IFERROR(VLOOKUP(Table_socioeca8.sandag.org_ws_abm2_f4[[#This Row],[hwycov_id]],[2]flow_freeway!$A$2:$E$1643,4,FALSE),0)</f>
        <v>13790</v>
      </c>
      <c r="I1509">
        <f>IFERROR(VLOOKUP(Table_socioeca8.sandag.org_ws_abm2_f4[[#This Row],[hwycov_id]],[2]flow_freeway!$A$2:$E$1643,5,FALSE),0)</f>
        <v>28447</v>
      </c>
      <c r="K1509">
        <f>Table_socioeca8.sandag.org_ws_abm2_f4[[#This Row],[hwycov_id]]</f>
        <v>29019</v>
      </c>
      <c r="L1509">
        <f>Table_socioeca8.sandag.org_ws_abm2_f4[[#This Row],[scenario_id]]</f>
        <v>259</v>
      </c>
      <c r="M1509">
        <f>Table_socioeca8.sandag.org_ws_abm2_f4[[#This Row],[flow_day]]</f>
        <v>91139</v>
      </c>
      <c r="N1509">
        <f>Table_socioeca8.sandag.org_ws_abm2_f4[[#This Row],[flow_am]]</f>
        <v>13790</v>
      </c>
      <c r="O1509">
        <f>Table_socioeca8.sandag.org_ws_abm2_f4[[#This Row],[flow_pm]]</f>
        <v>28447</v>
      </c>
    </row>
    <row r="1510" spans="5:15" x14ac:dyDescent="0.25">
      <c r="E1510">
        <v>29023</v>
      </c>
      <c r="F1510">
        <f t="shared" si="23"/>
        <v>259</v>
      </c>
      <c r="G1510">
        <f>IFERROR(VLOOKUP(Table_socioeca8.sandag.org_ws_abm2_f4[[#This Row],[hwycov_id]],[2]flow_freeway!$A$2:$E$1643,3,FALSE),0)</f>
        <v>87825</v>
      </c>
      <c r="H1510">
        <f>IFERROR(VLOOKUP(Table_socioeca8.sandag.org_ws_abm2_f4[[#This Row],[hwycov_id]],[2]flow_freeway!$A$2:$E$1643,4,FALSE),0)</f>
        <v>13138</v>
      </c>
      <c r="I1510">
        <f>IFERROR(VLOOKUP(Table_socioeca8.sandag.org_ws_abm2_f4[[#This Row],[hwycov_id]],[2]flow_freeway!$A$2:$E$1643,5,FALSE),0)</f>
        <v>27641</v>
      </c>
      <c r="K1510">
        <f>Table_socioeca8.sandag.org_ws_abm2_f4[[#This Row],[hwycov_id]]</f>
        <v>29023</v>
      </c>
      <c r="L1510">
        <f>Table_socioeca8.sandag.org_ws_abm2_f4[[#This Row],[scenario_id]]</f>
        <v>259</v>
      </c>
      <c r="M1510">
        <f>Table_socioeca8.sandag.org_ws_abm2_f4[[#This Row],[flow_day]]</f>
        <v>87825</v>
      </c>
      <c r="N1510">
        <f>Table_socioeca8.sandag.org_ws_abm2_f4[[#This Row],[flow_am]]</f>
        <v>13138</v>
      </c>
      <c r="O1510">
        <f>Table_socioeca8.sandag.org_ws_abm2_f4[[#This Row],[flow_pm]]</f>
        <v>27641</v>
      </c>
    </row>
    <row r="1511" spans="5:15" x14ac:dyDescent="0.25">
      <c r="E1511">
        <v>29024</v>
      </c>
      <c r="F1511">
        <f t="shared" si="23"/>
        <v>259</v>
      </c>
      <c r="G1511">
        <f>IFERROR(VLOOKUP(Table_socioeca8.sandag.org_ws_abm2_f4[[#This Row],[hwycov_id]],[2]flow_freeway!$A$2:$E$1643,3,FALSE),0)</f>
        <v>85179</v>
      </c>
      <c r="H1511">
        <f>IFERROR(VLOOKUP(Table_socioeca8.sandag.org_ws_abm2_f4[[#This Row],[hwycov_id]],[2]flow_freeway!$A$2:$E$1643,4,FALSE),0)</f>
        <v>22423</v>
      </c>
      <c r="I1511">
        <f>IFERROR(VLOOKUP(Table_socioeca8.sandag.org_ws_abm2_f4[[#This Row],[hwycov_id]],[2]flow_freeway!$A$2:$E$1643,5,FALSE),0)</f>
        <v>15886</v>
      </c>
      <c r="K1511">
        <f>Table_socioeca8.sandag.org_ws_abm2_f4[[#This Row],[hwycov_id]]</f>
        <v>29024</v>
      </c>
      <c r="L1511">
        <f>Table_socioeca8.sandag.org_ws_abm2_f4[[#This Row],[scenario_id]]</f>
        <v>259</v>
      </c>
      <c r="M1511">
        <f>Table_socioeca8.sandag.org_ws_abm2_f4[[#This Row],[flow_day]]</f>
        <v>85179</v>
      </c>
      <c r="N1511">
        <f>Table_socioeca8.sandag.org_ws_abm2_f4[[#This Row],[flow_am]]</f>
        <v>22423</v>
      </c>
      <c r="O1511">
        <f>Table_socioeca8.sandag.org_ws_abm2_f4[[#This Row],[flow_pm]]</f>
        <v>15886</v>
      </c>
    </row>
    <row r="1512" spans="5:15" x14ac:dyDescent="0.25">
      <c r="E1512">
        <v>29025</v>
      </c>
      <c r="F1512">
        <f t="shared" si="23"/>
        <v>259</v>
      </c>
      <c r="G1512">
        <f>IFERROR(VLOOKUP(Table_socioeca8.sandag.org_ws_abm2_f4[[#This Row],[hwycov_id]],[2]flow_freeway!$A$2:$E$1643,3,FALSE),0)</f>
        <v>78622</v>
      </c>
      <c r="H1512">
        <f>IFERROR(VLOOKUP(Table_socioeca8.sandag.org_ws_abm2_f4[[#This Row],[hwycov_id]],[2]flow_freeway!$A$2:$E$1643,4,FALSE),0)</f>
        <v>11931</v>
      </c>
      <c r="I1512">
        <f>IFERROR(VLOOKUP(Table_socioeca8.sandag.org_ws_abm2_f4[[#This Row],[hwycov_id]],[2]flow_freeway!$A$2:$E$1643,5,FALSE),0)</f>
        <v>24958</v>
      </c>
      <c r="K1512">
        <f>Table_socioeca8.sandag.org_ws_abm2_f4[[#This Row],[hwycov_id]]</f>
        <v>29025</v>
      </c>
      <c r="L1512">
        <f>Table_socioeca8.sandag.org_ws_abm2_f4[[#This Row],[scenario_id]]</f>
        <v>259</v>
      </c>
      <c r="M1512">
        <f>Table_socioeca8.sandag.org_ws_abm2_f4[[#This Row],[flow_day]]</f>
        <v>78622</v>
      </c>
      <c r="N1512">
        <f>Table_socioeca8.sandag.org_ws_abm2_f4[[#This Row],[flow_am]]</f>
        <v>11931</v>
      </c>
      <c r="O1512">
        <f>Table_socioeca8.sandag.org_ws_abm2_f4[[#This Row],[flow_pm]]</f>
        <v>24958</v>
      </c>
    </row>
    <row r="1513" spans="5:15" x14ac:dyDescent="0.25">
      <c r="E1513">
        <v>29027</v>
      </c>
      <c r="F1513">
        <f t="shared" si="23"/>
        <v>259</v>
      </c>
      <c r="G1513">
        <f>IFERROR(VLOOKUP(Table_socioeca8.sandag.org_ws_abm2_f4[[#This Row],[hwycov_id]],[2]flow_freeway!$A$2:$E$1643,3,FALSE),0)</f>
        <v>92882</v>
      </c>
      <c r="H1513">
        <f>IFERROR(VLOOKUP(Table_socioeca8.sandag.org_ws_abm2_f4[[#This Row],[hwycov_id]],[2]flow_freeway!$A$2:$E$1643,4,FALSE),0)</f>
        <v>14032</v>
      </c>
      <c r="I1513">
        <f>IFERROR(VLOOKUP(Table_socioeca8.sandag.org_ws_abm2_f4[[#This Row],[hwycov_id]],[2]flow_freeway!$A$2:$E$1643,5,FALSE),0)</f>
        <v>29449</v>
      </c>
      <c r="K1513">
        <f>Table_socioeca8.sandag.org_ws_abm2_f4[[#This Row],[hwycov_id]]</f>
        <v>29027</v>
      </c>
      <c r="L1513">
        <f>Table_socioeca8.sandag.org_ws_abm2_f4[[#This Row],[scenario_id]]</f>
        <v>259</v>
      </c>
      <c r="M1513">
        <f>Table_socioeca8.sandag.org_ws_abm2_f4[[#This Row],[flow_day]]</f>
        <v>92882</v>
      </c>
      <c r="N1513">
        <f>Table_socioeca8.sandag.org_ws_abm2_f4[[#This Row],[flow_am]]</f>
        <v>14032</v>
      </c>
      <c r="O1513">
        <f>Table_socioeca8.sandag.org_ws_abm2_f4[[#This Row],[flow_pm]]</f>
        <v>29449</v>
      </c>
    </row>
    <row r="1514" spans="5:15" x14ac:dyDescent="0.25">
      <c r="E1514">
        <v>29028</v>
      </c>
      <c r="F1514">
        <f t="shared" si="23"/>
        <v>259</v>
      </c>
      <c r="G1514">
        <f>IFERROR(VLOOKUP(Table_socioeca8.sandag.org_ws_abm2_f4[[#This Row],[hwycov_id]],[2]flow_freeway!$A$2:$E$1643,3,FALSE),0)</f>
        <v>88120</v>
      </c>
      <c r="H1514">
        <f>IFERROR(VLOOKUP(Table_socioeca8.sandag.org_ws_abm2_f4[[#This Row],[hwycov_id]],[2]flow_freeway!$A$2:$E$1643,4,FALSE),0)</f>
        <v>23899</v>
      </c>
      <c r="I1514">
        <f>IFERROR(VLOOKUP(Table_socioeca8.sandag.org_ws_abm2_f4[[#This Row],[hwycov_id]],[2]flow_freeway!$A$2:$E$1643,5,FALSE),0)</f>
        <v>16457</v>
      </c>
      <c r="K1514">
        <f>Table_socioeca8.sandag.org_ws_abm2_f4[[#This Row],[hwycov_id]]</f>
        <v>29028</v>
      </c>
      <c r="L1514">
        <f>Table_socioeca8.sandag.org_ws_abm2_f4[[#This Row],[scenario_id]]</f>
        <v>259</v>
      </c>
      <c r="M1514">
        <f>Table_socioeca8.sandag.org_ws_abm2_f4[[#This Row],[flow_day]]</f>
        <v>88120</v>
      </c>
      <c r="N1514">
        <f>Table_socioeca8.sandag.org_ws_abm2_f4[[#This Row],[flow_am]]</f>
        <v>23899</v>
      </c>
      <c r="O1514">
        <f>Table_socioeca8.sandag.org_ws_abm2_f4[[#This Row],[flow_pm]]</f>
        <v>16457</v>
      </c>
    </row>
    <row r="1515" spans="5:15" x14ac:dyDescent="0.25">
      <c r="E1515">
        <v>29033</v>
      </c>
      <c r="F1515">
        <f t="shared" si="23"/>
        <v>259</v>
      </c>
      <c r="G1515">
        <f>IFERROR(VLOOKUP(Table_socioeca8.sandag.org_ws_abm2_f4[[#This Row],[hwycov_id]],[2]flow_freeway!$A$2:$E$1643,3,FALSE),0)</f>
        <v>83244</v>
      </c>
      <c r="H1515">
        <f>IFERROR(VLOOKUP(Table_socioeca8.sandag.org_ws_abm2_f4[[#This Row],[hwycov_id]],[2]flow_freeway!$A$2:$E$1643,4,FALSE),0)</f>
        <v>23030</v>
      </c>
      <c r="I1515">
        <f>IFERROR(VLOOKUP(Table_socioeca8.sandag.org_ws_abm2_f4[[#This Row],[hwycov_id]],[2]flow_freeway!$A$2:$E$1643,5,FALSE),0)</f>
        <v>15250</v>
      </c>
      <c r="K1515">
        <f>Table_socioeca8.sandag.org_ws_abm2_f4[[#This Row],[hwycov_id]]</f>
        <v>29033</v>
      </c>
      <c r="L1515">
        <f>Table_socioeca8.sandag.org_ws_abm2_f4[[#This Row],[scenario_id]]</f>
        <v>259</v>
      </c>
      <c r="M1515">
        <f>Table_socioeca8.sandag.org_ws_abm2_f4[[#This Row],[flow_day]]</f>
        <v>83244</v>
      </c>
      <c r="N1515">
        <f>Table_socioeca8.sandag.org_ws_abm2_f4[[#This Row],[flow_am]]</f>
        <v>23030</v>
      </c>
      <c r="O1515">
        <f>Table_socioeca8.sandag.org_ws_abm2_f4[[#This Row],[flow_pm]]</f>
        <v>15250</v>
      </c>
    </row>
    <row r="1516" spans="5:15" x14ac:dyDescent="0.25">
      <c r="E1516">
        <v>29035</v>
      </c>
      <c r="F1516">
        <f t="shared" si="23"/>
        <v>259</v>
      </c>
      <c r="G1516">
        <f>IFERROR(VLOOKUP(Table_socioeca8.sandag.org_ws_abm2_f4[[#This Row],[hwycov_id]],[2]flow_freeway!$A$2:$E$1643,3,FALSE),0)</f>
        <v>88887</v>
      </c>
      <c r="H1516">
        <f>IFERROR(VLOOKUP(Table_socioeca8.sandag.org_ws_abm2_f4[[#This Row],[hwycov_id]],[2]flow_freeway!$A$2:$E$1643,4,FALSE),0)</f>
        <v>13278</v>
      </c>
      <c r="I1516">
        <f>IFERROR(VLOOKUP(Table_socioeca8.sandag.org_ws_abm2_f4[[#This Row],[hwycov_id]],[2]flow_freeway!$A$2:$E$1643,5,FALSE),0)</f>
        <v>28573</v>
      </c>
      <c r="K1516">
        <f>Table_socioeca8.sandag.org_ws_abm2_f4[[#This Row],[hwycov_id]]</f>
        <v>29035</v>
      </c>
      <c r="L1516">
        <f>Table_socioeca8.sandag.org_ws_abm2_f4[[#This Row],[scenario_id]]</f>
        <v>259</v>
      </c>
      <c r="M1516">
        <f>Table_socioeca8.sandag.org_ws_abm2_f4[[#This Row],[flow_day]]</f>
        <v>88887</v>
      </c>
      <c r="N1516">
        <f>Table_socioeca8.sandag.org_ws_abm2_f4[[#This Row],[flow_am]]</f>
        <v>13278</v>
      </c>
      <c r="O1516">
        <f>Table_socioeca8.sandag.org_ws_abm2_f4[[#This Row],[flow_pm]]</f>
        <v>28573</v>
      </c>
    </row>
    <row r="1517" spans="5:15" x14ac:dyDescent="0.25">
      <c r="E1517">
        <v>29037</v>
      </c>
      <c r="F1517">
        <f t="shared" si="23"/>
        <v>259</v>
      </c>
      <c r="G1517">
        <f>IFERROR(VLOOKUP(Table_socioeca8.sandag.org_ws_abm2_f4[[#This Row],[hwycov_id]],[2]flow_freeway!$A$2:$E$1643,3,FALSE),0)</f>
        <v>86107</v>
      </c>
      <c r="H1517">
        <f>IFERROR(VLOOKUP(Table_socioeca8.sandag.org_ws_abm2_f4[[#This Row],[hwycov_id]],[2]flow_freeway!$A$2:$E$1643,4,FALSE),0)</f>
        <v>24527</v>
      </c>
      <c r="I1517">
        <f>IFERROR(VLOOKUP(Table_socioeca8.sandag.org_ws_abm2_f4[[#This Row],[hwycov_id]],[2]flow_freeway!$A$2:$E$1643,5,FALSE),0)</f>
        <v>16420</v>
      </c>
      <c r="K1517">
        <f>Table_socioeca8.sandag.org_ws_abm2_f4[[#This Row],[hwycov_id]]</f>
        <v>29037</v>
      </c>
      <c r="L1517">
        <f>Table_socioeca8.sandag.org_ws_abm2_f4[[#This Row],[scenario_id]]</f>
        <v>259</v>
      </c>
      <c r="M1517">
        <f>Table_socioeca8.sandag.org_ws_abm2_f4[[#This Row],[flow_day]]</f>
        <v>86107</v>
      </c>
      <c r="N1517">
        <f>Table_socioeca8.sandag.org_ws_abm2_f4[[#This Row],[flow_am]]</f>
        <v>24527</v>
      </c>
      <c r="O1517">
        <f>Table_socioeca8.sandag.org_ws_abm2_f4[[#This Row],[flow_pm]]</f>
        <v>16420</v>
      </c>
    </row>
    <row r="1518" spans="5:15" x14ac:dyDescent="0.25">
      <c r="E1518">
        <v>29039</v>
      </c>
      <c r="F1518">
        <f t="shared" si="23"/>
        <v>259</v>
      </c>
      <c r="G1518">
        <f>IFERROR(VLOOKUP(Table_socioeca8.sandag.org_ws_abm2_f4[[#This Row],[hwycov_id]],[2]flow_freeway!$A$2:$E$1643,3,FALSE),0)</f>
        <v>104906</v>
      </c>
      <c r="H1518">
        <f>IFERROR(VLOOKUP(Table_socioeca8.sandag.org_ws_abm2_f4[[#This Row],[hwycov_id]],[2]flow_freeway!$A$2:$E$1643,4,FALSE),0)</f>
        <v>15829</v>
      </c>
      <c r="I1518">
        <f>IFERROR(VLOOKUP(Table_socioeca8.sandag.org_ws_abm2_f4[[#This Row],[hwycov_id]],[2]flow_freeway!$A$2:$E$1643,5,FALSE),0)</f>
        <v>32728</v>
      </c>
      <c r="K1518">
        <f>Table_socioeca8.sandag.org_ws_abm2_f4[[#This Row],[hwycov_id]]</f>
        <v>29039</v>
      </c>
      <c r="L1518">
        <f>Table_socioeca8.sandag.org_ws_abm2_f4[[#This Row],[scenario_id]]</f>
        <v>259</v>
      </c>
      <c r="M1518">
        <f>Table_socioeca8.sandag.org_ws_abm2_f4[[#This Row],[flow_day]]</f>
        <v>104906</v>
      </c>
      <c r="N1518">
        <f>Table_socioeca8.sandag.org_ws_abm2_f4[[#This Row],[flow_am]]</f>
        <v>15829</v>
      </c>
      <c r="O1518">
        <f>Table_socioeca8.sandag.org_ws_abm2_f4[[#This Row],[flow_pm]]</f>
        <v>32728</v>
      </c>
    </row>
    <row r="1519" spans="5:15" x14ac:dyDescent="0.25">
      <c r="E1519">
        <v>29041</v>
      </c>
      <c r="F1519">
        <f t="shared" si="23"/>
        <v>259</v>
      </c>
      <c r="G1519">
        <f>IFERROR(VLOOKUP(Table_socioeca8.sandag.org_ws_abm2_f4[[#This Row],[hwycov_id]],[2]flow_freeway!$A$2:$E$1643,3,FALSE),0)</f>
        <v>96741</v>
      </c>
      <c r="H1519">
        <f>IFERROR(VLOOKUP(Table_socioeca8.sandag.org_ws_abm2_f4[[#This Row],[hwycov_id]],[2]flow_freeway!$A$2:$E$1643,4,FALSE),0)</f>
        <v>26206</v>
      </c>
      <c r="I1519">
        <f>IFERROR(VLOOKUP(Table_socioeca8.sandag.org_ws_abm2_f4[[#This Row],[hwycov_id]],[2]flow_freeway!$A$2:$E$1643,5,FALSE),0)</f>
        <v>17878</v>
      </c>
      <c r="K1519">
        <f>Table_socioeca8.sandag.org_ws_abm2_f4[[#This Row],[hwycov_id]]</f>
        <v>29041</v>
      </c>
      <c r="L1519">
        <f>Table_socioeca8.sandag.org_ws_abm2_f4[[#This Row],[scenario_id]]</f>
        <v>259</v>
      </c>
      <c r="M1519">
        <f>Table_socioeca8.sandag.org_ws_abm2_f4[[#This Row],[flow_day]]</f>
        <v>96741</v>
      </c>
      <c r="N1519">
        <f>Table_socioeca8.sandag.org_ws_abm2_f4[[#This Row],[flow_am]]</f>
        <v>26206</v>
      </c>
      <c r="O1519">
        <f>Table_socioeca8.sandag.org_ws_abm2_f4[[#This Row],[flow_pm]]</f>
        <v>17878</v>
      </c>
    </row>
    <row r="1520" spans="5:15" x14ac:dyDescent="0.25">
      <c r="E1520">
        <v>29042</v>
      </c>
      <c r="F1520">
        <f t="shared" si="23"/>
        <v>259</v>
      </c>
      <c r="G1520">
        <f>IFERROR(VLOOKUP(Table_socioeca8.sandag.org_ws_abm2_f4[[#This Row],[hwycov_id]],[2]flow_freeway!$A$2:$E$1643,3,FALSE),0)</f>
        <v>102955</v>
      </c>
      <c r="H1520">
        <f>IFERROR(VLOOKUP(Table_socioeca8.sandag.org_ws_abm2_f4[[#This Row],[hwycov_id]],[2]flow_freeway!$A$2:$E$1643,4,FALSE),0)</f>
        <v>27868</v>
      </c>
      <c r="I1520">
        <f>IFERROR(VLOOKUP(Table_socioeca8.sandag.org_ws_abm2_f4[[#This Row],[hwycov_id]],[2]flow_freeway!$A$2:$E$1643,5,FALSE),0)</f>
        <v>19073</v>
      </c>
      <c r="K1520">
        <f>Table_socioeca8.sandag.org_ws_abm2_f4[[#This Row],[hwycov_id]]</f>
        <v>29042</v>
      </c>
      <c r="L1520">
        <f>Table_socioeca8.sandag.org_ws_abm2_f4[[#This Row],[scenario_id]]</f>
        <v>259</v>
      </c>
      <c r="M1520">
        <f>Table_socioeca8.sandag.org_ws_abm2_f4[[#This Row],[flow_day]]</f>
        <v>102955</v>
      </c>
      <c r="N1520">
        <f>Table_socioeca8.sandag.org_ws_abm2_f4[[#This Row],[flow_am]]</f>
        <v>27868</v>
      </c>
      <c r="O1520">
        <f>Table_socioeca8.sandag.org_ws_abm2_f4[[#This Row],[flow_pm]]</f>
        <v>19073</v>
      </c>
    </row>
    <row r="1521" spans="5:15" x14ac:dyDescent="0.25">
      <c r="E1521">
        <v>29045</v>
      </c>
      <c r="F1521">
        <f t="shared" si="23"/>
        <v>259</v>
      </c>
      <c r="G1521">
        <f>IFERROR(VLOOKUP(Table_socioeca8.sandag.org_ws_abm2_f4[[#This Row],[hwycov_id]],[2]flow_freeway!$A$2:$E$1643,3,FALSE),0)</f>
        <v>101065</v>
      </c>
      <c r="H1521">
        <f>IFERROR(VLOOKUP(Table_socioeca8.sandag.org_ws_abm2_f4[[#This Row],[hwycov_id]],[2]flow_freeway!$A$2:$E$1643,4,FALSE),0)</f>
        <v>14807</v>
      </c>
      <c r="I1521">
        <f>IFERROR(VLOOKUP(Table_socioeca8.sandag.org_ws_abm2_f4[[#This Row],[hwycov_id]],[2]flow_freeway!$A$2:$E$1643,5,FALSE),0)</f>
        <v>31730</v>
      </c>
      <c r="K1521">
        <f>Table_socioeca8.sandag.org_ws_abm2_f4[[#This Row],[hwycov_id]]</f>
        <v>29045</v>
      </c>
      <c r="L1521">
        <f>Table_socioeca8.sandag.org_ws_abm2_f4[[#This Row],[scenario_id]]</f>
        <v>259</v>
      </c>
      <c r="M1521">
        <f>Table_socioeca8.sandag.org_ws_abm2_f4[[#This Row],[flow_day]]</f>
        <v>101065</v>
      </c>
      <c r="N1521">
        <f>Table_socioeca8.sandag.org_ws_abm2_f4[[#This Row],[flow_am]]</f>
        <v>14807</v>
      </c>
      <c r="O1521">
        <f>Table_socioeca8.sandag.org_ws_abm2_f4[[#This Row],[flow_pm]]</f>
        <v>31730</v>
      </c>
    </row>
    <row r="1522" spans="5:15" x14ac:dyDescent="0.25">
      <c r="E1522">
        <v>29046</v>
      </c>
      <c r="F1522">
        <f t="shared" si="23"/>
        <v>259</v>
      </c>
      <c r="G1522">
        <f>IFERROR(VLOOKUP(Table_socioeca8.sandag.org_ws_abm2_f4[[#This Row],[hwycov_id]],[2]flow_freeway!$A$2:$E$1643,3,FALSE),0)</f>
        <v>64245</v>
      </c>
      <c r="H1522">
        <f>IFERROR(VLOOKUP(Table_socioeca8.sandag.org_ws_abm2_f4[[#This Row],[hwycov_id]],[2]flow_freeway!$A$2:$E$1643,4,FALSE),0)</f>
        <v>19780</v>
      </c>
      <c r="I1522">
        <f>IFERROR(VLOOKUP(Table_socioeca8.sandag.org_ws_abm2_f4[[#This Row],[hwycov_id]],[2]flow_freeway!$A$2:$E$1643,5,FALSE),0)</f>
        <v>11090</v>
      </c>
      <c r="K1522">
        <f>Table_socioeca8.sandag.org_ws_abm2_f4[[#This Row],[hwycov_id]]</f>
        <v>29046</v>
      </c>
      <c r="L1522">
        <f>Table_socioeca8.sandag.org_ws_abm2_f4[[#This Row],[scenario_id]]</f>
        <v>259</v>
      </c>
      <c r="M1522">
        <f>Table_socioeca8.sandag.org_ws_abm2_f4[[#This Row],[flow_day]]</f>
        <v>64245</v>
      </c>
      <c r="N1522">
        <f>Table_socioeca8.sandag.org_ws_abm2_f4[[#This Row],[flow_am]]</f>
        <v>19780</v>
      </c>
      <c r="O1522">
        <f>Table_socioeca8.sandag.org_ws_abm2_f4[[#This Row],[flow_pm]]</f>
        <v>11090</v>
      </c>
    </row>
    <row r="1523" spans="5:15" x14ac:dyDescent="0.25">
      <c r="E1523">
        <v>29047</v>
      </c>
      <c r="F1523">
        <f t="shared" si="23"/>
        <v>259</v>
      </c>
      <c r="G1523">
        <f>IFERROR(VLOOKUP(Table_socioeca8.sandag.org_ws_abm2_f4[[#This Row],[hwycov_id]],[2]flow_freeway!$A$2:$E$1643,3,FALSE),0)</f>
        <v>58754</v>
      </c>
      <c r="H1523">
        <f>IFERROR(VLOOKUP(Table_socioeca8.sandag.org_ws_abm2_f4[[#This Row],[hwycov_id]],[2]flow_freeway!$A$2:$E$1643,4,FALSE),0)</f>
        <v>7177</v>
      </c>
      <c r="I1523">
        <f>IFERROR(VLOOKUP(Table_socioeca8.sandag.org_ws_abm2_f4[[#This Row],[hwycov_id]],[2]flow_freeway!$A$2:$E$1643,5,FALSE),0)</f>
        <v>20246</v>
      </c>
      <c r="K1523">
        <f>Table_socioeca8.sandag.org_ws_abm2_f4[[#This Row],[hwycov_id]]</f>
        <v>29047</v>
      </c>
      <c r="L1523">
        <f>Table_socioeca8.sandag.org_ws_abm2_f4[[#This Row],[scenario_id]]</f>
        <v>259</v>
      </c>
      <c r="M1523">
        <f>Table_socioeca8.sandag.org_ws_abm2_f4[[#This Row],[flow_day]]</f>
        <v>58754</v>
      </c>
      <c r="N1523">
        <f>Table_socioeca8.sandag.org_ws_abm2_f4[[#This Row],[flow_am]]</f>
        <v>7177</v>
      </c>
      <c r="O1523">
        <f>Table_socioeca8.sandag.org_ws_abm2_f4[[#This Row],[flow_pm]]</f>
        <v>20246</v>
      </c>
    </row>
    <row r="1524" spans="5:15" x14ac:dyDescent="0.25">
      <c r="E1524">
        <v>29049</v>
      </c>
      <c r="F1524">
        <f t="shared" si="23"/>
        <v>259</v>
      </c>
      <c r="G1524">
        <f>IFERROR(VLOOKUP(Table_socioeca8.sandag.org_ws_abm2_f4[[#This Row],[hwycov_id]],[2]flow_freeway!$A$2:$E$1643,3,FALSE),0)</f>
        <v>83740</v>
      </c>
      <c r="H1524">
        <f>IFERROR(VLOOKUP(Table_socioeca8.sandag.org_ws_abm2_f4[[#This Row],[hwycov_id]],[2]flow_freeway!$A$2:$E$1643,4,FALSE),0)</f>
        <v>22485</v>
      </c>
      <c r="I1524">
        <f>IFERROR(VLOOKUP(Table_socioeca8.sandag.org_ws_abm2_f4[[#This Row],[hwycov_id]],[2]flow_freeway!$A$2:$E$1643,5,FALSE),0)</f>
        <v>13187</v>
      </c>
      <c r="K1524">
        <f>Table_socioeca8.sandag.org_ws_abm2_f4[[#This Row],[hwycov_id]]</f>
        <v>29049</v>
      </c>
      <c r="L1524">
        <f>Table_socioeca8.sandag.org_ws_abm2_f4[[#This Row],[scenario_id]]</f>
        <v>259</v>
      </c>
      <c r="M1524">
        <f>Table_socioeca8.sandag.org_ws_abm2_f4[[#This Row],[flow_day]]</f>
        <v>83740</v>
      </c>
      <c r="N1524">
        <f>Table_socioeca8.sandag.org_ws_abm2_f4[[#This Row],[flow_am]]</f>
        <v>22485</v>
      </c>
      <c r="O1524">
        <f>Table_socioeca8.sandag.org_ws_abm2_f4[[#This Row],[flow_pm]]</f>
        <v>13187</v>
      </c>
    </row>
    <row r="1525" spans="5:15" x14ac:dyDescent="0.25">
      <c r="E1525">
        <v>29050</v>
      </c>
      <c r="F1525">
        <f t="shared" si="23"/>
        <v>259</v>
      </c>
      <c r="G1525">
        <f>IFERROR(VLOOKUP(Table_socioeca8.sandag.org_ws_abm2_f4[[#This Row],[hwycov_id]],[2]flow_freeway!$A$2:$E$1643,3,FALSE),0)</f>
        <v>81808</v>
      </c>
      <c r="H1525">
        <f>IFERROR(VLOOKUP(Table_socioeca8.sandag.org_ws_abm2_f4[[#This Row],[hwycov_id]],[2]flow_freeway!$A$2:$E$1643,4,FALSE),0)</f>
        <v>9906</v>
      </c>
      <c r="I1525">
        <f>IFERROR(VLOOKUP(Table_socioeca8.sandag.org_ws_abm2_f4[[#This Row],[hwycov_id]],[2]flow_freeway!$A$2:$E$1643,5,FALSE),0)</f>
        <v>26886</v>
      </c>
      <c r="K1525">
        <f>Table_socioeca8.sandag.org_ws_abm2_f4[[#This Row],[hwycov_id]]</f>
        <v>29050</v>
      </c>
      <c r="L1525">
        <f>Table_socioeca8.sandag.org_ws_abm2_f4[[#This Row],[scenario_id]]</f>
        <v>259</v>
      </c>
      <c r="M1525">
        <f>Table_socioeca8.sandag.org_ws_abm2_f4[[#This Row],[flow_day]]</f>
        <v>81808</v>
      </c>
      <c r="N1525">
        <f>Table_socioeca8.sandag.org_ws_abm2_f4[[#This Row],[flow_am]]</f>
        <v>9906</v>
      </c>
      <c r="O1525">
        <f>Table_socioeca8.sandag.org_ws_abm2_f4[[#This Row],[flow_pm]]</f>
        <v>26886</v>
      </c>
    </row>
    <row r="1526" spans="5:15" x14ac:dyDescent="0.25">
      <c r="E1526">
        <v>29051</v>
      </c>
      <c r="F1526">
        <f t="shared" si="23"/>
        <v>259</v>
      </c>
      <c r="G1526">
        <f>IFERROR(VLOOKUP(Table_socioeca8.sandag.org_ws_abm2_f4[[#This Row],[hwycov_id]],[2]flow_freeway!$A$2:$E$1643,3,FALSE),0)</f>
        <v>77192</v>
      </c>
      <c r="H1526">
        <f>IFERROR(VLOOKUP(Table_socioeca8.sandag.org_ws_abm2_f4[[#This Row],[hwycov_id]],[2]flow_freeway!$A$2:$E$1643,4,FALSE),0)</f>
        <v>20713</v>
      </c>
      <c r="I1526">
        <f>IFERROR(VLOOKUP(Table_socioeca8.sandag.org_ws_abm2_f4[[#This Row],[hwycov_id]],[2]flow_freeway!$A$2:$E$1643,5,FALSE),0)</f>
        <v>12148</v>
      </c>
      <c r="K1526">
        <f>Table_socioeca8.sandag.org_ws_abm2_f4[[#This Row],[hwycov_id]]</f>
        <v>29051</v>
      </c>
      <c r="L1526">
        <f>Table_socioeca8.sandag.org_ws_abm2_f4[[#This Row],[scenario_id]]</f>
        <v>259</v>
      </c>
      <c r="M1526">
        <f>Table_socioeca8.sandag.org_ws_abm2_f4[[#This Row],[flow_day]]</f>
        <v>77192</v>
      </c>
      <c r="N1526">
        <f>Table_socioeca8.sandag.org_ws_abm2_f4[[#This Row],[flow_am]]</f>
        <v>20713</v>
      </c>
      <c r="O1526">
        <f>Table_socioeca8.sandag.org_ws_abm2_f4[[#This Row],[flow_pm]]</f>
        <v>12148</v>
      </c>
    </row>
    <row r="1527" spans="5:15" x14ac:dyDescent="0.25">
      <c r="E1527">
        <v>29052</v>
      </c>
      <c r="F1527">
        <f t="shared" si="23"/>
        <v>259</v>
      </c>
      <c r="G1527">
        <f>IFERROR(VLOOKUP(Table_socioeca8.sandag.org_ws_abm2_f4[[#This Row],[hwycov_id]],[2]flow_freeway!$A$2:$E$1643,3,FALSE),0)</f>
        <v>66534</v>
      </c>
      <c r="H1527">
        <f>IFERROR(VLOOKUP(Table_socioeca8.sandag.org_ws_abm2_f4[[#This Row],[hwycov_id]],[2]flow_freeway!$A$2:$E$1643,4,FALSE),0)</f>
        <v>7733</v>
      </c>
      <c r="I1527">
        <f>IFERROR(VLOOKUP(Table_socioeca8.sandag.org_ws_abm2_f4[[#This Row],[hwycov_id]],[2]flow_freeway!$A$2:$E$1643,5,FALSE),0)</f>
        <v>21850</v>
      </c>
      <c r="K1527">
        <f>Table_socioeca8.sandag.org_ws_abm2_f4[[#This Row],[hwycov_id]]</f>
        <v>29052</v>
      </c>
      <c r="L1527">
        <f>Table_socioeca8.sandag.org_ws_abm2_f4[[#This Row],[scenario_id]]</f>
        <v>259</v>
      </c>
      <c r="M1527">
        <f>Table_socioeca8.sandag.org_ws_abm2_f4[[#This Row],[flow_day]]</f>
        <v>66534</v>
      </c>
      <c r="N1527">
        <f>Table_socioeca8.sandag.org_ws_abm2_f4[[#This Row],[flow_am]]</f>
        <v>7733</v>
      </c>
      <c r="O1527">
        <f>Table_socioeca8.sandag.org_ws_abm2_f4[[#This Row],[flow_pm]]</f>
        <v>21850</v>
      </c>
    </row>
    <row r="1528" spans="5:15" x14ac:dyDescent="0.25">
      <c r="E1528">
        <v>29080</v>
      </c>
      <c r="F1528">
        <f t="shared" si="23"/>
        <v>259</v>
      </c>
      <c r="G1528">
        <f>IFERROR(VLOOKUP(Table_socioeca8.sandag.org_ws_abm2_f4[[#This Row],[hwycov_id]],[2]flow_freeway!$A$2:$E$1643,3,FALSE),0)</f>
        <v>101393</v>
      </c>
      <c r="H1528">
        <f>IFERROR(VLOOKUP(Table_socioeca8.sandag.org_ws_abm2_f4[[#This Row],[hwycov_id]],[2]flow_freeway!$A$2:$E$1643,4,FALSE),0)</f>
        <v>23851</v>
      </c>
      <c r="I1528">
        <f>IFERROR(VLOOKUP(Table_socioeca8.sandag.org_ws_abm2_f4[[#This Row],[hwycov_id]],[2]flow_freeway!$A$2:$E$1643,5,FALSE),0)</f>
        <v>25100</v>
      </c>
      <c r="K1528">
        <f>Table_socioeca8.sandag.org_ws_abm2_f4[[#This Row],[hwycov_id]]</f>
        <v>29080</v>
      </c>
      <c r="L1528">
        <f>Table_socioeca8.sandag.org_ws_abm2_f4[[#This Row],[scenario_id]]</f>
        <v>259</v>
      </c>
      <c r="M1528">
        <f>Table_socioeca8.sandag.org_ws_abm2_f4[[#This Row],[flow_day]]</f>
        <v>101393</v>
      </c>
      <c r="N1528">
        <f>Table_socioeca8.sandag.org_ws_abm2_f4[[#This Row],[flow_am]]</f>
        <v>23851</v>
      </c>
      <c r="O1528">
        <f>Table_socioeca8.sandag.org_ws_abm2_f4[[#This Row],[flow_pm]]</f>
        <v>25100</v>
      </c>
    </row>
    <row r="1529" spans="5:15" x14ac:dyDescent="0.25">
      <c r="E1529">
        <v>29082</v>
      </c>
      <c r="F1529">
        <f t="shared" si="23"/>
        <v>259</v>
      </c>
      <c r="G1529">
        <f>IFERROR(VLOOKUP(Table_socioeca8.sandag.org_ws_abm2_f4[[#This Row],[hwycov_id]],[2]flow_freeway!$A$2:$E$1643,3,FALSE),0)</f>
        <v>94964</v>
      </c>
      <c r="H1529">
        <f>IFERROR(VLOOKUP(Table_socioeca8.sandag.org_ws_abm2_f4[[#This Row],[hwycov_id]],[2]flow_freeway!$A$2:$E$1643,4,FALSE),0)</f>
        <v>22108</v>
      </c>
      <c r="I1529">
        <f>IFERROR(VLOOKUP(Table_socioeca8.sandag.org_ws_abm2_f4[[#This Row],[hwycov_id]],[2]flow_freeway!$A$2:$E$1643,5,FALSE),0)</f>
        <v>23511</v>
      </c>
      <c r="K1529">
        <f>Table_socioeca8.sandag.org_ws_abm2_f4[[#This Row],[hwycov_id]]</f>
        <v>29082</v>
      </c>
      <c r="L1529">
        <f>Table_socioeca8.sandag.org_ws_abm2_f4[[#This Row],[scenario_id]]</f>
        <v>259</v>
      </c>
      <c r="M1529">
        <f>Table_socioeca8.sandag.org_ws_abm2_f4[[#This Row],[flow_day]]</f>
        <v>94964</v>
      </c>
      <c r="N1529">
        <f>Table_socioeca8.sandag.org_ws_abm2_f4[[#This Row],[flow_am]]</f>
        <v>22108</v>
      </c>
      <c r="O1529">
        <f>Table_socioeca8.sandag.org_ws_abm2_f4[[#This Row],[flow_pm]]</f>
        <v>23511</v>
      </c>
    </row>
    <row r="1530" spans="5:15" x14ac:dyDescent="0.25">
      <c r="E1530">
        <v>29086</v>
      </c>
      <c r="F1530">
        <f t="shared" si="23"/>
        <v>259</v>
      </c>
      <c r="G1530">
        <f>IFERROR(VLOOKUP(Table_socioeca8.sandag.org_ws_abm2_f4[[#This Row],[hwycov_id]],[2]flow_freeway!$A$2:$E$1643,3,FALSE),0)</f>
        <v>92991</v>
      </c>
      <c r="H1530">
        <f>IFERROR(VLOOKUP(Table_socioeca8.sandag.org_ws_abm2_f4[[#This Row],[hwycov_id]],[2]flow_freeway!$A$2:$E$1643,4,FALSE),0)</f>
        <v>21598</v>
      </c>
      <c r="I1530">
        <f>IFERROR(VLOOKUP(Table_socioeca8.sandag.org_ws_abm2_f4[[#This Row],[hwycov_id]],[2]flow_freeway!$A$2:$E$1643,5,FALSE),0)</f>
        <v>23059</v>
      </c>
      <c r="K1530">
        <f>Table_socioeca8.sandag.org_ws_abm2_f4[[#This Row],[hwycov_id]]</f>
        <v>29086</v>
      </c>
      <c r="L1530">
        <f>Table_socioeca8.sandag.org_ws_abm2_f4[[#This Row],[scenario_id]]</f>
        <v>259</v>
      </c>
      <c r="M1530">
        <f>Table_socioeca8.sandag.org_ws_abm2_f4[[#This Row],[flow_day]]</f>
        <v>92991</v>
      </c>
      <c r="N1530">
        <f>Table_socioeca8.sandag.org_ws_abm2_f4[[#This Row],[flow_am]]</f>
        <v>21598</v>
      </c>
      <c r="O1530">
        <f>Table_socioeca8.sandag.org_ws_abm2_f4[[#This Row],[flow_pm]]</f>
        <v>23059</v>
      </c>
    </row>
    <row r="1531" spans="5:15" x14ac:dyDescent="0.25">
      <c r="E1531">
        <v>29088</v>
      </c>
      <c r="F1531">
        <f t="shared" si="23"/>
        <v>259</v>
      </c>
      <c r="G1531">
        <f>IFERROR(VLOOKUP(Table_socioeca8.sandag.org_ws_abm2_f4[[#This Row],[hwycov_id]],[2]flow_freeway!$A$2:$E$1643,3,FALSE),0)</f>
        <v>97924</v>
      </c>
      <c r="H1531">
        <f>IFERROR(VLOOKUP(Table_socioeca8.sandag.org_ws_abm2_f4[[#This Row],[hwycov_id]],[2]flow_freeway!$A$2:$E$1643,4,FALSE),0)</f>
        <v>18109</v>
      </c>
      <c r="I1531">
        <f>IFERROR(VLOOKUP(Table_socioeca8.sandag.org_ws_abm2_f4[[#This Row],[hwycov_id]],[2]flow_freeway!$A$2:$E$1643,5,FALSE),0)</f>
        <v>28003</v>
      </c>
      <c r="K1531">
        <f>Table_socioeca8.sandag.org_ws_abm2_f4[[#This Row],[hwycov_id]]</f>
        <v>29088</v>
      </c>
      <c r="L1531">
        <f>Table_socioeca8.sandag.org_ws_abm2_f4[[#This Row],[scenario_id]]</f>
        <v>259</v>
      </c>
      <c r="M1531">
        <f>Table_socioeca8.sandag.org_ws_abm2_f4[[#This Row],[flow_day]]</f>
        <v>97924</v>
      </c>
      <c r="N1531">
        <f>Table_socioeca8.sandag.org_ws_abm2_f4[[#This Row],[flow_am]]</f>
        <v>18109</v>
      </c>
      <c r="O1531">
        <f>Table_socioeca8.sandag.org_ws_abm2_f4[[#This Row],[flow_pm]]</f>
        <v>28003</v>
      </c>
    </row>
    <row r="1532" spans="5:15" x14ac:dyDescent="0.25">
      <c r="E1532">
        <v>29089</v>
      </c>
      <c r="F1532">
        <f t="shared" si="23"/>
        <v>259</v>
      </c>
      <c r="G1532">
        <f>IFERROR(VLOOKUP(Table_socioeca8.sandag.org_ws_abm2_f4[[#This Row],[hwycov_id]],[2]flow_freeway!$A$2:$E$1643,3,FALSE),0)</f>
        <v>89243</v>
      </c>
      <c r="H1532">
        <f>IFERROR(VLOOKUP(Table_socioeca8.sandag.org_ws_abm2_f4[[#This Row],[hwycov_id]],[2]flow_freeway!$A$2:$E$1643,4,FALSE),0)</f>
        <v>16309</v>
      </c>
      <c r="I1532">
        <f>IFERROR(VLOOKUP(Table_socioeca8.sandag.org_ws_abm2_f4[[#This Row],[hwycov_id]],[2]flow_freeway!$A$2:$E$1643,5,FALSE),0)</f>
        <v>25712</v>
      </c>
      <c r="K1532">
        <f>Table_socioeca8.sandag.org_ws_abm2_f4[[#This Row],[hwycov_id]]</f>
        <v>29089</v>
      </c>
      <c r="L1532">
        <f>Table_socioeca8.sandag.org_ws_abm2_f4[[#This Row],[scenario_id]]</f>
        <v>259</v>
      </c>
      <c r="M1532">
        <f>Table_socioeca8.sandag.org_ws_abm2_f4[[#This Row],[flow_day]]</f>
        <v>89243</v>
      </c>
      <c r="N1532">
        <f>Table_socioeca8.sandag.org_ws_abm2_f4[[#This Row],[flow_am]]</f>
        <v>16309</v>
      </c>
      <c r="O1532">
        <f>Table_socioeca8.sandag.org_ws_abm2_f4[[#This Row],[flow_pm]]</f>
        <v>25712</v>
      </c>
    </row>
    <row r="1533" spans="5:15" x14ac:dyDescent="0.25">
      <c r="E1533">
        <v>29090</v>
      </c>
      <c r="F1533">
        <f t="shared" si="23"/>
        <v>259</v>
      </c>
      <c r="G1533">
        <f>IFERROR(VLOOKUP(Table_socioeca8.sandag.org_ws_abm2_f4[[#This Row],[hwycov_id]],[2]flow_freeway!$A$2:$E$1643,3,FALSE),0)</f>
        <v>101393</v>
      </c>
      <c r="H1533">
        <f>IFERROR(VLOOKUP(Table_socioeca8.sandag.org_ws_abm2_f4[[#This Row],[hwycov_id]],[2]flow_freeway!$A$2:$E$1643,4,FALSE),0)</f>
        <v>23851</v>
      </c>
      <c r="I1533">
        <f>IFERROR(VLOOKUP(Table_socioeca8.sandag.org_ws_abm2_f4[[#This Row],[hwycov_id]],[2]flow_freeway!$A$2:$E$1643,5,FALSE),0)</f>
        <v>25100</v>
      </c>
      <c r="K1533">
        <f>Table_socioeca8.sandag.org_ws_abm2_f4[[#This Row],[hwycov_id]]</f>
        <v>29090</v>
      </c>
      <c r="L1533">
        <f>Table_socioeca8.sandag.org_ws_abm2_f4[[#This Row],[scenario_id]]</f>
        <v>259</v>
      </c>
      <c r="M1533">
        <f>Table_socioeca8.sandag.org_ws_abm2_f4[[#This Row],[flow_day]]</f>
        <v>101393</v>
      </c>
      <c r="N1533">
        <f>Table_socioeca8.sandag.org_ws_abm2_f4[[#This Row],[flow_am]]</f>
        <v>23851</v>
      </c>
      <c r="O1533">
        <f>Table_socioeca8.sandag.org_ws_abm2_f4[[#This Row],[flow_pm]]</f>
        <v>25100</v>
      </c>
    </row>
    <row r="1534" spans="5:15" x14ac:dyDescent="0.25">
      <c r="E1534">
        <v>29095</v>
      </c>
      <c r="F1534">
        <f t="shared" si="23"/>
        <v>259</v>
      </c>
      <c r="G1534">
        <f>IFERROR(VLOOKUP(Table_socioeca8.sandag.org_ws_abm2_f4[[#This Row],[hwycov_id]],[2]flow_freeway!$A$2:$E$1643,3,FALSE),0)</f>
        <v>92218</v>
      </c>
      <c r="H1534">
        <f>IFERROR(VLOOKUP(Table_socioeca8.sandag.org_ws_abm2_f4[[#This Row],[hwycov_id]],[2]flow_freeway!$A$2:$E$1643,4,FALSE),0)</f>
        <v>23044</v>
      </c>
      <c r="I1534">
        <f>IFERROR(VLOOKUP(Table_socioeca8.sandag.org_ws_abm2_f4[[#This Row],[hwycov_id]],[2]flow_freeway!$A$2:$E$1643,5,FALSE),0)</f>
        <v>21737</v>
      </c>
      <c r="K1534">
        <f>Table_socioeca8.sandag.org_ws_abm2_f4[[#This Row],[hwycov_id]]</f>
        <v>29095</v>
      </c>
      <c r="L1534">
        <f>Table_socioeca8.sandag.org_ws_abm2_f4[[#This Row],[scenario_id]]</f>
        <v>259</v>
      </c>
      <c r="M1534">
        <f>Table_socioeca8.sandag.org_ws_abm2_f4[[#This Row],[flow_day]]</f>
        <v>92218</v>
      </c>
      <c r="N1534">
        <f>Table_socioeca8.sandag.org_ws_abm2_f4[[#This Row],[flow_am]]</f>
        <v>23044</v>
      </c>
      <c r="O1534">
        <f>Table_socioeca8.sandag.org_ws_abm2_f4[[#This Row],[flow_pm]]</f>
        <v>21737</v>
      </c>
    </row>
    <row r="1535" spans="5:15" x14ac:dyDescent="0.25">
      <c r="E1535">
        <v>29097</v>
      </c>
      <c r="F1535">
        <f t="shared" si="23"/>
        <v>259</v>
      </c>
      <c r="G1535">
        <f>IFERROR(VLOOKUP(Table_socioeca8.sandag.org_ws_abm2_f4[[#This Row],[hwycov_id]],[2]flow_freeway!$A$2:$E$1643,3,FALSE),0)</f>
        <v>54368</v>
      </c>
      <c r="H1535">
        <f>IFERROR(VLOOKUP(Table_socioeca8.sandag.org_ws_abm2_f4[[#This Row],[hwycov_id]],[2]flow_freeway!$A$2:$E$1643,4,FALSE),0)</f>
        <v>14638</v>
      </c>
      <c r="I1535">
        <f>IFERROR(VLOOKUP(Table_socioeca8.sandag.org_ws_abm2_f4[[#This Row],[hwycov_id]],[2]flow_freeway!$A$2:$E$1643,5,FALSE),0)</f>
        <v>11999</v>
      </c>
      <c r="K1535">
        <f>Table_socioeca8.sandag.org_ws_abm2_f4[[#This Row],[hwycov_id]]</f>
        <v>29097</v>
      </c>
      <c r="L1535">
        <f>Table_socioeca8.sandag.org_ws_abm2_f4[[#This Row],[scenario_id]]</f>
        <v>259</v>
      </c>
      <c r="M1535">
        <f>Table_socioeca8.sandag.org_ws_abm2_f4[[#This Row],[flow_day]]</f>
        <v>54368</v>
      </c>
      <c r="N1535">
        <f>Table_socioeca8.sandag.org_ws_abm2_f4[[#This Row],[flow_am]]</f>
        <v>14638</v>
      </c>
      <c r="O1535">
        <f>Table_socioeca8.sandag.org_ws_abm2_f4[[#This Row],[flow_pm]]</f>
        <v>11999</v>
      </c>
    </row>
    <row r="1536" spans="5:15" x14ac:dyDescent="0.25">
      <c r="E1536">
        <v>29105</v>
      </c>
      <c r="F1536">
        <f t="shared" si="23"/>
        <v>259</v>
      </c>
      <c r="G1536">
        <f>IFERROR(VLOOKUP(Table_socioeca8.sandag.org_ws_abm2_f4[[#This Row],[hwycov_id]],[2]flow_freeway!$A$2:$E$1643,3,FALSE),0)</f>
        <v>92792</v>
      </c>
      <c r="H1536">
        <f>IFERROR(VLOOKUP(Table_socioeca8.sandag.org_ws_abm2_f4[[#This Row],[hwycov_id]],[2]flow_freeway!$A$2:$E$1643,4,FALSE),0)</f>
        <v>13128</v>
      </c>
      <c r="I1536">
        <f>IFERROR(VLOOKUP(Table_socioeca8.sandag.org_ws_abm2_f4[[#This Row],[hwycov_id]],[2]flow_freeway!$A$2:$E$1643,5,FALSE),0)</f>
        <v>30671</v>
      </c>
      <c r="K1536">
        <f>Table_socioeca8.sandag.org_ws_abm2_f4[[#This Row],[hwycov_id]]</f>
        <v>29105</v>
      </c>
      <c r="L1536">
        <f>Table_socioeca8.sandag.org_ws_abm2_f4[[#This Row],[scenario_id]]</f>
        <v>259</v>
      </c>
      <c r="M1536">
        <f>Table_socioeca8.sandag.org_ws_abm2_f4[[#This Row],[flow_day]]</f>
        <v>92792</v>
      </c>
      <c r="N1536">
        <f>Table_socioeca8.sandag.org_ws_abm2_f4[[#This Row],[flow_am]]</f>
        <v>13128</v>
      </c>
      <c r="O1536">
        <f>Table_socioeca8.sandag.org_ws_abm2_f4[[#This Row],[flow_pm]]</f>
        <v>30671</v>
      </c>
    </row>
    <row r="1537" spans="5:15" x14ac:dyDescent="0.25">
      <c r="E1537">
        <v>29108</v>
      </c>
      <c r="F1537">
        <f t="shared" si="23"/>
        <v>259</v>
      </c>
      <c r="G1537">
        <f>IFERROR(VLOOKUP(Table_socioeca8.sandag.org_ws_abm2_f4[[#This Row],[hwycov_id]],[2]flow_freeway!$A$2:$E$1643,3,FALSE),0)</f>
        <v>102482</v>
      </c>
      <c r="H1537">
        <f>IFERROR(VLOOKUP(Table_socioeca8.sandag.org_ws_abm2_f4[[#This Row],[hwycov_id]],[2]flow_freeway!$A$2:$E$1643,4,FALSE),0)</f>
        <v>15402</v>
      </c>
      <c r="I1537">
        <f>IFERROR(VLOOKUP(Table_socioeca8.sandag.org_ws_abm2_f4[[#This Row],[hwycov_id]],[2]flow_freeway!$A$2:$E$1643,5,FALSE),0)</f>
        <v>33232</v>
      </c>
      <c r="K1537">
        <f>Table_socioeca8.sandag.org_ws_abm2_f4[[#This Row],[hwycov_id]]</f>
        <v>29108</v>
      </c>
      <c r="L1537">
        <f>Table_socioeca8.sandag.org_ws_abm2_f4[[#This Row],[scenario_id]]</f>
        <v>259</v>
      </c>
      <c r="M1537">
        <f>Table_socioeca8.sandag.org_ws_abm2_f4[[#This Row],[flow_day]]</f>
        <v>102482</v>
      </c>
      <c r="N1537">
        <f>Table_socioeca8.sandag.org_ws_abm2_f4[[#This Row],[flow_am]]</f>
        <v>15402</v>
      </c>
      <c r="O1537">
        <f>Table_socioeca8.sandag.org_ws_abm2_f4[[#This Row],[flow_pm]]</f>
        <v>33232</v>
      </c>
    </row>
    <row r="1538" spans="5:15" x14ac:dyDescent="0.25">
      <c r="E1538">
        <v>29109</v>
      </c>
      <c r="F1538">
        <f t="shared" si="23"/>
        <v>259</v>
      </c>
      <c r="G1538">
        <f>IFERROR(VLOOKUP(Table_socioeca8.sandag.org_ws_abm2_f4[[#This Row],[hwycov_id]],[2]flow_freeway!$A$2:$E$1643,3,FALSE),0)</f>
        <v>73450</v>
      </c>
      <c r="H1538">
        <f>IFERROR(VLOOKUP(Table_socioeca8.sandag.org_ws_abm2_f4[[#This Row],[hwycov_id]],[2]flow_freeway!$A$2:$E$1643,4,FALSE),0)</f>
        <v>11974</v>
      </c>
      <c r="I1538">
        <f>IFERROR(VLOOKUP(Table_socioeca8.sandag.org_ws_abm2_f4[[#This Row],[hwycov_id]],[2]flow_freeway!$A$2:$E$1643,5,FALSE),0)</f>
        <v>20609</v>
      </c>
      <c r="K1538">
        <f>Table_socioeca8.sandag.org_ws_abm2_f4[[#This Row],[hwycov_id]]</f>
        <v>29109</v>
      </c>
      <c r="L1538">
        <f>Table_socioeca8.sandag.org_ws_abm2_f4[[#This Row],[scenario_id]]</f>
        <v>259</v>
      </c>
      <c r="M1538">
        <f>Table_socioeca8.sandag.org_ws_abm2_f4[[#This Row],[flow_day]]</f>
        <v>73450</v>
      </c>
      <c r="N1538">
        <f>Table_socioeca8.sandag.org_ws_abm2_f4[[#This Row],[flow_am]]</f>
        <v>11974</v>
      </c>
      <c r="O1538">
        <f>Table_socioeca8.sandag.org_ws_abm2_f4[[#This Row],[flow_pm]]</f>
        <v>20609</v>
      </c>
    </row>
    <row r="1539" spans="5:15" x14ac:dyDescent="0.25">
      <c r="E1539">
        <v>29111</v>
      </c>
      <c r="F1539">
        <f t="shared" si="23"/>
        <v>259</v>
      </c>
      <c r="G1539">
        <f>IFERROR(VLOOKUP(Table_socioeca8.sandag.org_ws_abm2_f4[[#This Row],[hwycov_id]],[2]flow_freeway!$A$2:$E$1643,3,FALSE),0)</f>
        <v>75172</v>
      </c>
      <c r="H1539">
        <f>IFERROR(VLOOKUP(Table_socioeca8.sandag.org_ws_abm2_f4[[#This Row],[hwycov_id]],[2]flow_freeway!$A$2:$E$1643,4,FALSE),0)</f>
        <v>12161</v>
      </c>
      <c r="I1539">
        <f>IFERROR(VLOOKUP(Table_socioeca8.sandag.org_ws_abm2_f4[[#This Row],[hwycov_id]],[2]flow_freeway!$A$2:$E$1643,5,FALSE),0)</f>
        <v>21198</v>
      </c>
      <c r="K1539">
        <f>Table_socioeca8.sandag.org_ws_abm2_f4[[#This Row],[hwycov_id]]</f>
        <v>29111</v>
      </c>
      <c r="L1539">
        <f>Table_socioeca8.sandag.org_ws_abm2_f4[[#This Row],[scenario_id]]</f>
        <v>259</v>
      </c>
      <c r="M1539">
        <f>Table_socioeca8.sandag.org_ws_abm2_f4[[#This Row],[flow_day]]</f>
        <v>75172</v>
      </c>
      <c r="N1539">
        <f>Table_socioeca8.sandag.org_ws_abm2_f4[[#This Row],[flow_am]]</f>
        <v>12161</v>
      </c>
      <c r="O1539">
        <f>Table_socioeca8.sandag.org_ws_abm2_f4[[#This Row],[flow_pm]]</f>
        <v>21198</v>
      </c>
    </row>
    <row r="1540" spans="5:15" x14ac:dyDescent="0.25">
      <c r="E1540">
        <v>29129</v>
      </c>
      <c r="F1540">
        <f t="shared" ref="F1540:F1603" si="24">F1539</f>
        <v>259</v>
      </c>
      <c r="G1540">
        <f>IFERROR(VLOOKUP(Table_socioeca8.sandag.org_ws_abm2_f4[[#This Row],[hwycov_id]],[2]flow_freeway!$A$2:$E$1643,3,FALSE),0)</f>
        <v>25225</v>
      </c>
      <c r="H1540">
        <f>IFERROR(VLOOKUP(Table_socioeca8.sandag.org_ws_abm2_f4[[#This Row],[hwycov_id]],[2]flow_freeway!$A$2:$E$1643,4,FALSE),0)</f>
        <v>8716</v>
      </c>
      <c r="I1540">
        <f>IFERROR(VLOOKUP(Table_socioeca8.sandag.org_ws_abm2_f4[[#This Row],[hwycov_id]],[2]flow_freeway!$A$2:$E$1643,5,FALSE),0)</f>
        <v>4338</v>
      </c>
      <c r="K1540">
        <f>Table_socioeca8.sandag.org_ws_abm2_f4[[#This Row],[hwycov_id]]</f>
        <v>29129</v>
      </c>
      <c r="L1540">
        <f>Table_socioeca8.sandag.org_ws_abm2_f4[[#This Row],[scenario_id]]</f>
        <v>259</v>
      </c>
      <c r="M1540">
        <f>Table_socioeca8.sandag.org_ws_abm2_f4[[#This Row],[flow_day]]</f>
        <v>25225</v>
      </c>
      <c r="N1540">
        <f>Table_socioeca8.sandag.org_ws_abm2_f4[[#This Row],[flow_am]]</f>
        <v>8716</v>
      </c>
      <c r="O1540">
        <f>Table_socioeca8.sandag.org_ws_abm2_f4[[#This Row],[flow_pm]]</f>
        <v>4338</v>
      </c>
    </row>
    <row r="1541" spans="5:15" x14ac:dyDescent="0.25">
      <c r="E1541">
        <v>29130</v>
      </c>
      <c r="F1541">
        <f t="shared" si="24"/>
        <v>259</v>
      </c>
      <c r="G1541">
        <f>IFERROR(VLOOKUP(Table_socioeca8.sandag.org_ws_abm2_f4[[#This Row],[hwycov_id]],[2]flow_freeway!$A$2:$E$1643,3,FALSE),0)</f>
        <v>20600</v>
      </c>
      <c r="H1541">
        <f>IFERROR(VLOOKUP(Table_socioeca8.sandag.org_ws_abm2_f4[[#This Row],[hwycov_id]],[2]flow_freeway!$A$2:$E$1643,4,FALSE),0)</f>
        <v>7945</v>
      </c>
      <c r="I1541">
        <f>IFERROR(VLOOKUP(Table_socioeca8.sandag.org_ws_abm2_f4[[#This Row],[hwycov_id]],[2]flow_freeway!$A$2:$E$1643,5,FALSE),0)</f>
        <v>4103</v>
      </c>
      <c r="K1541">
        <f>Table_socioeca8.sandag.org_ws_abm2_f4[[#This Row],[hwycov_id]]</f>
        <v>29130</v>
      </c>
      <c r="L1541">
        <f>Table_socioeca8.sandag.org_ws_abm2_f4[[#This Row],[scenario_id]]</f>
        <v>259</v>
      </c>
      <c r="M1541">
        <f>Table_socioeca8.sandag.org_ws_abm2_f4[[#This Row],[flow_day]]</f>
        <v>20600</v>
      </c>
      <c r="N1541">
        <f>Table_socioeca8.sandag.org_ws_abm2_f4[[#This Row],[flow_am]]</f>
        <v>7945</v>
      </c>
      <c r="O1541">
        <f>Table_socioeca8.sandag.org_ws_abm2_f4[[#This Row],[flow_pm]]</f>
        <v>4103</v>
      </c>
    </row>
    <row r="1542" spans="5:15" x14ac:dyDescent="0.25">
      <c r="E1542">
        <v>29146</v>
      </c>
      <c r="F1542">
        <f t="shared" si="24"/>
        <v>259</v>
      </c>
      <c r="G1542">
        <f>IFERROR(VLOOKUP(Table_socioeca8.sandag.org_ws_abm2_f4[[#This Row],[hwycov_id]],[2]flow_freeway!$A$2:$E$1643,3,FALSE),0)</f>
        <v>3840</v>
      </c>
      <c r="H1542">
        <f>IFERROR(VLOOKUP(Table_socioeca8.sandag.org_ws_abm2_f4[[#This Row],[hwycov_id]],[2]flow_freeway!$A$2:$E$1643,4,FALSE),0)</f>
        <v>1390</v>
      </c>
      <c r="I1542">
        <f>IFERROR(VLOOKUP(Table_socioeca8.sandag.org_ws_abm2_f4[[#This Row],[hwycov_id]],[2]flow_freeway!$A$2:$E$1643,5,FALSE),0)</f>
        <v>222</v>
      </c>
      <c r="K1542">
        <f>Table_socioeca8.sandag.org_ws_abm2_f4[[#This Row],[hwycov_id]]</f>
        <v>29146</v>
      </c>
      <c r="L1542">
        <f>Table_socioeca8.sandag.org_ws_abm2_f4[[#This Row],[scenario_id]]</f>
        <v>259</v>
      </c>
      <c r="M1542">
        <f>Table_socioeca8.sandag.org_ws_abm2_f4[[#This Row],[flow_day]]</f>
        <v>3840</v>
      </c>
      <c r="N1542">
        <f>Table_socioeca8.sandag.org_ws_abm2_f4[[#This Row],[flow_am]]</f>
        <v>1390</v>
      </c>
      <c r="O1542">
        <f>Table_socioeca8.sandag.org_ws_abm2_f4[[#This Row],[flow_pm]]</f>
        <v>222</v>
      </c>
    </row>
    <row r="1543" spans="5:15" x14ac:dyDescent="0.25">
      <c r="E1543">
        <v>29148</v>
      </c>
      <c r="F1543">
        <f t="shared" si="24"/>
        <v>259</v>
      </c>
      <c r="G1543">
        <f>IFERROR(VLOOKUP(Table_socioeca8.sandag.org_ws_abm2_f4[[#This Row],[hwycov_id]],[2]flow_freeway!$A$2:$E$1643,3,FALSE),0)</f>
        <v>3840</v>
      </c>
      <c r="H1543">
        <f>IFERROR(VLOOKUP(Table_socioeca8.sandag.org_ws_abm2_f4[[#This Row],[hwycov_id]],[2]flow_freeway!$A$2:$E$1643,4,FALSE),0)</f>
        <v>1390</v>
      </c>
      <c r="I1543">
        <f>IFERROR(VLOOKUP(Table_socioeca8.sandag.org_ws_abm2_f4[[#This Row],[hwycov_id]],[2]flow_freeway!$A$2:$E$1643,5,FALSE),0)</f>
        <v>222</v>
      </c>
      <c r="K1543">
        <f>Table_socioeca8.sandag.org_ws_abm2_f4[[#This Row],[hwycov_id]]</f>
        <v>29148</v>
      </c>
      <c r="L1543">
        <f>Table_socioeca8.sandag.org_ws_abm2_f4[[#This Row],[scenario_id]]</f>
        <v>259</v>
      </c>
      <c r="M1543">
        <f>Table_socioeca8.sandag.org_ws_abm2_f4[[#This Row],[flow_day]]</f>
        <v>3840</v>
      </c>
      <c r="N1543">
        <f>Table_socioeca8.sandag.org_ws_abm2_f4[[#This Row],[flow_am]]</f>
        <v>1390</v>
      </c>
      <c r="O1543">
        <f>Table_socioeca8.sandag.org_ws_abm2_f4[[#This Row],[flow_pm]]</f>
        <v>222</v>
      </c>
    </row>
    <row r="1544" spans="5:15" x14ac:dyDescent="0.25">
      <c r="E1544">
        <v>29150</v>
      </c>
      <c r="F1544">
        <f t="shared" si="24"/>
        <v>259</v>
      </c>
      <c r="G1544">
        <f>IFERROR(VLOOKUP(Table_socioeca8.sandag.org_ws_abm2_f4[[#This Row],[hwycov_id]],[2]flow_freeway!$A$2:$E$1643,3,FALSE),0)</f>
        <v>5359</v>
      </c>
      <c r="H1544">
        <f>IFERROR(VLOOKUP(Table_socioeca8.sandag.org_ws_abm2_f4[[#This Row],[hwycov_id]],[2]flow_freeway!$A$2:$E$1643,4,FALSE),0)</f>
        <v>886</v>
      </c>
      <c r="I1544">
        <f>IFERROR(VLOOKUP(Table_socioeca8.sandag.org_ws_abm2_f4[[#This Row],[hwycov_id]],[2]flow_freeway!$A$2:$E$1643,5,FALSE),0)</f>
        <v>2543</v>
      </c>
      <c r="K1544">
        <f>Table_socioeca8.sandag.org_ws_abm2_f4[[#This Row],[hwycov_id]]</f>
        <v>29150</v>
      </c>
      <c r="L1544">
        <f>Table_socioeca8.sandag.org_ws_abm2_f4[[#This Row],[scenario_id]]</f>
        <v>259</v>
      </c>
      <c r="M1544">
        <f>Table_socioeca8.sandag.org_ws_abm2_f4[[#This Row],[flow_day]]</f>
        <v>5359</v>
      </c>
      <c r="N1544">
        <f>Table_socioeca8.sandag.org_ws_abm2_f4[[#This Row],[flow_am]]</f>
        <v>886</v>
      </c>
      <c r="O1544">
        <f>Table_socioeca8.sandag.org_ws_abm2_f4[[#This Row],[flow_pm]]</f>
        <v>2543</v>
      </c>
    </row>
    <row r="1545" spans="5:15" x14ac:dyDescent="0.25">
      <c r="E1545">
        <v>29157</v>
      </c>
      <c r="F1545">
        <f t="shared" si="24"/>
        <v>259</v>
      </c>
      <c r="G1545">
        <f>IFERROR(VLOOKUP(Table_socioeca8.sandag.org_ws_abm2_f4[[#This Row],[hwycov_id]],[2]flow_freeway!$A$2:$E$1643,3,FALSE),0)</f>
        <v>26737</v>
      </c>
      <c r="H1545">
        <f>IFERROR(VLOOKUP(Table_socioeca8.sandag.org_ws_abm2_f4[[#This Row],[hwycov_id]],[2]flow_freeway!$A$2:$E$1643,4,FALSE),0)</f>
        <v>5456</v>
      </c>
      <c r="I1545">
        <f>IFERROR(VLOOKUP(Table_socioeca8.sandag.org_ws_abm2_f4[[#This Row],[hwycov_id]],[2]flow_freeway!$A$2:$E$1643,5,FALSE),0)</f>
        <v>3494</v>
      </c>
      <c r="K1545">
        <f>Table_socioeca8.sandag.org_ws_abm2_f4[[#This Row],[hwycov_id]]</f>
        <v>29157</v>
      </c>
      <c r="L1545">
        <f>Table_socioeca8.sandag.org_ws_abm2_f4[[#This Row],[scenario_id]]</f>
        <v>259</v>
      </c>
      <c r="M1545">
        <f>Table_socioeca8.sandag.org_ws_abm2_f4[[#This Row],[flow_day]]</f>
        <v>26737</v>
      </c>
      <c r="N1545">
        <f>Table_socioeca8.sandag.org_ws_abm2_f4[[#This Row],[flow_am]]</f>
        <v>5456</v>
      </c>
      <c r="O1545">
        <f>Table_socioeca8.sandag.org_ws_abm2_f4[[#This Row],[flow_pm]]</f>
        <v>3494</v>
      </c>
    </row>
    <row r="1546" spans="5:15" x14ac:dyDescent="0.25">
      <c r="E1546">
        <v>29158</v>
      </c>
      <c r="F1546">
        <f t="shared" si="24"/>
        <v>259</v>
      </c>
      <c r="G1546">
        <f>IFERROR(VLOOKUP(Table_socioeca8.sandag.org_ws_abm2_f4[[#This Row],[hwycov_id]],[2]flow_freeway!$A$2:$E$1643,3,FALSE),0)</f>
        <v>25876</v>
      </c>
      <c r="H1546">
        <f>IFERROR(VLOOKUP(Table_socioeca8.sandag.org_ws_abm2_f4[[#This Row],[hwycov_id]],[2]flow_freeway!$A$2:$E$1643,4,FALSE),0)</f>
        <v>5161</v>
      </c>
      <c r="I1546">
        <f>IFERROR(VLOOKUP(Table_socioeca8.sandag.org_ws_abm2_f4[[#This Row],[hwycov_id]],[2]flow_freeway!$A$2:$E$1643,5,FALSE),0)</f>
        <v>3476</v>
      </c>
      <c r="K1546">
        <f>Table_socioeca8.sandag.org_ws_abm2_f4[[#This Row],[hwycov_id]]</f>
        <v>29158</v>
      </c>
      <c r="L1546">
        <f>Table_socioeca8.sandag.org_ws_abm2_f4[[#This Row],[scenario_id]]</f>
        <v>259</v>
      </c>
      <c r="M1546">
        <f>Table_socioeca8.sandag.org_ws_abm2_f4[[#This Row],[flow_day]]</f>
        <v>25876</v>
      </c>
      <c r="N1546">
        <f>Table_socioeca8.sandag.org_ws_abm2_f4[[#This Row],[flow_am]]</f>
        <v>5161</v>
      </c>
      <c r="O1546">
        <f>Table_socioeca8.sandag.org_ws_abm2_f4[[#This Row],[flow_pm]]</f>
        <v>3476</v>
      </c>
    </row>
    <row r="1547" spans="5:15" x14ac:dyDescent="0.25">
      <c r="E1547">
        <v>29159</v>
      </c>
      <c r="F1547">
        <f t="shared" si="24"/>
        <v>259</v>
      </c>
      <c r="G1547">
        <f>IFERROR(VLOOKUP(Table_socioeca8.sandag.org_ws_abm2_f4[[#This Row],[hwycov_id]],[2]flow_freeway!$A$2:$E$1643,3,FALSE),0)</f>
        <v>31236</v>
      </c>
      <c r="H1547">
        <f>IFERROR(VLOOKUP(Table_socioeca8.sandag.org_ws_abm2_f4[[#This Row],[hwycov_id]],[2]flow_freeway!$A$2:$E$1643,4,FALSE),0)</f>
        <v>6047</v>
      </c>
      <c r="I1547">
        <f>IFERROR(VLOOKUP(Table_socioeca8.sandag.org_ws_abm2_f4[[#This Row],[hwycov_id]],[2]flow_freeway!$A$2:$E$1643,5,FALSE),0)</f>
        <v>6020</v>
      </c>
      <c r="K1547">
        <f>Table_socioeca8.sandag.org_ws_abm2_f4[[#This Row],[hwycov_id]]</f>
        <v>29159</v>
      </c>
      <c r="L1547">
        <f>Table_socioeca8.sandag.org_ws_abm2_f4[[#This Row],[scenario_id]]</f>
        <v>259</v>
      </c>
      <c r="M1547">
        <f>Table_socioeca8.sandag.org_ws_abm2_f4[[#This Row],[flow_day]]</f>
        <v>31236</v>
      </c>
      <c r="N1547">
        <f>Table_socioeca8.sandag.org_ws_abm2_f4[[#This Row],[flow_am]]</f>
        <v>6047</v>
      </c>
      <c r="O1547">
        <f>Table_socioeca8.sandag.org_ws_abm2_f4[[#This Row],[flow_pm]]</f>
        <v>6020</v>
      </c>
    </row>
    <row r="1548" spans="5:15" x14ac:dyDescent="0.25">
      <c r="E1548">
        <v>29160</v>
      </c>
      <c r="F1548">
        <f t="shared" si="24"/>
        <v>259</v>
      </c>
      <c r="G1548">
        <f>IFERROR(VLOOKUP(Table_socioeca8.sandag.org_ws_abm2_f4[[#This Row],[hwycov_id]],[2]flow_freeway!$A$2:$E$1643,3,FALSE),0)</f>
        <v>27667</v>
      </c>
      <c r="H1548">
        <f>IFERROR(VLOOKUP(Table_socioeca8.sandag.org_ws_abm2_f4[[#This Row],[hwycov_id]],[2]flow_freeway!$A$2:$E$1643,4,FALSE),0)</f>
        <v>3696</v>
      </c>
      <c r="I1548">
        <f>IFERROR(VLOOKUP(Table_socioeca8.sandag.org_ws_abm2_f4[[#This Row],[hwycov_id]],[2]flow_freeway!$A$2:$E$1643,5,FALSE),0)</f>
        <v>7042</v>
      </c>
      <c r="K1548">
        <f>Table_socioeca8.sandag.org_ws_abm2_f4[[#This Row],[hwycov_id]]</f>
        <v>29160</v>
      </c>
      <c r="L1548">
        <f>Table_socioeca8.sandag.org_ws_abm2_f4[[#This Row],[scenario_id]]</f>
        <v>259</v>
      </c>
      <c r="M1548">
        <f>Table_socioeca8.sandag.org_ws_abm2_f4[[#This Row],[flow_day]]</f>
        <v>27667</v>
      </c>
      <c r="N1548">
        <f>Table_socioeca8.sandag.org_ws_abm2_f4[[#This Row],[flow_am]]</f>
        <v>3696</v>
      </c>
      <c r="O1548">
        <f>Table_socioeca8.sandag.org_ws_abm2_f4[[#This Row],[flow_pm]]</f>
        <v>7042</v>
      </c>
    </row>
    <row r="1549" spans="5:15" x14ac:dyDescent="0.25">
      <c r="E1549">
        <v>29161</v>
      </c>
      <c r="F1549">
        <f t="shared" si="24"/>
        <v>259</v>
      </c>
      <c r="G1549">
        <f>IFERROR(VLOOKUP(Table_socioeca8.sandag.org_ws_abm2_f4[[#This Row],[hwycov_id]],[2]flow_freeway!$A$2:$E$1643,3,FALSE),0)</f>
        <v>27667</v>
      </c>
      <c r="H1549">
        <f>IFERROR(VLOOKUP(Table_socioeca8.sandag.org_ws_abm2_f4[[#This Row],[hwycov_id]],[2]flow_freeway!$A$2:$E$1643,4,FALSE),0)</f>
        <v>3696</v>
      </c>
      <c r="I1549">
        <f>IFERROR(VLOOKUP(Table_socioeca8.sandag.org_ws_abm2_f4[[#This Row],[hwycov_id]],[2]flow_freeway!$A$2:$E$1643,5,FALSE),0)</f>
        <v>7042</v>
      </c>
      <c r="K1549">
        <f>Table_socioeca8.sandag.org_ws_abm2_f4[[#This Row],[hwycov_id]]</f>
        <v>29161</v>
      </c>
      <c r="L1549">
        <f>Table_socioeca8.sandag.org_ws_abm2_f4[[#This Row],[scenario_id]]</f>
        <v>259</v>
      </c>
      <c r="M1549">
        <f>Table_socioeca8.sandag.org_ws_abm2_f4[[#This Row],[flow_day]]</f>
        <v>27667</v>
      </c>
      <c r="N1549">
        <f>Table_socioeca8.sandag.org_ws_abm2_f4[[#This Row],[flow_am]]</f>
        <v>3696</v>
      </c>
      <c r="O1549">
        <f>Table_socioeca8.sandag.org_ws_abm2_f4[[#This Row],[flow_pm]]</f>
        <v>7042</v>
      </c>
    </row>
    <row r="1550" spans="5:15" x14ac:dyDescent="0.25">
      <c r="E1550">
        <v>29167</v>
      </c>
      <c r="F1550">
        <f t="shared" si="24"/>
        <v>259</v>
      </c>
      <c r="G1550">
        <f>IFERROR(VLOOKUP(Table_socioeca8.sandag.org_ws_abm2_f4[[#This Row],[hwycov_id]],[2]flow_freeway!$A$2:$E$1643,3,FALSE),0)</f>
        <v>36469</v>
      </c>
      <c r="H1550">
        <f>IFERROR(VLOOKUP(Table_socioeca8.sandag.org_ws_abm2_f4[[#This Row],[hwycov_id]],[2]flow_freeway!$A$2:$E$1643,4,FALSE),0)</f>
        <v>11641</v>
      </c>
      <c r="I1550">
        <f>IFERROR(VLOOKUP(Table_socioeca8.sandag.org_ws_abm2_f4[[#This Row],[hwycov_id]],[2]flow_freeway!$A$2:$E$1643,5,FALSE),0)</f>
        <v>6398</v>
      </c>
      <c r="K1550">
        <f>Table_socioeca8.sandag.org_ws_abm2_f4[[#This Row],[hwycov_id]]</f>
        <v>29167</v>
      </c>
      <c r="L1550">
        <f>Table_socioeca8.sandag.org_ws_abm2_f4[[#This Row],[scenario_id]]</f>
        <v>259</v>
      </c>
      <c r="M1550">
        <f>Table_socioeca8.sandag.org_ws_abm2_f4[[#This Row],[flow_day]]</f>
        <v>36469</v>
      </c>
      <c r="N1550">
        <f>Table_socioeca8.sandag.org_ws_abm2_f4[[#This Row],[flow_am]]</f>
        <v>11641</v>
      </c>
      <c r="O1550">
        <f>Table_socioeca8.sandag.org_ws_abm2_f4[[#This Row],[flow_pm]]</f>
        <v>6398</v>
      </c>
    </row>
    <row r="1551" spans="5:15" x14ac:dyDescent="0.25">
      <c r="E1551">
        <v>29168</v>
      </c>
      <c r="F1551">
        <f t="shared" si="24"/>
        <v>259</v>
      </c>
      <c r="G1551">
        <f>IFERROR(VLOOKUP(Table_socioeca8.sandag.org_ws_abm2_f4[[#This Row],[hwycov_id]],[2]flow_freeway!$A$2:$E$1643,3,FALSE),0)</f>
        <v>36311</v>
      </c>
      <c r="H1551">
        <f>IFERROR(VLOOKUP(Table_socioeca8.sandag.org_ws_abm2_f4[[#This Row],[hwycov_id]],[2]flow_freeway!$A$2:$E$1643,4,FALSE),0)</f>
        <v>4845</v>
      </c>
      <c r="I1551">
        <f>IFERROR(VLOOKUP(Table_socioeca8.sandag.org_ws_abm2_f4[[#This Row],[hwycov_id]],[2]flow_freeway!$A$2:$E$1643,5,FALSE),0)</f>
        <v>12753</v>
      </c>
      <c r="K1551">
        <f>Table_socioeca8.sandag.org_ws_abm2_f4[[#This Row],[hwycov_id]]</f>
        <v>29168</v>
      </c>
      <c r="L1551">
        <f>Table_socioeca8.sandag.org_ws_abm2_f4[[#This Row],[scenario_id]]</f>
        <v>259</v>
      </c>
      <c r="M1551">
        <f>Table_socioeca8.sandag.org_ws_abm2_f4[[#This Row],[flow_day]]</f>
        <v>36311</v>
      </c>
      <c r="N1551">
        <f>Table_socioeca8.sandag.org_ws_abm2_f4[[#This Row],[flow_am]]</f>
        <v>4845</v>
      </c>
      <c r="O1551">
        <f>Table_socioeca8.sandag.org_ws_abm2_f4[[#This Row],[flow_pm]]</f>
        <v>12753</v>
      </c>
    </row>
    <row r="1552" spans="5:15" x14ac:dyDescent="0.25">
      <c r="E1552">
        <v>29169</v>
      </c>
      <c r="F1552">
        <f t="shared" si="24"/>
        <v>259</v>
      </c>
      <c r="G1552">
        <f>IFERROR(VLOOKUP(Table_socioeca8.sandag.org_ws_abm2_f4[[#This Row],[hwycov_id]],[2]flow_freeway!$A$2:$E$1643,3,FALSE),0)</f>
        <v>34653</v>
      </c>
      <c r="H1552">
        <f>IFERROR(VLOOKUP(Table_socioeca8.sandag.org_ws_abm2_f4[[#This Row],[hwycov_id]],[2]flow_freeway!$A$2:$E$1643,4,FALSE),0)</f>
        <v>4664</v>
      </c>
      <c r="I1552">
        <f>IFERROR(VLOOKUP(Table_socioeca8.sandag.org_ws_abm2_f4[[#This Row],[hwycov_id]],[2]flow_freeway!$A$2:$E$1643,5,FALSE),0)</f>
        <v>11765</v>
      </c>
      <c r="K1552">
        <f>Table_socioeca8.sandag.org_ws_abm2_f4[[#This Row],[hwycov_id]]</f>
        <v>29169</v>
      </c>
      <c r="L1552">
        <f>Table_socioeca8.sandag.org_ws_abm2_f4[[#This Row],[scenario_id]]</f>
        <v>259</v>
      </c>
      <c r="M1552">
        <f>Table_socioeca8.sandag.org_ws_abm2_f4[[#This Row],[flow_day]]</f>
        <v>34653</v>
      </c>
      <c r="N1552">
        <f>Table_socioeca8.sandag.org_ws_abm2_f4[[#This Row],[flow_am]]</f>
        <v>4664</v>
      </c>
      <c r="O1552">
        <f>Table_socioeca8.sandag.org_ws_abm2_f4[[#This Row],[flow_pm]]</f>
        <v>11765</v>
      </c>
    </row>
    <row r="1553" spans="5:15" x14ac:dyDescent="0.25">
      <c r="E1553">
        <v>29170</v>
      </c>
      <c r="F1553">
        <f t="shared" si="24"/>
        <v>259</v>
      </c>
      <c r="G1553">
        <f>IFERROR(VLOOKUP(Table_socioeca8.sandag.org_ws_abm2_f4[[#This Row],[hwycov_id]],[2]flow_freeway!$A$2:$E$1643,3,FALSE),0)</f>
        <v>31991</v>
      </c>
      <c r="H1553">
        <f>IFERROR(VLOOKUP(Table_socioeca8.sandag.org_ws_abm2_f4[[#This Row],[hwycov_id]],[2]flow_freeway!$A$2:$E$1643,4,FALSE),0)</f>
        <v>4616</v>
      </c>
      <c r="I1553">
        <f>IFERROR(VLOOKUP(Table_socioeca8.sandag.org_ws_abm2_f4[[#This Row],[hwycov_id]],[2]flow_freeway!$A$2:$E$1643,5,FALSE),0)</f>
        <v>10500</v>
      </c>
      <c r="K1553">
        <f>Table_socioeca8.sandag.org_ws_abm2_f4[[#This Row],[hwycov_id]]</f>
        <v>29170</v>
      </c>
      <c r="L1553">
        <f>Table_socioeca8.sandag.org_ws_abm2_f4[[#This Row],[scenario_id]]</f>
        <v>259</v>
      </c>
      <c r="M1553">
        <f>Table_socioeca8.sandag.org_ws_abm2_f4[[#This Row],[flow_day]]</f>
        <v>31991</v>
      </c>
      <c r="N1553">
        <f>Table_socioeca8.sandag.org_ws_abm2_f4[[#This Row],[flow_am]]</f>
        <v>4616</v>
      </c>
      <c r="O1553">
        <f>Table_socioeca8.sandag.org_ws_abm2_f4[[#This Row],[flow_pm]]</f>
        <v>10500</v>
      </c>
    </row>
    <row r="1554" spans="5:15" x14ac:dyDescent="0.25">
      <c r="E1554">
        <v>29171</v>
      </c>
      <c r="F1554">
        <f t="shared" si="24"/>
        <v>259</v>
      </c>
      <c r="G1554">
        <f>IFERROR(VLOOKUP(Table_socioeca8.sandag.org_ws_abm2_f4[[#This Row],[hwycov_id]],[2]flow_freeway!$A$2:$E$1643,3,FALSE),0)</f>
        <v>33818</v>
      </c>
      <c r="H1554">
        <f>IFERROR(VLOOKUP(Table_socioeca8.sandag.org_ws_abm2_f4[[#This Row],[hwycov_id]],[2]flow_freeway!$A$2:$E$1643,4,FALSE),0)</f>
        <v>9698</v>
      </c>
      <c r="I1554">
        <f>IFERROR(VLOOKUP(Table_socioeca8.sandag.org_ws_abm2_f4[[#This Row],[hwycov_id]],[2]flow_freeway!$A$2:$E$1643,5,FALSE),0)</f>
        <v>6463</v>
      </c>
      <c r="K1554">
        <f>Table_socioeca8.sandag.org_ws_abm2_f4[[#This Row],[hwycov_id]]</f>
        <v>29171</v>
      </c>
      <c r="L1554">
        <f>Table_socioeca8.sandag.org_ws_abm2_f4[[#This Row],[scenario_id]]</f>
        <v>259</v>
      </c>
      <c r="M1554">
        <f>Table_socioeca8.sandag.org_ws_abm2_f4[[#This Row],[flow_day]]</f>
        <v>33818</v>
      </c>
      <c r="N1554">
        <f>Table_socioeca8.sandag.org_ws_abm2_f4[[#This Row],[flow_am]]</f>
        <v>9698</v>
      </c>
      <c r="O1554">
        <f>Table_socioeca8.sandag.org_ws_abm2_f4[[#This Row],[flow_pm]]</f>
        <v>6463</v>
      </c>
    </row>
    <row r="1555" spans="5:15" x14ac:dyDescent="0.25">
      <c r="E1555">
        <v>29172</v>
      </c>
      <c r="F1555">
        <f t="shared" si="24"/>
        <v>259</v>
      </c>
      <c r="G1555">
        <f>IFERROR(VLOOKUP(Table_socioeca8.sandag.org_ws_abm2_f4[[#This Row],[hwycov_id]],[2]flow_freeway!$A$2:$E$1643,3,FALSE),0)</f>
        <v>33818</v>
      </c>
      <c r="H1555">
        <f>IFERROR(VLOOKUP(Table_socioeca8.sandag.org_ws_abm2_f4[[#This Row],[hwycov_id]],[2]flow_freeway!$A$2:$E$1643,4,FALSE),0)</f>
        <v>9698</v>
      </c>
      <c r="I1555">
        <f>IFERROR(VLOOKUP(Table_socioeca8.sandag.org_ws_abm2_f4[[#This Row],[hwycov_id]],[2]flow_freeway!$A$2:$E$1643,5,FALSE),0)</f>
        <v>6463</v>
      </c>
      <c r="K1555">
        <f>Table_socioeca8.sandag.org_ws_abm2_f4[[#This Row],[hwycov_id]]</f>
        <v>29172</v>
      </c>
      <c r="L1555">
        <f>Table_socioeca8.sandag.org_ws_abm2_f4[[#This Row],[scenario_id]]</f>
        <v>259</v>
      </c>
      <c r="M1555">
        <f>Table_socioeca8.sandag.org_ws_abm2_f4[[#This Row],[flow_day]]</f>
        <v>33818</v>
      </c>
      <c r="N1555">
        <f>Table_socioeca8.sandag.org_ws_abm2_f4[[#This Row],[flow_am]]</f>
        <v>9698</v>
      </c>
      <c r="O1555">
        <f>Table_socioeca8.sandag.org_ws_abm2_f4[[#This Row],[flow_pm]]</f>
        <v>6463</v>
      </c>
    </row>
    <row r="1556" spans="5:15" x14ac:dyDescent="0.25">
      <c r="E1556">
        <v>29173</v>
      </c>
      <c r="F1556">
        <f t="shared" si="24"/>
        <v>259</v>
      </c>
      <c r="G1556">
        <f>IFERROR(VLOOKUP(Table_socioeca8.sandag.org_ws_abm2_f4[[#This Row],[hwycov_id]],[2]flow_freeway!$A$2:$E$1643,3,FALSE),0)</f>
        <v>31991</v>
      </c>
      <c r="H1556">
        <f>IFERROR(VLOOKUP(Table_socioeca8.sandag.org_ws_abm2_f4[[#This Row],[hwycov_id]],[2]flow_freeway!$A$2:$E$1643,4,FALSE),0)</f>
        <v>4616</v>
      </c>
      <c r="I1556">
        <f>IFERROR(VLOOKUP(Table_socioeca8.sandag.org_ws_abm2_f4[[#This Row],[hwycov_id]],[2]flow_freeway!$A$2:$E$1643,5,FALSE),0)</f>
        <v>10500</v>
      </c>
      <c r="K1556">
        <f>Table_socioeca8.sandag.org_ws_abm2_f4[[#This Row],[hwycov_id]]</f>
        <v>29173</v>
      </c>
      <c r="L1556">
        <f>Table_socioeca8.sandag.org_ws_abm2_f4[[#This Row],[scenario_id]]</f>
        <v>259</v>
      </c>
      <c r="M1556">
        <f>Table_socioeca8.sandag.org_ws_abm2_f4[[#This Row],[flow_day]]</f>
        <v>31991</v>
      </c>
      <c r="N1556">
        <f>Table_socioeca8.sandag.org_ws_abm2_f4[[#This Row],[flow_am]]</f>
        <v>4616</v>
      </c>
      <c r="O1556">
        <f>Table_socioeca8.sandag.org_ws_abm2_f4[[#This Row],[flow_pm]]</f>
        <v>10500</v>
      </c>
    </row>
    <row r="1557" spans="5:15" x14ac:dyDescent="0.25">
      <c r="E1557">
        <v>29182</v>
      </c>
      <c r="F1557">
        <f t="shared" si="24"/>
        <v>259</v>
      </c>
      <c r="G1557">
        <f>IFERROR(VLOOKUP(Table_socioeca8.sandag.org_ws_abm2_f4[[#This Row],[hwycov_id]],[2]flow_freeway!$A$2:$E$1643,3,FALSE),0)</f>
        <v>68449</v>
      </c>
      <c r="H1557">
        <f>IFERROR(VLOOKUP(Table_socioeca8.sandag.org_ws_abm2_f4[[#This Row],[hwycov_id]],[2]flow_freeway!$A$2:$E$1643,4,FALSE),0)</f>
        <v>14933</v>
      </c>
      <c r="I1557">
        <f>IFERROR(VLOOKUP(Table_socioeca8.sandag.org_ws_abm2_f4[[#This Row],[hwycov_id]],[2]flow_freeway!$A$2:$E$1643,5,FALSE),0)</f>
        <v>15062</v>
      </c>
      <c r="K1557">
        <f>Table_socioeca8.sandag.org_ws_abm2_f4[[#This Row],[hwycov_id]]</f>
        <v>29182</v>
      </c>
      <c r="L1557">
        <f>Table_socioeca8.sandag.org_ws_abm2_f4[[#This Row],[scenario_id]]</f>
        <v>259</v>
      </c>
      <c r="M1557">
        <f>Table_socioeca8.sandag.org_ws_abm2_f4[[#This Row],[flow_day]]</f>
        <v>68449</v>
      </c>
      <c r="N1557">
        <f>Table_socioeca8.sandag.org_ws_abm2_f4[[#This Row],[flow_am]]</f>
        <v>14933</v>
      </c>
      <c r="O1557">
        <f>Table_socioeca8.sandag.org_ws_abm2_f4[[#This Row],[flow_pm]]</f>
        <v>15062</v>
      </c>
    </row>
    <row r="1558" spans="5:15" x14ac:dyDescent="0.25">
      <c r="E1558">
        <v>29183</v>
      </c>
      <c r="F1558">
        <f t="shared" si="24"/>
        <v>259</v>
      </c>
      <c r="G1558">
        <f>IFERROR(VLOOKUP(Table_socioeca8.sandag.org_ws_abm2_f4[[#This Row],[hwycov_id]],[2]flow_freeway!$A$2:$E$1643,3,FALSE),0)</f>
        <v>69112</v>
      </c>
      <c r="H1558">
        <f>IFERROR(VLOOKUP(Table_socioeca8.sandag.org_ws_abm2_f4[[#This Row],[hwycov_id]],[2]flow_freeway!$A$2:$E$1643,4,FALSE),0)</f>
        <v>12743</v>
      </c>
      <c r="I1558">
        <f>IFERROR(VLOOKUP(Table_socioeca8.sandag.org_ws_abm2_f4[[#This Row],[hwycov_id]],[2]flow_freeway!$A$2:$E$1643,5,FALSE),0)</f>
        <v>18377</v>
      </c>
      <c r="K1558">
        <f>Table_socioeca8.sandag.org_ws_abm2_f4[[#This Row],[hwycov_id]]</f>
        <v>29183</v>
      </c>
      <c r="L1558">
        <f>Table_socioeca8.sandag.org_ws_abm2_f4[[#This Row],[scenario_id]]</f>
        <v>259</v>
      </c>
      <c r="M1558">
        <f>Table_socioeca8.sandag.org_ws_abm2_f4[[#This Row],[flow_day]]</f>
        <v>69112</v>
      </c>
      <c r="N1558">
        <f>Table_socioeca8.sandag.org_ws_abm2_f4[[#This Row],[flow_am]]</f>
        <v>12743</v>
      </c>
      <c r="O1558">
        <f>Table_socioeca8.sandag.org_ws_abm2_f4[[#This Row],[flow_pm]]</f>
        <v>18377</v>
      </c>
    </row>
    <row r="1559" spans="5:15" x14ac:dyDescent="0.25">
      <c r="E1559">
        <v>29215</v>
      </c>
      <c r="F1559">
        <f t="shared" si="24"/>
        <v>259</v>
      </c>
      <c r="G1559">
        <f>IFERROR(VLOOKUP(Table_socioeca8.sandag.org_ws_abm2_f4[[#This Row],[hwycov_id]],[2]flow_freeway!$A$2:$E$1643,3,FALSE),0)</f>
        <v>10019</v>
      </c>
      <c r="H1559">
        <f>IFERROR(VLOOKUP(Table_socioeca8.sandag.org_ws_abm2_f4[[#This Row],[hwycov_id]],[2]flow_freeway!$A$2:$E$1643,4,FALSE),0)</f>
        <v>1087</v>
      </c>
      <c r="I1559">
        <f>IFERROR(VLOOKUP(Table_socioeca8.sandag.org_ws_abm2_f4[[#This Row],[hwycov_id]],[2]flow_freeway!$A$2:$E$1643,5,FALSE),0)</f>
        <v>3264</v>
      </c>
      <c r="K1559">
        <f>Table_socioeca8.sandag.org_ws_abm2_f4[[#This Row],[hwycov_id]]</f>
        <v>29215</v>
      </c>
      <c r="L1559">
        <f>Table_socioeca8.sandag.org_ws_abm2_f4[[#This Row],[scenario_id]]</f>
        <v>259</v>
      </c>
      <c r="M1559">
        <f>Table_socioeca8.sandag.org_ws_abm2_f4[[#This Row],[flow_day]]</f>
        <v>10019</v>
      </c>
      <c r="N1559">
        <f>Table_socioeca8.sandag.org_ws_abm2_f4[[#This Row],[flow_am]]</f>
        <v>1087</v>
      </c>
      <c r="O1559">
        <f>Table_socioeca8.sandag.org_ws_abm2_f4[[#This Row],[flow_pm]]</f>
        <v>3264</v>
      </c>
    </row>
    <row r="1560" spans="5:15" x14ac:dyDescent="0.25">
      <c r="E1560">
        <v>29224</v>
      </c>
      <c r="F1560">
        <f t="shared" si="24"/>
        <v>259</v>
      </c>
      <c r="G1560">
        <f>IFERROR(VLOOKUP(Table_socioeca8.sandag.org_ws_abm2_f4[[#This Row],[hwycov_id]],[2]flow_freeway!$A$2:$E$1643,3,FALSE),0)</f>
        <v>85330</v>
      </c>
      <c r="H1560">
        <f>IFERROR(VLOOKUP(Table_socioeca8.sandag.org_ws_abm2_f4[[#This Row],[hwycov_id]],[2]flow_freeway!$A$2:$E$1643,4,FALSE),0)</f>
        <v>21283</v>
      </c>
      <c r="I1560">
        <f>IFERROR(VLOOKUP(Table_socioeca8.sandag.org_ws_abm2_f4[[#This Row],[hwycov_id]],[2]flow_freeway!$A$2:$E$1643,5,FALSE),0)</f>
        <v>18096</v>
      </c>
      <c r="K1560">
        <f>Table_socioeca8.sandag.org_ws_abm2_f4[[#This Row],[hwycov_id]]</f>
        <v>29224</v>
      </c>
      <c r="L1560">
        <f>Table_socioeca8.sandag.org_ws_abm2_f4[[#This Row],[scenario_id]]</f>
        <v>259</v>
      </c>
      <c r="M1560">
        <f>Table_socioeca8.sandag.org_ws_abm2_f4[[#This Row],[flow_day]]</f>
        <v>85330</v>
      </c>
      <c r="N1560">
        <f>Table_socioeca8.sandag.org_ws_abm2_f4[[#This Row],[flow_am]]</f>
        <v>21283</v>
      </c>
      <c r="O1560">
        <f>Table_socioeca8.sandag.org_ws_abm2_f4[[#This Row],[flow_pm]]</f>
        <v>18096</v>
      </c>
    </row>
    <row r="1561" spans="5:15" x14ac:dyDescent="0.25">
      <c r="E1561">
        <v>29232</v>
      </c>
      <c r="F1561">
        <f t="shared" si="24"/>
        <v>259</v>
      </c>
      <c r="G1561">
        <f>IFERROR(VLOOKUP(Table_socioeca8.sandag.org_ws_abm2_f4[[#This Row],[hwycov_id]],[2]flow_freeway!$A$2:$E$1643,3,FALSE),0)</f>
        <v>98777</v>
      </c>
      <c r="H1561">
        <f>IFERROR(VLOOKUP(Table_socioeca8.sandag.org_ws_abm2_f4[[#This Row],[hwycov_id]],[2]flow_freeway!$A$2:$E$1643,4,FALSE),0)</f>
        <v>24799</v>
      </c>
      <c r="I1561">
        <f>IFERROR(VLOOKUP(Table_socioeca8.sandag.org_ws_abm2_f4[[#This Row],[hwycov_id]],[2]flow_freeway!$A$2:$E$1643,5,FALSE),0)</f>
        <v>19996</v>
      </c>
      <c r="K1561">
        <f>Table_socioeca8.sandag.org_ws_abm2_f4[[#This Row],[hwycov_id]]</f>
        <v>29232</v>
      </c>
      <c r="L1561">
        <f>Table_socioeca8.sandag.org_ws_abm2_f4[[#This Row],[scenario_id]]</f>
        <v>259</v>
      </c>
      <c r="M1561">
        <f>Table_socioeca8.sandag.org_ws_abm2_f4[[#This Row],[flow_day]]</f>
        <v>98777</v>
      </c>
      <c r="N1561">
        <f>Table_socioeca8.sandag.org_ws_abm2_f4[[#This Row],[flow_am]]</f>
        <v>24799</v>
      </c>
      <c r="O1561">
        <f>Table_socioeca8.sandag.org_ws_abm2_f4[[#This Row],[flow_pm]]</f>
        <v>19996</v>
      </c>
    </row>
    <row r="1562" spans="5:15" x14ac:dyDescent="0.25">
      <c r="E1562">
        <v>29368</v>
      </c>
      <c r="F1562">
        <f t="shared" si="24"/>
        <v>259</v>
      </c>
      <c r="G1562">
        <f>IFERROR(VLOOKUP(Table_socioeca8.sandag.org_ws_abm2_f4[[#This Row],[hwycov_id]],[2]flow_freeway!$A$2:$E$1643,3,FALSE),0)</f>
        <v>16517</v>
      </c>
      <c r="H1562">
        <f>IFERROR(VLOOKUP(Table_socioeca8.sandag.org_ws_abm2_f4[[#This Row],[hwycov_id]],[2]flow_freeway!$A$2:$E$1643,4,FALSE),0)</f>
        <v>2339</v>
      </c>
      <c r="I1562">
        <f>IFERROR(VLOOKUP(Table_socioeca8.sandag.org_ws_abm2_f4[[#This Row],[hwycov_id]],[2]flow_freeway!$A$2:$E$1643,5,FALSE),0)</f>
        <v>6418</v>
      </c>
      <c r="K1562">
        <f>Table_socioeca8.sandag.org_ws_abm2_f4[[#This Row],[hwycov_id]]</f>
        <v>29368</v>
      </c>
      <c r="L1562">
        <f>Table_socioeca8.sandag.org_ws_abm2_f4[[#This Row],[scenario_id]]</f>
        <v>259</v>
      </c>
      <c r="M1562">
        <f>Table_socioeca8.sandag.org_ws_abm2_f4[[#This Row],[flow_day]]</f>
        <v>16517</v>
      </c>
      <c r="N1562">
        <f>Table_socioeca8.sandag.org_ws_abm2_f4[[#This Row],[flow_am]]</f>
        <v>2339</v>
      </c>
      <c r="O1562">
        <f>Table_socioeca8.sandag.org_ws_abm2_f4[[#This Row],[flow_pm]]</f>
        <v>6418</v>
      </c>
    </row>
    <row r="1563" spans="5:15" x14ac:dyDescent="0.25">
      <c r="E1563">
        <v>29409</v>
      </c>
      <c r="F1563">
        <f t="shared" si="24"/>
        <v>259</v>
      </c>
      <c r="G1563">
        <f>IFERROR(VLOOKUP(Table_socioeca8.sandag.org_ws_abm2_f4[[#This Row],[hwycov_id]],[2]flow_freeway!$A$2:$E$1643,3,FALSE),0)</f>
        <v>18454</v>
      </c>
      <c r="H1563">
        <f>IFERROR(VLOOKUP(Table_socioeca8.sandag.org_ws_abm2_f4[[#This Row],[hwycov_id]],[2]flow_freeway!$A$2:$E$1643,4,FALSE),0)</f>
        <v>7074</v>
      </c>
      <c r="I1563">
        <f>IFERROR(VLOOKUP(Table_socioeca8.sandag.org_ws_abm2_f4[[#This Row],[hwycov_id]],[2]flow_freeway!$A$2:$E$1643,5,FALSE),0)</f>
        <v>3469</v>
      </c>
      <c r="K1563">
        <f>Table_socioeca8.sandag.org_ws_abm2_f4[[#This Row],[hwycov_id]]</f>
        <v>29409</v>
      </c>
      <c r="L1563">
        <f>Table_socioeca8.sandag.org_ws_abm2_f4[[#This Row],[scenario_id]]</f>
        <v>259</v>
      </c>
      <c r="M1563">
        <f>Table_socioeca8.sandag.org_ws_abm2_f4[[#This Row],[flow_day]]</f>
        <v>18454</v>
      </c>
      <c r="N1563">
        <f>Table_socioeca8.sandag.org_ws_abm2_f4[[#This Row],[flow_am]]</f>
        <v>7074</v>
      </c>
      <c r="O1563">
        <f>Table_socioeca8.sandag.org_ws_abm2_f4[[#This Row],[flow_pm]]</f>
        <v>3469</v>
      </c>
    </row>
    <row r="1564" spans="5:15" x14ac:dyDescent="0.25">
      <c r="E1564">
        <v>29410</v>
      </c>
      <c r="F1564">
        <f t="shared" si="24"/>
        <v>259</v>
      </c>
      <c r="G1564">
        <f>IFERROR(VLOOKUP(Table_socioeca8.sandag.org_ws_abm2_f4[[#This Row],[hwycov_id]],[2]flow_freeway!$A$2:$E$1643,3,FALSE),0)</f>
        <v>18218</v>
      </c>
      <c r="H1564">
        <f>IFERROR(VLOOKUP(Table_socioeca8.sandag.org_ws_abm2_f4[[#This Row],[hwycov_id]],[2]flow_freeway!$A$2:$E$1643,4,FALSE),0)</f>
        <v>2253</v>
      </c>
      <c r="I1564">
        <f>IFERROR(VLOOKUP(Table_socioeca8.sandag.org_ws_abm2_f4[[#This Row],[hwycov_id]],[2]flow_freeway!$A$2:$E$1643,5,FALSE),0)</f>
        <v>8591</v>
      </c>
      <c r="K1564">
        <f>Table_socioeca8.sandag.org_ws_abm2_f4[[#This Row],[hwycov_id]]</f>
        <v>29410</v>
      </c>
      <c r="L1564">
        <f>Table_socioeca8.sandag.org_ws_abm2_f4[[#This Row],[scenario_id]]</f>
        <v>259</v>
      </c>
      <c r="M1564">
        <f>Table_socioeca8.sandag.org_ws_abm2_f4[[#This Row],[flow_day]]</f>
        <v>18218</v>
      </c>
      <c r="N1564">
        <f>Table_socioeca8.sandag.org_ws_abm2_f4[[#This Row],[flow_am]]</f>
        <v>2253</v>
      </c>
      <c r="O1564">
        <f>Table_socioeca8.sandag.org_ws_abm2_f4[[#This Row],[flow_pm]]</f>
        <v>8591</v>
      </c>
    </row>
    <row r="1565" spans="5:15" x14ac:dyDescent="0.25">
      <c r="E1565">
        <v>29415</v>
      </c>
      <c r="F1565">
        <f t="shared" si="24"/>
        <v>259</v>
      </c>
      <c r="G1565">
        <f>IFERROR(VLOOKUP(Table_socioeca8.sandag.org_ws_abm2_f4[[#This Row],[hwycov_id]],[2]flow_freeway!$A$2:$E$1643,3,FALSE),0)</f>
        <v>20715</v>
      </c>
      <c r="H1565">
        <f>IFERROR(VLOOKUP(Table_socioeca8.sandag.org_ws_abm2_f4[[#This Row],[hwycov_id]],[2]flow_freeway!$A$2:$E$1643,4,FALSE),0)</f>
        <v>8790</v>
      </c>
      <c r="I1565">
        <f>IFERROR(VLOOKUP(Table_socioeca8.sandag.org_ws_abm2_f4[[#This Row],[hwycov_id]],[2]flow_freeway!$A$2:$E$1643,5,FALSE),0)</f>
        <v>3593</v>
      </c>
      <c r="K1565">
        <f>Table_socioeca8.sandag.org_ws_abm2_f4[[#This Row],[hwycov_id]]</f>
        <v>29415</v>
      </c>
      <c r="L1565">
        <f>Table_socioeca8.sandag.org_ws_abm2_f4[[#This Row],[scenario_id]]</f>
        <v>259</v>
      </c>
      <c r="M1565">
        <f>Table_socioeca8.sandag.org_ws_abm2_f4[[#This Row],[flow_day]]</f>
        <v>20715</v>
      </c>
      <c r="N1565">
        <f>Table_socioeca8.sandag.org_ws_abm2_f4[[#This Row],[flow_am]]</f>
        <v>8790</v>
      </c>
      <c r="O1565">
        <f>Table_socioeca8.sandag.org_ws_abm2_f4[[#This Row],[flow_pm]]</f>
        <v>3593</v>
      </c>
    </row>
    <row r="1566" spans="5:15" x14ac:dyDescent="0.25">
      <c r="E1566">
        <v>29442</v>
      </c>
      <c r="F1566">
        <f t="shared" si="24"/>
        <v>259</v>
      </c>
      <c r="G1566">
        <f>IFERROR(VLOOKUP(Table_socioeca8.sandag.org_ws_abm2_f4[[#This Row],[hwycov_id]],[2]flow_freeway!$A$2:$E$1643,3,FALSE),0)</f>
        <v>18565</v>
      </c>
      <c r="H1566">
        <f>IFERROR(VLOOKUP(Table_socioeca8.sandag.org_ws_abm2_f4[[#This Row],[hwycov_id]],[2]flow_freeway!$A$2:$E$1643,4,FALSE),0)</f>
        <v>7352</v>
      </c>
      <c r="I1566">
        <f>IFERROR(VLOOKUP(Table_socioeca8.sandag.org_ws_abm2_f4[[#This Row],[hwycov_id]],[2]flow_freeway!$A$2:$E$1643,5,FALSE),0)</f>
        <v>2358</v>
      </c>
      <c r="K1566">
        <f>Table_socioeca8.sandag.org_ws_abm2_f4[[#This Row],[hwycov_id]]</f>
        <v>29442</v>
      </c>
      <c r="L1566">
        <f>Table_socioeca8.sandag.org_ws_abm2_f4[[#This Row],[scenario_id]]</f>
        <v>259</v>
      </c>
      <c r="M1566">
        <f>Table_socioeca8.sandag.org_ws_abm2_f4[[#This Row],[flow_day]]</f>
        <v>18565</v>
      </c>
      <c r="N1566">
        <f>Table_socioeca8.sandag.org_ws_abm2_f4[[#This Row],[flow_am]]</f>
        <v>7352</v>
      </c>
      <c r="O1566">
        <f>Table_socioeca8.sandag.org_ws_abm2_f4[[#This Row],[flow_pm]]</f>
        <v>2358</v>
      </c>
    </row>
    <row r="1567" spans="5:15" x14ac:dyDescent="0.25">
      <c r="E1567">
        <v>29488</v>
      </c>
      <c r="F1567">
        <f t="shared" si="24"/>
        <v>259</v>
      </c>
      <c r="G1567">
        <f>IFERROR(VLOOKUP(Table_socioeca8.sandag.org_ws_abm2_f4[[#This Row],[hwycov_id]],[2]flow_freeway!$A$2:$E$1643,3,FALSE),0)</f>
        <v>11652</v>
      </c>
      <c r="H1567">
        <f>IFERROR(VLOOKUP(Table_socioeca8.sandag.org_ws_abm2_f4[[#This Row],[hwycov_id]],[2]flow_freeway!$A$2:$E$1643,4,FALSE),0)</f>
        <v>2884</v>
      </c>
      <c r="I1567">
        <f>IFERROR(VLOOKUP(Table_socioeca8.sandag.org_ws_abm2_f4[[#This Row],[hwycov_id]],[2]flow_freeway!$A$2:$E$1643,5,FALSE),0)</f>
        <v>3653</v>
      </c>
      <c r="K1567">
        <f>Table_socioeca8.sandag.org_ws_abm2_f4[[#This Row],[hwycov_id]]</f>
        <v>29488</v>
      </c>
      <c r="L1567">
        <f>Table_socioeca8.sandag.org_ws_abm2_f4[[#This Row],[scenario_id]]</f>
        <v>259</v>
      </c>
      <c r="M1567">
        <f>Table_socioeca8.sandag.org_ws_abm2_f4[[#This Row],[flow_day]]</f>
        <v>11652</v>
      </c>
      <c r="N1567">
        <f>Table_socioeca8.sandag.org_ws_abm2_f4[[#This Row],[flow_am]]</f>
        <v>2884</v>
      </c>
      <c r="O1567">
        <f>Table_socioeca8.sandag.org_ws_abm2_f4[[#This Row],[flow_pm]]</f>
        <v>3653</v>
      </c>
    </row>
    <row r="1568" spans="5:15" x14ac:dyDescent="0.25">
      <c r="E1568">
        <v>29490</v>
      </c>
      <c r="F1568">
        <f t="shared" si="24"/>
        <v>259</v>
      </c>
      <c r="G1568">
        <f>IFERROR(VLOOKUP(Table_socioeca8.sandag.org_ws_abm2_f4[[#This Row],[hwycov_id]],[2]flow_freeway!$A$2:$E$1643,3,FALSE),0)</f>
        <v>15635</v>
      </c>
      <c r="H1568">
        <f>IFERROR(VLOOKUP(Table_socioeca8.sandag.org_ws_abm2_f4[[#This Row],[hwycov_id]],[2]flow_freeway!$A$2:$E$1643,4,FALSE),0)</f>
        <v>2548</v>
      </c>
      <c r="I1568">
        <f>IFERROR(VLOOKUP(Table_socioeca8.sandag.org_ws_abm2_f4[[#This Row],[hwycov_id]],[2]flow_freeway!$A$2:$E$1643,5,FALSE),0)</f>
        <v>6473</v>
      </c>
      <c r="K1568">
        <f>Table_socioeca8.sandag.org_ws_abm2_f4[[#This Row],[hwycov_id]]</f>
        <v>29490</v>
      </c>
      <c r="L1568">
        <f>Table_socioeca8.sandag.org_ws_abm2_f4[[#This Row],[scenario_id]]</f>
        <v>259</v>
      </c>
      <c r="M1568">
        <f>Table_socioeca8.sandag.org_ws_abm2_f4[[#This Row],[flow_day]]</f>
        <v>15635</v>
      </c>
      <c r="N1568">
        <f>Table_socioeca8.sandag.org_ws_abm2_f4[[#This Row],[flow_am]]</f>
        <v>2548</v>
      </c>
      <c r="O1568">
        <f>Table_socioeca8.sandag.org_ws_abm2_f4[[#This Row],[flow_pm]]</f>
        <v>6473</v>
      </c>
    </row>
    <row r="1569" spans="5:15" x14ac:dyDescent="0.25">
      <c r="E1569">
        <v>29492</v>
      </c>
      <c r="F1569">
        <f t="shared" si="24"/>
        <v>259</v>
      </c>
      <c r="G1569">
        <f>IFERROR(VLOOKUP(Table_socioeca8.sandag.org_ws_abm2_f4[[#This Row],[hwycov_id]],[2]flow_freeway!$A$2:$E$1643,3,FALSE),0)</f>
        <v>16034</v>
      </c>
      <c r="H1569">
        <f>IFERROR(VLOOKUP(Table_socioeca8.sandag.org_ws_abm2_f4[[#This Row],[hwycov_id]],[2]flow_freeway!$A$2:$E$1643,4,FALSE),0)</f>
        <v>2548</v>
      </c>
      <c r="I1569">
        <f>IFERROR(VLOOKUP(Table_socioeca8.sandag.org_ws_abm2_f4[[#This Row],[hwycov_id]],[2]flow_freeway!$A$2:$E$1643,5,FALSE),0)</f>
        <v>6872</v>
      </c>
      <c r="K1569">
        <f>Table_socioeca8.sandag.org_ws_abm2_f4[[#This Row],[hwycov_id]]</f>
        <v>29492</v>
      </c>
      <c r="L1569">
        <f>Table_socioeca8.sandag.org_ws_abm2_f4[[#This Row],[scenario_id]]</f>
        <v>259</v>
      </c>
      <c r="M1569">
        <f>Table_socioeca8.sandag.org_ws_abm2_f4[[#This Row],[flow_day]]</f>
        <v>16034</v>
      </c>
      <c r="N1569">
        <f>Table_socioeca8.sandag.org_ws_abm2_f4[[#This Row],[flow_am]]</f>
        <v>2548</v>
      </c>
      <c r="O1569">
        <f>Table_socioeca8.sandag.org_ws_abm2_f4[[#This Row],[flow_pm]]</f>
        <v>6872</v>
      </c>
    </row>
    <row r="1570" spans="5:15" x14ac:dyDescent="0.25">
      <c r="E1570">
        <v>29533</v>
      </c>
      <c r="F1570">
        <f t="shared" si="24"/>
        <v>259</v>
      </c>
      <c r="G1570">
        <f>IFERROR(VLOOKUP(Table_socioeca8.sandag.org_ws_abm2_f4[[#This Row],[hwycov_id]],[2]flow_freeway!$A$2:$E$1643,3,FALSE),0)</f>
        <v>11793</v>
      </c>
      <c r="H1570">
        <f>IFERROR(VLOOKUP(Table_socioeca8.sandag.org_ws_abm2_f4[[#This Row],[hwycov_id]],[2]flow_freeway!$A$2:$E$1643,4,FALSE),0)</f>
        <v>3071</v>
      </c>
      <c r="I1570">
        <f>IFERROR(VLOOKUP(Table_socioeca8.sandag.org_ws_abm2_f4[[#This Row],[hwycov_id]],[2]flow_freeway!$A$2:$E$1643,5,FALSE),0)</f>
        <v>3283</v>
      </c>
      <c r="K1570">
        <f>Table_socioeca8.sandag.org_ws_abm2_f4[[#This Row],[hwycov_id]]</f>
        <v>29533</v>
      </c>
      <c r="L1570">
        <f>Table_socioeca8.sandag.org_ws_abm2_f4[[#This Row],[scenario_id]]</f>
        <v>259</v>
      </c>
      <c r="M1570">
        <f>Table_socioeca8.sandag.org_ws_abm2_f4[[#This Row],[flow_day]]</f>
        <v>11793</v>
      </c>
      <c r="N1570">
        <f>Table_socioeca8.sandag.org_ws_abm2_f4[[#This Row],[flow_am]]</f>
        <v>3071</v>
      </c>
      <c r="O1570">
        <f>Table_socioeca8.sandag.org_ws_abm2_f4[[#This Row],[flow_pm]]</f>
        <v>3283</v>
      </c>
    </row>
    <row r="1571" spans="5:15" x14ac:dyDescent="0.25">
      <c r="E1571">
        <v>29547</v>
      </c>
      <c r="F1571">
        <f t="shared" si="24"/>
        <v>259</v>
      </c>
      <c r="G1571">
        <f>IFERROR(VLOOKUP(Table_socioeca8.sandag.org_ws_abm2_f4[[#This Row],[hwycov_id]],[2]flow_freeway!$A$2:$E$1643,3,FALSE),0)</f>
        <v>11354</v>
      </c>
      <c r="H1571">
        <f>IFERROR(VLOOKUP(Table_socioeca8.sandag.org_ws_abm2_f4[[#This Row],[hwycov_id]],[2]flow_freeway!$A$2:$E$1643,4,FALSE),0)</f>
        <v>2013</v>
      </c>
      <c r="I1571">
        <f>IFERROR(VLOOKUP(Table_socioeca8.sandag.org_ws_abm2_f4[[#This Row],[hwycov_id]],[2]flow_freeway!$A$2:$E$1643,5,FALSE),0)</f>
        <v>4799</v>
      </c>
      <c r="K1571">
        <f>Table_socioeca8.sandag.org_ws_abm2_f4[[#This Row],[hwycov_id]]</f>
        <v>29547</v>
      </c>
      <c r="L1571">
        <f>Table_socioeca8.sandag.org_ws_abm2_f4[[#This Row],[scenario_id]]</f>
        <v>259</v>
      </c>
      <c r="M1571">
        <f>Table_socioeca8.sandag.org_ws_abm2_f4[[#This Row],[flow_day]]</f>
        <v>11354</v>
      </c>
      <c r="N1571">
        <f>Table_socioeca8.sandag.org_ws_abm2_f4[[#This Row],[flow_am]]</f>
        <v>2013</v>
      </c>
      <c r="O1571">
        <f>Table_socioeca8.sandag.org_ws_abm2_f4[[#This Row],[flow_pm]]</f>
        <v>4799</v>
      </c>
    </row>
    <row r="1572" spans="5:15" x14ac:dyDescent="0.25">
      <c r="E1572">
        <v>29548</v>
      </c>
      <c r="F1572">
        <f t="shared" si="24"/>
        <v>259</v>
      </c>
      <c r="G1572">
        <f>IFERROR(VLOOKUP(Table_socioeca8.sandag.org_ws_abm2_f4[[#This Row],[hwycov_id]],[2]flow_freeway!$A$2:$E$1643,3,FALSE),0)</f>
        <v>10867</v>
      </c>
      <c r="H1572">
        <f>IFERROR(VLOOKUP(Table_socioeca8.sandag.org_ws_abm2_f4[[#This Row],[hwycov_id]],[2]flow_freeway!$A$2:$E$1643,4,FALSE),0)</f>
        <v>2904</v>
      </c>
      <c r="I1572">
        <f>IFERROR(VLOOKUP(Table_socioeca8.sandag.org_ws_abm2_f4[[#This Row],[hwycov_id]],[2]flow_freeway!$A$2:$E$1643,5,FALSE),0)</f>
        <v>2676</v>
      </c>
      <c r="K1572">
        <f>Table_socioeca8.sandag.org_ws_abm2_f4[[#This Row],[hwycov_id]]</f>
        <v>29548</v>
      </c>
      <c r="L1572">
        <f>Table_socioeca8.sandag.org_ws_abm2_f4[[#This Row],[scenario_id]]</f>
        <v>259</v>
      </c>
      <c r="M1572">
        <f>Table_socioeca8.sandag.org_ws_abm2_f4[[#This Row],[flow_day]]</f>
        <v>10867</v>
      </c>
      <c r="N1572">
        <f>Table_socioeca8.sandag.org_ws_abm2_f4[[#This Row],[flow_am]]</f>
        <v>2904</v>
      </c>
      <c r="O1572">
        <f>Table_socioeca8.sandag.org_ws_abm2_f4[[#This Row],[flow_pm]]</f>
        <v>2676</v>
      </c>
    </row>
    <row r="1573" spans="5:15" x14ac:dyDescent="0.25">
      <c r="E1573">
        <v>29550</v>
      </c>
      <c r="F1573">
        <f t="shared" si="24"/>
        <v>259</v>
      </c>
      <c r="G1573">
        <f>IFERROR(VLOOKUP(Table_socioeca8.sandag.org_ws_abm2_f4[[#This Row],[hwycov_id]],[2]flow_freeway!$A$2:$E$1643,3,FALSE),0)</f>
        <v>13609</v>
      </c>
      <c r="H1573">
        <f>IFERROR(VLOOKUP(Table_socioeca8.sandag.org_ws_abm2_f4[[#This Row],[hwycov_id]],[2]flow_freeway!$A$2:$E$1643,4,FALSE),0)</f>
        <v>3980</v>
      </c>
      <c r="I1573">
        <f>IFERROR(VLOOKUP(Table_socioeca8.sandag.org_ws_abm2_f4[[#This Row],[hwycov_id]],[2]flow_freeway!$A$2:$E$1643,5,FALSE),0)</f>
        <v>3061</v>
      </c>
      <c r="K1573">
        <f>Table_socioeca8.sandag.org_ws_abm2_f4[[#This Row],[hwycov_id]]</f>
        <v>29550</v>
      </c>
      <c r="L1573">
        <f>Table_socioeca8.sandag.org_ws_abm2_f4[[#This Row],[scenario_id]]</f>
        <v>259</v>
      </c>
      <c r="M1573">
        <f>Table_socioeca8.sandag.org_ws_abm2_f4[[#This Row],[flow_day]]</f>
        <v>13609</v>
      </c>
      <c r="N1573">
        <f>Table_socioeca8.sandag.org_ws_abm2_f4[[#This Row],[flow_am]]</f>
        <v>3980</v>
      </c>
      <c r="O1573">
        <f>Table_socioeca8.sandag.org_ws_abm2_f4[[#This Row],[flow_pm]]</f>
        <v>3061</v>
      </c>
    </row>
    <row r="1574" spans="5:15" x14ac:dyDescent="0.25">
      <c r="E1574">
        <v>29551</v>
      </c>
      <c r="F1574">
        <f t="shared" si="24"/>
        <v>259</v>
      </c>
      <c r="G1574">
        <f>IFERROR(VLOOKUP(Table_socioeca8.sandag.org_ws_abm2_f4[[#This Row],[hwycov_id]],[2]flow_freeway!$A$2:$E$1643,3,FALSE),0)</f>
        <v>13609</v>
      </c>
      <c r="H1574">
        <f>IFERROR(VLOOKUP(Table_socioeca8.sandag.org_ws_abm2_f4[[#This Row],[hwycov_id]],[2]flow_freeway!$A$2:$E$1643,4,FALSE),0)</f>
        <v>3980</v>
      </c>
      <c r="I1574">
        <f>IFERROR(VLOOKUP(Table_socioeca8.sandag.org_ws_abm2_f4[[#This Row],[hwycov_id]],[2]flow_freeway!$A$2:$E$1643,5,FALSE),0)</f>
        <v>3061</v>
      </c>
      <c r="K1574">
        <f>Table_socioeca8.sandag.org_ws_abm2_f4[[#This Row],[hwycov_id]]</f>
        <v>29551</v>
      </c>
      <c r="L1574">
        <f>Table_socioeca8.sandag.org_ws_abm2_f4[[#This Row],[scenario_id]]</f>
        <v>259</v>
      </c>
      <c r="M1574">
        <f>Table_socioeca8.sandag.org_ws_abm2_f4[[#This Row],[flow_day]]</f>
        <v>13609</v>
      </c>
      <c r="N1574">
        <f>Table_socioeca8.sandag.org_ws_abm2_f4[[#This Row],[flow_am]]</f>
        <v>3980</v>
      </c>
      <c r="O1574">
        <f>Table_socioeca8.sandag.org_ws_abm2_f4[[#This Row],[flow_pm]]</f>
        <v>3061</v>
      </c>
    </row>
    <row r="1575" spans="5:15" x14ac:dyDescent="0.25">
      <c r="E1575">
        <v>29553</v>
      </c>
      <c r="F1575">
        <f t="shared" si="24"/>
        <v>259</v>
      </c>
      <c r="G1575">
        <f>IFERROR(VLOOKUP(Table_socioeca8.sandag.org_ws_abm2_f4[[#This Row],[hwycov_id]],[2]flow_freeway!$A$2:$E$1643,3,FALSE),0)</f>
        <v>11354</v>
      </c>
      <c r="H1575">
        <f>IFERROR(VLOOKUP(Table_socioeca8.sandag.org_ws_abm2_f4[[#This Row],[hwycov_id]],[2]flow_freeway!$A$2:$E$1643,4,FALSE),0)</f>
        <v>2013</v>
      </c>
      <c r="I1575">
        <f>IFERROR(VLOOKUP(Table_socioeca8.sandag.org_ws_abm2_f4[[#This Row],[hwycov_id]],[2]flow_freeway!$A$2:$E$1643,5,FALSE),0)</f>
        <v>4799</v>
      </c>
      <c r="K1575">
        <f>Table_socioeca8.sandag.org_ws_abm2_f4[[#This Row],[hwycov_id]]</f>
        <v>29553</v>
      </c>
      <c r="L1575">
        <f>Table_socioeca8.sandag.org_ws_abm2_f4[[#This Row],[scenario_id]]</f>
        <v>259</v>
      </c>
      <c r="M1575">
        <f>Table_socioeca8.sandag.org_ws_abm2_f4[[#This Row],[flow_day]]</f>
        <v>11354</v>
      </c>
      <c r="N1575">
        <f>Table_socioeca8.sandag.org_ws_abm2_f4[[#This Row],[flow_am]]</f>
        <v>2013</v>
      </c>
      <c r="O1575">
        <f>Table_socioeca8.sandag.org_ws_abm2_f4[[#This Row],[flow_pm]]</f>
        <v>4799</v>
      </c>
    </row>
    <row r="1576" spans="5:15" x14ac:dyDescent="0.25">
      <c r="E1576">
        <v>29559</v>
      </c>
      <c r="F1576">
        <f t="shared" si="24"/>
        <v>259</v>
      </c>
      <c r="G1576">
        <f>IFERROR(VLOOKUP(Table_socioeca8.sandag.org_ws_abm2_f4[[#This Row],[hwycov_id]],[2]flow_freeway!$A$2:$E$1643,3,FALSE),0)</f>
        <v>13609</v>
      </c>
      <c r="H1576">
        <f>IFERROR(VLOOKUP(Table_socioeca8.sandag.org_ws_abm2_f4[[#This Row],[hwycov_id]],[2]flow_freeway!$A$2:$E$1643,4,FALSE),0)</f>
        <v>3980</v>
      </c>
      <c r="I1576">
        <f>IFERROR(VLOOKUP(Table_socioeca8.sandag.org_ws_abm2_f4[[#This Row],[hwycov_id]],[2]flow_freeway!$A$2:$E$1643,5,FALSE),0)</f>
        <v>3061</v>
      </c>
      <c r="K1576">
        <f>Table_socioeca8.sandag.org_ws_abm2_f4[[#This Row],[hwycov_id]]</f>
        <v>29559</v>
      </c>
      <c r="L1576">
        <f>Table_socioeca8.sandag.org_ws_abm2_f4[[#This Row],[scenario_id]]</f>
        <v>259</v>
      </c>
      <c r="M1576">
        <f>Table_socioeca8.sandag.org_ws_abm2_f4[[#This Row],[flow_day]]</f>
        <v>13609</v>
      </c>
      <c r="N1576">
        <f>Table_socioeca8.sandag.org_ws_abm2_f4[[#This Row],[flow_am]]</f>
        <v>3980</v>
      </c>
      <c r="O1576">
        <f>Table_socioeca8.sandag.org_ws_abm2_f4[[#This Row],[flow_pm]]</f>
        <v>3061</v>
      </c>
    </row>
    <row r="1577" spans="5:15" x14ac:dyDescent="0.25">
      <c r="E1577">
        <v>29565</v>
      </c>
      <c r="F1577">
        <f t="shared" si="24"/>
        <v>259</v>
      </c>
      <c r="G1577">
        <f>IFERROR(VLOOKUP(Table_socioeca8.sandag.org_ws_abm2_f4[[#This Row],[hwycov_id]],[2]flow_freeway!$A$2:$E$1643,3,FALSE),0)</f>
        <v>16034</v>
      </c>
      <c r="H1577">
        <f>IFERROR(VLOOKUP(Table_socioeca8.sandag.org_ws_abm2_f4[[#This Row],[hwycov_id]],[2]flow_freeway!$A$2:$E$1643,4,FALSE),0)</f>
        <v>2548</v>
      </c>
      <c r="I1577">
        <f>IFERROR(VLOOKUP(Table_socioeca8.sandag.org_ws_abm2_f4[[#This Row],[hwycov_id]],[2]flow_freeway!$A$2:$E$1643,5,FALSE),0)</f>
        <v>6872</v>
      </c>
      <c r="K1577">
        <f>Table_socioeca8.sandag.org_ws_abm2_f4[[#This Row],[hwycov_id]]</f>
        <v>29565</v>
      </c>
      <c r="L1577">
        <f>Table_socioeca8.sandag.org_ws_abm2_f4[[#This Row],[scenario_id]]</f>
        <v>259</v>
      </c>
      <c r="M1577">
        <f>Table_socioeca8.sandag.org_ws_abm2_f4[[#This Row],[flow_day]]</f>
        <v>16034</v>
      </c>
      <c r="N1577">
        <f>Table_socioeca8.sandag.org_ws_abm2_f4[[#This Row],[flow_am]]</f>
        <v>2548</v>
      </c>
      <c r="O1577">
        <f>Table_socioeca8.sandag.org_ws_abm2_f4[[#This Row],[flow_pm]]</f>
        <v>6872</v>
      </c>
    </row>
    <row r="1578" spans="5:15" x14ac:dyDescent="0.25">
      <c r="E1578">
        <v>29570</v>
      </c>
      <c r="F1578">
        <f t="shared" si="24"/>
        <v>259</v>
      </c>
      <c r="G1578">
        <f>IFERROR(VLOOKUP(Table_socioeca8.sandag.org_ws_abm2_f4[[#This Row],[hwycov_id]],[2]flow_freeway!$A$2:$E$1643,3,FALSE),0)</f>
        <v>16751</v>
      </c>
      <c r="H1578">
        <f>IFERROR(VLOOKUP(Table_socioeca8.sandag.org_ws_abm2_f4[[#This Row],[hwycov_id]],[2]flow_freeway!$A$2:$E$1643,4,FALSE),0)</f>
        <v>5400</v>
      </c>
      <c r="I1578">
        <f>IFERROR(VLOOKUP(Table_socioeca8.sandag.org_ws_abm2_f4[[#This Row],[hwycov_id]],[2]flow_freeway!$A$2:$E$1643,5,FALSE),0)</f>
        <v>3163</v>
      </c>
      <c r="K1578">
        <f>Table_socioeca8.sandag.org_ws_abm2_f4[[#This Row],[hwycov_id]]</f>
        <v>29570</v>
      </c>
      <c r="L1578">
        <f>Table_socioeca8.sandag.org_ws_abm2_f4[[#This Row],[scenario_id]]</f>
        <v>259</v>
      </c>
      <c r="M1578">
        <f>Table_socioeca8.sandag.org_ws_abm2_f4[[#This Row],[flow_day]]</f>
        <v>16751</v>
      </c>
      <c r="N1578">
        <f>Table_socioeca8.sandag.org_ws_abm2_f4[[#This Row],[flow_am]]</f>
        <v>5400</v>
      </c>
      <c r="O1578">
        <f>Table_socioeca8.sandag.org_ws_abm2_f4[[#This Row],[flow_pm]]</f>
        <v>3163</v>
      </c>
    </row>
    <row r="1579" spans="5:15" x14ac:dyDescent="0.25">
      <c r="E1579">
        <v>29571</v>
      </c>
      <c r="F1579">
        <f t="shared" si="24"/>
        <v>259</v>
      </c>
      <c r="G1579">
        <f>IFERROR(VLOOKUP(Table_socioeca8.sandag.org_ws_abm2_f4[[#This Row],[hwycov_id]],[2]flow_freeway!$A$2:$E$1643,3,FALSE),0)</f>
        <v>16034</v>
      </c>
      <c r="H1579">
        <f>IFERROR(VLOOKUP(Table_socioeca8.sandag.org_ws_abm2_f4[[#This Row],[hwycov_id]],[2]flow_freeway!$A$2:$E$1643,4,FALSE),0)</f>
        <v>2548</v>
      </c>
      <c r="I1579">
        <f>IFERROR(VLOOKUP(Table_socioeca8.sandag.org_ws_abm2_f4[[#This Row],[hwycov_id]],[2]flow_freeway!$A$2:$E$1643,5,FALSE),0)</f>
        <v>6872</v>
      </c>
      <c r="K1579">
        <f>Table_socioeca8.sandag.org_ws_abm2_f4[[#This Row],[hwycov_id]]</f>
        <v>29571</v>
      </c>
      <c r="L1579">
        <f>Table_socioeca8.sandag.org_ws_abm2_f4[[#This Row],[scenario_id]]</f>
        <v>259</v>
      </c>
      <c r="M1579">
        <f>Table_socioeca8.sandag.org_ws_abm2_f4[[#This Row],[flow_day]]</f>
        <v>16034</v>
      </c>
      <c r="N1579">
        <f>Table_socioeca8.sandag.org_ws_abm2_f4[[#This Row],[flow_am]]</f>
        <v>2548</v>
      </c>
      <c r="O1579">
        <f>Table_socioeca8.sandag.org_ws_abm2_f4[[#This Row],[flow_pm]]</f>
        <v>6872</v>
      </c>
    </row>
    <row r="1580" spans="5:15" x14ac:dyDescent="0.25">
      <c r="E1580">
        <v>29573</v>
      </c>
      <c r="F1580">
        <f t="shared" si="24"/>
        <v>259</v>
      </c>
      <c r="G1580">
        <f>IFERROR(VLOOKUP(Table_socioeca8.sandag.org_ws_abm2_f4[[#This Row],[hwycov_id]],[2]flow_freeway!$A$2:$E$1643,3,FALSE),0)</f>
        <v>16751</v>
      </c>
      <c r="H1580">
        <f>IFERROR(VLOOKUP(Table_socioeca8.sandag.org_ws_abm2_f4[[#This Row],[hwycov_id]],[2]flow_freeway!$A$2:$E$1643,4,FALSE),0)</f>
        <v>5400</v>
      </c>
      <c r="I1580">
        <f>IFERROR(VLOOKUP(Table_socioeca8.sandag.org_ws_abm2_f4[[#This Row],[hwycov_id]],[2]flow_freeway!$A$2:$E$1643,5,FALSE),0)</f>
        <v>3163</v>
      </c>
      <c r="K1580">
        <f>Table_socioeca8.sandag.org_ws_abm2_f4[[#This Row],[hwycov_id]]</f>
        <v>29573</v>
      </c>
      <c r="L1580">
        <f>Table_socioeca8.sandag.org_ws_abm2_f4[[#This Row],[scenario_id]]</f>
        <v>259</v>
      </c>
      <c r="M1580">
        <f>Table_socioeca8.sandag.org_ws_abm2_f4[[#This Row],[flow_day]]</f>
        <v>16751</v>
      </c>
      <c r="N1580">
        <f>Table_socioeca8.sandag.org_ws_abm2_f4[[#This Row],[flow_am]]</f>
        <v>5400</v>
      </c>
      <c r="O1580">
        <f>Table_socioeca8.sandag.org_ws_abm2_f4[[#This Row],[flow_pm]]</f>
        <v>3163</v>
      </c>
    </row>
    <row r="1581" spans="5:15" x14ac:dyDescent="0.25">
      <c r="E1581">
        <v>29575</v>
      </c>
      <c r="F1581">
        <f t="shared" si="24"/>
        <v>259</v>
      </c>
      <c r="G1581">
        <f>IFERROR(VLOOKUP(Table_socioeca8.sandag.org_ws_abm2_f4[[#This Row],[hwycov_id]],[2]flow_freeway!$A$2:$E$1643,3,FALSE),0)</f>
        <v>16751</v>
      </c>
      <c r="H1581">
        <f>IFERROR(VLOOKUP(Table_socioeca8.sandag.org_ws_abm2_f4[[#This Row],[hwycov_id]],[2]flow_freeway!$A$2:$E$1643,4,FALSE),0)</f>
        <v>5400</v>
      </c>
      <c r="I1581">
        <f>IFERROR(VLOOKUP(Table_socioeca8.sandag.org_ws_abm2_f4[[#This Row],[hwycov_id]],[2]flow_freeway!$A$2:$E$1643,5,FALSE),0)</f>
        <v>3163</v>
      </c>
      <c r="K1581">
        <f>Table_socioeca8.sandag.org_ws_abm2_f4[[#This Row],[hwycov_id]]</f>
        <v>29575</v>
      </c>
      <c r="L1581">
        <f>Table_socioeca8.sandag.org_ws_abm2_f4[[#This Row],[scenario_id]]</f>
        <v>259</v>
      </c>
      <c r="M1581">
        <f>Table_socioeca8.sandag.org_ws_abm2_f4[[#This Row],[flow_day]]</f>
        <v>16751</v>
      </c>
      <c r="N1581">
        <f>Table_socioeca8.sandag.org_ws_abm2_f4[[#This Row],[flow_am]]</f>
        <v>5400</v>
      </c>
      <c r="O1581">
        <f>Table_socioeca8.sandag.org_ws_abm2_f4[[#This Row],[flow_pm]]</f>
        <v>3163</v>
      </c>
    </row>
    <row r="1582" spans="5:15" x14ac:dyDescent="0.25">
      <c r="E1582">
        <v>29577</v>
      </c>
      <c r="F1582">
        <f t="shared" si="24"/>
        <v>259</v>
      </c>
      <c r="G1582">
        <f>IFERROR(VLOOKUP(Table_socioeca8.sandag.org_ws_abm2_f4[[#This Row],[hwycov_id]],[2]flow_freeway!$A$2:$E$1643,3,FALSE),0)</f>
        <v>16751</v>
      </c>
      <c r="H1582">
        <f>IFERROR(VLOOKUP(Table_socioeca8.sandag.org_ws_abm2_f4[[#This Row],[hwycov_id]],[2]flow_freeway!$A$2:$E$1643,4,FALSE),0)</f>
        <v>5400</v>
      </c>
      <c r="I1582">
        <f>IFERROR(VLOOKUP(Table_socioeca8.sandag.org_ws_abm2_f4[[#This Row],[hwycov_id]],[2]flow_freeway!$A$2:$E$1643,5,FALSE),0)</f>
        <v>3163</v>
      </c>
      <c r="K1582">
        <f>Table_socioeca8.sandag.org_ws_abm2_f4[[#This Row],[hwycov_id]]</f>
        <v>29577</v>
      </c>
      <c r="L1582">
        <f>Table_socioeca8.sandag.org_ws_abm2_f4[[#This Row],[scenario_id]]</f>
        <v>259</v>
      </c>
      <c r="M1582">
        <f>Table_socioeca8.sandag.org_ws_abm2_f4[[#This Row],[flow_day]]</f>
        <v>16751</v>
      </c>
      <c r="N1582">
        <f>Table_socioeca8.sandag.org_ws_abm2_f4[[#This Row],[flow_am]]</f>
        <v>5400</v>
      </c>
      <c r="O1582">
        <f>Table_socioeca8.sandag.org_ws_abm2_f4[[#This Row],[flow_pm]]</f>
        <v>3163</v>
      </c>
    </row>
    <row r="1583" spans="5:15" x14ac:dyDescent="0.25">
      <c r="E1583">
        <v>29587</v>
      </c>
      <c r="F1583">
        <f t="shared" si="24"/>
        <v>259</v>
      </c>
      <c r="G1583">
        <f>IFERROR(VLOOKUP(Table_socioeca8.sandag.org_ws_abm2_f4[[#This Row],[hwycov_id]],[2]flow_freeway!$A$2:$E$1643,3,FALSE),0)</f>
        <v>16846</v>
      </c>
      <c r="H1583">
        <f>IFERROR(VLOOKUP(Table_socioeca8.sandag.org_ws_abm2_f4[[#This Row],[hwycov_id]],[2]flow_freeway!$A$2:$E$1643,4,FALSE),0)</f>
        <v>5495</v>
      </c>
      <c r="I1583">
        <f>IFERROR(VLOOKUP(Table_socioeca8.sandag.org_ws_abm2_f4[[#This Row],[hwycov_id]],[2]flow_freeway!$A$2:$E$1643,5,FALSE),0)</f>
        <v>3163</v>
      </c>
      <c r="K1583">
        <f>Table_socioeca8.sandag.org_ws_abm2_f4[[#This Row],[hwycov_id]]</f>
        <v>29587</v>
      </c>
      <c r="L1583">
        <f>Table_socioeca8.sandag.org_ws_abm2_f4[[#This Row],[scenario_id]]</f>
        <v>259</v>
      </c>
      <c r="M1583">
        <f>Table_socioeca8.sandag.org_ws_abm2_f4[[#This Row],[flow_day]]</f>
        <v>16846</v>
      </c>
      <c r="N1583">
        <f>Table_socioeca8.sandag.org_ws_abm2_f4[[#This Row],[flow_am]]</f>
        <v>5495</v>
      </c>
      <c r="O1583">
        <f>Table_socioeca8.sandag.org_ws_abm2_f4[[#This Row],[flow_pm]]</f>
        <v>3163</v>
      </c>
    </row>
    <row r="1584" spans="5:15" x14ac:dyDescent="0.25">
      <c r="E1584">
        <v>29716</v>
      </c>
      <c r="F1584">
        <f t="shared" si="24"/>
        <v>259</v>
      </c>
      <c r="G1584">
        <f>IFERROR(VLOOKUP(Table_socioeca8.sandag.org_ws_abm2_f4[[#This Row],[hwycov_id]],[2]flow_freeway!$A$2:$E$1643,3,FALSE),0)</f>
        <v>14535</v>
      </c>
      <c r="H1584">
        <f>IFERROR(VLOOKUP(Table_socioeca8.sandag.org_ws_abm2_f4[[#This Row],[hwycov_id]],[2]flow_freeway!$A$2:$E$1643,4,FALSE),0)</f>
        <v>2651</v>
      </c>
      <c r="I1584">
        <f>IFERROR(VLOOKUP(Table_socioeca8.sandag.org_ws_abm2_f4[[#This Row],[hwycov_id]],[2]flow_freeway!$A$2:$E$1643,5,FALSE),0)</f>
        <v>5885</v>
      </c>
      <c r="K1584">
        <f>Table_socioeca8.sandag.org_ws_abm2_f4[[#This Row],[hwycov_id]]</f>
        <v>29716</v>
      </c>
      <c r="L1584">
        <f>Table_socioeca8.sandag.org_ws_abm2_f4[[#This Row],[scenario_id]]</f>
        <v>259</v>
      </c>
      <c r="M1584">
        <f>Table_socioeca8.sandag.org_ws_abm2_f4[[#This Row],[flow_day]]</f>
        <v>14535</v>
      </c>
      <c r="N1584">
        <f>Table_socioeca8.sandag.org_ws_abm2_f4[[#This Row],[flow_am]]</f>
        <v>2651</v>
      </c>
      <c r="O1584">
        <f>Table_socioeca8.sandag.org_ws_abm2_f4[[#This Row],[flow_pm]]</f>
        <v>5885</v>
      </c>
    </row>
    <row r="1585" spans="5:15" x14ac:dyDescent="0.25">
      <c r="E1585">
        <v>29750</v>
      </c>
      <c r="F1585">
        <f t="shared" si="24"/>
        <v>259</v>
      </c>
      <c r="G1585">
        <f>IFERROR(VLOOKUP(Table_socioeca8.sandag.org_ws_abm2_f4[[#This Row],[hwycov_id]],[2]flow_freeway!$A$2:$E$1643,3,FALSE),0)</f>
        <v>14381</v>
      </c>
      <c r="H1585">
        <f>IFERROR(VLOOKUP(Table_socioeca8.sandag.org_ws_abm2_f4[[#This Row],[hwycov_id]],[2]flow_freeway!$A$2:$E$1643,4,FALSE),0)</f>
        <v>4001</v>
      </c>
      <c r="I1585">
        <f>IFERROR(VLOOKUP(Table_socioeca8.sandag.org_ws_abm2_f4[[#This Row],[hwycov_id]],[2]flow_freeway!$A$2:$E$1643,5,FALSE),0)</f>
        <v>4527</v>
      </c>
      <c r="K1585">
        <f>Table_socioeca8.sandag.org_ws_abm2_f4[[#This Row],[hwycov_id]]</f>
        <v>29750</v>
      </c>
      <c r="L1585">
        <f>Table_socioeca8.sandag.org_ws_abm2_f4[[#This Row],[scenario_id]]</f>
        <v>259</v>
      </c>
      <c r="M1585">
        <f>Table_socioeca8.sandag.org_ws_abm2_f4[[#This Row],[flow_day]]</f>
        <v>14381</v>
      </c>
      <c r="N1585">
        <f>Table_socioeca8.sandag.org_ws_abm2_f4[[#This Row],[flow_am]]</f>
        <v>4001</v>
      </c>
      <c r="O1585">
        <f>Table_socioeca8.sandag.org_ws_abm2_f4[[#This Row],[flow_pm]]</f>
        <v>4527</v>
      </c>
    </row>
    <row r="1586" spans="5:15" x14ac:dyDescent="0.25">
      <c r="E1586">
        <v>29752</v>
      </c>
      <c r="F1586">
        <f t="shared" si="24"/>
        <v>259</v>
      </c>
      <c r="G1586">
        <f>IFERROR(VLOOKUP(Table_socioeca8.sandag.org_ws_abm2_f4[[#This Row],[hwycov_id]],[2]flow_freeway!$A$2:$E$1643,3,FALSE),0)</f>
        <v>16309</v>
      </c>
      <c r="H1586">
        <f>IFERROR(VLOOKUP(Table_socioeca8.sandag.org_ws_abm2_f4[[#This Row],[hwycov_id]],[2]flow_freeway!$A$2:$E$1643,4,FALSE),0)</f>
        <v>3966</v>
      </c>
      <c r="I1586">
        <f>IFERROR(VLOOKUP(Table_socioeca8.sandag.org_ws_abm2_f4[[#This Row],[hwycov_id]],[2]flow_freeway!$A$2:$E$1643,5,FALSE),0)</f>
        <v>5287</v>
      </c>
      <c r="K1586">
        <f>Table_socioeca8.sandag.org_ws_abm2_f4[[#This Row],[hwycov_id]]</f>
        <v>29752</v>
      </c>
      <c r="L1586">
        <f>Table_socioeca8.sandag.org_ws_abm2_f4[[#This Row],[scenario_id]]</f>
        <v>259</v>
      </c>
      <c r="M1586">
        <f>Table_socioeca8.sandag.org_ws_abm2_f4[[#This Row],[flow_day]]</f>
        <v>16309</v>
      </c>
      <c r="N1586">
        <f>Table_socioeca8.sandag.org_ws_abm2_f4[[#This Row],[flow_am]]</f>
        <v>3966</v>
      </c>
      <c r="O1586">
        <f>Table_socioeca8.sandag.org_ws_abm2_f4[[#This Row],[flow_pm]]</f>
        <v>5287</v>
      </c>
    </row>
    <row r="1587" spans="5:15" x14ac:dyDescent="0.25">
      <c r="E1587">
        <v>29753</v>
      </c>
      <c r="F1587">
        <f t="shared" si="24"/>
        <v>259</v>
      </c>
      <c r="G1587">
        <f>IFERROR(VLOOKUP(Table_socioeca8.sandag.org_ws_abm2_f4[[#This Row],[hwycov_id]],[2]flow_freeway!$A$2:$E$1643,3,FALSE),0)</f>
        <v>14381</v>
      </c>
      <c r="H1587">
        <f>IFERROR(VLOOKUP(Table_socioeca8.sandag.org_ws_abm2_f4[[#This Row],[hwycov_id]],[2]flow_freeway!$A$2:$E$1643,4,FALSE),0)</f>
        <v>4001</v>
      </c>
      <c r="I1587">
        <f>IFERROR(VLOOKUP(Table_socioeca8.sandag.org_ws_abm2_f4[[#This Row],[hwycov_id]],[2]flow_freeway!$A$2:$E$1643,5,FALSE),0)</f>
        <v>4527</v>
      </c>
      <c r="K1587">
        <f>Table_socioeca8.sandag.org_ws_abm2_f4[[#This Row],[hwycov_id]]</f>
        <v>29753</v>
      </c>
      <c r="L1587">
        <f>Table_socioeca8.sandag.org_ws_abm2_f4[[#This Row],[scenario_id]]</f>
        <v>259</v>
      </c>
      <c r="M1587">
        <f>Table_socioeca8.sandag.org_ws_abm2_f4[[#This Row],[flow_day]]</f>
        <v>14381</v>
      </c>
      <c r="N1587">
        <f>Table_socioeca8.sandag.org_ws_abm2_f4[[#This Row],[flow_am]]</f>
        <v>4001</v>
      </c>
      <c r="O1587">
        <f>Table_socioeca8.sandag.org_ws_abm2_f4[[#This Row],[flow_pm]]</f>
        <v>4527</v>
      </c>
    </row>
    <row r="1588" spans="5:15" x14ac:dyDescent="0.25">
      <c r="E1588">
        <v>29756</v>
      </c>
      <c r="F1588">
        <f t="shared" si="24"/>
        <v>259</v>
      </c>
      <c r="G1588">
        <f>IFERROR(VLOOKUP(Table_socioeca8.sandag.org_ws_abm2_f4[[#This Row],[hwycov_id]],[2]flow_freeway!$A$2:$E$1643,3,FALSE),0)</f>
        <v>85330</v>
      </c>
      <c r="H1588">
        <f>IFERROR(VLOOKUP(Table_socioeca8.sandag.org_ws_abm2_f4[[#This Row],[hwycov_id]],[2]flow_freeway!$A$2:$E$1643,4,FALSE),0)</f>
        <v>21283</v>
      </c>
      <c r="I1588">
        <f>IFERROR(VLOOKUP(Table_socioeca8.sandag.org_ws_abm2_f4[[#This Row],[hwycov_id]],[2]flow_freeway!$A$2:$E$1643,5,FALSE),0)</f>
        <v>18096</v>
      </c>
      <c r="K1588">
        <f>Table_socioeca8.sandag.org_ws_abm2_f4[[#This Row],[hwycov_id]]</f>
        <v>29756</v>
      </c>
      <c r="L1588">
        <f>Table_socioeca8.sandag.org_ws_abm2_f4[[#This Row],[scenario_id]]</f>
        <v>259</v>
      </c>
      <c r="M1588">
        <f>Table_socioeca8.sandag.org_ws_abm2_f4[[#This Row],[flow_day]]</f>
        <v>85330</v>
      </c>
      <c r="N1588">
        <f>Table_socioeca8.sandag.org_ws_abm2_f4[[#This Row],[flow_am]]</f>
        <v>21283</v>
      </c>
      <c r="O1588">
        <f>Table_socioeca8.sandag.org_ws_abm2_f4[[#This Row],[flow_pm]]</f>
        <v>18096</v>
      </c>
    </row>
    <row r="1589" spans="5:15" x14ac:dyDescent="0.25">
      <c r="E1589">
        <v>29761</v>
      </c>
      <c r="F1589">
        <f t="shared" si="24"/>
        <v>259</v>
      </c>
      <c r="G1589">
        <f>IFERROR(VLOOKUP(Table_socioeca8.sandag.org_ws_abm2_f4[[#This Row],[hwycov_id]],[2]flow_freeway!$A$2:$E$1643,3,FALSE),0)</f>
        <v>29731</v>
      </c>
      <c r="H1589">
        <f>IFERROR(VLOOKUP(Table_socioeca8.sandag.org_ws_abm2_f4[[#This Row],[hwycov_id]],[2]flow_freeway!$A$2:$E$1643,4,FALSE),0)</f>
        <v>5176</v>
      </c>
      <c r="I1589">
        <f>IFERROR(VLOOKUP(Table_socioeca8.sandag.org_ws_abm2_f4[[#This Row],[hwycov_id]],[2]flow_freeway!$A$2:$E$1643,5,FALSE),0)</f>
        <v>6773</v>
      </c>
      <c r="K1589">
        <f>Table_socioeca8.sandag.org_ws_abm2_f4[[#This Row],[hwycov_id]]</f>
        <v>29761</v>
      </c>
      <c r="L1589">
        <f>Table_socioeca8.sandag.org_ws_abm2_f4[[#This Row],[scenario_id]]</f>
        <v>259</v>
      </c>
      <c r="M1589">
        <f>Table_socioeca8.sandag.org_ws_abm2_f4[[#This Row],[flow_day]]</f>
        <v>29731</v>
      </c>
      <c r="N1589">
        <f>Table_socioeca8.sandag.org_ws_abm2_f4[[#This Row],[flow_am]]</f>
        <v>5176</v>
      </c>
      <c r="O1589">
        <f>Table_socioeca8.sandag.org_ws_abm2_f4[[#This Row],[flow_pm]]</f>
        <v>6773</v>
      </c>
    </row>
    <row r="1590" spans="5:15" x14ac:dyDescent="0.25">
      <c r="E1590">
        <v>29772</v>
      </c>
      <c r="F1590">
        <f t="shared" si="24"/>
        <v>259</v>
      </c>
      <c r="G1590">
        <f>IFERROR(VLOOKUP(Table_socioeca8.sandag.org_ws_abm2_f4[[#This Row],[hwycov_id]],[2]flow_freeway!$A$2:$E$1643,3,FALSE),0)</f>
        <v>31675</v>
      </c>
      <c r="H1590">
        <f>IFERROR(VLOOKUP(Table_socioeca8.sandag.org_ws_abm2_f4[[#This Row],[hwycov_id]],[2]flow_freeway!$A$2:$E$1643,4,FALSE),0)</f>
        <v>5349</v>
      </c>
      <c r="I1590">
        <f>IFERROR(VLOOKUP(Table_socioeca8.sandag.org_ws_abm2_f4[[#This Row],[hwycov_id]],[2]flow_freeway!$A$2:$E$1643,5,FALSE),0)</f>
        <v>7397</v>
      </c>
      <c r="K1590">
        <f>Table_socioeca8.sandag.org_ws_abm2_f4[[#This Row],[hwycov_id]]</f>
        <v>29772</v>
      </c>
      <c r="L1590">
        <f>Table_socioeca8.sandag.org_ws_abm2_f4[[#This Row],[scenario_id]]</f>
        <v>259</v>
      </c>
      <c r="M1590">
        <f>Table_socioeca8.sandag.org_ws_abm2_f4[[#This Row],[flow_day]]</f>
        <v>31675</v>
      </c>
      <c r="N1590">
        <f>Table_socioeca8.sandag.org_ws_abm2_f4[[#This Row],[flow_am]]</f>
        <v>5349</v>
      </c>
      <c r="O1590">
        <f>Table_socioeca8.sandag.org_ws_abm2_f4[[#This Row],[flow_pm]]</f>
        <v>7397</v>
      </c>
    </row>
    <row r="1591" spans="5:15" x14ac:dyDescent="0.25">
      <c r="E1591">
        <v>29816</v>
      </c>
      <c r="F1591">
        <f t="shared" si="24"/>
        <v>259</v>
      </c>
      <c r="G1591">
        <f>IFERROR(VLOOKUP(Table_socioeca8.sandag.org_ws_abm2_f4[[#This Row],[hwycov_id]],[2]flow_freeway!$A$2:$E$1643,3,FALSE),0)</f>
        <v>109338</v>
      </c>
      <c r="H1591">
        <f>IFERROR(VLOOKUP(Table_socioeca8.sandag.org_ws_abm2_f4[[#This Row],[hwycov_id]],[2]flow_freeway!$A$2:$E$1643,4,FALSE),0)</f>
        <v>17178</v>
      </c>
      <c r="I1591">
        <f>IFERROR(VLOOKUP(Table_socioeca8.sandag.org_ws_abm2_f4[[#This Row],[hwycov_id]],[2]flow_freeway!$A$2:$E$1643,5,FALSE),0)</f>
        <v>30987</v>
      </c>
      <c r="K1591">
        <f>Table_socioeca8.sandag.org_ws_abm2_f4[[#This Row],[hwycov_id]]</f>
        <v>29816</v>
      </c>
      <c r="L1591">
        <f>Table_socioeca8.sandag.org_ws_abm2_f4[[#This Row],[scenario_id]]</f>
        <v>259</v>
      </c>
      <c r="M1591">
        <f>Table_socioeca8.sandag.org_ws_abm2_f4[[#This Row],[flow_day]]</f>
        <v>109338</v>
      </c>
      <c r="N1591">
        <f>Table_socioeca8.sandag.org_ws_abm2_f4[[#This Row],[flow_am]]</f>
        <v>17178</v>
      </c>
      <c r="O1591">
        <f>Table_socioeca8.sandag.org_ws_abm2_f4[[#This Row],[flow_pm]]</f>
        <v>30987</v>
      </c>
    </row>
    <row r="1592" spans="5:15" x14ac:dyDescent="0.25">
      <c r="E1592">
        <v>30080</v>
      </c>
      <c r="F1592">
        <f t="shared" si="24"/>
        <v>259</v>
      </c>
      <c r="G1592">
        <f>IFERROR(VLOOKUP(Table_socioeca8.sandag.org_ws_abm2_f4[[#This Row],[hwycov_id]],[2]flow_freeway!$A$2:$E$1643,3,FALSE),0)</f>
        <v>80212</v>
      </c>
      <c r="H1592">
        <f>IFERROR(VLOOKUP(Table_socioeca8.sandag.org_ws_abm2_f4[[#This Row],[hwycov_id]],[2]flow_freeway!$A$2:$E$1643,4,FALSE),0)</f>
        <v>15905</v>
      </c>
      <c r="I1592">
        <f>IFERROR(VLOOKUP(Table_socioeca8.sandag.org_ws_abm2_f4[[#This Row],[hwycov_id]],[2]flow_freeway!$A$2:$E$1643,5,FALSE),0)</f>
        <v>19845</v>
      </c>
      <c r="K1592">
        <f>Table_socioeca8.sandag.org_ws_abm2_f4[[#This Row],[hwycov_id]]</f>
        <v>30080</v>
      </c>
      <c r="L1592">
        <f>Table_socioeca8.sandag.org_ws_abm2_f4[[#This Row],[scenario_id]]</f>
        <v>259</v>
      </c>
      <c r="M1592">
        <f>Table_socioeca8.sandag.org_ws_abm2_f4[[#This Row],[flow_day]]</f>
        <v>80212</v>
      </c>
      <c r="N1592">
        <f>Table_socioeca8.sandag.org_ws_abm2_f4[[#This Row],[flow_am]]</f>
        <v>15905</v>
      </c>
      <c r="O1592">
        <f>Table_socioeca8.sandag.org_ws_abm2_f4[[#This Row],[flow_pm]]</f>
        <v>19845</v>
      </c>
    </row>
    <row r="1593" spans="5:15" x14ac:dyDescent="0.25">
      <c r="E1593">
        <v>30706</v>
      </c>
      <c r="F1593">
        <f t="shared" si="24"/>
        <v>259</v>
      </c>
      <c r="G1593">
        <f>IFERROR(VLOOKUP(Table_socioeca8.sandag.org_ws_abm2_f4[[#This Row],[hwycov_id]],[2]flow_freeway!$A$2:$E$1643,3,FALSE),0)</f>
        <v>111304</v>
      </c>
      <c r="H1593">
        <f>IFERROR(VLOOKUP(Table_socioeca8.sandag.org_ws_abm2_f4[[#This Row],[hwycov_id]],[2]flow_freeway!$A$2:$E$1643,4,FALSE),0)</f>
        <v>24145</v>
      </c>
      <c r="I1593">
        <f>IFERROR(VLOOKUP(Table_socioeca8.sandag.org_ws_abm2_f4[[#This Row],[hwycov_id]],[2]flow_freeway!$A$2:$E$1643,5,FALSE),0)</f>
        <v>27945</v>
      </c>
      <c r="K1593">
        <f>Table_socioeca8.sandag.org_ws_abm2_f4[[#This Row],[hwycov_id]]</f>
        <v>30706</v>
      </c>
      <c r="L1593">
        <f>Table_socioeca8.sandag.org_ws_abm2_f4[[#This Row],[scenario_id]]</f>
        <v>259</v>
      </c>
      <c r="M1593">
        <f>Table_socioeca8.sandag.org_ws_abm2_f4[[#This Row],[flow_day]]</f>
        <v>111304</v>
      </c>
      <c r="N1593">
        <f>Table_socioeca8.sandag.org_ws_abm2_f4[[#This Row],[flow_am]]</f>
        <v>24145</v>
      </c>
      <c r="O1593">
        <f>Table_socioeca8.sandag.org_ws_abm2_f4[[#This Row],[flow_pm]]</f>
        <v>27945</v>
      </c>
    </row>
    <row r="1594" spans="5:15" x14ac:dyDescent="0.25">
      <c r="E1594">
        <v>30776</v>
      </c>
      <c r="F1594">
        <f t="shared" si="24"/>
        <v>259</v>
      </c>
      <c r="G1594">
        <f>IFERROR(VLOOKUP(Table_socioeca8.sandag.org_ws_abm2_f4[[#This Row],[hwycov_id]],[2]flow_freeway!$A$2:$E$1643,3,FALSE),0)</f>
        <v>110988</v>
      </c>
      <c r="H1594">
        <f>IFERROR(VLOOKUP(Table_socioeca8.sandag.org_ws_abm2_f4[[#This Row],[hwycov_id]],[2]flow_freeway!$A$2:$E$1643,4,FALSE),0)</f>
        <v>23790</v>
      </c>
      <c r="I1594">
        <f>IFERROR(VLOOKUP(Table_socioeca8.sandag.org_ws_abm2_f4[[#This Row],[hwycov_id]],[2]flow_freeway!$A$2:$E$1643,5,FALSE),0)</f>
        <v>21928</v>
      </c>
      <c r="K1594">
        <f>Table_socioeca8.sandag.org_ws_abm2_f4[[#This Row],[hwycov_id]]</f>
        <v>30776</v>
      </c>
      <c r="L1594">
        <f>Table_socioeca8.sandag.org_ws_abm2_f4[[#This Row],[scenario_id]]</f>
        <v>259</v>
      </c>
      <c r="M1594">
        <f>Table_socioeca8.sandag.org_ws_abm2_f4[[#This Row],[flow_day]]</f>
        <v>110988</v>
      </c>
      <c r="N1594">
        <f>Table_socioeca8.sandag.org_ws_abm2_f4[[#This Row],[flow_am]]</f>
        <v>23790</v>
      </c>
      <c r="O1594">
        <f>Table_socioeca8.sandag.org_ws_abm2_f4[[#This Row],[flow_pm]]</f>
        <v>21928</v>
      </c>
    </row>
    <row r="1595" spans="5:15" x14ac:dyDescent="0.25">
      <c r="E1595">
        <v>30782</v>
      </c>
      <c r="F1595">
        <f t="shared" si="24"/>
        <v>259</v>
      </c>
      <c r="G1595">
        <f>IFERROR(VLOOKUP(Table_socioeca8.sandag.org_ws_abm2_f4[[#This Row],[hwycov_id]],[2]flow_freeway!$A$2:$E$1643,3,FALSE),0)</f>
        <v>9845</v>
      </c>
      <c r="H1595">
        <f>IFERROR(VLOOKUP(Table_socioeca8.sandag.org_ws_abm2_f4[[#This Row],[hwycov_id]],[2]flow_freeway!$A$2:$E$1643,4,FALSE),0)</f>
        <v>1614</v>
      </c>
      <c r="I1595">
        <f>IFERROR(VLOOKUP(Table_socioeca8.sandag.org_ws_abm2_f4[[#This Row],[hwycov_id]],[2]flow_freeway!$A$2:$E$1643,5,FALSE),0)</f>
        <v>4391</v>
      </c>
      <c r="K1595">
        <f>Table_socioeca8.sandag.org_ws_abm2_f4[[#This Row],[hwycov_id]]</f>
        <v>30782</v>
      </c>
      <c r="L1595">
        <f>Table_socioeca8.sandag.org_ws_abm2_f4[[#This Row],[scenario_id]]</f>
        <v>259</v>
      </c>
      <c r="M1595">
        <f>Table_socioeca8.sandag.org_ws_abm2_f4[[#This Row],[flow_day]]</f>
        <v>9845</v>
      </c>
      <c r="N1595">
        <f>Table_socioeca8.sandag.org_ws_abm2_f4[[#This Row],[flow_am]]</f>
        <v>1614</v>
      </c>
      <c r="O1595">
        <f>Table_socioeca8.sandag.org_ws_abm2_f4[[#This Row],[flow_pm]]</f>
        <v>4391</v>
      </c>
    </row>
    <row r="1596" spans="5:15" x14ac:dyDescent="0.25">
      <c r="E1596">
        <v>30784</v>
      </c>
      <c r="F1596">
        <f t="shared" si="24"/>
        <v>259</v>
      </c>
      <c r="G1596">
        <f>IFERROR(VLOOKUP(Table_socioeca8.sandag.org_ws_abm2_f4[[#This Row],[hwycov_id]],[2]flow_freeway!$A$2:$E$1643,3,FALSE),0)</f>
        <v>22562</v>
      </c>
      <c r="H1596">
        <f>IFERROR(VLOOKUP(Table_socioeca8.sandag.org_ws_abm2_f4[[#This Row],[hwycov_id]],[2]flow_freeway!$A$2:$E$1643,4,FALSE),0)</f>
        <v>6440</v>
      </c>
      <c r="I1596">
        <f>IFERROR(VLOOKUP(Table_socioeca8.sandag.org_ws_abm2_f4[[#This Row],[hwycov_id]],[2]flow_freeway!$A$2:$E$1643,5,FALSE),0)</f>
        <v>6531</v>
      </c>
      <c r="K1596">
        <f>Table_socioeca8.sandag.org_ws_abm2_f4[[#This Row],[hwycov_id]]</f>
        <v>30784</v>
      </c>
      <c r="L1596">
        <f>Table_socioeca8.sandag.org_ws_abm2_f4[[#This Row],[scenario_id]]</f>
        <v>259</v>
      </c>
      <c r="M1596">
        <f>Table_socioeca8.sandag.org_ws_abm2_f4[[#This Row],[flow_day]]</f>
        <v>22562</v>
      </c>
      <c r="N1596">
        <f>Table_socioeca8.sandag.org_ws_abm2_f4[[#This Row],[flow_am]]</f>
        <v>6440</v>
      </c>
      <c r="O1596">
        <f>Table_socioeca8.sandag.org_ws_abm2_f4[[#This Row],[flow_pm]]</f>
        <v>6531</v>
      </c>
    </row>
    <row r="1597" spans="5:15" x14ac:dyDescent="0.25">
      <c r="E1597">
        <v>30791</v>
      </c>
      <c r="F1597">
        <f t="shared" si="24"/>
        <v>259</v>
      </c>
      <c r="G1597">
        <f>IFERROR(VLOOKUP(Table_socioeca8.sandag.org_ws_abm2_f4[[#This Row],[hwycov_id]],[2]flow_freeway!$A$2:$E$1643,3,FALSE),0)</f>
        <v>70300</v>
      </c>
      <c r="H1597">
        <f>IFERROR(VLOOKUP(Table_socioeca8.sandag.org_ws_abm2_f4[[#This Row],[hwycov_id]],[2]flow_freeway!$A$2:$E$1643,4,FALSE),0)</f>
        <v>14924</v>
      </c>
      <c r="I1597">
        <f>IFERROR(VLOOKUP(Table_socioeca8.sandag.org_ws_abm2_f4[[#This Row],[hwycov_id]],[2]flow_freeway!$A$2:$E$1643,5,FALSE),0)</f>
        <v>15773</v>
      </c>
      <c r="K1597">
        <f>Table_socioeca8.sandag.org_ws_abm2_f4[[#This Row],[hwycov_id]]</f>
        <v>30791</v>
      </c>
      <c r="L1597">
        <f>Table_socioeca8.sandag.org_ws_abm2_f4[[#This Row],[scenario_id]]</f>
        <v>259</v>
      </c>
      <c r="M1597">
        <f>Table_socioeca8.sandag.org_ws_abm2_f4[[#This Row],[flow_day]]</f>
        <v>70300</v>
      </c>
      <c r="N1597">
        <f>Table_socioeca8.sandag.org_ws_abm2_f4[[#This Row],[flow_am]]</f>
        <v>14924</v>
      </c>
      <c r="O1597">
        <f>Table_socioeca8.sandag.org_ws_abm2_f4[[#This Row],[flow_pm]]</f>
        <v>15773</v>
      </c>
    </row>
    <row r="1598" spans="5:15" x14ac:dyDescent="0.25">
      <c r="E1598">
        <v>30792</v>
      </c>
      <c r="F1598">
        <f t="shared" si="24"/>
        <v>259</v>
      </c>
      <c r="G1598">
        <f>IFERROR(VLOOKUP(Table_socioeca8.sandag.org_ws_abm2_f4[[#This Row],[hwycov_id]],[2]flow_freeway!$A$2:$E$1643,3,FALSE),0)</f>
        <v>72806</v>
      </c>
      <c r="H1598">
        <f>IFERROR(VLOOKUP(Table_socioeca8.sandag.org_ws_abm2_f4[[#This Row],[hwycov_id]],[2]flow_freeway!$A$2:$E$1643,4,FALSE),0)</f>
        <v>15273</v>
      </c>
      <c r="I1598">
        <f>IFERROR(VLOOKUP(Table_socioeca8.sandag.org_ws_abm2_f4[[#This Row],[hwycov_id]],[2]flow_freeway!$A$2:$E$1643,5,FALSE),0)</f>
        <v>17210</v>
      </c>
      <c r="K1598">
        <f>Table_socioeca8.sandag.org_ws_abm2_f4[[#This Row],[hwycov_id]]</f>
        <v>30792</v>
      </c>
      <c r="L1598">
        <f>Table_socioeca8.sandag.org_ws_abm2_f4[[#This Row],[scenario_id]]</f>
        <v>259</v>
      </c>
      <c r="M1598">
        <f>Table_socioeca8.sandag.org_ws_abm2_f4[[#This Row],[flow_day]]</f>
        <v>72806</v>
      </c>
      <c r="N1598">
        <f>Table_socioeca8.sandag.org_ws_abm2_f4[[#This Row],[flow_am]]</f>
        <v>15273</v>
      </c>
      <c r="O1598">
        <f>Table_socioeca8.sandag.org_ws_abm2_f4[[#This Row],[flow_pm]]</f>
        <v>17210</v>
      </c>
    </row>
    <row r="1599" spans="5:15" x14ac:dyDescent="0.25">
      <c r="E1599">
        <v>30805</v>
      </c>
      <c r="F1599">
        <f t="shared" si="24"/>
        <v>259</v>
      </c>
      <c r="G1599">
        <f>IFERROR(VLOOKUP(Table_socioeca8.sandag.org_ws_abm2_f4[[#This Row],[hwycov_id]],[2]flow_freeway!$A$2:$E$1643,3,FALSE),0)</f>
        <v>16034</v>
      </c>
      <c r="H1599">
        <f>IFERROR(VLOOKUP(Table_socioeca8.sandag.org_ws_abm2_f4[[#This Row],[hwycov_id]],[2]flow_freeway!$A$2:$E$1643,4,FALSE),0)</f>
        <v>2548</v>
      </c>
      <c r="I1599">
        <f>IFERROR(VLOOKUP(Table_socioeca8.sandag.org_ws_abm2_f4[[#This Row],[hwycov_id]],[2]flow_freeway!$A$2:$E$1643,5,FALSE),0)</f>
        <v>6872</v>
      </c>
      <c r="K1599">
        <f>Table_socioeca8.sandag.org_ws_abm2_f4[[#This Row],[hwycov_id]]</f>
        <v>30805</v>
      </c>
      <c r="L1599">
        <f>Table_socioeca8.sandag.org_ws_abm2_f4[[#This Row],[scenario_id]]</f>
        <v>259</v>
      </c>
      <c r="M1599">
        <f>Table_socioeca8.sandag.org_ws_abm2_f4[[#This Row],[flow_day]]</f>
        <v>16034</v>
      </c>
      <c r="N1599">
        <f>Table_socioeca8.sandag.org_ws_abm2_f4[[#This Row],[flow_am]]</f>
        <v>2548</v>
      </c>
      <c r="O1599">
        <f>Table_socioeca8.sandag.org_ws_abm2_f4[[#This Row],[flow_pm]]</f>
        <v>6872</v>
      </c>
    </row>
    <row r="1600" spans="5:15" x14ac:dyDescent="0.25">
      <c r="E1600">
        <v>30813</v>
      </c>
      <c r="F1600">
        <f t="shared" si="24"/>
        <v>259</v>
      </c>
      <c r="G1600">
        <f>IFERROR(VLOOKUP(Table_socioeca8.sandag.org_ws_abm2_f4[[#This Row],[hwycov_id]],[2]flow_freeway!$A$2:$E$1643,3,FALSE),0)</f>
        <v>88266</v>
      </c>
      <c r="H1600">
        <f>IFERROR(VLOOKUP(Table_socioeca8.sandag.org_ws_abm2_f4[[#This Row],[hwycov_id]],[2]flow_freeway!$A$2:$E$1643,4,FALSE),0)</f>
        <v>18457</v>
      </c>
      <c r="I1600">
        <f>IFERROR(VLOOKUP(Table_socioeca8.sandag.org_ws_abm2_f4[[#This Row],[hwycov_id]],[2]flow_freeway!$A$2:$E$1643,5,FALSE),0)</f>
        <v>21209</v>
      </c>
      <c r="K1600">
        <f>Table_socioeca8.sandag.org_ws_abm2_f4[[#This Row],[hwycov_id]]</f>
        <v>30813</v>
      </c>
      <c r="L1600">
        <f>Table_socioeca8.sandag.org_ws_abm2_f4[[#This Row],[scenario_id]]</f>
        <v>259</v>
      </c>
      <c r="M1600">
        <f>Table_socioeca8.sandag.org_ws_abm2_f4[[#This Row],[flow_day]]</f>
        <v>88266</v>
      </c>
      <c r="N1600">
        <f>Table_socioeca8.sandag.org_ws_abm2_f4[[#This Row],[flow_am]]</f>
        <v>18457</v>
      </c>
      <c r="O1600">
        <f>Table_socioeca8.sandag.org_ws_abm2_f4[[#This Row],[flow_pm]]</f>
        <v>21209</v>
      </c>
    </row>
    <row r="1601" spans="5:15" x14ac:dyDescent="0.25">
      <c r="E1601">
        <v>30814</v>
      </c>
      <c r="F1601">
        <f t="shared" si="24"/>
        <v>259</v>
      </c>
      <c r="G1601">
        <f>IFERROR(VLOOKUP(Table_socioeca8.sandag.org_ws_abm2_f4[[#This Row],[hwycov_id]],[2]flow_freeway!$A$2:$E$1643,3,FALSE),0)</f>
        <v>88266</v>
      </c>
      <c r="H1601">
        <f>IFERROR(VLOOKUP(Table_socioeca8.sandag.org_ws_abm2_f4[[#This Row],[hwycov_id]],[2]flow_freeway!$A$2:$E$1643,4,FALSE),0)</f>
        <v>18457</v>
      </c>
      <c r="I1601">
        <f>IFERROR(VLOOKUP(Table_socioeca8.sandag.org_ws_abm2_f4[[#This Row],[hwycov_id]],[2]flow_freeway!$A$2:$E$1643,5,FALSE),0)</f>
        <v>21209</v>
      </c>
      <c r="K1601">
        <f>Table_socioeca8.sandag.org_ws_abm2_f4[[#This Row],[hwycov_id]]</f>
        <v>30814</v>
      </c>
      <c r="L1601">
        <f>Table_socioeca8.sandag.org_ws_abm2_f4[[#This Row],[scenario_id]]</f>
        <v>259</v>
      </c>
      <c r="M1601">
        <f>Table_socioeca8.sandag.org_ws_abm2_f4[[#This Row],[flow_day]]</f>
        <v>88266</v>
      </c>
      <c r="N1601">
        <f>Table_socioeca8.sandag.org_ws_abm2_f4[[#This Row],[flow_am]]</f>
        <v>18457</v>
      </c>
      <c r="O1601">
        <f>Table_socioeca8.sandag.org_ws_abm2_f4[[#This Row],[flow_pm]]</f>
        <v>21209</v>
      </c>
    </row>
    <row r="1602" spans="5:15" x14ac:dyDescent="0.25">
      <c r="E1602">
        <v>30815</v>
      </c>
      <c r="F1602">
        <f t="shared" si="24"/>
        <v>259</v>
      </c>
      <c r="G1602">
        <f>IFERROR(VLOOKUP(Table_socioeca8.sandag.org_ws_abm2_f4[[#This Row],[hwycov_id]],[2]flow_freeway!$A$2:$E$1643,3,FALSE),0)</f>
        <v>114334</v>
      </c>
      <c r="H1602">
        <f>IFERROR(VLOOKUP(Table_socioeca8.sandag.org_ws_abm2_f4[[#This Row],[hwycov_id]],[2]flow_freeway!$A$2:$E$1643,4,FALSE),0)</f>
        <v>24225</v>
      </c>
      <c r="I1602">
        <f>IFERROR(VLOOKUP(Table_socioeca8.sandag.org_ws_abm2_f4[[#This Row],[hwycov_id]],[2]flow_freeway!$A$2:$E$1643,5,FALSE),0)</f>
        <v>28193</v>
      </c>
      <c r="K1602">
        <f>Table_socioeca8.sandag.org_ws_abm2_f4[[#This Row],[hwycov_id]]</f>
        <v>30815</v>
      </c>
      <c r="L1602">
        <f>Table_socioeca8.sandag.org_ws_abm2_f4[[#This Row],[scenario_id]]</f>
        <v>259</v>
      </c>
      <c r="M1602">
        <f>Table_socioeca8.sandag.org_ws_abm2_f4[[#This Row],[flow_day]]</f>
        <v>114334</v>
      </c>
      <c r="N1602">
        <f>Table_socioeca8.sandag.org_ws_abm2_f4[[#This Row],[flow_am]]</f>
        <v>24225</v>
      </c>
      <c r="O1602">
        <f>Table_socioeca8.sandag.org_ws_abm2_f4[[#This Row],[flow_pm]]</f>
        <v>28193</v>
      </c>
    </row>
    <row r="1603" spans="5:15" x14ac:dyDescent="0.25">
      <c r="E1603">
        <v>30816</v>
      </c>
      <c r="F1603">
        <f t="shared" si="24"/>
        <v>259</v>
      </c>
      <c r="G1603">
        <f>IFERROR(VLOOKUP(Table_socioeca8.sandag.org_ws_abm2_f4[[#This Row],[hwycov_id]],[2]flow_freeway!$A$2:$E$1643,3,FALSE),0)</f>
        <v>105554</v>
      </c>
      <c r="H1603">
        <f>IFERROR(VLOOKUP(Table_socioeca8.sandag.org_ws_abm2_f4[[#This Row],[hwycov_id]],[2]flow_freeway!$A$2:$E$1643,4,FALSE),0)</f>
        <v>22329</v>
      </c>
      <c r="I1603">
        <f>IFERROR(VLOOKUP(Table_socioeca8.sandag.org_ws_abm2_f4[[#This Row],[hwycov_id]],[2]flow_freeway!$A$2:$E$1643,5,FALSE),0)</f>
        <v>27562</v>
      </c>
      <c r="K1603">
        <f>Table_socioeca8.sandag.org_ws_abm2_f4[[#This Row],[hwycov_id]]</f>
        <v>30816</v>
      </c>
      <c r="L1603">
        <f>Table_socioeca8.sandag.org_ws_abm2_f4[[#This Row],[scenario_id]]</f>
        <v>259</v>
      </c>
      <c r="M1603">
        <f>Table_socioeca8.sandag.org_ws_abm2_f4[[#This Row],[flow_day]]</f>
        <v>105554</v>
      </c>
      <c r="N1603">
        <f>Table_socioeca8.sandag.org_ws_abm2_f4[[#This Row],[flow_am]]</f>
        <v>22329</v>
      </c>
      <c r="O1603">
        <f>Table_socioeca8.sandag.org_ws_abm2_f4[[#This Row],[flow_pm]]</f>
        <v>27562</v>
      </c>
    </row>
    <row r="1604" spans="5:15" x14ac:dyDescent="0.25">
      <c r="E1604">
        <v>30817</v>
      </c>
      <c r="F1604">
        <f t="shared" ref="F1604:F1643" si="25">F1603</f>
        <v>259</v>
      </c>
      <c r="G1604">
        <f>IFERROR(VLOOKUP(Table_socioeca8.sandag.org_ws_abm2_f4[[#This Row],[hwycov_id]],[2]flow_freeway!$A$2:$E$1643,3,FALSE),0)</f>
        <v>89004</v>
      </c>
      <c r="H1604">
        <f>IFERROR(VLOOKUP(Table_socioeca8.sandag.org_ws_abm2_f4[[#This Row],[hwycov_id]],[2]flow_freeway!$A$2:$E$1643,4,FALSE),0)</f>
        <v>19521</v>
      </c>
      <c r="I1604">
        <f>IFERROR(VLOOKUP(Table_socioeca8.sandag.org_ws_abm2_f4[[#This Row],[hwycov_id]],[2]flow_freeway!$A$2:$E$1643,5,FALSE),0)</f>
        <v>22654</v>
      </c>
      <c r="K1604">
        <f>Table_socioeca8.sandag.org_ws_abm2_f4[[#This Row],[hwycov_id]]</f>
        <v>30817</v>
      </c>
      <c r="L1604">
        <f>Table_socioeca8.sandag.org_ws_abm2_f4[[#This Row],[scenario_id]]</f>
        <v>259</v>
      </c>
      <c r="M1604">
        <f>Table_socioeca8.sandag.org_ws_abm2_f4[[#This Row],[flow_day]]</f>
        <v>89004</v>
      </c>
      <c r="N1604">
        <f>Table_socioeca8.sandag.org_ws_abm2_f4[[#This Row],[flow_am]]</f>
        <v>19521</v>
      </c>
      <c r="O1604">
        <f>Table_socioeca8.sandag.org_ws_abm2_f4[[#This Row],[flow_pm]]</f>
        <v>22654</v>
      </c>
    </row>
    <row r="1605" spans="5:15" x14ac:dyDescent="0.25">
      <c r="E1605">
        <v>30818</v>
      </c>
      <c r="F1605">
        <f t="shared" si="25"/>
        <v>259</v>
      </c>
      <c r="G1605">
        <f>IFERROR(VLOOKUP(Table_socioeca8.sandag.org_ws_abm2_f4[[#This Row],[hwycov_id]],[2]flow_freeway!$A$2:$E$1643,3,FALSE),0)</f>
        <v>94419</v>
      </c>
      <c r="H1605">
        <f>IFERROR(VLOOKUP(Table_socioeca8.sandag.org_ws_abm2_f4[[#This Row],[hwycov_id]],[2]flow_freeway!$A$2:$E$1643,4,FALSE),0)</f>
        <v>20159</v>
      </c>
      <c r="I1605">
        <f>IFERROR(VLOOKUP(Table_socioeca8.sandag.org_ws_abm2_f4[[#This Row],[hwycov_id]],[2]flow_freeway!$A$2:$E$1643,5,FALSE),0)</f>
        <v>24249</v>
      </c>
      <c r="K1605">
        <f>Table_socioeca8.sandag.org_ws_abm2_f4[[#This Row],[hwycov_id]]</f>
        <v>30818</v>
      </c>
      <c r="L1605">
        <f>Table_socioeca8.sandag.org_ws_abm2_f4[[#This Row],[scenario_id]]</f>
        <v>259</v>
      </c>
      <c r="M1605">
        <f>Table_socioeca8.sandag.org_ws_abm2_f4[[#This Row],[flow_day]]</f>
        <v>94419</v>
      </c>
      <c r="N1605">
        <f>Table_socioeca8.sandag.org_ws_abm2_f4[[#This Row],[flow_am]]</f>
        <v>20159</v>
      </c>
      <c r="O1605">
        <f>Table_socioeca8.sandag.org_ws_abm2_f4[[#This Row],[flow_pm]]</f>
        <v>24249</v>
      </c>
    </row>
    <row r="1606" spans="5:15" x14ac:dyDescent="0.25">
      <c r="E1606">
        <v>30820</v>
      </c>
      <c r="F1606">
        <f t="shared" si="25"/>
        <v>259</v>
      </c>
      <c r="G1606">
        <f>IFERROR(VLOOKUP(Table_socioeca8.sandag.org_ws_abm2_f4[[#This Row],[hwycov_id]],[2]flow_freeway!$A$2:$E$1643,3,FALSE),0)</f>
        <v>47431</v>
      </c>
      <c r="H1606">
        <f>IFERROR(VLOOKUP(Table_socioeca8.sandag.org_ws_abm2_f4[[#This Row],[hwycov_id]],[2]flow_freeway!$A$2:$E$1643,4,FALSE),0)</f>
        <v>9564</v>
      </c>
      <c r="I1606">
        <f>IFERROR(VLOOKUP(Table_socioeca8.sandag.org_ws_abm2_f4[[#This Row],[hwycov_id]],[2]flow_freeway!$A$2:$E$1643,5,FALSE),0)</f>
        <v>12594</v>
      </c>
      <c r="K1606">
        <f>Table_socioeca8.sandag.org_ws_abm2_f4[[#This Row],[hwycov_id]]</f>
        <v>30820</v>
      </c>
      <c r="L1606">
        <f>Table_socioeca8.sandag.org_ws_abm2_f4[[#This Row],[scenario_id]]</f>
        <v>259</v>
      </c>
      <c r="M1606">
        <f>Table_socioeca8.sandag.org_ws_abm2_f4[[#This Row],[flow_day]]</f>
        <v>47431</v>
      </c>
      <c r="N1606">
        <f>Table_socioeca8.sandag.org_ws_abm2_f4[[#This Row],[flow_am]]</f>
        <v>9564</v>
      </c>
      <c r="O1606">
        <f>Table_socioeca8.sandag.org_ws_abm2_f4[[#This Row],[flow_pm]]</f>
        <v>12594</v>
      </c>
    </row>
    <row r="1607" spans="5:15" x14ac:dyDescent="0.25">
      <c r="E1607">
        <v>30841</v>
      </c>
      <c r="F1607">
        <f t="shared" si="25"/>
        <v>259</v>
      </c>
      <c r="G1607">
        <f>IFERROR(VLOOKUP(Table_socioeca8.sandag.org_ws_abm2_f4[[#This Row],[hwycov_id]],[2]flow_freeway!$A$2:$E$1643,3,FALSE),0)</f>
        <v>93653</v>
      </c>
      <c r="H1607">
        <f>IFERROR(VLOOKUP(Table_socioeca8.sandag.org_ws_abm2_f4[[#This Row],[hwycov_id]],[2]flow_freeway!$A$2:$E$1643,4,FALSE),0)</f>
        <v>24513</v>
      </c>
      <c r="I1607">
        <f>IFERROR(VLOOKUP(Table_socioeca8.sandag.org_ws_abm2_f4[[#This Row],[hwycov_id]],[2]flow_freeway!$A$2:$E$1643,5,FALSE),0)</f>
        <v>20200</v>
      </c>
      <c r="K1607">
        <f>Table_socioeca8.sandag.org_ws_abm2_f4[[#This Row],[hwycov_id]]</f>
        <v>30841</v>
      </c>
      <c r="L1607">
        <f>Table_socioeca8.sandag.org_ws_abm2_f4[[#This Row],[scenario_id]]</f>
        <v>259</v>
      </c>
      <c r="M1607">
        <f>Table_socioeca8.sandag.org_ws_abm2_f4[[#This Row],[flow_day]]</f>
        <v>93653</v>
      </c>
      <c r="N1607">
        <f>Table_socioeca8.sandag.org_ws_abm2_f4[[#This Row],[flow_am]]</f>
        <v>24513</v>
      </c>
      <c r="O1607">
        <f>Table_socioeca8.sandag.org_ws_abm2_f4[[#This Row],[flow_pm]]</f>
        <v>20200</v>
      </c>
    </row>
    <row r="1608" spans="5:15" x14ac:dyDescent="0.25">
      <c r="E1608">
        <v>30842</v>
      </c>
      <c r="F1608">
        <f t="shared" si="25"/>
        <v>259</v>
      </c>
      <c r="G1608">
        <f>IFERROR(VLOOKUP(Table_socioeca8.sandag.org_ws_abm2_f4[[#This Row],[hwycov_id]],[2]flow_freeway!$A$2:$E$1643,3,FALSE),0)</f>
        <v>99593</v>
      </c>
      <c r="H1608">
        <f>IFERROR(VLOOKUP(Table_socioeca8.sandag.org_ws_abm2_f4[[#This Row],[hwycov_id]],[2]flow_freeway!$A$2:$E$1643,4,FALSE),0)</f>
        <v>15808</v>
      </c>
      <c r="I1608">
        <f>IFERROR(VLOOKUP(Table_socioeca8.sandag.org_ws_abm2_f4[[#This Row],[hwycov_id]],[2]flow_freeway!$A$2:$E$1643,5,FALSE),0)</f>
        <v>29477</v>
      </c>
      <c r="K1608">
        <f>Table_socioeca8.sandag.org_ws_abm2_f4[[#This Row],[hwycov_id]]</f>
        <v>30842</v>
      </c>
      <c r="L1608">
        <f>Table_socioeca8.sandag.org_ws_abm2_f4[[#This Row],[scenario_id]]</f>
        <v>259</v>
      </c>
      <c r="M1608">
        <f>Table_socioeca8.sandag.org_ws_abm2_f4[[#This Row],[flow_day]]</f>
        <v>99593</v>
      </c>
      <c r="N1608">
        <f>Table_socioeca8.sandag.org_ws_abm2_f4[[#This Row],[flow_am]]</f>
        <v>15808</v>
      </c>
      <c r="O1608">
        <f>Table_socioeca8.sandag.org_ws_abm2_f4[[#This Row],[flow_pm]]</f>
        <v>29477</v>
      </c>
    </row>
    <row r="1609" spans="5:15" x14ac:dyDescent="0.25">
      <c r="E1609">
        <v>30860</v>
      </c>
      <c r="F1609">
        <f t="shared" si="25"/>
        <v>259</v>
      </c>
      <c r="G1609">
        <f>IFERROR(VLOOKUP(Table_socioeca8.sandag.org_ws_abm2_f4[[#This Row],[hwycov_id]],[2]flow_freeway!$A$2:$E$1643,3,FALSE),0)</f>
        <v>83953</v>
      </c>
      <c r="H1609">
        <f>IFERROR(VLOOKUP(Table_socioeca8.sandag.org_ws_abm2_f4[[#This Row],[hwycov_id]],[2]flow_freeway!$A$2:$E$1643,4,FALSE),0)</f>
        <v>22902</v>
      </c>
      <c r="I1609">
        <f>IFERROR(VLOOKUP(Table_socioeca8.sandag.org_ws_abm2_f4[[#This Row],[hwycov_id]],[2]flow_freeway!$A$2:$E$1643,5,FALSE),0)</f>
        <v>17220</v>
      </c>
      <c r="K1609">
        <f>Table_socioeca8.sandag.org_ws_abm2_f4[[#This Row],[hwycov_id]]</f>
        <v>30860</v>
      </c>
      <c r="L1609">
        <f>Table_socioeca8.sandag.org_ws_abm2_f4[[#This Row],[scenario_id]]</f>
        <v>259</v>
      </c>
      <c r="M1609">
        <f>Table_socioeca8.sandag.org_ws_abm2_f4[[#This Row],[flow_day]]</f>
        <v>83953</v>
      </c>
      <c r="N1609">
        <f>Table_socioeca8.sandag.org_ws_abm2_f4[[#This Row],[flow_am]]</f>
        <v>22902</v>
      </c>
      <c r="O1609">
        <f>Table_socioeca8.sandag.org_ws_abm2_f4[[#This Row],[flow_pm]]</f>
        <v>17220</v>
      </c>
    </row>
    <row r="1610" spans="5:15" x14ac:dyDescent="0.25">
      <c r="E1610">
        <v>30862</v>
      </c>
      <c r="F1610">
        <f t="shared" si="25"/>
        <v>259</v>
      </c>
      <c r="G1610">
        <f>IFERROR(VLOOKUP(Table_socioeca8.sandag.org_ws_abm2_f4[[#This Row],[hwycov_id]],[2]flow_freeway!$A$2:$E$1643,3,FALSE),0)</f>
        <v>132319</v>
      </c>
      <c r="H1610">
        <f>IFERROR(VLOOKUP(Table_socioeca8.sandag.org_ws_abm2_f4[[#This Row],[hwycov_id]],[2]flow_freeway!$A$2:$E$1643,4,FALSE),0)</f>
        <v>33367</v>
      </c>
      <c r="I1610">
        <f>IFERROR(VLOOKUP(Table_socioeca8.sandag.org_ws_abm2_f4[[#This Row],[hwycov_id]],[2]flow_freeway!$A$2:$E$1643,5,FALSE),0)</f>
        <v>25685</v>
      </c>
      <c r="K1610">
        <f>Table_socioeca8.sandag.org_ws_abm2_f4[[#This Row],[hwycov_id]]</f>
        <v>30862</v>
      </c>
      <c r="L1610">
        <f>Table_socioeca8.sandag.org_ws_abm2_f4[[#This Row],[scenario_id]]</f>
        <v>259</v>
      </c>
      <c r="M1610">
        <f>Table_socioeca8.sandag.org_ws_abm2_f4[[#This Row],[flow_day]]</f>
        <v>132319</v>
      </c>
      <c r="N1610">
        <f>Table_socioeca8.sandag.org_ws_abm2_f4[[#This Row],[flow_am]]</f>
        <v>33367</v>
      </c>
      <c r="O1610">
        <f>Table_socioeca8.sandag.org_ws_abm2_f4[[#This Row],[flow_pm]]</f>
        <v>25685</v>
      </c>
    </row>
    <row r="1611" spans="5:15" x14ac:dyDescent="0.25">
      <c r="E1611">
        <v>30863</v>
      </c>
      <c r="F1611">
        <f t="shared" si="25"/>
        <v>259</v>
      </c>
      <c r="G1611">
        <f>IFERROR(VLOOKUP(Table_socioeca8.sandag.org_ws_abm2_f4[[#This Row],[hwycov_id]],[2]flow_freeway!$A$2:$E$1643,3,FALSE),0)</f>
        <v>150059</v>
      </c>
      <c r="H1611">
        <f>IFERROR(VLOOKUP(Table_socioeca8.sandag.org_ws_abm2_f4[[#This Row],[hwycov_id]],[2]flow_freeway!$A$2:$E$1643,4,FALSE),0)</f>
        <v>37294</v>
      </c>
      <c r="I1611">
        <f>IFERROR(VLOOKUP(Table_socioeca8.sandag.org_ws_abm2_f4[[#This Row],[hwycov_id]],[2]flow_freeway!$A$2:$E$1643,5,FALSE),0)</f>
        <v>29775</v>
      </c>
      <c r="K1611">
        <f>Table_socioeca8.sandag.org_ws_abm2_f4[[#This Row],[hwycov_id]]</f>
        <v>30863</v>
      </c>
      <c r="L1611">
        <f>Table_socioeca8.sandag.org_ws_abm2_f4[[#This Row],[scenario_id]]</f>
        <v>259</v>
      </c>
      <c r="M1611">
        <f>Table_socioeca8.sandag.org_ws_abm2_f4[[#This Row],[flow_day]]</f>
        <v>150059</v>
      </c>
      <c r="N1611">
        <f>Table_socioeca8.sandag.org_ws_abm2_f4[[#This Row],[flow_am]]</f>
        <v>37294</v>
      </c>
      <c r="O1611">
        <f>Table_socioeca8.sandag.org_ws_abm2_f4[[#This Row],[flow_pm]]</f>
        <v>29775</v>
      </c>
    </row>
    <row r="1612" spans="5:15" x14ac:dyDescent="0.25">
      <c r="E1612">
        <v>30864</v>
      </c>
      <c r="F1612">
        <f t="shared" si="25"/>
        <v>259</v>
      </c>
      <c r="G1612">
        <f>IFERROR(VLOOKUP(Table_socioeca8.sandag.org_ws_abm2_f4[[#This Row],[hwycov_id]],[2]flow_freeway!$A$2:$E$1643,3,FALSE),0)</f>
        <v>101816</v>
      </c>
      <c r="H1612">
        <f>IFERROR(VLOOKUP(Table_socioeca8.sandag.org_ws_abm2_f4[[#This Row],[hwycov_id]],[2]flow_freeway!$A$2:$E$1643,4,FALSE),0)</f>
        <v>23964</v>
      </c>
      <c r="I1612">
        <f>IFERROR(VLOOKUP(Table_socioeca8.sandag.org_ws_abm2_f4[[#This Row],[hwycov_id]],[2]flow_freeway!$A$2:$E$1643,5,FALSE),0)</f>
        <v>23295</v>
      </c>
      <c r="K1612">
        <f>Table_socioeca8.sandag.org_ws_abm2_f4[[#This Row],[hwycov_id]]</f>
        <v>30864</v>
      </c>
      <c r="L1612">
        <f>Table_socioeca8.sandag.org_ws_abm2_f4[[#This Row],[scenario_id]]</f>
        <v>259</v>
      </c>
      <c r="M1612">
        <f>Table_socioeca8.sandag.org_ws_abm2_f4[[#This Row],[flow_day]]</f>
        <v>101816</v>
      </c>
      <c r="N1612">
        <f>Table_socioeca8.sandag.org_ws_abm2_f4[[#This Row],[flow_am]]</f>
        <v>23964</v>
      </c>
      <c r="O1612">
        <f>Table_socioeca8.sandag.org_ws_abm2_f4[[#This Row],[flow_pm]]</f>
        <v>23295</v>
      </c>
    </row>
    <row r="1613" spans="5:15" x14ac:dyDescent="0.25">
      <c r="E1613">
        <v>30865</v>
      </c>
      <c r="F1613">
        <f t="shared" si="25"/>
        <v>259</v>
      </c>
      <c r="G1613">
        <f>IFERROR(VLOOKUP(Table_socioeca8.sandag.org_ws_abm2_f4[[#This Row],[hwycov_id]],[2]flow_freeway!$A$2:$E$1643,3,FALSE),0)</f>
        <v>78475</v>
      </c>
      <c r="H1613">
        <f>IFERROR(VLOOKUP(Table_socioeca8.sandag.org_ws_abm2_f4[[#This Row],[hwycov_id]],[2]flow_freeway!$A$2:$E$1643,4,FALSE),0)</f>
        <v>11926</v>
      </c>
      <c r="I1613">
        <f>IFERROR(VLOOKUP(Table_socioeca8.sandag.org_ws_abm2_f4[[#This Row],[hwycov_id]],[2]flow_freeway!$A$2:$E$1643,5,FALSE),0)</f>
        <v>24133</v>
      </c>
      <c r="K1613">
        <f>Table_socioeca8.sandag.org_ws_abm2_f4[[#This Row],[hwycov_id]]</f>
        <v>30865</v>
      </c>
      <c r="L1613">
        <f>Table_socioeca8.sandag.org_ws_abm2_f4[[#This Row],[scenario_id]]</f>
        <v>259</v>
      </c>
      <c r="M1613">
        <f>Table_socioeca8.sandag.org_ws_abm2_f4[[#This Row],[flow_day]]</f>
        <v>78475</v>
      </c>
      <c r="N1613">
        <f>Table_socioeca8.sandag.org_ws_abm2_f4[[#This Row],[flow_am]]</f>
        <v>11926</v>
      </c>
      <c r="O1613">
        <f>Table_socioeca8.sandag.org_ws_abm2_f4[[#This Row],[flow_pm]]</f>
        <v>24133</v>
      </c>
    </row>
    <row r="1614" spans="5:15" x14ac:dyDescent="0.25">
      <c r="E1614">
        <v>30903</v>
      </c>
      <c r="F1614">
        <f t="shared" si="25"/>
        <v>259</v>
      </c>
      <c r="G1614">
        <f>IFERROR(VLOOKUP(Table_socioeca8.sandag.org_ws_abm2_f4[[#This Row],[hwycov_id]],[2]flow_freeway!$A$2:$E$1643,3,FALSE),0)</f>
        <v>66284</v>
      </c>
      <c r="H1614">
        <f>IFERROR(VLOOKUP(Table_socioeca8.sandag.org_ws_abm2_f4[[#This Row],[hwycov_id]],[2]flow_freeway!$A$2:$E$1643,4,FALSE),0)</f>
        <v>11652</v>
      </c>
      <c r="I1614">
        <f>IFERROR(VLOOKUP(Table_socioeca8.sandag.org_ws_abm2_f4[[#This Row],[hwycov_id]],[2]flow_freeway!$A$2:$E$1643,5,FALSE),0)</f>
        <v>15420</v>
      </c>
      <c r="K1614">
        <f>Table_socioeca8.sandag.org_ws_abm2_f4[[#This Row],[hwycov_id]]</f>
        <v>30903</v>
      </c>
      <c r="L1614">
        <f>Table_socioeca8.sandag.org_ws_abm2_f4[[#This Row],[scenario_id]]</f>
        <v>259</v>
      </c>
      <c r="M1614">
        <f>Table_socioeca8.sandag.org_ws_abm2_f4[[#This Row],[flow_day]]</f>
        <v>66284</v>
      </c>
      <c r="N1614">
        <f>Table_socioeca8.sandag.org_ws_abm2_f4[[#This Row],[flow_am]]</f>
        <v>11652</v>
      </c>
      <c r="O1614">
        <f>Table_socioeca8.sandag.org_ws_abm2_f4[[#This Row],[flow_pm]]</f>
        <v>15420</v>
      </c>
    </row>
    <row r="1615" spans="5:15" x14ac:dyDescent="0.25">
      <c r="E1615">
        <v>30904</v>
      </c>
      <c r="F1615">
        <f t="shared" si="25"/>
        <v>259</v>
      </c>
      <c r="G1615">
        <f>IFERROR(VLOOKUP(Table_socioeca8.sandag.org_ws_abm2_f4[[#This Row],[hwycov_id]],[2]flow_freeway!$A$2:$E$1643,3,FALSE),0)</f>
        <v>75795</v>
      </c>
      <c r="H1615">
        <f>IFERROR(VLOOKUP(Table_socioeca8.sandag.org_ws_abm2_f4[[#This Row],[hwycov_id]],[2]flow_freeway!$A$2:$E$1643,4,FALSE),0)</f>
        <v>9199</v>
      </c>
      <c r="I1615">
        <f>IFERROR(VLOOKUP(Table_socioeca8.sandag.org_ws_abm2_f4[[#This Row],[hwycov_id]],[2]flow_freeway!$A$2:$E$1643,5,FALSE),0)</f>
        <v>25172</v>
      </c>
      <c r="K1615">
        <f>Table_socioeca8.sandag.org_ws_abm2_f4[[#This Row],[hwycov_id]]</f>
        <v>30904</v>
      </c>
      <c r="L1615">
        <f>Table_socioeca8.sandag.org_ws_abm2_f4[[#This Row],[scenario_id]]</f>
        <v>259</v>
      </c>
      <c r="M1615">
        <f>Table_socioeca8.sandag.org_ws_abm2_f4[[#This Row],[flow_day]]</f>
        <v>75795</v>
      </c>
      <c r="N1615">
        <f>Table_socioeca8.sandag.org_ws_abm2_f4[[#This Row],[flow_am]]</f>
        <v>9199</v>
      </c>
      <c r="O1615">
        <f>Table_socioeca8.sandag.org_ws_abm2_f4[[#This Row],[flow_pm]]</f>
        <v>25172</v>
      </c>
    </row>
    <row r="1616" spans="5:15" x14ac:dyDescent="0.25">
      <c r="E1616">
        <v>30981</v>
      </c>
      <c r="F1616">
        <f t="shared" si="25"/>
        <v>259</v>
      </c>
      <c r="G1616">
        <f>IFERROR(VLOOKUP(Table_socioeca8.sandag.org_ws_abm2_f4[[#This Row],[hwycov_id]],[2]flow_freeway!$A$2:$E$1643,3,FALSE),0)</f>
        <v>5380</v>
      </c>
      <c r="H1616">
        <f>IFERROR(VLOOKUP(Table_socioeca8.sandag.org_ws_abm2_f4[[#This Row],[hwycov_id]],[2]flow_freeway!$A$2:$E$1643,4,FALSE),0)</f>
        <v>888</v>
      </c>
      <c r="I1616">
        <f>IFERROR(VLOOKUP(Table_socioeca8.sandag.org_ws_abm2_f4[[#This Row],[hwycov_id]],[2]flow_freeway!$A$2:$E$1643,5,FALSE),0)</f>
        <v>2551</v>
      </c>
      <c r="K1616">
        <f>Table_socioeca8.sandag.org_ws_abm2_f4[[#This Row],[hwycov_id]]</f>
        <v>30981</v>
      </c>
      <c r="L1616">
        <f>Table_socioeca8.sandag.org_ws_abm2_f4[[#This Row],[scenario_id]]</f>
        <v>259</v>
      </c>
      <c r="M1616">
        <f>Table_socioeca8.sandag.org_ws_abm2_f4[[#This Row],[flow_day]]</f>
        <v>5380</v>
      </c>
      <c r="N1616">
        <f>Table_socioeca8.sandag.org_ws_abm2_f4[[#This Row],[flow_am]]</f>
        <v>888</v>
      </c>
      <c r="O1616">
        <f>Table_socioeca8.sandag.org_ws_abm2_f4[[#This Row],[flow_pm]]</f>
        <v>2551</v>
      </c>
    </row>
    <row r="1617" spans="5:15" x14ac:dyDescent="0.25">
      <c r="E1617">
        <v>31013</v>
      </c>
      <c r="F1617">
        <f t="shared" si="25"/>
        <v>259</v>
      </c>
      <c r="G1617">
        <f>IFERROR(VLOOKUP(Table_socioeca8.sandag.org_ws_abm2_f4[[#This Row],[hwycov_id]],[2]flow_freeway!$A$2:$E$1643,3,FALSE),0)</f>
        <v>4702</v>
      </c>
      <c r="H1617">
        <f>IFERROR(VLOOKUP(Table_socioeca8.sandag.org_ws_abm2_f4[[#This Row],[hwycov_id]],[2]flow_freeway!$A$2:$E$1643,4,FALSE),0)</f>
        <v>716</v>
      </c>
      <c r="I1617">
        <f>IFERROR(VLOOKUP(Table_socioeca8.sandag.org_ws_abm2_f4[[#This Row],[hwycov_id]],[2]flow_freeway!$A$2:$E$1643,5,FALSE),0)</f>
        <v>1295</v>
      </c>
      <c r="K1617">
        <f>Table_socioeca8.sandag.org_ws_abm2_f4[[#This Row],[hwycov_id]]</f>
        <v>31013</v>
      </c>
      <c r="L1617">
        <f>Table_socioeca8.sandag.org_ws_abm2_f4[[#This Row],[scenario_id]]</f>
        <v>259</v>
      </c>
      <c r="M1617">
        <f>Table_socioeca8.sandag.org_ws_abm2_f4[[#This Row],[flow_day]]</f>
        <v>4702</v>
      </c>
      <c r="N1617">
        <f>Table_socioeca8.sandag.org_ws_abm2_f4[[#This Row],[flow_am]]</f>
        <v>716</v>
      </c>
      <c r="O1617">
        <f>Table_socioeca8.sandag.org_ws_abm2_f4[[#This Row],[flow_pm]]</f>
        <v>1295</v>
      </c>
    </row>
    <row r="1618" spans="5:15" x14ac:dyDescent="0.25">
      <c r="E1618">
        <v>31014</v>
      </c>
      <c r="F1618">
        <f t="shared" si="25"/>
        <v>259</v>
      </c>
      <c r="G1618">
        <f>IFERROR(VLOOKUP(Table_socioeca8.sandag.org_ws_abm2_f4[[#This Row],[hwycov_id]],[2]flow_freeway!$A$2:$E$1643,3,FALSE),0)</f>
        <v>4057</v>
      </c>
      <c r="H1618">
        <f>IFERROR(VLOOKUP(Table_socioeca8.sandag.org_ws_abm2_f4[[#This Row],[hwycov_id]],[2]flow_freeway!$A$2:$E$1643,4,FALSE),0)</f>
        <v>1056</v>
      </c>
      <c r="I1618">
        <f>IFERROR(VLOOKUP(Table_socioeca8.sandag.org_ws_abm2_f4[[#This Row],[hwycov_id]],[2]flow_freeway!$A$2:$E$1643,5,FALSE),0)</f>
        <v>896</v>
      </c>
      <c r="K1618">
        <f>Table_socioeca8.sandag.org_ws_abm2_f4[[#This Row],[hwycov_id]]</f>
        <v>31014</v>
      </c>
      <c r="L1618">
        <f>Table_socioeca8.sandag.org_ws_abm2_f4[[#This Row],[scenario_id]]</f>
        <v>259</v>
      </c>
      <c r="M1618">
        <f>Table_socioeca8.sandag.org_ws_abm2_f4[[#This Row],[flow_day]]</f>
        <v>4057</v>
      </c>
      <c r="N1618">
        <f>Table_socioeca8.sandag.org_ws_abm2_f4[[#This Row],[flow_am]]</f>
        <v>1056</v>
      </c>
      <c r="O1618">
        <f>Table_socioeca8.sandag.org_ws_abm2_f4[[#This Row],[flow_pm]]</f>
        <v>896</v>
      </c>
    </row>
    <row r="1619" spans="5:15" x14ac:dyDescent="0.25">
      <c r="E1619">
        <v>31105</v>
      </c>
      <c r="F1619">
        <f t="shared" si="25"/>
        <v>259</v>
      </c>
      <c r="G1619">
        <f>IFERROR(VLOOKUP(Table_socioeca8.sandag.org_ws_abm2_f4[[#This Row],[hwycov_id]],[2]flow_freeway!$A$2:$E$1643,3,FALSE),0)</f>
        <v>28903</v>
      </c>
      <c r="H1619">
        <f>IFERROR(VLOOKUP(Table_socioeca8.sandag.org_ws_abm2_f4[[#This Row],[hwycov_id]],[2]flow_freeway!$A$2:$E$1643,4,FALSE),0)</f>
        <v>4996</v>
      </c>
      <c r="I1619">
        <f>IFERROR(VLOOKUP(Table_socioeca8.sandag.org_ws_abm2_f4[[#This Row],[hwycov_id]],[2]flow_freeway!$A$2:$E$1643,5,FALSE),0)</f>
        <v>7749</v>
      </c>
      <c r="K1619">
        <f>Table_socioeca8.sandag.org_ws_abm2_f4[[#This Row],[hwycov_id]]</f>
        <v>31105</v>
      </c>
      <c r="L1619">
        <f>Table_socioeca8.sandag.org_ws_abm2_f4[[#This Row],[scenario_id]]</f>
        <v>259</v>
      </c>
      <c r="M1619">
        <f>Table_socioeca8.sandag.org_ws_abm2_f4[[#This Row],[flow_day]]</f>
        <v>28903</v>
      </c>
      <c r="N1619">
        <f>Table_socioeca8.sandag.org_ws_abm2_f4[[#This Row],[flow_am]]</f>
        <v>4996</v>
      </c>
      <c r="O1619">
        <f>Table_socioeca8.sandag.org_ws_abm2_f4[[#This Row],[flow_pm]]</f>
        <v>7749</v>
      </c>
    </row>
    <row r="1620" spans="5:15" x14ac:dyDescent="0.25">
      <c r="E1620">
        <v>31108</v>
      </c>
      <c r="F1620">
        <f t="shared" si="25"/>
        <v>259</v>
      </c>
      <c r="G1620">
        <f>IFERROR(VLOOKUP(Table_socioeca8.sandag.org_ws_abm2_f4[[#This Row],[hwycov_id]],[2]flow_freeway!$A$2:$E$1643,3,FALSE),0)</f>
        <v>27140</v>
      </c>
      <c r="H1620">
        <f>IFERROR(VLOOKUP(Table_socioeca8.sandag.org_ws_abm2_f4[[#This Row],[hwycov_id]],[2]flow_freeway!$A$2:$E$1643,4,FALSE),0)</f>
        <v>6330</v>
      </c>
      <c r="I1620">
        <f>IFERROR(VLOOKUP(Table_socioeca8.sandag.org_ws_abm2_f4[[#This Row],[hwycov_id]],[2]flow_freeway!$A$2:$E$1643,5,FALSE),0)</f>
        <v>6292</v>
      </c>
      <c r="K1620">
        <f>Table_socioeca8.sandag.org_ws_abm2_f4[[#This Row],[hwycov_id]]</f>
        <v>31108</v>
      </c>
      <c r="L1620">
        <f>Table_socioeca8.sandag.org_ws_abm2_f4[[#This Row],[scenario_id]]</f>
        <v>259</v>
      </c>
      <c r="M1620">
        <f>Table_socioeca8.sandag.org_ws_abm2_f4[[#This Row],[flow_day]]</f>
        <v>27140</v>
      </c>
      <c r="N1620">
        <f>Table_socioeca8.sandag.org_ws_abm2_f4[[#This Row],[flow_am]]</f>
        <v>6330</v>
      </c>
      <c r="O1620">
        <f>Table_socioeca8.sandag.org_ws_abm2_f4[[#This Row],[flow_pm]]</f>
        <v>6292</v>
      </c>
    </row>
    <row r="1621" spans="5:15" x14ac:dyDescent="0.25">
      <c r="E1621">
        <v>31144</v>
      </c>
      <c r="F1621">
        <f t="shared" si="25"/>
        <v>259</v>
      </c>
      <c r="G1621">
        <f>IFERROR(VLOOKUP(Table_socioeca8.sandag.org_ws_abm2_f4[[#This Row],[hwycov_id]],[2]flow_freeway!$A$2:$E$1643,3,FALSE),0)</f>
        <v>13924</v>
      </c>
      <c r="H1621">
        <f>IFERROR(VLOOKUP(Table_socioeca8.sandag.org_ws_abm2_f4[[#This Row],[hwycov_id]],[2]flow_freeway!$A$2:$E$1643,4,FALSE),0)</f>
        <v>5340</v>
      </c>
      <c r="I1621">
        <f>IFERROR(VLOOKUP(Table_socioeca8.sandag.org_ws_abm2_f4[[#This Row],[hwycov_id]],[2]flow_freeway!$A$2:$E$1643,5,FALSE),0)</f>
        <v>3564</v>
      </c>
      <c r="K1621">
        <f>Table_socioeca8.sandag.org_ws_abm2_f4[[#This Row],[hwycov_id]]</f>
        <v>31144</v>
      </c>
      <c r="L1621">
        <f>Table_socioeca8.sandag.org_ws_abm2_f4[[#This Row],[scenario_id]]</f>
        <v>259</v>
      </c>
      <c r="M1621">
        <f>Table_socioeca8.sandag.org_ws_abm2_f4[[#This Row],[flow_day]]</f>
        <v>13924</v>
      </c>
      <c r="N1621">
        <f>Table_socioeca8.sandag.org_ws_abm2_f4[[#This Row],[flow_am]]</f>
        <v>5340</v>
      </c>
      <c r="O1621">
        <f>Table_socioeca8.sandag.org_ws_abm2_f4[[#This Row],[flow_pm]]</f>
        <v>3564</v>
      </c>
    </row>
    <row r="1622" spans="5:15" x14ac:dyDescent="0.25">
      <c r="E1622">
        <v>31167</v>
      </c>
      <c r="F1622">
        <f t="shared" si="25"/>
        <v>259</v>
      </c>
      <c r="G1622">
        <f>IFERROR(VLOOKUP(Table_socioeca8.sandag.org_ws_abm2_f4[[#This Row],[hwycov_id]],[2]flow_freeway!$A$2:$E$1643,3,FALSE),0)</f>
        <v>9267</v>
      </c>
      <c r="H1622">
        <f>IFERROR(VLOOKUP(Table_socioeca8.sandag.org_ws_abm2_f4[[#This Row],[hwycov_id]],[2]flow_freeway!$A$2:$E$1643,4,FALSE),0)</f>
        <v>1766</v>
      </c>
      <c r="I1622">
        <f>IFERROR(VLOOKUP(Table_socioeca8.sandag.org_ws_abm2_f4[[#This Row],[hwycov_id]],[2]flow_freeway!$A$2:$E$1643,5,FALSE),0)</f>
        <v>3670</v>
      </c>
      <c r="K1622">
        <f>Table_socioeca8.sandag.org_ws_abm2_f4[[#This Row],[hwycov_id]]</f>
        <v>31167</v>
      </c>
      <c r="L1622">
        <f>Table_socioeca8.sandag.org_ws_abm2_f4[[#This Row],[scenario_id]]</f>
        <v>259</v>
      </c>
      <c r="M1622">
        <f>Table_socioeca8.sandag.org_ws_abm2_f4[[#This Row],[flow_day]]</f>
        <v>9267</v>
      </c>
      <c r="N1622">
        <f>Table_socioeca8.sandag.org_ws_abm2_f4[[#This Row],[flow_am]]</f>
        <v>1766</v>
      </c>
      <c r="O1622">
        <f>Table_socioeca8.sandag.org_ws_abm2_f4[[#This Row],[flow_pm]]</f>
        <v>3670</v>
      </c>
    </row>
    <row r="1623" spans="5:15" x14ac:dyDescent="0.25">
      <c r="E1623">
        <v>31171</v>
      </c>
      <c r="F1623">
        <f t="shared" si="25"/>
        <v>259</v>
      </c>
      <c r="G1623">
        <f>IFERROR(VLOOKUP(Table_socioeca8.sandag.org_ws_abm2_f4[[#This Row],[hwycov_id]],[2]flow_freeway!$A$2:$E$1643,3,FALSE),0)</f>
        <v>58426</v>
      </c>
      <c r="H1623">
        <f>IFERROR(VLOOKUP(Table_socioeca8.sandag.org_ws_abm2_f4[[#This Row],[hwycov_id]],[2]flow_freeway!$A$2:$E$1643,4,FALSE),0)</f>
        <v>13235</v>
      </c>
      <c r="I1623">
        <f>IFERROR(VLOOKUP(Table_socioeca8.sandag.org_ws_abm2_f4[[#This Row],[hwycov_id]],[2]flow_freeway!$A$2:$E$1643,5,FALSE),0)</f>
        <v>12669</v>
      </c>
      <c r="K1623">
        <f>Table_socioeca8.sandag.org_ws_abm2_f4[[#This Row],[hwycov_id]]</f>
        <v>31171</v>
      </c>
      <c r="L1623">
        <f>Table_socioeca8.sandag.org_ws_abm2_f4[[#This Row],[scenario_id]]</f>
        <v>259</v>
      </c>
      <c r="M1623">
        <f>Table_socioeca8.sandag.org_ws_abm2_f4[[#This Row],[flow_day]]</f>
        <v>58426</v>
      </c>
      <c r="N1623">
        <f>Table_socioeca8.sandag.org_ws_abm2_f4[[#This Row],[flow_am]]</f>
        <v>13235</v>
      </c>
      <c r="O1623">
        <f>Table_socioeca8.sandag.org_ws_abm2_f4[[#This Row],[flow_pm]]</f>
        <v>12669</v>
      </c>
    </row>
    <row r="1624" spans="5:15" x14ac:dyDescent="0.25">
      <c r="E1624">
        <v>31172</v>
      </c>
      <c r="F1624">
        <f t="shared" si="25"/>
        <v>259</v>
      </c>
      <c r="G1624">
        <f>IFERROR(VLOOKUP(Table_socioeca8.sandag.org_ws_abm2_f4[[#This Row],[hwycov_id]],[2]flow_freeway!$A$2:$E$1643,3,FALSE),0)</f>
        <v>61474</v>
      </c>
      <c r="H1624">
        <f>IFERROR(VLOOKUP(Table_socioeca8.sandag.org_ws_abm2_f4[[#This Row],[hwycov_id]],[2]flow_freeway!$A$2:$E$1643,4,FALSE),0)</f>
        <v>10807</v>
      </c>
      <c r="I1624">
        <f>IFERROR(VLOOKUP(Table_socioeca8.sandag.org_ws_abm2_f4[[#This Row],[hwycov_id]],[2]flow_freeway!$A$2:$E$1643,5,FALSE),0)</f>
        <v>17246</v>
      </c>
      <c r="K1624">
        <f>Table_socioeca8.sandag.org_ws_abm2_f4[[#This Row],[hwycov_id]]</f>
        <v>31172</v>
      </c>
      <c r="L1624">
        <f>Table_socioeca8.sandag.org_ws_abm2_f4[[#This Row],[scenario_id]]</f>
        <v>259</v>
      </c>
      <c r="M1624">
        <f>Table_socioeca8.sandag.org_ws_abm2_f4[[#This Row],[flow_day]]</f>
        <v>61474</v>
      </c>
      <c r="N1624">
        <f>Table_socioeca8.sandag.org_ws_abm2_f4[[#This Row],[flow_am]]</f>
        <v>10807</v>
      </c>
      <c r="O1624">
        <f>Table_socioeca8.sandag.org_ws_abm2_f4[[#This Row],[flow_pm]]</f>
        <v>17246</v>
      </c>
    </row>
    <row r="1625" spans="5:15" x14ac:dyDescent="0.25">
      <c r="E1625">
        <v>31183</v>
      </c>
      <c r="F1625">
        <f t="shared" si="25"/>
        <v>259</v>
      </c>
      <c r="G1625">
        <f>IFERROR(VLOOKUP(Table_socioeca8.sandag.org_ws_abm2_f4[[#This Row],[hwycov_id]],[2]flow_freeway!$A$2:$E$1643,3,FALSE),0)</f>
        <v>101828</v>
      </c>
      <c r="H1625">
        <f>IFERROR(VLOOKUP(Table_socioeca8.sandag.org_ws_abm2_f4[[#This Row],[hwycov_id]],[2]flow_freeway!$A$2:$E$1643,4,FALSE),0)</f>
        <v>20085</v>
      </c>
      <c r="I1625">
        <f>IFERROR(VLOOKUP(Table_socioeca8.sandag.org_ws_abm2_f4[[#This Row],[hwycov_id]],[2]flow_freeway!$A$2:$E$1643,5,FALSE),0)</f>
        <v>27714</v>
      </c>
      <c r="K1625">
        <f>Table_socioeca8.sandag.org_ws_abm2_f4[[#This Row],[hwycov_id]]</f>
        <v>31183</v>
      </c>
      <c r="L1625">
        <f>Table_socioeca8.sandag.org_ws_abm2_f4[[#This Row],[scenario_id]]</f>
        <v>259</v>
      </c>
      <c r="M1625">
        <f>Table_socioeca8.sandag.org_ws_abm2_f4[[#This Row],[flow_day]]</f>
        <v>101828</v>
      </c>
      <c r="N1625">
        <f>Table_socioeca8.sandag.org_ws_abm2_f4[[#This Row],[flow_am]]</f>
        <v>20085</v>
      </c>
      <c r="O1625">
        <f>Table_socioeca8.sandag.org_ws_abm2_f4[[#This Row],[flow_pm]]</f>
        <v>27714</v>
      </c>
    </row>
    <row r="1626" spans="5:15" x14ac:dyDescent="0.25">
      <c r="E1626">
        <v>31184</v>
      </c>
      <c r="F1626">
        <f t="shared" si="25"/>
        <v>259</v>
      </c>
      <c r="G1626">
        <f>IFERROR(VLOOKUP(Table_socioeca8.sandag.org_ws_abm2_f4[[#This Row],[hwycov_id]],[2]flow_freeway!$A$2:$E$1643,3,FALSE),0)</f>
        <v>90118</v>
      </c>
      <c r="H1626">
        <f>IFERROR(VLOOKUP(Table_socioeca8.sandag.org_ws_abm2_f4[[#This Row],[hwycov_id]],[2]flow_freeway!$A$2:$E$1643,4,FALSE),0)</f>
        <v>19614</v>
      </c>
      <c r="I1626">
        <f>IFERROR(VLOOKUP(Table_socioeca8.sandag.org_ws_abm2_f4[[#This Row],[hwycov_id]],[2]flow_freeway!$A$2:$E$1643,5,FALSE),0)</f>
        <v>20488</v>
      </c>
      <c r="K1626">
        <f>Table_socioeca8.sandag.org_ws_abm2_f4[[#This Row],[hwycov_id]]</f>
        <v>31184</v>
      </c>
      <c r="L1626">
        <f>Table_socioeca8.sandag.org_ws_abm2_f4[[#This Row],[scenario_id]]</f>
        <v>259</v>
      </c>
      <c r="M1626">
        <f>Table_socioeca8.sandag.org_ws_abm2_f4[[#This Row],[flow_day]]</f>
        <v>90118</v>
      </c>
      <c r="N1626">
        <f>Table_socioeca8.sandag.org_ws_abm2_f4[[#This Row],[flow_am]]</f>
        <v>19614</v>
      </c>
      <c r="O1626">
        <f>Table_socioeca8.sandag.org_ws_abm2_f4[[#This Row],[flow_pm]]</f>
        <v>20488</v>
      </c>
    </row>
    <row r="1627" spans="5:15" x14ac:dyDescent="0.25">
      <c r="E1627">
        <v>31192</v>
      </c>
      <c r="F1627">
        <f t="shared" si="25"/>
        <v>259</v>
      </c>
      <c r="G1627">
        <f>IFERROR(VLOOKUP(Table_socioeca8.sandag.org_ws_abm2_f4[[#This Row],[hwycov_id]],[2]flow_freeway!$A$2:$E$1643,3,FALSE),0)</f>
        <v>45942</v>
      </c>
      <c r="H1627">
        <f>IFERROR(VLOOKUP(Table_socioeca8.sandag.org_ws_abm2_f4[[#This Row],[hwycov_id]],[2]flow_freeway!$A$2:$E$1643,4,FALSE),0)</f>
        <v>7028</v>
      </c>
      <c r="I1627">
        <f>IFERROR(VLOOKUP(Table_socioeca8.sandag.org_ws_abm2_f4[[#This Row],[hwycov_id]],[2]flow_freeway!$A$2:$E$1643,5,FALSE),0)</f>
        <v>12929</v>
      </c>
      <c r="K1627">
        <f>Table_socioeca8.sandag.org_ws_abm2_f4[[#This Row],[hwycov_id]]</f>
        <v>31192</v>
      </c>
      <c r="L1627">
        <f>Table_socioeca8.sandag.org_ws_abm2_f4[[#This Row],[scenario_id]]</f>
        <v>259</v>
      </c>
      <c r="M1627">
        <f>Table_socioeca8.sandag.org_ws_abm2_f4[[#This Row],[flow_day]]</f>
        <v>45942</v>
      </c>
      <c r="N1627">
        <f>Table_socioeca8.sandag.org_ws_abm2_f4[[#This Row],[flow_am]]</f>
        <v>7028</v>
      </c>
      <c r="O1627">
        <f>Table_socioeca8.sandag.org_ws_abm2_f4[[#This Row],[flow_pm]]</f>
        <v>12929</v>
      </c>
    </row>
    <row r="1628" spans="5:15" x14ac:dyDescent="0.25">
      <c r="E1628">
        <v>31193</v>
      </c>
      <c r="F1628">
        <f t="shared" si="25"/>
        <v>259</v>
      </c>
      <c r="G1628">
        <f>IFERROR(VLOOKUP(Table_socioeca8.sandag.org_ws_abm2_f4[[#This Row],[hwycov_id]],[2]flow_freeway!$A$2:$E$1643,3,FALSE),0)</f>
        <v>74110</v>
      </c>
      <c r="H1628">
        <f>IFERROR(VLOOKUP(Table_socioeca8.sandag.org_ws_abm2_f4[[#This Row],[hwycov_id]],[2]flow_freeway!$A$2:$E$1643,4,FALSE),0)</f>
        <v>19466</v>
      </c>
      <c r="I1628">
        <f>IFERROR(VLOOKUP(Table_socioeca8.sandag.org_ws_abm2_f4[[#This Row],[hwycov_id]],[2]flow_freeway!$A$2:$E$1643,5,FALSE),0)</f>
        <v>12705</v>
      </c>
      <c r="K1628">
        <f>Table_socioeca8.sandag.org_ws_abm2_f4[[#This Row],[hwycov_id]]</f>
        <v>31193</v>
      </c>
      <c r="L1628">
        <f>Table_socioeca8.sandag.org_ws_abm2_f4[[#This Row],[scenario_id]]</f>
        <v>259</v>
      </c>
      <c r="M1628">
        <f>Table_socioeca8.sandag.org_ws_abm2_f4[[#This Row],[flow_day]]</f>
        <v>74110</v>
      </c>
      <c r="N1628">
        <f>Table_socioeca8.sandag.org_ws_abm2_f4[[#This Row],[flow_am]]</f>
        <v>19466</v>
      </c>
      <c r="O1628">
        <f>Table_socioeca8.sandag.org_ws_abm2_f4[[#This Row],[flow_pm]]</f>
        <v>12705</v>
      </c>
    </row>
    <row r="1629" spans="5:15" x14ac:dyDescent="0.25">
      <c r="E1629">
        <v>31198</v>
      </c>
      <c r="F1629">
        <f t="shared" si="25"/>
        <v>259</v>
      </c>
      <c r="G1629">
        <f>IFERROR(VLOOKUP(Table_socioeca8.sandag.org_ws_abm2_f4[[#This Row],[hwycov_id]],[2]flow_freeway!$A$2:$E$1643,3,FALSE),0)</f>
        <v>83278</v>
      </c>
      <c r="H1629">
        <f>IFERROR(VLOOKUP(Table_socioeca8.sandag.org_ws_abm2_f4[[#This Row],[hwycov_id]],[2]flow_freeway!$A$2:$E$1643,4,FALSE),0)</f>
        <v>13085</v>
      </c>
      <c r="I1629">
        <f>IFERROR(VLOOKUP(Table_socioeca8.sandag.org_ws_abm2_f4[[#This Row],[hwycov_id]],[2]flow_freeway!$A$2:$E$1643,5,FALSE),0)</f>
        <v>23360</v>
      </c>
      <c r="K1629">
        <f>Table_socioeca8.sandag.org_ws_abm2_f4[[#This Row],[hwycov_id]]</f>
        <v>31198</v>
      </c>
      <c r="L1629">
        <f>Table_socioeca8.sandag.org_ws_abm2_f4[[#This Row],[scenario_id]]</f>
        <v>259</v>
      </c>
      <c r="M1629">
        <f>Table_socioeca8.sandag.org_ws_abm2_f4[[#This Row],[flow_day]]</f>
        <v>83278</v>
      </c>
      <c r="N1629">
        <f>Table_socioeca8.sandag.org_ws_abm2_f4[[#This Row],[flow_am]]</f>
        <v>13085</v>
      </c>
      <c r="O1629">
        <f>Table_socioeca8.sandag.org_ws_abm2_f4[[#This Row],[flow_pm]]</f>
        <v>23360</v>
      </c>
    </row>
    <row r="1630" spans="5:15" x14ac:dyDescent="0.25">
      <c r="E1630">
        <v>31204</v>
      </c>
      <c r="F1630">
        <f t="shared" si="25"/>
        <v>259</v>
      </c>
      <c r="G1630">
        <f>IFERROR(VLOOKUP(Table_socioeca8.sandag.org_ws_abm2_f4[[#This Row],[hwycov_id]],[2]flow_freeway!$A$2:$E$1643,3,FALSE),0)</f>
        <v>21207</v>
      </c>
      <c r="H1630">
        <f>IFERROR(VLOOKUP(Table_socioeca8.sandag.org_ws_abm2_f4[[#This Row],[hwycov_id]],[2]flow_freeway!$A$2:$E$1643,4,FALSE),0)</f>
        <v>8543</v>
      </c>
      <c r="I1630">
        <f>IFERROR(VLOOKUP(Table_socioeca8.sandag.org_ws_abm2_f4[[#This Row],[hwycov_id]],[2]flow_freeway!$A$2:$E$1643,5,FALSE),0)</f>
        <v>3854</v>
      </c>
      <c r="K1630">
        <f>Table_socioeca8.sandag.org_ws_abm2_f4[[#This Row],[hwycov_id]]</f>
        <v>31204</v>
      </c>
      <c r="L1630">
        <f>Table_socioeca8.sandag.org_ws_abm2_f4[[#This Row],[scenario_id]]</f>
        <v>259</v>
      </c>
      <c r="M1630">
        <f>Table_socioeca8.sandag.org_ws_abm2_f4[[#This Row],[flow_day]]</f>
        <v>21207</v>
      </c>
      <c r="N1630">
        <f>Table_socioeca8.sandag.org_ws_abm2_f4[[#This Row],[flow_am]]</f>
        <v>8543</v>
      </c>
      <c r="O1630">
        <f>Table_socioeca8.sandag.org_ws_abm2_f4[[#This Row],[flow_pm]]</f>
        <v>3854</v>
      </c>
    </row>
    <row r="1631" spans="5:15" x14ac:dyDescent="0.25">
      <c r="E1631">
        <v>31205</v>
      </c>
      <c r="F1631">
        <f t="shared" si="25"/>
        <v>259</v>
      </c>
      <c r="G1631">
        <f>IFERROR(VLOOKUP(Table_socioeca8.sandag.org_ws_abm2_f4[[#This Row],[hwycov_id]],[2]flow_freeway!$A$2:$E$1643,3,FALSE),0)</f>
        <v>117375</v>
      </c>
      <c r="H1631">
        <f>IFERROR(VLOOKUP(Table_socioeca8.sandag.org_ws_abm2_f4[[#This Row],[hwycov_id]],[2]flow_freeway!$A$2:$E$1643,4,FALSE),0)</f>
        <v>18265</v>
      </c>
      <c r="I1631">
        <f>IFERROR(VLOOKUP(Table_socioeca8.sandag.org_ws_abm2_f4[[#This Row],[hwycov_id]],[2]flow_freeway!$A$2:$E$1643,5,FALSE),0)</f>
        <v>33986</v>
      </c>
      <c r="K1631">
        <f>Table_socioeca8.sandag.org_ws_abm2_f4[[#This Row],[hwycov_id]]</f>
        <v>31205</v>
      </c>
      <c r="L1631">
        <f>Table_socioeca8.sandag.org_ws_abm2_f4[[#This Row],[scenario_id]]</f>
        <v>259</v>
      </c>
      <c r="M1631">
        <f>Table_socioeca8.sandag.org_ws_abm2_f4[[#This Row],[flow_day]]</f>
        <v>117375</v>
      </c>
      <c r="N1631">
        <f>Table_socioeca8.sandag.org_ws_abm2_f4[[#This Row],[flow_am]]</f>
        <v>18265</v>
      </c>
      <c r="O1631">
        <f>Table_socioeca8.sandag.org_ws_abm2_f4[[#This Row],[flow_pm]]</f>
        <v>33986</v>
      </c>
    </row>
    <row r="1632" spans="5:15" x14ac:dyDescent="0.25">
      <c r="E1632">
        <v>31206</v>
      </c>
      <c r="F1632">
        <f t="shared" si="25"/>
        <v>259</v>
      </c>
      <c r="G1632">
        <f>IFERROR(VLOOKUP(Table_socioeca8.sandag.org_ws_abm2_f4[[#This Row],[hwycov_id]],[2]flow_freeway!$A$2:$E$1643,3,FALSE),0)</f>
        <v>120456</v>
      </c>
      <c r="H1632">
        <f>IFERROR(VLOOKUP(Table_socioeca8.sandag.org_ws_abm2_f4[[#This Row],[hwycov_id]],[2]flow_freeway!$A$2:$E$1643,4,FALSE),0)</f>
        <v>18627</v>
      </c>
      <c r="I1632">
        <f>IFERROR(VLOOKUP(Table_socioeca8.sandag.org_ws_abm2_f4[[#This Row],[hwycov_id]],[2]flow_freeway!$A$2:$E$1643,5,FALSE),0)</f>
        <v>33907</v>
      </c>
      <c r="K1632">
        <f>Table_socioeca8.sandag.org_ws_abm2_f4[[#This Row],[hwycov_id]]</f>
        <v>31206</v>
      </c>
      <c r="L1632">
        <f>Table_socioeca8.sandag.org_ws_abm2_f4[[#This Row],[scenario_id]]</f>
        <v>259</v>
      </c>
      <c r="M1632">
        <f>Table_socioeca8.sandag.org_ws_abm2_f4[[#This Row],[flow_day]]</f>
        <v>120456</v>
      </c>
      <c r="N1632">
        <f>Table_socioeca8.sandag.org_ws_abm2_f4[[#This Row],[flow_am]]</f>
        <v>18627</v>
      </c>
      <c r="O1632">
        <f>Table_socioeca8.sandag.org_ws_abm2_f4[[#This Row],[flow_pm]]</f>
        <v>33907</v>
      </c>
    </row>
    <row r="1633" spans="5:15" x14ac:dyDescent="0.25">
      <c r="E1633">
        <v>31207</v>
      </c>
      <c r="F1633">
        <f t="shared" si="25"/>
        <v>259</v>
      </c>
      <c r="G1633">
        <f>IFERROR(VLOOKUP(Table_socioeca8.sandag.org_ws_abm2_f4[[#This Row],[hwycov_id]],[2]flow_freeway!$A$2:$E$1643,3,FALSE),0)</f>
        <v>120028</v>
      </c>
      <c r="H1633">
        <f>IFERROR(VLOOKUP(Table_socioeca8.sandag.org_ws_abm2_f4[[#This Row],[hwycov_id]],[2]flow_freeway!$A$2:$E$1643,4,FALSE),0)</f>
        <v>27500</v>
      </c>
      <c r="I1633">
        <f>IFERROR(VLOOKUP(Table_socioeca8.sandag.org_ws_abm2_f4[[#This Row],[hwycov_id]],[2]flow_freeway!$A$2:$E$1643,5,FALSE),0)</f>
        <v>21689</v>
      </c>
      <c r="K1633">
        <f>Table_socioeca8.sandag.org_ws_abm2_f4[[#This Row],[hwycov_id]]</f>
        <v>31207</v>
      </c>
      <c r="L1633">
        <f>Table_socioeca8.sandag.org_ws_abm2_f4[[#This Row],[scenario_id]]</f>
        <v>259</v>
      </c>
      <c r="M1633">
        <f>Table_socioeca8.sandag.org_ws_abm2_f4[[#This Row],[flow_day]]</f>
        <v>120028</v>
      </c>
      <c r="N1633">
        <f>Table_socioeca8.sandag.org_ws_abm2_f4[[#This Row],[flow_am]]</f>
        <v>27500</v>
      </c>
      <c r="O1633">
        <f>Table_socioeca8.sandag.org_ws_abm2_f4[[#This Row],[flow_pm]]</f>
        <v>21689</v>
      </c>
    </row>
    <row r="1634" spans="5:15" x14ac:dyDescent="0.25">
      <c r="E1634">
        <v>31208</v>
      </c>
      <c r="F1634">
        <f t="shared" si="25"/>
        <v>259</v>
      </c>
      <c r="G1634">
        <f>IFERROR(VLOOKUP(Table_socioeca8.sandag.org_ws_abm2_f4[[#This Row],[hwycov_id]],[2]flow_freeway!$A$2:$E$1643,3,FALSE),0)</f>
        <v>108108</v>
      </c>
      <c r="H1634">
        <f>IFERROR(VLOOKUP(Table_socioeca8.sandag.org_ws_abm2_f4[[#This Row],[hwycov_id]],[2]flow_freeway!$A$2:$E$1643,4,FALSE),0)</f>
        <v>25657</v>
      </c>
      <c r="I1634">
        <f>IFERROR(VLOOKUP(Table_socioeca8.sandag.org_ws_abm2_f4[[#This Row],[hwycov_id]],[2]flow_freeway!$A$2:$E$1643,5,FALSE),0)</f>
        <v>19580</v>
      </c>
      <c r="K1634">
        <f>Table_socioeca8.sandag.org_ws_abm2_f4[[#This Row],[hwycov_id]]</f>
        <v>31208</v>
      </c>
      <c r="L1634">
        <f>Table_socioeca8.sandag.org_ws_abm2_f4[[#This Row],[scenario_id]]</f>
        <v>259</v>
      </c>
      <c r="M1634">
        <f>Table_socioeca8.sandag.org_ws_abm2_f4[[#This Row],[flow_day]]</f>
        <v>108108</v>
      </c>
      <c r="N1634">
        <f>Table_socioeca8.sandag.org_ws_abm2_f4[[#This Row],[flow_am]]</f>
        <v>25657</v>
      </c>
      <c r="O1634">
        <f>Table_socioeca8.sandag.org_ws_abm2_f4[[#This Row],[flow_pm]]</f>
        <v>19580</v>
      </c>
    </row>
    <row r="1635" spans="5:15" x14ac:dyDescent="0.25">
      <c r="E1635">
        <v>31210</v>
      </c>
      <c r="F1635">
        <f t="shared" si="25"/>
        <v>259</v>
      </c>
      <c r="G1635">
        <f>IFERROR(VLOOKUP(Table_socioeca8.sandag.org_ws_abm2_f4[[#This Row],[hwycov_id]],[2]flow_freeway!$A$2:$E$1643,3,FALSE),0)</f>
        <v>93432</v>
      </c>
      <c r="H1635">
        <f>IFERROR(VLOOKUP(Table_socioeca8.sandag.org_ws_abm2_f4[[#This Row],[hwycov_id]],[2]flow_freeway!$A$2:$E$1643,4,FALSE),0)</f>
        <v>12095</v>
      </c>
      <c r="I1635">
        <f>IFERROR(VLOOKUP(Table_socioeca8.sandag.org_ws_abm2_f4[[#This Row],[hwycov_id]],[2]flow_freeway!$A$2:$E$1643,5,FALSE),0)</f>
        <v>29205</v>
      </c>
      <c r="K1635">
        <f>Table_socioeca8.sandag.org_ws_abm2_f4[[#This Row],[hwycov_id]]</f>
        <v>31210</v>
      </c>
      <c r="L1635">
        <f>Table_socioeca8.sandag.org_ws_abm2_f4[[#This Row],[scenario_id]]</f>
        <v>259</v>
      </c>
      <c r="M1635">
        <f>Table_socioeca8.sandag.org_ws_abm2_f4[[#This Row],[flow_day]]</f>
        <v>93432</v>
      </c>
      <c r="N1635">
        <f>Table_socioeca8.sandag.org_ws_abm2_f4[[#This Row],[flow_am]]</f>
        <v>12095</v>
      </c>
      <c r="O1635">
        <f>Table_socioeca8.sandag.org_ws_abm2_f4[[#This Row],[flow_pm]]</f>
        <v>29205</v>
      </c>
    </row>
    <row r="1636" spans="5:15" x14ac:dyDescent="0.25">
      <c r="E1636">
        <v>31211</v>
      </c>
      <c r="F1636">
        <f t="shared" si="25"/>
        <v>259</v>
      </c>
      <c r="G1636">
        <f>IFERROR(VLOOKUP(Table_socioeca8.sandag.org_ws_abm2_f4[[#This Row],[hwycov_id]],[2]flow_freeway!$A$2:$E$1643,3,FALSE),0)</f>
        <v>31415</v>
      </c>
      <c r="H1636">
        <f>IFERROR(VLOOKUP(Table_socioeca8.sandag.org_ws_abm2_f4[[#This Row],[hwycov_id]],[2]flow_freeway!$A$2:$E$1643,4,FALSE),0)</f>
        <v>9189</v>
      </c>
      <c r="I1636">
        <f>IFERROR(VLOOKUP(Table_socioeca8.sandag.org_ws_abm2_f4[[#This Row],[hwycov_id]],[2]flow_freeway!$A$2:$E$1643,5,FALSE),0)</f>
        <v>4764</v>
      </c>
      <c r="K1636">
        <f>Table_socioeca8.sandag.org_ws_abm2_f4[[#This Row],[hwycov_id]]</f>
        <v>31211</v>
      </c>
      <c r="L1636">
        <f>Table_socioeca8.sandag.org_ws_abm2_f4[[#This Row],[scenario_id]]</f>
        <v>259</v>
      </c>
      <c r="M1636">
        <f>Table_socioeca8.sandag.org_ws_abm2_f4[[#This Row],[flow_day]]</f>
        <v>31415</v>
      </c>
      <c r="N1636">
        <f>Table_socioeca8.sandag.org_ws_abm2_f4[[#This Row],[flow_am]]</f>
        <v>9189</v>
      </c>
      <c r="O1636">
        <f>Table_socioeca8.sandag.org_ws_abm2_f4[[#This Row],[flow_pm]]</f>
        <v>4764</v>
      </c>
    </row>
    <row r="1637" spans="5:15" x14ac:dyDescent="0.25">
      <c r="E1637">
        <v>31212</v>
      </c>
      <c r="F1637">
        <f t="shared" si="25"/>
        <v>259</v>
      </c>
      <c r="G1637">
        <f>IFERROR(VLOOKUP(Table_socioeca8.sandag.org_ws_abm2_f4[[#This Row],[hwycov_id]],[2]flow_freeway!$A$2:$E$1643,3,FALSE),0)</f>
        <v>89330</v>
      </c>
      <c r="H1637">
        <f>IFERROR(VLOOKUP(Table_socioeca8.sandag.org_ws_abm2_f4[[#This Row],[hwycov_id]],[2]flow_freeway!$A$2:$E$1643,4,FALSE),0)</f>
        <v>11314</v>
      </c>
      <c r="I1637">
        <f>IFERROR(VLOOKUP(Table_socioeca8.sandag.org_ws_abm2_f4[[#This Row],[hwycov_id]],[2]flow_freeway!$A$2:$E$1643,5,FALSE),0)</f>
        <v>28166</v>
      </c>
      <c r="K1637">
        <f>Table_socioeca8.sandag.org_ws_abm2_f4[[#This Row],[hwycov_id]]</f>
        <v>31212</v>
      </c>
      <c r="L1637">
        <f>Table_socioeca8.sandag.org_ws_abm2_f4[[#This Row],[scenario_id]]</f>
        <v>259</v>
      </c>
      <c r="M1637">
        <f>Table_socioeca8.sandag.org_ws_abm2_f4[[#This Row],[flow_day]]</f>
        <v>89330</v>
      </c>
      <c r="N1637">
        <f>Table_socioeca8.sandag.org_ws_abm2_f4[[#This Row],[flow_am]]</f>
        <v>11314</v>
      </c>
      <c r="O1637">
        <f>Table_socioeca8.sandag.org_ws_abm2_f4[[#This Row],[flow_pm]]</f>
        <v>28166</v>
      </c>
    </row>
    <row r="1638" spans="5:15" x14ac:dyDescent="0.25">
      <c r="E1638">
        <v>31213</v>
      </c>
      <c r="F1638">
        <f t="shared" si="25"/>
        <v>259</v>
      </c>
      <c r="G1638">
        <f>IFERROR(VLOOKUP(Table_socioeca8.sandag.org_ws_abm2_f4[[#This Row],[hwycov_id]],[2]flow_freeway!$A$2:$E$1643,3,FALSE),0)</f>
        <v>86766</v>
      </c>
      <c r="H1638">
        <f>IFERROR(VLOOKUP(Table_socioeca8.sandag.org_ws_abm2_f4[[#This Row],[hwycov_id]],[2]flow_freeway!$A$2:$E$1643,4,FALSE),0)</f>
        <v>22175</v>
      </c>
      <c r="I1638">
        <f>IFERROR(VLOOKUP(Table_socioeca8.sandag.org_ws_abm2_f4[[#This Row],[hwycov_id]],[2]flow_freeway!$A$2:$E$1643,5,FALSE),0)</f>
        <v>13522</v>
      </c>
      <c r="K1638">
        <f>Table_socioeca8.sandag.org_ws_abm2_f4[[#This Row],[hwycov_id]]</f>
        <v>31213</v>
      </c>
      <c r="L1638">
        <f>Table_socioeca8.sandag.org_ws_abm2_f4[[#This Row],[scenario_id]]</f>
        <v>259</v>
      </c>
      <c r="M1638">
        <f>Table_socioeca8.sandag.org_ws_abm2_f4[[#This Row],[flow_day]]</f>
        <v>86766</v>
      </c>
      <c r="N1638">
        <f>Table_socioeca8.sandag.org_ws_abm2_f4[[#This Row],[flow_am]]</f>
        <v>22175</v>
      </c>
      <c r="O1638">
        <f>Table_socioeca8.sandag.org_ws_abm2_f4[[#This Row],[flow_pm]]</f>
        <v>13522</v>
      </c>
    </row>
    <row r="1639" spans="5:15" x14ac:dyDescent="0.25">
      <c r="E1639">
        <v>31308</v>
      </c>
      <c r="F1639">
        <f t="shared" si="25"/>
        <v>259</v>
      </c>
      <c r="G1639">
        <f>IFERROR(VLOOKUP(Table_socioeca8.sandag.org_ws_abm2_f4[[#This Row],[hwycov_id]],[2]flow_freeway!$A$2:$E$1643,3,FALSE),0)</f>
        <v>0</v>
      </c>
      <c r="H1639">
        <f>IFERROR(VLOOKUP(Table_socioeca8.sandag.org_ws_abm2_f4[[#This Row],[hwycov_id]],[2]flow_freeway!$A$2:$E$1643,4,FALSE),0)</f>
        <v>0</v>
      </c>
      <c r="I1639">
        <f>IFERROR(VLOOKUP(Table_socioeca8.sandag.org_ws_abm2_f4[[#This Row],[hwycov_id]],[2]flow_freeway!$A$2:$E$1643,5,FALSE),0)</f>
        <v>0</v>
      </c>
      <c r="K1639">
        <f>Table_socioeca8.sandag.org_ws_abm2_f4[[#This Row],[hwycov_id]]</f>
        <v>31308</v>
      </c>
      <c r="L1639">
        <f>Table_socioeca8.sandag.org_ws_abm2_f4[[#This Row],[scenario_id]]</f>
        <v>259</v>
      </c>
      <c r="M1639">
        <f>Table_socioeca8.sandag.org_ws_abm2_f4[[#This Row],[flow_day]]</f>
        <v>0</v>
      </c>
      <c r="N1639">
        <f>Table_socioeca8.sandag.org_ws_abm2_f4[[#This Row],[flow_am]]</f>
        <v>0</v>
      </c>
      <c r="O1639">
        <f>Table_socioeca8.sandag.org_ws_abm2_f4[[#This Row],[flow_pm]]</f>
        <v>0</v>
      </c>
    </row>
    <row r="1640" spans="5:15" x14ac:dyDescent="0.25">
      <c r="E1640">
        <v>31310</v>
      </c>
      <c r="F1640">
        <f t="shared" si="25"/>
        <v>259</v>
      </c>
      <c r="G1640">
        <f>IFERROR(VLOOKUP(Table_socioeca8.sandag.org_ws_abm2_f4[[#This Row],[hwycov_id]],[2]flow_freeway!$A$2:$E$1643,3,FALSE),0)</f>
        <v>0</v>
      </c>
      <c r="H1640">
        <f>IFERROR(VLOOKUP(Table_socioeca8.sandag.org_ws_abm2_f4[[#This Row],[hwycov_id]],[2]flow_freeway!$A$2:$E$1643,4,FALSE),0)</f>
        <v>0</v>
      </c>
      <c r="I1640">
        <f>IFERROR(VLOOKUP(Table_socioeca8.sandag.org_ws_abm2_f4[[#This Row],[hwycov_id]],[2]flow_freeway!$A$2:$E$1643,5,FALSE),0)</f>
        <v>0</v>
      </c>
      <c r="K1640">
        <f>Table_socioeca8.sandag.org_ws_abm2_f4[[#This Row],[hwycov_id]]</f>
        <v>31310</v>
      </c>
      <c r="L1640">
        <f>Table_socioeca8.sandag.org_ws_abm2_f4[[#This Row],[scenario_id]]</f>
        <v>259</v>
      </c>
      <c r="M1640">
        <f>Table_socioeca8.sandag.org_ws_abm2_f4[[#This Row],[flow_day]]</f>
        <v>0</v>
      </c>
      <c r="N1640">
        <f>Table_socioeca8.sandag.org_ws_abm2_f4[[#This Row],[flow_am]]</f>
        <v>0</v>
      </c>
      <c r="O1640">
        <f>Table_socioeca8.sandag.org_ws_abm2_f4[[#This Row],[flow_pm]]</f>
        <v>0</v>
      </c>
    </row>
    <row r="1641" spans="5:15" x14ac:dyDescent="0.25">
      <c r="E1641">
        <v>31311</v>
      </c>
      <c r="F1641">
        <f t="shared" si="25"/>
        <v>259</v>
      </c>
      <c r="G1641">
        <f>IFERROR(VLOOKUP(Table_socioeca8.sandag.org_ws_abm2_f4[[#This Row],[hwycov_id]],[2]flow_freeway!$A$2:$E$1643,3,FALSE),0)</f>
        <v>0</v>
      </c>
      <c r="H1641">
        <f>IFERROR(VLOOKUP(Table_socioeca8.sandag.org_ws_abm2_f4[[#This Row],[hwycov_id]],[2]flow_freeway!$A$2:$E$1643,4,FALSE),0)</f>
        <v>0</v>
      </c>
      <c r="I1641">
        <f>IFERROR(VLOOKUP(Table_socioeca8.sandag.org_ws_abm2_f4[[#This Row],[hwycov_id]],[2]flow_freeway!$A$2:$E$1643,5,FALSE),0)</f>
        <v>0</v>
      </c>
      <c r="K1641">
        <f>Table_socioeca8.sandag.org_ws_abm2_f4[[#This Row],[hwycov_id]]</f>
        <v>31311</v>
      </c>
      <c r="L1641">
        <f>Table_socioeca8.sandag.org_ws_abm2_f4[[#This Row],[scenario_id]]</f>
        <v>259</v>
      </c>
      <c r="M1641">
        <f>Table_socioeca8.sandag.org_ws_abm2_f4[[#This Row],[flow_day]]</f>
        <v>0</v>
      </c>
      <c r="N1641">
        <f>Table_socioeca8.sandag.org_ws_abm2_f4[[#This Row],[flow_am]]</f>
        <v>0</v>
      </c>
      <c r="O1641">
        <f>Table_socioeca8.sandag.org_ws_abm2_f4[[#This Row],[flow_pm]]</f>
        <v>0</v>
      </c>
    </row>
    <row r="1642" spans="5:15" x14ac:dyDescent="0.25">
      <c r="E1642">
        <v>31312</v>
      </c>
      <c r="F1642">
        <f t="shared" si="25"/>
        <v>259</v>
      </c>
      <c r="G1642">
        <f>IFERROR(VLOOKUP(Table_socioeca8.sandag.org_ws_abm2_f4[[#This Row],[hwycov_id]],[2]flow_freeway!$A$2:$E$1643,3,FALSE),0)</f>
        <v>0</v>
      </c>
      <c r="H1642">
        <f>IFERROR(VLOOKUP(Table_socioeca8.sandag.org_ws_abm2_f4[[#This Row],[hwycov_id]],[2]flow_freeway!$A$2:$E$1643,4,FALSE),0)</f>
        <v>0</v>
      </c>
      <c r="I1642">
        <f>IFERROR(VLOOKUP(Table_socioeca8.sandag.org_ws_abm2_f4[[#This Row],[hwycov_id]],[2]flow_freeway!$A$2:$E$1643,5,FALSE),0)</f>
        <v>0</v>
      </c>
      <c r="K1642">
        <f>Table_socioeca8.sandag.org_ws_abm2_f4[[#This Row],[hwycov_id]]</f>
        <v>31312</v>
      </c>
      <c r="L1642">
        <f>Table_socioeca8.sandag.org_ws_abm2_f4[[#This Row],[scenario_id]]</f>
        <v>259</v>
      </c>
      <c r="M1642">
        <f>Table_socioeca8.sandag.org_ws_abm2_f4[[#This Row],[flow_day]]</f>
        <v>0</v>
      </c>
      <c r="N1642">
        <f>Table_socioeca8.sandag.org_ws_abm2_f4[[#This Row],[flow_am]]</f>
        <v>0</v>
      </c>
      <c r="O1642">
        <f>Table_socioeca8.sandag.org_ws_abm2_f4[[#This Row],[flow_pm]]</f>
        <v>0</v>
      </c>
    </row>
    <row r="1643" spans="5:15" x14ac:dyDescent="0.25">
      <c r="E1643">
        <v>36079</v>
      </c>
      <c r="F1643">
        <f t="shared" si="25"/>
        <v>259</v>
      </c>
      <c r="G1643">
        <f>IFERROR(VLOOKUP(Table_socioeca8.sandag.org_ws_abm2_f4[[#This Row],[hwycov_id]],[2]flow_freeway!$A$2:$E$1643,3,FALSE),0)</f>
        <v>0</v>
      </c>
      <c r="H1643">
        <f>IFERROR(VLOOKUP(Table_socioeca8.sandag.org_ws_abm2_f4[[#This Row],[hwycov_id]],[2]flow_freeway!$A$2:$E$1643,4,FALSE),0)</f>
        <v>0</v>
      </c>
      <c r="I1643">
        <f>IFERROR(VLOOKUP(Table_socioeca8.sandag.org_ws_abm2_f4[[#This Row],[hwycov_id]],[2]flow_freeway!$A$2:$E$1643,5,FALSE),0)</f>
        <v>0</v>
      </c>
      <c r="K1643">
        <f>Table_socioeca8.sandag.org_ws_abm2_f4[[#This Row],[hwycov_id]]</f>
        <v>36079</v>
      </c>
      <c r="L1643">
        <f>Table_socioeca8.sandag.org_ws_abm2_f4[[#This Row],[scenario_id]]</f>
        <v>259</v>
      </c>
      <c r="M1643">
        <f>Table_socioeca8.sandag.org_ws_abm2_f4[[#This Row],[flow_day]]</f>
        <v>0</v>
      </c>
      <c r="N1643">
        <f>Table_socioeca8.sandag.org_ws_abm2_f4[[#This Row],[flow_am]]</f>
        <v>0</v>
      </c>
      <c r="O1643">
        <f>Table_socioeca8.sandag.org_ws_abm2_f4[[#This Row],[flow_pm]]</f>
        <v>0</v>
      </c>
    </row>
  </sheetData>
  <dataValidations count="1">
    <dataValidation type="decimal" allowBlank="1" showErrorMessage="1" promptTitle="Scenario_id" prompt="Input your scenario_id here" sqref="A2">
      <formula1>1</formula1>
      <formula2>1000</formula2>
    </dataValidation>
  </dataValidations>
  <hyperlinks>
    <hyperlink ref="B20" r:id="rId1"/>
  </hyperlinks>
  <pageMargins left="0.7" right="0.7" top="0.75" bottom="0.75" header="0.3" footer="0.3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M25"/>
  <sheetViews>
    <sheetView showGridLines="0" zoomScale="90" zoomScaleNormal="90" workbookViewId="0">
      <selection activeCell="AC7" sqref="AC7"/>
    </sheetView>
  </sheetViews>
  <sheetFormatPr defaultRowHeight="15" x14ac:dyDescent="0.25"/>
  <cols>
    <col min="2" max="2" width="10.42578125" bestFit="1" customWidth="1"/>
    <col min="4" max="4" width="9.5703125" bestFit="1" customWidth="1"/>
    <col min="5" max="6" width="22.28515625" bestFit="1" customWidth="1"/>
    <col min="7" max="8" width="9.140625" style="5"/>
    <col min="9" max="9" width="9.140625" style="10"/>
    <col min="10" max="10" width="0" hidden="1" customWidth="1"/>
  </cols>
  <sheetData>
    <row r="1" spans="1:13" x14ac:dyDescent="0.25">
      <c r="A1" s="162" t="s">
        <v>260</v>
      </c>
      <c r="B1" s="163" t="s">
        <v>209</v>
      </c>
      <c r="C1" s="163" t="s">
        <v>274</v>
      </c>
      <c r="D1" s="163" t="s">
        <v>207</v>
      </c>
      <c r="E1" s="163" t="s">
        <v>287</v>
      </c>
      <c r="F1" s="163" t="s">
        <v>288</v>
      </c>
      <c r="G1" s="164" t="s">
        <v>299</v>
      </c>
      <c r="H1" s="164" t="s">
        <v>42</v>
      </c>
      <c r="I1" s="165" t="s">
        <v>206</v>
      </c>
    </row>
    <row r="2" spans="1:13" x14ac:dyDescent="0.25">
      <c r="A2" s="114">
        <v>1</v>
      </c>
      <c r="B2" s="83">
        <v>27195</v>
      </c>
      <c r="C2" s="83">
        <v>1</v>
      </c>
      <c r="D2" s="83" t="str">
        <f>IFERROR(VLOOKUP($B2,worksheet!$C$2:$K$435,4,FALSE),0)</f>
        <v xml:space="preserve">I-15 NB    </v>
      </c>
      <c r="E2" s="83" t="str">
        <f>IFERROR(VLOOKUP($B2,worksheet!$C$2:$K$435,7,FALSE),0)</f>
        <v>MISSION</v>
      </c>
      <c r="F2" s="83" t="str">
        <f>IFERROR(VLOOKUP($B2,worksheet!$C$2:$K$435,8,FALSE),0)</f>
        <v>RAINBOW VALLEY WEST</v>
      </c>
      <c r="G2" s="346">
        <f>IFERROR(VLOOKUP($B2,count!$A$2:$D$629,3,FALSE),0)</f>
        <v>7960</v>
      </c>
      <c r="H2" s="346">
        <f>IFERROR(VLOOKUP(B2,flow0[],4,FALSE),0)</f>
        <v>13838</v>
      </c>
      <c r="I2" s="116">
        <f>IF(G2="","",H2/G2-1)</f>
        <v>0.73844221105527641</v>
      </c>
      <c r="J2" t="e">
        <f>VLOOKUP(B2,check!$A$2:$P$26,16,FALSE)</f>
        <v>#N/A</v>
      </c>
      <c r="L2" s="7"/>
      <c r="M2" s="7"/>
    </row>
    <row r="3" spans="1:13" x14ac:dyDescent="0.25">
      <c r="A3" s="114">
        <v>1</v>
      </c>
      <c r="B3" s="83">
        <v>27196</v>
      </c>
      <c r="C3" s="83">
        <v>3</v>
      </c>
      <c r="D3" s="83" t="str">
        <f>IFERROR(VLOOKUP($B3,worksheet!$C$2:$K$435,4,FALSE),0)</f>
        <v xml:space="preserve">I-15 SB    </v>
      </c>
      <c r="E3" s="83" t="str">
        <f>IFERROR(VLOOKUP($B3,worksheet!$C$2:$K$435,7,FALSE),0)</f>
        <v>RAINBOW VALLEY WEST</v>
      </c>
      <c r="F3" s="83" t="str">
        <f>IFERROR(VLOOKUP($B3,worksheet!$C$2:$K$435,8,FALSE),0)</f>
        <v>MISSION</v>
      </c>
      <c r="G3" s="115">
        <f>IFERROR(VLOOKUP($B3,count!$A$2:$D$629,3,FALSE),0)</f>
        <v>17709</v>
      </c>
      <c r="H3" s="346">
        <f>IFERROR(VLOOKUP(B3,flow0[],4,FALSE),0)</f>
        <v>12907</v>
      </c>
      <c r="I3" s="116">
        <f t="shared" ref="I3:I25" si="0">IF(G3="","",H3/G3-1)</f>
        <v>-0.27116155627082272</v>
      </c>
      <c r="J3" t="e">
        <f>VLOOKUP(B3,check!$A$2:$P$26,16,FALSE)</f>
        <v>#N/A</v>
      </c>
      <c r="L3" s="7"/>
      <c r="M3" s="7"/>
    </row>
    <row r="4" spans="1:13" x14ac:dyDescent="0.25">
      <c r="A4" s="114">
        <v>2</v>
      </c>
      <c r="B4" s="83">
        <v>27597</v>
      </c>
      <c r="C4" s="83">
        <v>1</v>
      </c>
      <c r="D4" s="83" t="str">
        <f>IFERROR(VLOOKUP($B4,worksheet!$C$2:$K$435,4,FALSE),0)</f>
        <v xml:space="preserve">I-5 NB     </v>
      </c>
      <c r="E4" s="83" t="str">
        <f>IFERROR(VLOOKUP($B4,worksheet!$C$2:$K$435,7,FALSE),0)</f>
        <v>VANDEGRIFT</v>
      </c>
      <c r="F4" s="83" t="str">
        <f>IFERROR(VLOOKUP($B4,worksheet!$C$2:$K$435,8,FALSE),0)</f>
        <v>LAS PULGAS</v>
      </c>
      <c r="G4" s="115">
        <f>IFERROR(VLOOKUP($B4,count!$A$2:$D$629,3,FALSE),0)</f>
        <v>11771</v>
      </c>
      <c r="H4" s="346">
        <f>IFERROR(VLOOKUP(B4,flow0[],4,FALSE),0)</f>
        <v>12460</v>
      </c>
      <c r="I4" s="116">
        <f t="shared" si="0"/>
        <v>5.8533684478803805E-2</v>
      </c>
      <c r="J4" t="e">
        <f>VLOOKUP(B4,check!$A$2:$P$26,16,FALSE)</f>
        <v>#N/A</v>
      </c>
      <c r="L4" s="7"/>
      <c r="M4" s="7"/>
    </row>
    <row r="5" spans="1:13" x14ac:dyDescent="0.25">
      <c r="A5" s="114">
        <v>2</v>
      </c>
      <c r="B5" s="83">
        <v>27598</v>
      </c>
      <c r="C5" s="83">
        <v>3</v>
      </c>
      <c r="D5" s="83" t="str">
        <f>IFERROR(VLOOKUP($B5,worksheet!$C$2:$K$435,4,FALSE),0)</f>
        <v xml:space="preserve">I-5 SB     </v>
      </c>
      <c r="E5" s="83" t="str">
        <f>IFERROR(VLOOKUP($B5,worksheet!$C$2:$K$435,7,FALSE),0)</f>
        <v>LAS PULGAS</v>
      </c>
      <c r="F5" s="83" t="str">
        <f>IFERROR(VLOOKUP($B5,worksheet!$C$2:$K$435,8,FALSE),0)</f>
        <v>VANDEGRIFT</v>
      </c>
      <c r="G5" s="115">
        <f>IFERROR(VLOOKUP($B5,count!$A$2:$D$629,3,FALSE),0)</f>
        <v>8206</v>
      </c>
      <c r="H5" s="346">
        <f>IFERROR(VLOOKUP(B5,flow0[],4,FALSE),0)</f>
        <v>12291</v>
      </c>
      <c r="I5" s="116">
        <f t="shared" si="0"/>
        <v>0.49780648306117481</v>
      </c>
      <c r="J5" t="e">
        <f>VLOOKUP(B5,check!$A$2:$P$26,16,FALSE)</f>
        <v>#N/A</v>
      </c>
      <c r="L5" s="7"/>
      <c r="M5" s="7"/>
    </row>
    <row r="6" spans="1:13" x14ac:dyDescent="0.25">
      <c r="A6" s="114">
        <v>3</v>
      </c>
      <c r="B6" s="83">
        <v>12929</v>
      </c>
      <c r="C6" s="83">
        <v>1</v>
      </c>
      <c r="D6" s="83" t="str">
        <f>IFERROR(VLOOKUP($B6,worksheet!$C$2:$K$435,4,FALSE),0)</f>
        <v xml:space="preserve">I-15 NB    </v>
      </c>
      <c r="E6" s="83" t="str">
        <f>IFERROR(VLOOKUP($B6,worksheet!$C$2:$K$435,7,FALSE),0)</f>
        <v>09TH</v>
      </c>
      <c r="F6" s="83" t="str">
        <f>IFERROR(VLOOKUP($B6,worksheet!$C$2:$K$435,8,FALSE),0)</f>
        <v>VALLEY</v>
      </c>
      <c r="G6" s="115">
        <f>IFERROR(VLOOKUP($B6,count!$A$2:$D$629,3,FALSE),0)</f>
        <v>12087</v>
      </c>
      <c r="H6" s="346">
        <f>IFERROR(VLOOKUP(B6,flow0[],4,FALSE),0)</f>
        <v>17628</v>
      </c>
      <c r="I6" s="116">
        <f t="shared" si="0"/>
        <v>0.45842640853809868</v>
      </c>
      <c r="J6" t="e">
        <f>VLOOKUP(B6,check!$A$2:$P$26,16,FALSE)</f>
        <v>#N/A</v>
      </c>
      <c r="L6" s="7"/>
      <c r="M6" s="7"/>
    </row>
    <row r="7" spans="1:13" x14ac:dyDescent="0.25">
      <c r="A7" s="114">
        <v>3</v>
      </c>
      <c r="B7" s="83">
        <v>12943</v>
      </c>
      <c r="C7" s="83">
        <v>3</v>
      </c>
      <c r="D7" s="83" t="str">
        <f>IFERROR(VLOOKUP($B7,worksheet!$C$2:$K$435,4,FALSE),0)</f>
        <v xml:space="preserve">I-15 SB    </v>
      </c>
      <c r="E7" s="83" t="str">
        <f>IFERROR(VLOOKUP($B7,worksheet!$C$2:$K$435,7,FALSE),0)</f>
        <v>VALLEY</v>
      </c>
      <c r="F7" s="83" t="str">
        <f>IFERROR(VLOOKUP($B7,worksheet!$C$2:$K$435,8,FALSE),0)</f>
        <v>09TH</v>
      </c>
      <c r="G7" s="115">
        <f>IFERROR(VLOOKUP($B7,count!$A$2:$D$629,3,FALSE),0)</f>
        <v>20128</v>
      </c>
      <c r="H7" s="346">
        <f>IFERROR(VLOOKUP(B7,flow0[],4,FALSE),0)</f>
        <v>25176</v>
      </c>
      <c r="I7" s="116">
        <f t="shared" si="0"/>
        <v>0.2507949125596185</v>
      </c>
      <c r="J7" t="e">
        <f>VLOOKUP(B7,check!$A$2:$P$26,16,FALSE)</f>
        <v>#N/A</v>
      </c>
      <c r="L7" s="7"/>
      <c r="M7" s="7"/>
    </row>
    <row r="8" spans="1:13" x14ac:dyDescent="0.25">
      <c r="A8" s="401">
        <v>4</v>
      </c>
      <c r="B8" s="402">
        <v>14647</v>
      </c>
      <c r="C8" s="402">
        <v>1</v>
      </c>
      <c r="D8" s="402">
        <f>IFERROR(VLOOKUP($B8,worksheet!$C$2:$K$435,4,FALSE),0)</f>
        <v>0</v>
      </c>
      <c r="E8" s="402">
        <f>IFERROR(VLOOKUP($B8,worksheet!$C$2:$K$435,7,FALSE),0)</f>
        <v>0</v>
      </c>
      <c r="F8" s="402">
        <f>IFERROR(VLOOKUP($B8,worksheet!$C$2:$K$435,8,FALSE),0)</f>
        <v>0</v>
      </c>
      <c r="G8" s="403">
        <f>IFERROR(VLOOKUP($B8,count!$A$2:$D$629,3,FALSE),0)</f>
        <v>0</v>
      </c>
      <c r="H8" s="403">
        <f>IFERROR(VLOOKUP(B8,flow0[],4,FALSE),0)</f>
        <v>19512</v>
      </c>
      <c r="I8" s="404" t="e">
        <f t="shared" si="0"/>
        <v>#DIV/0!</v>
      </c>
      <c r="J8" s="400">
        <f>VLOOKUP(B8,check!$A$2:$P$26,16,FALSE)</f>
        <v>1</v>
      </c>
      <c r="L8" s="7"/>
      <c r="M8" s="7"/>
    </row>
    <row r="9" spans="1:13" x14ac:dyDescent="0.25">
      <c r="A9" s="114">
        <v>4</v>
      </c>
      <c r="B9" s="83">
        <v>14644</v>
      </c>
      <c r="C9" s="83">
        <v>3</v>
      </c>
      <c r="D9" s="83" t="str">
        <f>IFERROR(VLOOKUP($B9,worksheet!$C$2:$K$435,4,FALSE),0)</f>
        <v xml:space="preserve">I-15 SB    </v>
      </c>
      <c r="E9" s="83" t="str">
        <f>IFERROR(VLOOKUP($B9,worksheet!$C$2:$K$435,7,FALSE),0)</f>
        <v>CARMEL MTN</v>
      </c>
      <c r="F9" s="83" t="str">
        <f>IFERROR(VLOOKUP($B9,worksheet!$C$2:$K$435,8,FALSE),0)</f>
        <v>SR-56 WB</v>
      </c>
      <c r="G9" s="115">
        <f>IFERROR(VLOOKUP($B9,count!$A$2:$D$629,3,FALSE),0)</f>
        <v>38562</v>
      </c>
      <c r="H9" s="115">
        <f>IFERROR(VLOOKUP(B9,flow0[],4,FALSE),0)</f>
        <v>30576</v>
      </c>
      <c r="I9" s="116">
        <f t="shared" si="0"/>
        <v>-0.2070950676832114</v>
      </c>
      <c r="J9" t="e">
        <f>VLOOKUP(B9,check!$A$2:$P$26,16,FALSE)</f>
        <v>#N/A</v>
      </c>
      <c r="L9" s="7"/>
      <c r="M9" s="7"/>
    </row>
    <row r="10" spans="1:13" x14ac:dyDescent="0.25">
      <c r="A10" s="114">
        <v>5</v>
      </c>
      <c r="B10" s="83">
        <v>14262</v>
      </c>
      <c r="C10" s="83">
        <v>1</v>
      </c>
      <c r="D10" s="83" t="str">
        <f>IFERROR(VLOOKUP($B10,worksheet!$C$2:$K$435,4,FALSE),0)</f>
        <v xml:space="preserve">I-5 NB     </v>
      </c>
      <c r="E10" s="83" t="str">
        <f>IFERROR(VLOOKUP($B10,worksheet!$C$2:$K$435,7,FALSE),0)</f>
        <v>I-805 NB</v>
      </c>
      <c r="F10" s="83">
        <f>IFERROR(VLOOKUP($B10,worksheet!$C$2:$K$435,8,FALSE),0)</f>
        <v>0</v>
      </c>
      <c r="G10" s="115">
        <f>IFERROR(VLOOKUP($B10,count!$A$2:$D$629,3,FALSE),0)</f>
        <v>17871</v>
      </c>
      <c r="H10" s="115">
        <f>IFERROR(VLOOKUP(B10,flow0[],4,FALSE),0)</f>
        <v>17672</v>
      </c>
      <c r="I10" s="116">
        <f t="shared" si="0"/>
        <v>-1.1135358961445907E-2</v>
      </c>
      <c r="J10" t="e">
        <f>VLOOKUP(B10,check!$A$2:$P$26,16,FALSE)</f>
        <v>#N/A</v>
      </c>
      <c r="L10" s="7"/>
      <c r="M10" s="7"/>
    </row>
    <row r="11" spans="1:13" x14ac:dyDescent="0.25">
      <c r="A11" s="114">
        <v>5</v>
      </c>
      <c r="B11" s="83">
        <v>30776</v>
      </c>
      <c r="C11" s="83">
        <v>3</v>
      </c>
      <c r="D11" s="83" t="str">
        <f>IFERROR(VLOOKUP($B11,worksheet!$C$2:$K$435,4,FALSE),0)</f>
        <v xml:space="preserve">I-5 SB     </v>
      </c>
      <c r="E11" s="83" t="str">
        <f>IFERROR(VLOOKUP($B11,worksheet!$C$2:$K$435,7,FALSE),0)</f>
        <v>CARMEL VALLEY</v>
      </c>
      <c r="F11" s="83" t="str">
        <f>IFERROR(VLOOKUP($B11,worksheet!$C$2:$K$435,8,FALSE),0)</f>
        <v>I-805 SB</v>
      </c>
      <c r="G11" s="115">
        <f>IFERROR(VLOOKUP($B11,count!$A$2:$D$629,3,FALSE),0)</f>
        <v>20341</v>
      </c>
      <c r="H11" s="346">
        <f>IFERROR(VLOOKUP(B11,flow0[],4,FALSE),0)</f>
        <v>23790</v>
      </c>
      <c r="I11" s="116">
        <f t="shared" si="0"/>
        <v>0.16955901873064261</v>
      </c>
      <c r="J11" t="e">
        <f>VLOOKUP(B11,check!$A$2:$P$26,16,FALSE)</f>
        <v>#N/A</v>
      </c>
      <c r="L11" s="7"/>
      <c r="M11" s="7"/>
    </row>
    <row r="12" spans="1:13" x14ac:dyDescent="0.25">
      <c r="A12" s="114">
        <v>6</v>
      </c>
      <c r="B12" s="83">
        <v>8896</v>
      </c>
      <c r="C12" s="83">
        <v>1</v>
      </c>
      <c r="D12" s="83" t="str">
        <f>IFERROR(VLOOKUP($B12,worksheet!$C$2:$K$435,4,FALSE),0)</f>
        <v xml:space="preserve">I-5 NB     </v>
      </c>
      <c r="E12" s="83" t="str">
        <f>IFERROR(VLOOKUP($B12,worksheet!$C$2:$K$435,7,FALSE),0)</f>
        <v>SORRENTO VALLEY</v>
      </c>
      <c r="F12" s="83" t="str">
        <f>IFERROR(VLOOKUP($B12,worksheet!$C$2:$K$435,8,FALSE),0)</f>
        <v>I-805 NB</v>
      </c>
      <c r="G12" s="115">
        <f>IFERROR(VLOOKUP($B12,count!$A$2:$D$629,3,FALSE),0)</f>
        <v>12605</v>
      </c>
      <c r="H12" s="346">
        <f>IFERROR(VLOOKUP(B12,flow0[],4,FALSE),0)</f>
        <v>11615</v>
      </c>
      <c r="I12" s="116">
        <f t="shared" si="0"/>
        <v>-7.8540261800872702E-2</v>
      </c>
      <c r="J12" t="e">
        <f>VLOOKUP(B12,check!$A$2:$P$26,16,FALSE)</f>
        <v>#N/A</v>
      </c>
      <c r="L12" s="7"/>
      <c r="M12" s="7"/>
    </row>
    <row r="13" spans="1:13" x14ac:dyDescent="0.25">
      <c r="A13" s="114">
        <v>6</v>
      </c>
      <c r="B13" s="83">
        <v>14263</v>
      </c>
      <c r="C13" s="83">
        <v>3</v>
      </c>
      <c r="D13" s="83" t="str">
        <f>IFERROR(VLOOKUP($B13,worksheet!$C$2:$K$435,4,FALSE),0)</f>
        <v xml:space="preserve">I-5 SB     </v>
      </c>
      <c r="E13" s="83" t="str">
        <f>IFERROR(VLOOKUP($B13,worksheet!$C$2:$K$435,7,FALSE),0)</f>
        <v>I-805 SB</v>
      </c>
      <c r="F13" s="83" t="str">
        <f>IFERROR(VLOOKUP($B13,worksheet!$C$2:$K$435,8,FALSE),0)</f>
        <v>SORRENTO VALLEY</v>
      </c>
      <c r="G13" s="115">
        <f>IFERROR(VLOOKUP($B13,count!$A$2:$D$629,3,FALSE),0)</f>
        <v>15164</v>
      </c>
      <c r="H13" s="346">
        <f>IFERROR(VLOOKUP(B13,flow0[],4,FALSE),0)</f>
        <v>19458</v>
      </c>
      <c r="I13" s="116">
        <f t="shared" si="0"/>
        <v>0.28317066737008711</v>
      </c>
      <c r="J13" t="e">
        <f>VLOOKUP(B13,check!$A$2:$P$26,16,FALSE)</f>
        <v>#N/A</v>
      </c>
      <c r="L13" s="7"/>
      <c r="M13" s="7"/>
    </row>
    <row r="14" spans="1:13" x14ac:dyDescent="0.25">
      <c r="A14" s="114">
        <v>8</v>
      </c>
      <c r="B14" s="83">
        <v>574</v>
      </c>
      <c r="C14" s="83">
        <v>1</v>
      </c>
      <c r="D14" s="83" t="str">
        <f>IFERROR(VLOOKUP($B14,worksheet!$C$2:$K$435,4,FALSE),0)</f>
        <v xml:space="preserve">I-15 NB    </v>
      </c>
      <c r="E14" s="83" t="str">
        <f>IFERROR(VLOOKUP($B14,worksheet!$C$2:$K$435,7,FALSE),0)</f>
        <v>SR-163 NB</v>
      </c>
      <c r="F14" s="83" t="str">
        <f>IFERROR(VLOOKUP($B14,worksheet!$C$2:$K$435,8,FALSE),0)</f>
        <v>MIRAMAR WAY</v>
      </c>
      <c r="G14" s="115">
        <f>IFERROR(VLOOKUP($B14,count!$A$2:$D$629,3,FALSE),0)</f>
        <v>31716</v>
      </c>
      <c r="H14" s="346">
        <f>IFERROR(VLOOKUP(B14,flow0[],4,FALSE),0)</f>
        <v>31191</v>
      </c>
      <c r="I14" s="116">
        <f t="shared" si="0"/>
        <v>-1.6553159288687058E-2</v>
      </c>
      <c r="J14" t="e">
        <f>VLOOKUP(B14,check!$A$2:$P$26,16,FALSE)</f>
        <v>#N/A</v>
      </c>
      <c r="L14" s="7"/>
      <c r="M14" s="7"/>
    </row>
    <row r="15" spans="1:13" x14ac:dyDescent="0.25">
      <c r="A15" s="114">
        <v>8</v>
      </c>
      <c r="B15" s="83">
        <v>14419</v>
      </c>
      <c r="C15" s="83">
        <v>3</v>
      </c>
      <c r="D15" s="83" t="str">
        <f>IFERROR(VLOOKUP($B15,worksheet!$C$2:$K$435,4,FALSE),0)</f>
        <v xml:space="preserve">I-15 SB    </v>
      </c>
      <c r="E15" s="83" t="str">
        <f>IFERROR(VLOOKUP($B15,worksheet!$C$2:$K$435,7,FALSE),0)</f>
        <v>MIRAMAR WAY</v>
      </c>
      <c r="F15" s="83" t="str">
        <f>IFERROR(VLOOKUP($B15,worksheet!$C$2:$K$435,8,FALSE),0)</f>
        <v>SR-163 SB</v>
      </c>
      <c r="G15" s="115">
        <f>IFERROR(VLOOKUP($B15,count!$A$2:$D$629,3,FALSE),0)</f>
        <v>33600</v>
      </c>
      <c r="H15" s="346">
        <f>IFERROR(VLOOKUP(B15,flow0[],4,FALSE),0)</f>
        <v>35616</v>
      </c>
      <c r="I15" s="116">
        <f t="shared" si="0"/>
        <v>6.0000000000000053E-2</v>
      </c>
      <c r="J15" t="e">
        <f>VLOOKUP(B15,check!$A$2:$P$26,16,FALSE)</f>
        <v>#N/A</v>
      </c>
      <c r="L15" s="7"/>
      <c r="M15" s="7"/>
    </row>
    <row r="16" spans="1:13" x14ac:dyDescent="0.25">
      <c r="A16" s="114">
        <v>9</v>
      </c>
      <c r="B16" s="83">
        <v>15238</v>
      </c>
      <c r="C16" s="83">
        <v>2</v>
      </c>
      <c r="D16" s="83">
        <f>IFERROR(VLOOKUP($B16,worksheet!$C$2:$K$435,4,FALSE),0)</f>
        <v>0</v>
      </c>
      <c r="E16" s="83">
        <f>IFERROR(VLOOKUP($B16,worksheet!$C$2:$K$435,7,FALSE),0)</f>
        <v>0</v>
      </c>
      <c r="F16" s="83">
        <f>IFERROR(VLOOKUP($B16,worksheet!$C$2:$K$435,8,FALSE),0)</f>
        <v>0</v>
      </c>
      <c r="G16" s="115">
        <f>IFERROR(VLOOKUP($B16,count!$A$2:$D$629,3,FALSE),0)</f>
        <v>15914</v>
      </c>
      <c r="H16" s="346">
        <f>IFERROR(VLOOKUP(B16,flow0[],4,FALSE),0)</f>
        <v>18931</v>
      </c>
      <c r="I16" s="116">
        <f t="shared" si="0"/>
        <v>0.18958150056553968</v>
      </c>
      <c r="J16" t="e">
        <f>VLOOKUP(B16,check!$A$2:$P$26,16,FALSE)</f>
        <v>#N/A</v>
      </c>
      <c r="L16" s="7"/>
      <c r="M16" s="7"/>
    </row>
    <row r="17" spans="1:13" x14ac:dyDescent="0.25">
      <c r="A17" s="114">
        <v>9</v>
      </c>
      <c r="B17" s="83">
        <v>7375</v>
      </c>
      <c r="C17" s="83">
        <v>4</v>
      </c>
      <c r="D17" s="83">
        <f>IFERROR(VLOOKUP($B17,worksheet!$C$2:$K$435,4,FALSE),0)</f>
        <v>0</v>
      </c>
      <c r="E17" s="83">
        <f>IFERROR(VLOOKUP($B17,worksheet!$C$2:$K$435,7,FALSE),0)</f>
        <v>0</v>
      </c>
      <c r="F17" s="83">
        <f>IFERROR(VLOOKUP($B17,worksheet!$C$2:$K$435,8,FALSE),0)</f>
        <v>0</v>
      </c>
      <c r="G17" s="115">
        <f>IFERROR(VLOOKUP($B17,count!$A$2:$D$629,3,FALSE),0)</f>
        <v>5305</v>
      </c>
      <c r="H17" s="346">
        <f>IFERROR(VLOOKUP(B17,flow0[],4,FALSE),0)</f>
        <v>9302</v>
      </c>
      <c r="I17" s="116">
        <f t="shared" si="0"/>
        <v>0.75344015080113103</v>
      </c>
      <c r="J17" t="e">
        <f>VLOOKUP(B17,check!$A$2:$P$26,16,FALSE)</f>
        <v>#N/A</v>
      </c>
      <c r="L17" s="7"/>
      <c r="M17" s="7"/>
    </row>
    <row r="18" spans="1:13" x14ac:dyDescent="0.25">
      <c r="A18" s="114">
        <v>10</v>
      </c>
      <c r="B18" s="83">
        <v>11106</v>
      </c>
      <c r="C18" s="83">
        <v>2</v>
      </c>
      <c r="D18" s="83">
        <f>IFERROR(VLOOKUP($B18,worksheet!$C$2:$K$435,4,FALSE),0)</f>
        <v>0</v>
      </c>
      <c r="E18" s="83">
        <f>IFERROR(VLOOKUP($B18,worksheet!$C$2:$K$435,7,FALSE),0)</f>
        <v>0</v>
      </c>
      <c r="F18" s="83">
        <f>IFERROR(VLOOKUP($B18,worksheet!$C$2:$K$435,8,FALSE),0)</f>
        <v>0</v>
      </c>
      <c r="G18" s="115">
        <f>IFERROR(VLOOKUP($B18,count!$A$2:$D$629,3,FALSE),0)</f>
        <v>15594</v>
      </c>
      <c r="H18" s="346">
        <f>IFERROR(VLOOKUP(B18,flow0[],4,FALSE),0)</f>
        <v>16363</v>
      </c>
      <c r="I18" s="116">
        <f t="shared" si="0"/>
        <v>4.9313838655893338E-2</v>
      </c>
      <c r="J18" t="e">
        <f>VLOOKUP(B18,check!$A$2:$P$26,16,FALSE)</f>
        <v>#N/A</v>
      </c>
      <c r="L18" s="7"/>
      <c r="M18" s="7"/>
    </row>
    <row r="19" spans="1:13" x14ac:dyDescent="0.25">
      <c r="A19" s="114">
        <v>10</v>
      </c>
      <c r="B19" s="83">
        <v>7430</v>
      </c>
      <c r="C19" s="83">
        <v>4</v>
      </c>
      <c r="D19" s="83">
        <f>IFERROR(VLOOKUP($B19,worksheet!$C$2:$K$435,4,FALSE),0)</f>
        <v>0</v>
      </c>
      <c r="E19" s="83">
        <f>IFERROR(VLOOKUP($B19,worksheet!$C$2:$K$435,7,FALSE),0)</f>
        <v>0</v>
      </c>
      <c r="F19" s="83">
        <f>IFERROR(VLOOKUP($B19,worksheet!$C$2:$K$435,8,FALSE),0)</f>
        <v>0</v>
      </c>
      <c r="G19" s="115">
        <f>IFERROR(VLOOKUP($B19,count!$A$2:$D$629,3,FALSE),0)</f>
        <v>8658</v>
      </c>
      <c r="H19" s="346">
        <f>IFERROR(VLOOKUP(B19,flow0[],4,FALSE),0)</f>
        <v>12344</v>
      </c>
      <c r="I19" s="116">
        <f t="shared" si="0"/>
        <v>0.42573342573342576</v>
      </c>
      <c r="J19" t="e">
        <f>VLOOKUP(B19,check!$A$2:$P$26,16,FALSE)</f>
        <v>#N/A</v>
      </c>
      <c r="L19" s="7"/>
      <c r="M19" s="7"/>
    </row>
    <row r="20" spans="1:13" x14ac:dyDescent="0.25">
      <c r="A20" s="114">
        <v>11</v>
      </c>
      <c r="B20" s="83">
        <v>26707</v>
      </c>
      <c r="C20" s="83">
        <v>1</v>
      </c>
      <c r="D20" s="83">
        <f>IFERROR(VLOOKUP($B20,worksheet!$C$2:$K$435,4,FALSE),0)</f>
        <v>0</v>
      </c>
      <c r="E20" s="83">
        <f>IFERROR(VLOOKUP($B20,worksheet!$C$2:$K$435,7,FALSE),0)</f>
        <v>0</v>
      </c>
      <c r="F20" s="83">
        <f>IFERROR(VLOOKUP($B20,worksheet!$C$2:$K$435,8,FALSE),0)</f>
        <v>0</v>
      </c>
      <c r="G20" s="115">
        <f>IFERROR(VLOOKUP($B20,count!$A$2:$D$629,3,FALSE),0)</f>
        <v>0</v>
      </c>
      <c r="H20" s="346"/>
      <c r="I20" s="116"/>
      <c r="J20" t="e">
        <f>VLOOKUP(B20,check!$A$2:$P$26,16,FALSE)</f>
        <v>#N/A</v>
      </c>
      <c r="L20" s="7"/>
      <c r="M20" s="7"/>
    </row>
    <row r="21" spans="1:13" x14ac:dyDescent="0.25">
      <c r="A21" s="114">
        <v>11</v>
      </c>
      <c r="B21" s="83">
        <v>8793</v>
      </c>
      <c r="C21" s="83">
        <v>3</v>
      </c>
      <c r="D21" s="83">
        <f>IFERROR(VLOOKUP($B21,worksheet!$C$2:$K$435,4,FALSE),0)</f>
        <v>0</v>
      </c>
      <c r="E21" s="83">
        <f>IFERROR(VLOOKUP($B21,worksheet!$C$2:$K$435,7,FALSE),0)</f>
        <v>0</v>
      </c>
      <c r="F21" s="83">
        <f>IFERROR(VLOOKUP($B21,worksheet!$C$2:$K$435,8,FALSE),0)</f>
        <v>0</v>
      </c>
      <c r="G21" s="115">
        <f>IFERROR(VLOOKUP($B21,count!$A$2:$D$629,3,FALSE),0)</f>
        <v>0</v>
      </c>
      <c r="H21" s="346"/>
      <c r="I21" s="116"/>
      <c r="J21" t="e">
        <f>VLOOKUP(B21,check!$A$2:$P$26,16,FALSE)</f>
        <v>#N/A</v>
      </c>
      <c r="L21" s="7"/>
      <c r="M21" s="7"/>
    </row>
    <row r="22" spans="1:13" x14ac:dyDescent="0.25">
      <c r="A22" s="114">
        <v>12</v>
      </c>
      <c r="B22" s="83">
        <v>686</v>
      </c>
      <c r="C22" s="83">
        <v>1</v>
      </c>
      <c r="D22" s="83" t="str">
        <f>IFERROR(VLOOKUP($B22,worksheet!$C$2:$K$435,4,FALSE),0)</f>
        <v xml:space="preserve">I-805 NB   </v>
      </c>
      <c r="E22" s="83" t="str">
        <f>IFERROR(VLOOKUP($B22,worksheet!$C$2:$K$435,7,FALSE),0)</f>
        <v>EAST SAN YSIDRO</v>
      </c>
      <c r="F22" s="83" t="str">
        <f>IFERROR(VLOOKUP($B22,worksheet!$C$2:$K$435,8,FALSE),0)</f>
        <v>SR-905 EB</v>
      </c>
      <c r="G22" s="115">
        <f>IFERROR(VLOOKUP($B22,count!$A$2:$D$629,3,FALSE),0)</f>
        <v>4331</v>
      </c>
      <c r="H22" s="346">
        <f>IFERROR(VLOOKUP(B22,flow0[],4,FALSE),0)</f>
        <v>5784</v>
      </c>
      <c r="I22" s="116">
        <f t="shared" si="0"/>
        <v>0.33548833987531745</v>
      </c>
      <c r="J22" t="e">
        <f>VLOOKUP(B22,check!$A$2:$P$26,16,FALSE)</f>
        <v>#N/A</v>
      </c>
      <c r="L22" s="7"/>
      <c r="M22" s="7"/>
    </row>
    <row r="23" spans="1:13" x14ac:dyDescent="0.25">
      <c r="A23" s="114">
        <v>12</v>
      </c>
      <c r="B23" s="83">
        <v>857</v>
      </c>
      <c r="C23" s="83">
        <v>3</v>
      </c>
      <c r="D23" s="83" t="str">
        <f>IFERROR(VLOOKUP($B23,worksheet!$C$2:$K$435,4,FALSE),0)</f>
        <v xml:space="preserve">I-805 SB   </v>
      </c>
      <c r="E23" s="83" t="str">
        <f>IFERROR(VLOOKUP($B23,worksheet!$C$2:$K$435,7,FALSE),0)</f>
        <v>SR-905 EB</v>
      </c>
      <c r="F23" s="83" t="str">
        <f>IFERROR(VLOOKUP($B23,worksheet!$C$2:$K$435,8,FALSE),0)</f>
        <v>EAST SAN YSIDRO</v>
      </c>
      <c r="G23" s="115">
        <f>IFERROR(VLOOKUP($B23,count!$A$2:$D$629,3,FALSE),0)</f>
        <v>3496</v>
      </c>
      <c r="H23" s="346">
        <f>IFERROR(VLOOKUP(B23,flow0[],4,FALSE),0)</f>
        <v>6157</v>
      </c>
      <c r="I23" s="116">
        <f t="shared" si="0"/>
        <v>0.7611556064073226</v>
      </c>
      <c r="J23" t="e">
        <f>VLOOKUP(B23,check!$A$2:$P$26,16,FALSE)</f>
        <v>#N/A</v>
      </c>
      <c r="L23" s="7"/>
      <c r="M23" s="7"/>
    </row>
    <row r="24" spans="1:13" x14ac:dyDescent="0.25">
      <c r="A24" s="114">
        <v>13</v>
      </c>
      <c r="B24" s="83">
        <v>27694</v>
      </c>
      <c r="C24" s="83">
        <v>1</v>
      </c>
      <c r="D24" s="83" t="str">
        <f>IFERROR(VLOOKUP($B24,worksheet!$C$2:$K$435,4,FALSE),0)</f>
        <v xml:space="preserve">I-5 NB     </v>
      </c>
      <c r="E24" s="83" t="str">
        <f>IFERROR(VLOOKUP($B24,worksheet!$C$2:$K$435,7,FALSE),0)</f>
        <v>I-805 NB</v>
      </c>
      <c r="F24" s="83" t="str">
        <f>IFERROR(VLOOKUP($B24,worksheet!$C$2:$K$435,8,FALSE),0)</f>
        <v>VIA DE SAN YSIDRO</v>
      </c>
      <c r="G24" s="115">
        <f>IFERROR(VLOOKUP($B24,count!$A$2:$D$629,3,FALSE),0)</f>
        <v>3305</v>
      </c>
      <c r="H24" s="346">
        <f>IFERROR(VLOOKUP(B24,flow0[],4,FALSE),0)</f>
        <v>4018</v>
      </c>
      <c r="I24" s="116">
        <f t="shared" si="0"/>
        <v>0.2157337367624812</v>
      </c>
      <c r="J24" t="e">
        <f>VLOOKUP(B24,check!$A$2:$P$26,16,FALSE)</f>
        <v>#N/A</v>
      </c>
      <c r="L24" s="7"/>
      <c r="M24" s="7"/>
    </row>
    <row r="25" spans="1:13" ht="15.75" thickBot="1" x14ac:dyDescent="0.3">
      <c r="A25" s="396">
        <v>13</v>
      </c>
      <c r="B25" s="397">
        <v>27155</v>
      </c>
      <c r="C25" s="397">
        <v>3</v>
      </c>
      <c r="D25" s="397">
        <f>IFERROR(VLOOKUP($B25,worksheet!$C$2:$K$435,4,FALSE),0)</f>
        <v>0</v>
      </c>
      <c r="E25" s="397">
        <f>IFERROR(VLOOKUP($B25,worksheet!$C$2:$K$435,7,FALSE),0)</f>
        <v>0</v>
      </c>
      <c r="F25" s="397">
        <f>IFERROR(VLOOKUP($B25,worksheet!$C$2:$K$435,8,FALSE),0)</f>
        <v>0</v>
      </c>
      <c r="G25" s="398">
        <f>IFERROR(VLOOKUP($B25,count!$A$2:$D$629,3,FALSE),0)</f>
        <v>0</v>
      </c>
      <c r="H25" s="398">
        <f>IFERROR(VLOOKUP(B25,flow0[],4,FALSE),0)</f>
        <v>1000</v>
      </c>
      <c r="I25" s="399" t="e">
        <f t="shared" si="0"/>
        <v>#DIV/0!</v>
      </c>
      <c r="J25" s="400">
        <f>VLOOKUP(B25,check!$A$2:$P$26,16,FALSE)</f>
        <v>1</v>
      </c>
      <c r="L25" s="7"/>
      <c r="M25" s="7"/>
    </row>
  </sheetData>
  <conditionalFormatting sqref="I2:I17 I20:I24">
    <cfRule type="cellIs" dxfId="649" priority="13" operator="lessThan">
      <formula>-0.1</formula>
    </cfRule>
    <cfRule type="cellIs" dxfId="648" priority="14" operator="greaterThan">
      <formula>0.1</formula>
    </cfRule>
    <cfRule type="cellIs" dxfId="647" priority="17" operator="lessThan">
      <formula>-0.2</formula>
    </cfRule>
    <cfRule type="cellIs" dxfId="646" priority="18" operator="greaterThan">
      <formula>0.2</formula>
    </cfRule>
  </conditionalFormatting>
  <conditionalFormatting sqref="I2:I17 I20:I24">
    <cfRule type="cellIs" dxfId="645" priority="15" operator="lessThan">
      <formula>-0.15</formula>
    </cfRule>
    <cfRule type="cellIs" dxfId="644" priority="16" operator="greaterThan">
      <formula>0.15</formula>
    </cfRule>
  </conditionalFormatting>
  <conditionalFormatting sqref="I18:I19">
    <cfRule type="cellIs" dxfId="643" priority="7" operator="lessThan">
      <formula>-0.1</formula>
    </cfRule>
    <cfRule type="cellIs" dxfId="642" priority="8" operator="greaterThan">
      <formula>0.1</formula>
    </cfRule>
    <cfRule type="cellIs" dxfId="641" priority="11" operator="lessThan">
      <formula>-0.2</formula>
    </cfRule>
    <cfRule type="cellIs" dxfId="640" priority="12" operator="greaterThan">
      <formula>0.2</formula>
    </cfRule>
  </conditionalFormatting>
  <conditionalFormatting sqref="I18:I19">
    <cfRule type="cellIs" dxfId="639" priority="9" operator="lessThan">
      <formula>-0.15</formula>
    </cfRule>
    <cfRule type="cellIs" dxfId="638" priority="10" operator="greaterThan">
      <formula>0.15</formula>
    </cfRule>
  </conditionalFormatting>
  <conditionalFormatting sqref="I25">
    <cfRule type="cellIs" dxfId="637" priority="1" operator="lessThan">
      <formula>-0.1</formula>
    </cfRule>
    <cfRule type="cellIs" dxfId="636" priority="2" operator="greaterThan">
      <formula>0.1</formula>
    </cfRule>
    <cfRule type="cellIs" dxfId="635" priority="5" operator="lessThan">
      <formula>-0.2</formula>
    </cfRule>
    <cfRule type="cellIs" dxfId="634" priority="6" operator="greaterThan">
      <formula>0.2</formula>
    </cfRule>
  </conditionalFormatting>
  <conditionalFormatting sqref="I25">
    <cfRule type="cellIs" dxfId="633" priority="3" operator="lessThan">
      <formula>-0.15</formula>
    </cfRule>
    <cfRule type="cellIs" dxfId="632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B1:L30"/>
  <sheetViews>
    <sheetView showGridLines="0" workbookViewId="0">
      <selection activeCell="E41" sqref="E41"/>
    </sheetView>
  </sheetViews>
  <sheetFormatPr defaultRowHeight="15" x14ac:dyDescent="0.25"/>
  <cols>
    <col min="2" max="2" width="15.85546875" style="11" customWidth="1"/>
    <col min="3" max="12" width="12.85546875" customWidth="1"/>
  </cols>
  <sheetData>
    <row r="1" spans="2:12" ht="15.75" thickBot="1" x14ac:dyDescent="0.3"/>
    <row r="2" spans="2:12" x14ac:dyDescent="0.25">
      <c r="B2" s="198"/>
      <c r="C2" s="452" t="s">
        <v>258</v>
      </c>
      <c r="D2" s="453"/>
      <c r="E2" s="453"/>
      <c r="F2" s="453"/>
      <c r="G2" s="454"/>
      <c r="H2" s="455" t="s">
        <v>257</v>
      </c>
      <c r="I2" s="456"/>
      <c r="J2" s="456"/>
      <c r="K2" s="456"/>
      <c r="L2" s="457"/>
    </row>
    <row r="3" spans="2:12" x14ac:dyDescent="0.25">
      <c r="B3" s="265"/>
      <c r="C3" s="186">
        <v>1</v>
      </c>
      <c r="D3" s="186">
        <v>2</v>
      </c>
      <c r="E3" s="186">
        <v>3</v>
      </c>
      <c r="F3" s="186">
        <v>4</v>
      </c>
      <c r="G3" s="188"/>
      <c r="H3" s="187">
        <v>1</v>
      </c>
      <c r="I3" s="186">
        <v>3</v>
      </c>
      <c r="J3" s="186">
        <v>2</v>
      </c>
      <c r="K3" s="186">
        <v>4</v>
      </c>
      <c r="L3" s="161"/>
    </row>
    <row r="4" spans="2:12" x14ac:dyDescent="0.25">
      <c r="B4" s="157" t="s">
        <v>210</v>
      </c>
      <c r="C4" s="167" t="s">
        <v>218</v>
      </c>
      <c r="D4" s="167" t="s">
        <v>219</v>
      </c>
      <c r="E4" s="167" t="s">
        <v>220</v>
      </c>
      <c r="F4" s="167" t="s">
        <v>221</v>
      </c>
      <c r="G4" s="189" t="s">
        <v>211</v>
      </c>
      <c r="H4" s="166" t="s">
        <v>218</v>
      </c>
      <c r="I4" s="167" t="s">
        <v>219</v>
      </c>
      <c r="J4" s="167" t="s">
        <v>220</v>
      </c>
      <c r="K4" s="167" t="s">
        <v>221</v>
      </c>
      <c r="L4" s="197" t="s">
        <v>211</v>
      </c>
    </row>
    <row r="5" spans="2:12" x14ac:dyDescent="0.25">
      <c r="B5" s="27" t="s">
        <v>268</v>
      </c>
      <c r="C5" s="336">
        <f>COUNTIFS(worksheet!$B$2:$B$629,C$3,worksheet!$M$2:$M$629,"&gt;=40%")</f>
        <v>25</v>
      </c>
      <c r="D5" s="336">
        <f>COUNTIFS(worksheet!$B$2:$B$629,D$3,worksheet!$M$2:$M$629,"&gt;=40%")</f>
        <v>14</v>
      </c>
      <c r="E5" s="336">
        <f>COUNTIFS(worksheet!$B$2:$B$629,E$3,worksheet!$M$2:$M$629,"&gt;=40%")</f>
        <v>10</v>
      </c>
      <c r="F5" s="336">
        <f>COUNTIFS(worksheet!$B$2:$B$629,F$3,worksheet!$M$2:$M$629,"&gt;=40%")</f>
        <v>3</v>
      </c>
      <c r="G5" s="266">
        <f>SUM(C5:F5)</f>
        <v>52</v>
      </c>
      <c r="H5" s="58">
        <f>C5/C$21</f>
        <v>0.125</v>
      </c>
      <c r="I5" s="33">
        <f t="shared" ref="I5:I14" si="0">D5/D$21</f>
        <v>7.0351758793969849E-2</v>
      </c>
      <c r="J5" s="33">
        <f t="shared" ref="J5:J14" si="1">E5/E$21</f>
        <v>0.08</v>
      </c>
      <c r="K5" s="33">
        <f t="shared" ref="K5:K14" si="2">F5/F$21</f>
        <v>2.8846153846153848E-2</v>
      </c>
      <c r="L5" s="199">
        <f>G5/G$21</f>
        <v>8.2802547770700632E-2</v>
      </c>
    </row>
    <row r="6" spans="2:12" x14ac:dyDescent="0.25">
      <c r="B6" s="27" t="s">
        <v>270</v>
      </c>
      <c r="C6" s="336">
        <f>COUNTIFS(worksheet!$B$2:$B$629,C$3,worksheet!$M$2:$M$629,"&gt;=30%",worksheet!$M$2:$M$629,"&lt;40%")</f>
        <v>31</v>
      </c>
      <c r="D6" s="336">
        <f>COUNTIFS(worksheet!$B$2:$B$629,D$3,worksheet!$M$2:$M$629,"&gt;=30%",worksheet!$M$2:$M$629,"&lt;40%")</f>
        <v>13</v>
      </c>
      <c r="E6" s="336">
        <f>COUNTIFS(worksheet!$B$2:$B$629,E$3,worksheet!$M$2:$M$629,"&gt;=30%",worksheet!$M$2:$M$629,"&lt;40%")</f>
        <v>5</v>
      </c>
      <c r="F6" s="336">
        <f>COUNTIFS(worksheet!$B$2:$B$629,F$3,worksheet!$M$2:$M$629,"&gt;=30%",worksheet!$M$2:$M$629,"&lt;40%")</f>
        <v>4</v>
      </c>
      <c r="G6" s="266">
        <f t="shared" ref="G6:G14" si="3">SUM(C6:F6)</f>
        <v>53</v>
      </c>
      <c r="H6" s="17">
        <f t="shared" ref="H6:H14" si="4">C6/C$21</f>
        <v>0.155</v>
      </c>
      <c r="I6" s="18">
        <f t="shared" si="0"/>
        <v>6.5326633165829151E-2</v>
      </c>
      <c r="J6" s="18">
        <f t="shared" si="1"/>
        <v>0.04</v>
      </c>
      <c r="K6" s="18">
        <f t="shared" si="2"/>
        <v>3.8461538461538464E-2</v>
      </c>
      <c r="L6" s="200">
        <f t="shared" ref="L6:L14" si="5">G6/G$21</f>
        <v>8.4394904458598721E-2</v>
      </c>
    </row>
    <row r="7" spans="2:12" x14ac:dyDescent="0.25">
      <c r="B7" s="201" t="s">
        <v>212</v>
      </c>
      <c r="C7" s="337">
        <f>COUNTIFS(worksheet!$B$2:$B$629,C$3,worksheet!$M$2:$M$629,"&gt;=20%",worksheet!$M$2:$M$629,"&lt;30%")</f>
        <v>45</v>
      </c>
      <c r="D7" s="337">
        <f>COUNTIFS(worksheet!$B$2:$B$629,D$3,worksheet!$M$2:$M$629,"&gt;=20%",worksheet!$M$2:$M$629,"&lt;30%")</f>
        <v>21</v>
      </c>
      <c r="E7" s="337">
        <f>COUNTIFS(worksheet!$B$2:$B$629,E$3,worksheet!$M$2:$M$629,"&gt;=20%",worksheet!$M$2:$M$629,"&lt;30%")</f>
        <v>11</v>
      </c>
      <c r="F7" s="337">
        <f>COUNTIFS(worksheet!$B$2:$B$629,F$3,worksheet!$M$2:$M$629,"&gt;=20%",worksheet!$M$2:$M$629,"&lt;30%")</f>
        <v>14</v>
      </c>
      <c r="G7" s="267">
        <f t="shared" si="3"/>
        <v>91</v>
      </c>
      <c r="H7" s="19">
        <f t="shared" si="4"/>
        <v>0.22500000000000001</v>
      </c>
      <c r="I7" s="20">
        <f t="shared" si="0"/>
        <v>0.10552763819095477</v>
      </c>
      <c r="J7" s="20">
        <f t="shared" si="1"/>
        <v>8.7999999999999995E-2</v>
      </c>
      <c r="K7" s="20">
        <f t="shared" si="2"/>
        <v>0.13461538461538461</v>
      </c>
      <c r="L7" s="202">
        <f t="shared" si="5"/>
        <v>0.14490445859872611</v>
      </c>
    </row>
    <row r="8" spans="2:12" x14ac:dyDescent="0.25">
      <c r="B8" s="201" t="s">
        <v>213</v>
      </c>
      <c r="C8" s="337">
        <f>COUNTIFS(worksheet!$B$2:$B$629,C$3,worksheet!$M$2:$M$629,"&gt;=10%",worksheet!$M$2:$M$629,"&lt;20%")</f>
        <v>36</v>
      </c>
      <c r="D8" s="337">
        <f>COUNTIFS(worksheet!$B$2:$B$629,D$3,worksheet!$M$2:$M$629,"&gt;=10%",worksheet!$M$2:$M$629,"&lt;20%")</f>
        <v>34</v>
      </c>
      <c r="E8" s="337">
        <f>COUNTIFS(worksheet!$B$2:$B$629,E$3,worksheet!$M$2:$M$629,"&gt;=10%",worksheet!$M$2:$M$629,"&lt;20%")</f>
        <v>12</v>
      </c>
      <c r="F8" s="337">
        <f>COUNTIFS(worksheet!$B$2:$B$629,F$3,worksheet!$M$2:$M$629,"&gt;=10%",worksheet!$M$2:$M$629,"&lt;20%")</f>
        <v>31</v>
      </c>
      <c r="G8" s="267">
        <f t="shared" si="3"/>
        <v>113</v>
      </c>
      <c r="H8" s="19">
        <f t="shared" si="4"/>
        <v>0.18</v>
      </c>
      <c r="I8" s="20">
        <f t="shared" si="0"/>
        <v>0.17085427135678391</v>
      </c>
      <c r="J8" s="20">
        <f t="shared" si="1"/>
        <v>9.6000000000000002E-2</v>
      </c>
      <c r="K8" s="20">
        <f t="shared" si="2"/>
        <v>0.29807692307692307</v>
      </c>
      <c r="L8" s="202">
        <f t="shared" si="5"/>
        <v>0.17993630573248406</v>
      </c>
    </row>
    <row r="9" spans="2:12" x14ac:dyDescent="0.25">
      <c r="B9" s="201" t="s">
        <v>214</v>
      </c>
      <c r="C9" s="337">
        <f>COUNTIFS(worksheet!$B$2:$B$629,C$3,worksheet!$M$2:$M$629,"&gt;=0%",worksheet!$M$2:$M$629,"&lt;10%")</f>
        <v>25</v>
      </c>
      <c r="D9" s="337">
        <f>COUNTIFS(worksheet!$B$2:$B$629,D$3,worksheet!$M$2:$M$629,"&gt;=0%",worksheet!$M$2:$M$629,"&lt;10%")</f>
        <v>31</v>
      </c>
      <c r="E9" s="337">
        <f>COUNTIFS(worksheet!$B$2:$B$629,E$3,worksheet!$M$2:$M$629,"&gt;=0%",worksheet!$M$2:$M$629,"&lt;10%")</f>
        <v>33</v>
      </c>
      <c r="F9" s="337">
        <f>COUNTIFS(worksheet!$B$2:$B$629,F$3,worksheet!$M$2:$M$629,"&gt;=0%",worksheet!$M$2:$M$629,"&lt;10%")</f>
        <v>33</v>
      </c>
      <c r="G9" s="267">
        <f t="shared" si="3"/>
        <v>122</v>
      </c>
      <c r="H9" s="19">
        <f t="shared" si="4"/>
        <v>0.125</v>
      </c>
      <c r="I9" s="20">
        <f t="shared" si="0"/>
        <v>0.15577889447236182</v>
      </c>
      <c r="J9" s="20">
        <f t="shared" si="1"/>
        <v>0.26400000000000001</v>
      </c>
      <c r="K9" s="20">
        <f>F9/F$21</f>
        <v>0.31730769230769229</v>
      </c>
      <c r="L9" s="202">
        <f t="shared" si="5"/>
        <v>0.19426751592356689</v>
      </c>
    </row>
    <row r="10" spans="2:12" x14ac:dyDescent="0.25">
      <c r="B10" s="203" t="s">
        <v>215</v>
      </c>
      <c r="C10" s="338">
        <f>COUNTIFS(worksheet!$B$2:$B$629,C$3,worksheet!$M$2:$M$629,"&gt;=-10%",worksheet!$M$2:$M$629,"&lt;0%")</f>
        <v>17</v>
      </c>
      <c r="D10" s="338">
        <f>COUNTIFS(worksheet!$B$2:$B$629,D$3,worksheet!$M$2:$M$629,"&gt;=-10%",worksheet!$M$2:$M$629,"&lt;0%")</f>
        <v>44</v>
      </c>
      <c r="E10" s="338">
        <f>COUNTIFS(worksheet!$B$2:$B$629,E$3,worksheet!$M$2:$M$629,"&gt;=-10%",worksheet!$M$2:$M$629,"&lt;0%")</f>
        <v>32</v>
      </c>
      <c r="F10" s="338">
        <f>COUNTIFS(worksheet!$B$2:$B$629,F$3,worksheet!$M$2:$M$629,"&gt;=-10%",worksheet!$M$2:$M$629,"&lt;0%")</f>
        <v>16</v>
      </c>
      <c r="G10" s="268">
        <f t="shared" si="3"/>
        <v>109</v>
      </c>
      <c r="H10" s="21">
        <f t="shared" si="4"/>
        <v>8.5000000000000006E-2</v>
      </c>
      <c r="I10" s="22">
        <f t="shared" si="0"/>
        <v>0.22110552763819097</v>
      </c>
      <c r="J10" s="22">
        <f t="shared" si="1"/>
        <v>0.25600000000000001</v>
      </c>
      <c r="K10" s="22">
        <f t="shared" si="2"/>
        <v>0.15384615384615385</v>
      </c>
      <c r="L10" s="204">
        <f t="shared" si="5"/>
        <v>0.17356687898089171</v>
      </c>
    </row>
    <row r="11" spans="2:12" x14ac:dyDescent="0.25">
      <c r="B11" s="205" t="s">
        <v>216</v>
      </c>
      <c r="C11" s="337">
        <f>COUNTIFS(worksheet!$B$2:$B$629,C$3,worksheet!$M$2:$M$629,"&gt;=-20%",worksheet!$M$2:$M$629,"&lt;-10%")</f>
        <v>12</v>
      </c>
      <c r="D11" s="337">
        <f>COUNTIFS(worksheet!$B$2:$B$629,D$3,worksheet!$M$2:$M$629,"&gt;=-20%",worksheet!$M$2:$M$629,"&lt;-10%")</f>
        <v>24</v>
      </c>
      <c r="E11" s="337">
        <f>COUNTIFS(worksheet!$B$2:$B$629,E$3,worksheet!$M$2:$M$629,"&gt;=-20%",worksheet!$M$2:$M$629,"&lt;-10%")</f>
        <v>12</v>
      </c>
      <c r="F11" s="337">
        <f>COUNTIFS(worksheet!$B$2:$B$629,F$3,worksheet!$M$2:$M$629,"&gt;=-20%",worksheet!$M$2:$M$629,"&lt;-10%")</f>
        <v>3</v>
      </c>
      <c r="G11" s="269">
        <f t="shared" si="3"/>
        <v>51</v>
      </c>
      <c r="H11" s="23">
        <f t="shared" si="4"/>
        <v>0.06</v>
      </c>
      <c r="I11" s="24">
        <f t="shared" si="0"/>
        <v>0.12060301507537688</v>
      </c>
      <c r="J11" s="24">
        <f t="shared" si="1"/>
        <v>9.6000000000000002E-2</v>
      </c>
      <c r="K11" s="24">
        <f t="shared" si="2"/>
        <v>2.8846153846153848E-2</v>
      </c>
      <c r="L11" s="206">
        <f t="shared" si="5"/>
        <v>8.1210191082802544E-2</v>
      </c>
    </row>
    <row r="12" spans="2:12" x14ac:dyDescent="0.25">
      <c r="B12" s="205" t="s">
        <v>217</v>
      </c>
      <c r="C12" s="337">
        <f>COUNTIFS(worksheet!$B$2:$B$629,C$3,worksheet!$M$2:$M$629,"&gt;=-30%",worksheet!$M$2:$M$629,"&lt;-20%")</f>
        <v>3</v>
      </c>
      <c r="D12" s="337">
        <f>COUNTIFS(worksheet!$B$2:$B$629,D$3,worksheet!$M$2:$M$629,"&gt;=-30%",worksheet!$M$2:$M$629,"&lt;-20%")</f>
        <v>7</v>
      </c>
      <c r="E12" s="337">
        <f>COUNTIFS(worksheet!$B$2:$B$629,E$3,worksheet!$M$2:$M$629,"&gt;=-30%",worksheet!$M$2:$M$629,"&lt;-20%")</f>
        <v>5</v>
      </c>
      <c r="F12" s="337">
        <f>COUNTIFS(worksheet!$B$2:$B$629,F$3,worksheet!$M$2:$M$629,"&gt;=-30%",worksheet!$M$2:$M$629,"&lt;-20%")</f>
        <v>0</v>
      </c>
      <c r="G12" s="269">
        <f t="shared" si="3"/>
        <v>15</v>
      </c>
      <c r="H12" s="23">
        <f t="shared" si="4"/>
        <v>1.4999999999999999E-2</v>
      </c>
      <c r="I12" s="24">
        <f t="shared" si="0"/>
        <v>3.5175879396984924E-2</v>
      </c>
      <c r="J12" s="24">
        <f t="shared" si="1"/>
        <v>0.04</v>
      </c>
      <c r="K12" s="24">
        <f t="shared" si="2"/>
        <v>0</v>
      </c>
      <c r="L12" s="206">
        <f t="shared" si="5"/>
        <v>2.3885350318471339E-2</v>
      </c>
    </row>
    <row r="13" spans="2:12" x14ac:dyDescent="0.25">
      <c r="B13" s="207" t="s">
        <v>271</v>
      </c>
      <c r="C13" s="336">
        <f>COUNTIFS(worksheet!$B$2:$B$629,C$3,worksheet!$M$2:$M$629,"&gt;=-40%",worksheet!$M$2:$M$629,"&lt;-30%")</f>
        <v>0</v>
      </c>
      <c r="D13" s="336">
        <f>COUNTIFS(worksheet!$B$2:$B$629,D$3,worksheet!$M$2:$M$629,"&gt;=-40%",worksheet!$M$2:$M$629,"&lt;-30%")</f>
        <v>7</v>
      </c>
      <c r="E13" s="336">
        <f>COUNTIFS(worksheet!$B$2:$B$629,E$3,worksheet!$M$2:$M$629,"&gt;=-40%",worksheet!$M$2:$M$629,"&lt;-30%")</f>
        <v>2</v>
      </c>
      <c r="F13" s="336">
        <f>COUNTIFS(worksheet!$B$2:$B$629,F$3,worksheet!$M$2:$M$629,"&gt;=-40%",worksheet!$M$2:$M$629,"&lt;-30%")</f>
        <v>0</v>
      </c>
      <c r="G13" s="270">
        <f t="shared" si="3"/>
        <v>9</v>
      </c>
      <c r="H13" s="25">
        <f t="shared" si="4"/>
        <v>0</v>
      </c>
      <c r="I13" s="26">
        <f t="shared" si="0"/>
        <v>3.5175879396984924E-2</v>
      </c>
      <c r="J13" s="26">
        <f t="shared" si="1"/>
        <v>1.6E-2</v>
      </c>
      <c r="K13" s="26">
        <f t="shared" si="2"/>
        <v>0</v>
      </c>
      <c r="L13" s="208">
        <f t="shared" si="5"/>
        <v>1.4331210191082803E-2</v>
      </c>
    </row>
    <row r="14" spans="2:12" x14ac:dyDescent="0.25">
      <c r="B14" s="28" t="s">
        <v>272</v>
      </c>
      <c r="C14" s="336">
        <f>COUNTIFS(worksheet!$B$2:$B$629,C$3,worksheet!$M$2:$M$629,"&lt;-40%")</f>
        <v>6</v>
      </c>
      <c r="D14" s="336">
        <f>COUNTIFS(worksheet!$B$2:$B$629,D$3,worksheet!$M$2:$M$629,"&lt;-40%")</f>
        <v>4</v>
      </c>
      <c r="E14" s="336">
        <f>COUNTIFS(worksheet!$B$2:$B$629,E$3,worksheet!$M$2:$M$629,"&lt;-40%")</f>
        <v>3</v>
      </c>
      <c r="F14" s="336">
        <f>COUNTIFS(worksheet!$B$2:$B$629,F$3,worksheet!$M$2:$M$629,"&lt;-40%")</f>
        <v>0</v>
      </c>
      <c r="G14" s="270">
        <f t="shared" si="3"/>
        <v>13</v>
      </c>
      <c r="H14" s="25">
        <f t="shared" si="4"/>
        <v>0.03</v>
      </c>
      <c r="I14" s="26">
        <f t="shared" si="0"/>
        <v>2.0100502512562814E-2</v>
      </c>
      <c r="J14" s="26">
        <f t="shared" si="1"/>
        <v>2.4E-2</v>
      </c>
      <c r="K14" s="26">
        <f t="shared" si="2"/>
        <v>0</v>
      </c>
      <c r="L14" s="208">
        <f t="shared" si="5"/>
        <v>2.0700636942675158E-2</v>
      </c>
    </row>
    <row r="15" spans="2:12" x14ac:dyDescent="0.25">
      <c r="B15" s="39" t="s">
        <v>264</v>
      </c>
      <c r="C15" s="49">
        <f t="shared" ref="C15:L15" si="6">SUM(C9:C10)</f>
        <v>42</v>
      </c>
      <c r="D15" s="49">
        <f t="shared" si="6"/>
        <v>75</v>
      </c>
      <c r="E15" s="49">
        <f t="shared" si="6"/>
        <v>65</v>
      </c>
      <c r="F15" s="49">
        <f t="shared" si="6"/>
        <v>49</v>
      </c>
      <c r="G15" s="271">
        <f t="shared" si="6"/>
        <v>231</v>
      </c>
      <c r="H15" s="56">
        <f t="shared" si="6"/>
        <v>0.21000000000000002</v>
      </c>
      <c r="I15" s="40">
        <f t="shared" si="6"/>
        <v>0.37688442211055279</v>
      </c>
      <c r="J15" s="40">
        <f t="shared" si="6"/>
        <v>0.52</v>
      </c>
      <c r="K15" s="52">
        <f t="shared" si="6"/>
        <v>0.47115384615384615</v>
      </c>
      <c r="L15" s="41">
        <f t="shared" si="6"/>
        <v>0.36783439490445857</v>
      </c>
    </row>
    <row r="16" spans="2:12" x14ac:dyDescent="0.25">
      <c r="B16" s="34" t="s">
        <v>223</v>
      </c>
      <c r="C16" s="50">
        <f t="shared" ref="C16:L16" si="7">SUM(C8:C9,C10:C11)</f>
        <v>90</v>
      </c>
      <c r="D16" s="50">
        <f t="shared" si="7"/>
        <v>133</v>
      </c>
      <c r="E16" s="50">
        <f t="shared" si="7"/>
        <v>89</v>
      </c>
      <c r="F16" s="50">
        <f t="shared" si="7"/>
        <v>83</v>
      </c>
      <c r="G16" s="272">
        <f t="shared" si="7"/>
        <v>395</v>
      </c>
      <c r="H16" s="57">
        <f t="shared" si="7"/>
        <v>0.45</v>
      </c>
      <c r="I16" s="51">
        <f t="shared" si="7"/>
        <v>0.66834170854271358</v>
      </c>
      <c r="J16" s="51">
        <f t="shared" si="7"/>
        <v>0.71199999999999997</v>
      </c>
      <c r="K16" s="53">
        <f t="shared" si="7"/>
        <v>0.79807692307692313</v>
      </c>
      <c r="L16" s="209">
        <f t="shared" si="7"/>
        <v>0.62898089171974525</v>
      </c>
    </row>
    <row r="17" spans="2:12" x14ac:dyDescent="0.25">
      <c r="B17" s="146" t="s">
        <v>265</v>
      </c>
      <c r="C17" s="147">
        <f t="shared" ref="C17:L17" si="8">SUM(C7:C12)</f>
        <v>138</v>
      </c>
      <c r="D17" s="147">
        <f t="shared" si="8"/>
        <v>161</v>
      </c>
      <c r="E17" s="147">
        <f t="shared" si="8"/>
        <v>105</v>
      </c>
      <c r="F17" s="147">
        <f t="shared" si="8"/>
        <v>97</v>
      </c>
      <c r="G17" s="273">
        <f t="shared" si="8"/>
        <v>501</v>
      </c>
      <c r="H17" s="168">
        <f t="shared" si="8"/>
        <v>0.69000000000000006</v>
      </c>
      <c r="I17" s="169">
        <f t="shared" si="8"/>
        <v>0.80904522613065322</v>
      </c>
      <c r="J17" s="169">
        <f t="shared" si="8"/>
        <v>0.84</v>
      </c>
      <c r="K17" s="170">
        <f t="shared" si="8"/>
        <v>0.93269230769230771</v>
      </c>
      <c r="L17" s="210">
        <f t="shared" si="8"/>
        <v>0.79777070063694278</v>
      </c>
    </row>
    <row r="18" spans="2:12" x14ac:dyDescent="0.25">
      <c r="B18" s="211"/>
      <c r="C18" s="467" t="s">
        <v>302</v>
      </c>
      <c r="D18" s="468"/>
      <c r="E18" s="468"/>
      <c r="F18" s="468"/>
      <c r="G18" s="469"/>
      <c r="H18" s="470" t="s">
        <v>303</v>
      </c>
      <c r="I18" s="468"/>
      <c r="J18" s="468"/>
      <c r="K18" s="468"/>
      <c r="L18" s="471"/>
    </row>
    <row r="19" spans="2:12" s="6" customFormat="1" x14ac:dyDescent="0.25">
      <c r="B19" s="212" t="s">
        <v>304</v>
      </c>
      <c r="C19" s="171">
        <f>SUM(C5:C9)</f>
        <v>162</v>
      </c>
      <c r="D19" s="171">
        <f>SUM(D5:D9)</f>
        <v>113</v>
      </c>
      <c r="E19" s="171">
        <f t="shared" ref="E19:G19" si="9">SUM(E5:E9)</f>
        <v>71</v>
      </c>
      <c r="F19" s="171">
        <f>SUM(F5:F9)</f>
        <v>85</v>
      </c>
      <c r="G19" s="274">
        <f t="shared" si="9"/>
        <v>431</v>
      </c>
      <c r="H19" s="172">
        <f>C19/C$21</f>
        <v>0.81</v>
      </c>
      <c r="I19" s="173">
        <f t="shared" ref="I19:I21" si="10">D19/D$21</f>
        <v>0.56783919597989951</v>
      </c>
      <c r="J19" s="173">
        <f t="shared" ref="J19:J21" si="11">E19/E$21</f>
        <v>0.56799999999999995</v>
      </c>
      <c r="K19" s="174">
        <f t="shared" ref="K19:K21" si="12">F19/F$21</f>
        <v>0.81730769230769229</v>
      </c>
      <c r="L19" s="213">
        <f t="shared" ref="L19:L21" si="13">G19/G$21</f>
        <v>0.68630573248407645</v>
      </c>
    </row>
    <row r="20" spans="2:12" s="179" customFormat="1" x14ac:dyDescent="0.25">
      <c r="B20" s="214" t="s">
        <v>305</v>
      </c>
      <c r="C20" s="175">
        <f>SUM(C10:C14)</f>
        <v>38</v>
      </c>
      <c r="D20" s="175">
        <f>SUM(D10:D14)</f>
        <v>86</v>
      </c>
      <c r="E20" s="175">
        <f t="shared" ref="E20:G20" si="14">SUM(E10:E14)</f>
        <v>54</v>
      </c>
      <c r="F20" s="175">
        <f t="shared" si="14"/>
        <v>19</v>
      </c>
      <c r="G20" s="275">
        <f t="shared" si="14"/>
        <v>197</v>
      </c>
      <c r="H20" s="176">
        <f t="shared" ref="H20:H21" si="15">C20/C$21</f>
        <v>0.19</v>
      </c>
      <c r="I20" s="177">
        <f t="shared" si="10"/>
        <v>0.43216080402010049</v>
      </c>
      <c r="J20" s="177">
        <f t="shared" si="11"/>
        <v>0.432</v>
      </c>
      <c r="K20" s="178">
        <f t="shared" si="12"/>
        <v>0.18269230769230768</v>
      </c>
      <c r="L20" s="215">
        <f t="shared" si="13"/>
        <v>0.31369426751592355</v>
      </c>
    </row>
    <row r="21" spans="2:12" x14ac:dyDescent="0.25">
      <c r="B21" s="216" t="s">
        <v>208</v>
      </c>
      <c r="C21" s="180">
        <f>C19+C20</f>
        <v>200</v>
      </c>
      <c r="D21" s="180">
        <f>D19+D20</f>
        <v>199</v>
      </c>
      <c r="E21" s="180">
        <f t="shared" ref="E21:F21" si="16">E19+E20</f>
        <v>125</v>
      </c>
      <c r="F21" s="180">
        <f t="shared" si="16"/>
        <v>104</v>
      </c>
      <c r="G21" s="276">
        <f>G19+G20</f>
        <v>628</v>
      </c>
      <c r="H21" s="248">
        <f t="shared" si="15"/>
        <v>1</v>
      </c>
      <c r="I21" s="249">
        <f t="shared" si="10"/>
        <v>1</v>
      </c>
      <c r="J21" s="249">
        <f t="shared" si="11"/>
        <v>1</v>
      </c>
      <c r="K21" s="250">
        <f t="shared" si="12"/>
        <v>1</v>
      </c>
      <c r="L21" s="277">
        <f t="shared" si="13"/>
        <v>1</v>
      </c>
    </row>
    <row r="22" spans="2:12" x14ac:dyDescent="0.25">
      <c r="B22" s="217"/>
      <c r="C22" s="464" t="s">
        <v>259</v>
      </c>
      <c r="D22" s="465"/>
      <c r="E22" s="465"/>
      <c r="F22" s="465"/>
      <c r="G22" s="466"/>
      <c r="H22" s="221"/>
      <c r="I22" s="63"/>
      <c r="J22" s="63"/>
      <c r="K22" s="63"/>
      <c r="L22" s="63"/>
    </row>
    <row r="23" spans="2:12" x14ac:dyDescent="0.25">
      <c r="B23" s="218" t="s">
        <v>255</v>
      </c>
      <c r="C23" s="331">
        <f>AVERAGEIFS(worksheet!$M$2:$M$629,worksheet!$B$2:$B$629,C$3,worksheet!$M$2:$M$629,"&gt;=0%")</f>
        <v>0.28239405569511883</v>
      </c>
      <c r="D23" s="331">
        <f>AVERAGEIFS(worksheet!$M$2:$M$629,worksheet!$B$2:$B$629,D$3,worksheet!$M$2:$M$629,"&gt;=0%")</f>
        <v>0.21564588611691915</v>
      </c>
      <c r="E23" s="331">
        <f>AVERAGEIFS(worksheet!$M$2:$M$629,worksheet!$B$2:$B$629,E$3,worksheet!$M$2:$M$629,"&gt;=0%")</f>
        <v>0.19213812327486832</v>
      </c>
      <c r="F23" s="331">
        <f>AVERAGEIFS(worksheet!$M$2:$M$629,worksheet!$B$2:$B$629,F$3,worksheet!$M$2:$M$629,"&gt;=0%")</f>
        <v>0.16159185225702211</v>
      </c>
      <c r="G23" s="330">
        <f>AVERAGEIFS(worksheet!$M$2:$M$629,worksheet!$M$2:$M$629,"&gt;=0%")</f>
        <v>0.22620170846446294</v>
      </c>
      <c r="H23" s="181"/>
      <c r="I23" s="181"/>
      <c r="J23" s="181"/>
      <c r="K23" s="181"/>
      <c r="L23" s="181"/>
    </row>
    <row r="24" spans="2:12" x14ac:dyDescent="0.25">
      <c r="B24" s="219" t="s">
        <v>256</v>
      </c>
      <c r="C24" s="331">
        <f>AVERAGEIFS(worksheet!$M$2:$M$629,worksheet!$B$2:$B$629,C$3,worksheet!$M$2:$M$629,"&lt;0%")</f>
        <v>-0.15421796703576796</v>
      </c>
      <c r="D24" s="331">
        <f>AVERAGEIFS(worksheet!$M$2:$M$629,worksheet!$B$2:$B$629,D$3,worksheet!$M$2:$M$629,"&lt;0%")</f>
        <v>-0.13818068970443223</v>
      </c>
      <c r="E24" s="331">
        <f>AVERAGEIFS(worksheet!$M$2:$M$629,worksheet!$B$2:$B$629,E$3,worksheet!$M$2:$M$629,"&lt;0%")</f>
        <v>-0.12426421801778303</v>
      </c>
      <c r="F24" s="331">
        <f>AVERAGEIFS(worksheet!$M$2:$M$629,worksheet!$B$2:$B$629,F$3,worksheet!$M$2:$M$629,"&lt;0%")</f>
        <v>-4.813479158566266E-2</v>
      </c>
      <c r="G24" s="330">
        <f>AVERAGEIFS(worksheet!$M$2:$M$629,worksheet!$M$2:$M$629,"&lt;0%")</f>
        <v>-0.12877487753821432</v>
      </c>
      <c r="H24" s="182"/>
      <c r="I24" s="182"/>
      <c r="J24" s="182"/>
      <c r="K24" s="182"/>
      <c r="L24" s="182"/>
    </row>
    <row r="25" spans="2:12" ht="15.75" thickBot="1" x14ac:dyDescent="0.3">
      <c r="B25" s="220" t="s">
        <v>254</v>
      </c>
      <c r="C25" s="329">
        <f>AVERAGEIFS(worksheet!$M$2:$M$629,worksheet!$B$2:$B$629,C$3)</f>
        <v>0.19943777137625004</v>
      </c>
      <c r="D25" s="329">
        <f>AVERAGEIFS(worksheet!$M$2:$M$629,worksheet!$B$2:$B$629,D$3)</f>
        <v>6.2735908626284906E-2</v>
      </c>
      <c r="E25" s="329">
        <f>AVERAGEIFS(worksheet!$M$2:$M$629,worksheet!$B$2:$B$629,E$3)</f>
        <v>5.5452311836442919E-2</v>
      </c>
      <c r="F25" s="334">
        <f>AVERAGEIFS(worksheet!$M$2:$M$629,worksheet!$B$2:$B$629,F$3)</f>
        <v>0.12327640770883931</v>
      </c>
      <c r="G25" s="333">
        <f>AVERAGE(worksheet!$M$2:$M$629)</f>
        <v>0.11484758833304988</v>
      </c>
      <c r="H25" s="183"/>
      <c r="I25" s="183"/>
      <c r="J25" s="183"/>
      <c r="K25" s="184"/>
      <c r="L25" s="184"/>
    </row>
    <row r="26" spans="2:12" ht="15.75" thickTop="1" x14ac:dyDescent="0.25">
      <c r="B26" s="458" t="s">
        <v>262</v>
      </c>
      <c r="C26" s="459"/>
      <c r="D26" s="459"/>
      <c r="E26" s="459"/>
      <c r="F26" s="459"/>
      <c r="G26" s="460"/>
      <c r="H26" s="63"/>
      <c r="I26" s="63"/>
      <c r="J26" s="63"/>
      <c r="K26" s="63"/>
      <c r="L26" s="63"/>
    </row>
    <row r="27" spans="2:12" x14ac:dyDescent="0.25">
      <c r="B27" s="222" t="s">
        <v>266</v>
      </c>
      <c r="C27" s="62">
        <f>SQRT(AVERAGE(nb_x2))/AVERAGE(nb_c)</f>
        <v>0.29574253102644726</v>
      </c>
      <c r="D27" s="62">
        <f>SQRT(AVERAGE(sb_x2))/AVERAGE(sb_c)</f>
        <v>0.21988505850076351</v>
      </c>
      <c r="E27" s="62">
        <f>SQRT(AVERAGE(wb_x2))/AVERAGE(wb_c)</f>
        <v>0.17090291326550336</v>
      </c>
      <c r="F27" s="62">
        <f>SQRT(AVERAGE(eb_x2))/AVERAGE(eb_c)</f>
        <v>0.14706056873143281</v>
      </c>
      <c r="G27" s="335">
        <f>SQRT(AVERAGE(worksheet!$N$2:$N$629))/AVERAGE(worksheet!$K$2:$K$629)</f>
        <v>0.2357764578874878</v>
      </c>
      <c r="H27" s="185"/>
      <c r="I27" s="185"/>
      <c r="J27" s="185"/>
      <c r="K27" s="185"/>
      <c r="L27" s="185"/>
    </row>
    <row r="28" spans="2:12" x14ac:dyDescent="0.25">
      <c r="B28" s="461" t="s">
        <v>224</v>
      </c>
      <c r="C28" s="462"/>
      <c r="D28" s="462"/>
      <c r="E28" s="462"/>
      <c r="F28" s="462"/>
      <c r="G28" s="463"/>
      <c r="H28" s="63"/>
      <c r="I28" s="63"/>
      <c r="J28" s="63"/>
      <c r="K28" s="63"/>
      <c r="L28" s="63"/>
    </row>
    <row r="29" spans="2:12" ht="15.75" thickBot="1" x14ac:dyDescent="0.3">
      <c r="B29" s="223" t="s">
        <v>267</v>
      </c>
      <c r="C29" s="224">
        <f>LINEST(nb_f,nb_c,FALSE)</f>
        <v>1.2141877194128559</v>
      </c>
      <c r="D29" s="224">
        <f>LINEST(sb_f,sb_c,FALSE)</f>
        <v>1.0710488241627083</v>
      </c>
      <c r="E29" s="224">
        <f>LINEST(wb_f,wb_c,FALSE)</f>
        <v>1.0243466087550153</v>
      </c>
      <c r="F29" s="224">
        <f>LINEST(eb_f,eb_c,FALSE)</f>
        <v>1.0963480164040575</v>
      </c>
      <c r="G29" s="316">
        <f>LINEST(worksheet!$L$2:$L$629,worksheet!$K$2:$K$629,FALSE)</f>
        <v>1.1171020292502938</v>
      </c>
      <c r="H29" s="185"/>
      <c r="I29" s="185"/>
      <c r="J29" s="185"/>
      <c r="K29" s="185"/>
      <c r="L29" s="185"/>
    </row>
    <row r="30" spans="2:12" ht="15.75" thickTop="1" x14ac:dyDescent="0.25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 tint="0.39997558519241921"/>
    <pageSetUpPr fitToPage="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D35" sqref="D35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3"/>
      <c r="C3" s="475" t="s">
        <v>222</v>
      </c>
      <c r="D3" s="477"/>
      <c r="E3" s="477"/>
      <c r="F3" s="477"/>
      <c r="G3" s="477"/>
      <c r="H3" s="477"/>
      <c r="I3" s="477"/>
      <c r="J3" s="477"/>
      <c r="K3" s="477"/>
      <c r="L3" s="478"/>
      <c r="M3" s="462" t="s">
        <v>273</v>
      </c>
      <c r="N3" s="462"/>
      <c r="O3" s="462"/>
      <c r="P3" s="462"/>
      <c r="Q3" s="462"/>
      <c r="R3" s="462"/>
      <c r="S3" s="462"/>
      <c r="T3" s="462"/>
      <c r="U3" s="462"/>
      <c r="V3" s="476"/>
    </row>
    <row r="4" spans="2:22" x14ac:dyDescent="0.25">
      <c r="B4" s="234"/>
      <c r="C4" s="159">
        <v>1</v>
      </c>
      <c r="D4" s="160">
        <v>2</v>
      </c>
      <c r="E4" s="160">
        <v>3</v>
      </c>
      <c r="F4" s="159">
        <v>4</v>
      </c>
      <c r="G4" s="160">
        <v>5</v>
      </c>
      <c r="H4" s="160">
        <v>6</v>
      </c>
      <c r="I4" s="159">
        <v>7</v>
      </c>
      <c r="J4" s="160">
        <v>29</v>
      </c>
      <c r="K4" s="160">
        <v>31</v>
      </c>
      <c r="L4" s="280"/>
      <c r="M4" s="251">
        <v>1</v>
      </c>
      <c r="N4" s="159">
        <v>2</v>
      </c>
      <c r="O4" s="159">
        <v>3</v>
      </c>
      <c r="P4" s="159">
        <v>4</v>
      </c>
      <c r="Q4" s="159">
        <v>5</v>
      </c>
      <c r="R4" s="159">
        <v>6</v>
      </c>
      <c r="S4" s="159">
        <v>7</v>
      </c>
      <c r="T4" s="159">
        <v>29</v>
      </c>
      <c r="U4" s="159">
        <v>31</v>
      </c>
      <c r="V4" s="159"/>
    </row>
    <row r="5" spans="2:22" x14ac:dyDescent="0.25">
      <c r="B5" s="190" t="s">
        <v>210</v>
      </c>
      <c r="C5" s="158" t="s">
        <v>226</v>
      </c>
      <c r="D5" s="158" t="s">
        <v>225</v>
      </c>
      <c r="E5" s="158" t="s">
        <v>227</v>
      </c>
      <c r="F5" s="158" t="s">
        <v>229</v>
      </c>
      <c r="G5" s="158" t="s">
        <v>228</v>
      </c>
      <c r="H5" s="158" t="s">
        <v>230</v>
      </c>
      <c r="I5" s="158" t="s">
        <v>231</v>
      </c>
      <c r="J5" s="158" t="s">
        <v>307</v>
      </c>
      <c r="K5" s="158" t="s">
        <v>306</v>
      </c>
      <c r="L5" s="281" t="s">
        <v>211</v>
      </c>
      <c r="M5" s="252" t="s">
        <v>226</v>
      </c>
      <c r="N5" s="158" t="s">
        <v>225</v>
      </c>
      <c r="O5" s="158" t="s">
        <v>227</v>
      </c>
      <c r="P5" s="158" t="s">
        <v>229</v>
      </c>
      <c r="Q5" s="158" t="s">
        <v>228</v>
      </c>
      <c r="R5" s="158" t="s">
        <v>230</v>
      </c>
      <c r="S5" s="158" t="s">
        <v>231</v>
      </c>
      <c r="T5" s="158" t="s">
        <v>307</v>
      </c>
      <c r="U5" s="158" t="s">
        <v>306</v>
      </c>
      <c r="V5" s="158" t="s">
        <v>211</v>
      </c>
    </row>
    <row r="6" spans="2:22" x14ac:dyDescent="0.25">
      <c r="B6" s="191" t="s">
        <v>268</v>
      </c>
      <c r="C6" s="324">
        <f>COUNTIFS(worksheet!$A$2:$A$629,C$4,worksheet!$M$2:$M$629,"&gt;=40%")</f>
        <v>11</v>
      </c>
      <c r="D6" s="324">
        <f>COUNTIFS(worksheet!$A$2:$A$629,D$4,worksheet!$M$2:$M$629,"&gt;=40%")</f>
        <v>4</v>
      </c>
      <c r="E6" s="324">
        <f>COUNTIFS(worksheet!$A$2:$A$629,E$4,worksheet!$M$2:$M$629,"&gt;=40%")</f>
        <v>5</v>
      </c>
      <c r="F6" s="324">
        <f>COUNTIFS(worksheet!$A$2:$A$629,F$4,worksheet!$M$2:$M$629,"&gt;=40%")</f>
        <v>0</v>
      </c>
      <c r="G6" s="324">
        <f>COUNTIFS(worksheet!$A$2:$A$629,G$4,worksheet!$M$2:$M$629,"&gt;=40%")</f>
        <v>1</v>
      </c>
      <c r="H6" s="324">
        <f>COUNTIFS(worksheet!$A$2:$A$629,H$4,worksheet!$M$2:$M$629,"&gt;=40%")</f>
        <v>0</v>
      </c>
      <c r="I6" s="324">
        <f>COUNTIFS(worksheet!$A$2:$A$629,I$4,worksheet!$M$2:$M$629,"&gt;=40%")</f>
        <v>1</v>
      </c>
      <c r="J6" s="327">
        <f>COUNTIFS(worksheet!$A$2:$A$629,J$4,worksheet!$M$2:$M$629,"&gt;=40%")</f>
        <v>0</v>
      </c>
      <c r="K6" s="327">
        <f>COUNTIFS(worksheet!$A$2:$A$629,K$4,worksheet!$M$2:$M$629,"&gt;=40%")</f>
        <v>3</v>
      </c>
      <c r="L6" s="282">
        <f>SUM(C6:K6)</f>
        <v>25</v>
      </c>
      <c r="M6" s="253">
        <f>C6/C$22</f>
        <v>0.15068493150684931</v>
      </c>
      <c r="N6" s="29">
        <f>D6/D$22</f>
        <v>7.407407407407407E-2</v>
      </c>
      <c r="O6" s="29">
        <f t="shared" ref="O6:O15" si="0">E6/E$22</f>
        <v>0.18518518518518517</v>
      </c>
      <c r="P6" s="29">
        <f t="shared" ref="P6:P15" si="1">F6/F$22</f>
        <v>0</v>
      </c>
      <c r="Q6" s="29">
        <f t="shared" ref="Q6:Q15" si="2">G6/G$22</f>
        <v>5.8823529411764705E-2</v>
      </c>
      <c r="R6" s="29">
        <f t="shared" ref="R6:R15" si="3">H6/H$22</f>
        <v>0</v>
      </c>
      <c r="S6" s="29">
        <f t="shared" ref="S6:S15" si="4">I6/I$22</f>
        <v>1</v>
      </c>
      <c r="T6" s="139">
        <f t="shared" ref="T6:T15" si="5">J6/J$22</f>
        <v>0</v>
      </c>
      <c r="U6" s="139">
        <f t="shared" ref="U6:U15" si="6">K6/K$22</f>
        <v>1</v>
      </c>
      <c r="V6" s="235">
        <f t="shared" ref="V6:V15" si="7">L6/L$22</f>
        <v>0.125</v>
      </c>
    </row>
    <row r="7" spans="2:22" x14ac:dyDescent="0.25">
      <c r="B7" s="191" t="s">
        <v>270</v>
      </c>
      <c r="C7" s="324">
        <f>COUNTIFS(worksheet!$A$2:$A$629,C$4,worksheet!$M$2:$M$629,"&gt;=30%",worksheet!$M$2:$M$629,"&lt;40%")</f>
        <v>21</v>
      </c>
      <c r="D7" s="324">
        <f>COUNTIFS(worksheet!$A$2:$A$629,D$4,worksheet!$M$2:$M$629,"&gt;=30%",worksheet!$M$2:$M$629,"&lt;40%")</f>
        <v>7</v>
      </c>
      <c r="E7" s="324">
        <f>COUNTIFS(worksheet!$A$2:$A$629,E$4,worksheet!$M$2:$M$629,"&gt;=30%",worksheet!$M$2:$M$629,"&lt;40%")</f>
        <v>2</v>
      </c>
      <c r="F7" s="324">
        <f>COUNTIFS(worksheet!$A$2:$A$629,F$4,worksheet!$M$2:$M$629,"&gt;=30%",worksheet!$M$2:$M$629,"&lt;40%")</f>
        <v>1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327">
        <f>COUNTIFS(worksheet!$A$2:$A$629,J$4,worksheet!$M$2:$M$629,"&gt;=30%",worksheet!$M$2:$M$629,"&lt;40%")</f>
        <v>0</v>
      </c>
      <c r="K7" s="327">
        <f>COUNTIFS(worksheet!$A$2:$A$629,K$4,worksheet!$M$2:$M$629,"&gt;=30%",worksheet!$M$2:$M$629,"&lt;40%")</f>
        <v>0</v>
      </c>
      <c r="L7" s="283">
        <f t="shared" ref="L7:L14" si="8">SUM(C7:K7)</f>
        <v>31</v>
      </c>
      <c r="M7" s="253">
        <f t="shared" ref="M7:M15" si="9">C7/C$22</f>
        <v>0.28767123287671231</v>
      </c>
      <c r="N7" s="29">
        <f t="shared" ref="N7:N15" si="10">D7/D$22</f>
        <v>0.12962962962962962</v>
      </c>
      <c r="O7" s="29">
        <f t="shared" si="0"/>
        <v>7.407407407407407E-2</v>
      </c>
      <c r="P7" s="29">
        <f t="shared" si="1"/>
        <v>0.1111111111111111</v>
      </c>
      <c r="Q7" s="29">
        <f t="shared" si="2"/>
        <v>0</v>
      </c>
      <c r="R7" s="29">
        <f t="shared" si="3"/>
        <v>0</v>
      </c>
      <c r="S7" s="29">
        <f t="shared" si="4"/>
        <v>0</v>
      </c>
      <c r="T7" s="139">
        <f t="shared" si="5"/>
        <v>0</v>
      </c>
      <c r="U7" s="139">
        <f t="shared" si="6"/>
        <v>0</v>
      </c>
      <c r="V7" s="29">
        <f t="shared" si="7"/>
        <v>0.155</v>
      </c>
    </row>
    <row r="8" spans="2:22" x14ac:dyDescent="0.25">
      <c r="B8" s="236" t="s">
        <v>212</v>
      </c>
      <c r="C8" s="328">
        <f>COUNTIFS(worksheet!$A$2:$A$629,C$4,worksheet!$M$2:$M$629,"&gt;=20%",worksheet!$M$2:$M$629,"&lt;30%")</f>
        <v>15</v>
      </c>
      <c r="D8" s="328">
        <f>COUNTIFS(worksheet!$A$2:$A$629,D$4,worksheet!$M$2:$M$629,"&gt;=20%",worksheet!$M$2:$M$629,"&lt;30%")</f>
        <v>19</v>
      </c>
      <c r="E8" s="328">
        <f>COUNTIFS(worksheet!$A$2:$A$629,E$4,worksheet!$M$2:$M$629,"&gt;=20%",worksheet!$M$2:$M$629,"&lt;30%")</f>
        <v>4</v>
      </c>
      <c r="F8" s="328">
        <f>COUNTIFS(worksheet!$A$2:$A$629,F$4,worksheet!$M$2:$M$629,"&gt;=20%",worksheet!$M$2:$M$629,"&lt;30%")</f>
        <v>4</v>
      </c>
      <c r="G8" s="328">
        <f>COUNTIFS(worksheet!$A$2:$A$629,G$4,worksheet!$M$2:$M$629,"&gt;=20%",worksheet!$M$2:$M$629,"&lt;30%")</f>
        <v>0</v>
      </c>
      <c r="H8" s="328">
        <f>COUNTIFS(worksheet!$A$2:$A$629,H$4,worksheet!$M$2:$M$629,"&gt;=20%",worksheet!$M$2:$M$629,"&lt;30%")</f>
        <v>1</v>
      </c>
      <c r="I8" s="328">
        <f>COUNTIFS(worksheet!$A$2:$A$629,I$4,worksheet!$M$2:$M$629,"&gt;=20%",worksheet!$M$2:$M$629,"&lt;30%")</f>
        <v>0</v>
      </c>
      <c r="J8" s="319">
        <f>COUNTIFS(worksheet!$A$2:$A$629,J$4,worksheet!$M$2:$M$629,"&gt;=20%",worksheet!$M$2:$M$629,"&lt;30%")</f>
        <v>2</v>
      </c>
      <c r="K8" s="319">
        <f>COUNTIFS(worksheet!$A$2:$A$629,K$4,worksheet!$M$2:$M$629,"&gt;=20%",worksheet!$M$2:$M$629,"&lt;30%")</f>
        <v>0</v>
      </c>
      <c r="L8" s="284">
        <f t="shared" si="8"/>
        <v>45</v>
      </c>
      <c r="M8" s="254">
        <f t="shared" si="9"/>
        <v>0.20547945205479451</v>
      </c>
      <c r="N8" s="36">
        <f t="shared" si="10"/>
        <v>0.35185185185185186</v>
      </c>
      <c r="O8" s="36">
        <f t="shared" si="0"/>
        <v>0.14814814814814814</v>
      </c>
      <c r="P8" s="36">
        <f t="shared" si="1"/>
        <v>0.44444444444444442</v>
      </c>
      <c r="Q8" s="36">
        <f t="shared" si="2"/>
        <v>0</v>
      </c>
      <c r="R8" s="36">
        <f t="shared" si="3"/>
        <v>0.33333333333333331</v>
      </c>
      <c r="S8" s="36">
        <f t="shared" si="4"/>
        <v>0</v>
      </c>
      <c r="T8" s="140">
        <f t="shared" si="5"/>
        <v>0.15384615384615385</v>
      </c>
      <c r="U8" s="140">
        <f t="shared" si="6"/>
        <v>0</v>
      </c>
      <c r="V8" s="36">
        <f t="shared" si="7"/>
        <v>0.22500000000000001</v>
      </c>
    </row>
    <row r="9" spans="2:22" x14ac:dyDescent="0.25">
      <c r="B9" s="236" t="s">
        <v>213</v>
      </c>
      <c r="C9" s="328">
        <f>COUNTIFS(worksheet!$A$2:$A$629,C$4,worksheet!$M$2:$M$629,"&gt;=10%",worksheet!$M$2:$M$629,"&lt;20%")</f>
        <v>12</v>
      </c>
      <c r="D9" s="328">
        <f>COUNTIFS(worksheet!$A$2:$A$629,D$4,worksheet!$M$2:$M$629,"&gt;=10%",worksheet!$M$2:$M$629,"&lt;20%")</f>
        <v>14</v>
      </c>
      <c r="E9" s="328">
        <f>COUNTIFS(worksheet!$A$2:$A$629,E$4,worksheet!$M$2:$M$629,"&gt;=10%",worksheet!$M$2:$M$629,"&lt;20%")</f>
        <v>3</v>
      </c>
      <c r="F9" s="328">
        <f>COUNTIFS(worksheet!$A$2:$A$629,F$4,worksheet!$M$2:$M$629,"&gt;=10%",worksheet!$M$2:$M$629,"&lt;20%")</f>
        <v>4</v>
      </c>
      <c r="G9" s="328">
        <f>COUNTIFS(worksheet!$A$2:$A$629,G$4,worksheet!$M$2:$M$629,"&gt;=10%",worksheet!$M$2:$M$629,"&lt;20%")</f>
        <v>2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0</v>
      </c>
      <c r="J9" s="319">
        <f>COUNTIFS(worksheet!$A$2:$A$629,J$4,worksheet!$M$2:$M$629,"&gt;=10%",worksheet!$M$2:$M$629,"&lt;20%")</f>
        <v>1</v>
      </c>
      <c r="K9" s="319">
        <f>COUNTIFS(worksheet!$A$2:$A$629,K$4,worksheet!$M$2:$M$629,"&gt;=10%",worksheet!$M$2:$M$629,"&lt;20%")</f>
        <v>0</v>
      </c>
      <c r="L9" s="284">
        <f t="shared" si="8"/>
        <v>36</v>
      </c>
      <c r="M9" s="254">
        <f t="shared" si="9"/>
        <v>0.16438356164383561</v>
      </c>
      <c r="N9" s="36">
        <f t="shared" si="10"/>
        <v>0.25925925925925924</v>
      </c>
      <c r="O9" s="36">
        <f t="shared" si="0"/>
        <v>0.1111111111111111</v>
      </c>
      <c r="P9" s="36">
        <f t="shared" si="1"/>
        <v>0.44444444444444442</v>
      </c>
      <c r="Q9" s="36">
        <f t="shared" si="2"/>
        <v>0.11764705882352941</v>
      </c>
      <c r="R9" s="36">
        <f t="shared" si="3"/>
        <v>0</v>
      </c>
      <c r="S9" s="36">
        <f t="shared" si="4"/>
        <v>0</v>
      </c>
      <c r="T9" s="140">
        <f t="shared" si="5"/>
        <v>7.6923076923076927E-2</v>
      </c>
      <c r="U9" s="140">
        <f t="shared" si="6"/>
        <v>0</v>
      </c>
      <c r="V9" s="36">
        <f t="shared" si="7"/>
        <v>0.18</v>
      </c>
    </row>
    <row r="10" spans="2:22" x14ac:dyDescent="0.25">
      <c r="B10" s="236" t="s">
        <v>214</v>
      </c>
      <c r="C10" s="328">
        <f>COUNTIFS(worksheet!$A$2:$A$629,C$4,worksheet!$M$2:$M$629,"&gt;=0%",worksheet!$M$2:$M$629,"&lt;10%")</f>
        <v>4</v>
      </c>
      <c r="D10" s="328">
        <f>COUNTIFS(worksheet!$A$2:$A$629,D$4,worksheet!$M$2:$M$629,"&gt;=0%",worksheet!$M$2:$M$629,"&lt;10%")</f>
        <v>5</v>
      </c>
      <c r="E10" s="328">
        <f>COUNTIFS(worksheet!$A$2:$A$629,E$4,worksheet!$M$2:$M$629,"&gt;=0%",worksheet!$M$2:$M$629,"&lt;10%")</f>
        <v>9</v>
      </c>
      <c r="F10" s="328">
        <f>COUNTIFS(worksheet!$A$2:$A$629,F$4,worksheet!$M$2:$M$629,"&gt;=0%",worksheet!$M$2:$M$629,"&lt;10%")</f>
        <v>0</v>
      </c>
      <c r="G10" s="328">
        <f>COUNTIFS(worksheet!$A$2:$A$629,G$4,worksheet!$M$2:$M$629,"&gt;=0%",worksheet!$M$2:$M$629,"&lt;10%")</f>
        <v>5</v>
      </c>
      <c r="H10" s="328">
        <f>COUNTIFS(worksheet!$A$2:$A$629,H$4,worksheet!$M$2:$M$629,"&gt;=0%",worksheet!$M$2:$M$629,"&lt;10%")</f>
        <v>1</v>
      </c>
      <c r="I10" s="328">
        <f>COUNTIFS(worksheet!$A$2:$A$629,I$4,worksheet!$M$2:$M$629,"&gt;=0%",worksheet!$M$2:$M$629,"&lt;10%")</f>
        <v>0</v>
      </c>
      <c r="J10" s="319">
        <f>COUNTIFS(worksheet!$A$2:$A$629,J$4,worksheet!$M$2:$M$629,"&gt;=0%",worksheet!$M$2:$M$629,"&lt;10%")</f>
        <v>1</v>
      </c>
      <c r="K10" s="319">
        <f>COUNTIFS(worksheet!$A$2:$A$629,K$4,worksheet!$M$2:$M$629,"&gt;=0%",worksheet!$M$2:$M$629,"&lt;10%")</f>
        <v>0</v>
      </c>
      <c r="L10" s="284">
        <f t="shared" si="8"/>
        <v>25</v>
      </c>
      <c r="M10" s="254">
        <f t="shared" si="9"/>
        <v>5.4794520547945202E-2</v>
      </c>
      <c r="N10" s="36">
        <f t="shared" si="10"/>
        <v>9.2592592592592587E-2</v>
      </c>
      <c r="O10" s="36">
        <f t="shared" si="0"/>
        <v>0.33333333333333331</v>
      </c>
      <c r="P10" s="36">
        <f t="shared" si="1"/>
        <v>0</v>
      </c>
      <c r="Q10" s="36">
        <f t="shared" si="2"/>
        <v>0.29411764705882354</v>
      </c>
      <c r="R10" s="36">
        <f t="shared" si="3"/>
        <v>0.33333333333333331</v>
      </c>
      <c r="S10" s="36">
        <f t="shared" si="4"/>
        <v>0</v>
      </c>
      <c r="T10" s="140">
        <f t="shared" si="5"/>
        <v>7.6923076923076927E-2</v>
      </c>
      <c r="U10" s="140">
        <f t="shared" si="6"/>
        <v>0</v>
      </c>
      <c r="V10" s="36">
        <f t="shared" si="7"/>
        <v>0.125</v>
      </c>
    </row>
    <row r="11" spans="2:22" x14ac:dyDescent="0.25">
      <c r="B11" s="237" t="s">
        <v>215</v>
      </c>
      <c r="C11" s="325">
        <f>COUNTIFS(worksheet!$A$2:$A$629,C$4,worksheet!$M$2:$M$629,"&gt;=-10%",worksheet!$M$2:$M$629,"&lt;0%")</f>
        <v>5</v>
      </c>
      <c r="D11" s="325">
        <f>COUNTIFS(worksheet!$A$2:$A$629,D$4,worksheet!$M$2:$M$629,"&gt;=-10%",worksheet!$M$2:$M$629,"&lt;0%")</f>
        <v>2</v>
      </c>
      <c r="E11" s="325">
        <f>COUNTIFS(worksheet!$A$2:$A$629,E$4,worksheet!$M$2:$M$629,"&gt;=-10%",worksheet!$M$2:$M$629,"&lt;0%")</f>
        <v>4</v>
      </c>
      <c r="F11" s="325">
        <f>COUNTIFS(worksheet!$A$2:$A$629,F$4,worksheet!$M$2:$M$629,"&gt;=-10%",worksheet!$M$2:$M$629,"&lt;0%")</f>
        <v>0</v>
      </c>
      <c r="G11" s="325">
        <f>COUNTIFS(worksheet!$A$2:$A$629,G$4,worksheet!$M$2:$M$629,"&gt;=-10%",worksheet!$M$2:$M$629,"&lt;0%")</f>
        <v>3</v>
      </c>
      <c r="H11" s="325">
        <f>COUNTIFS(worksheet!$A$2:$A$629,H$4,worksheet!$M$2:$M$629,"&gt;=-10%",worksheet!$M$2:$M$629,"&lt;0%")</f>
        <v>1</v>
      </c>
      <c r="I11" s="325">
        <f>COUNTIFS(worksheet!$A$2:$A$629,I$4,worksheet!$M$2:$M$629,"&gt;=-10%",worksheet!$M$2:$M$629,"&lt;0%")</f>
        <v>0</v>
      </c>
      <c r="J11" s="332">
        <f>COUNTIFS(worksheet!$A$2:$A$629,J$4,worksheet!$M$2:$M$629,"&gt;=-10%",worksheet!$M$2:$M$629,"&lt;0%")</f>
        <v>2</v>
      </c>
      <c r="K11" s="332">
        <f>COUNTIFS(worksheet!$A$2:$A$629,K$4,worksheet!$M$2:$M$629,"&gt;=-10%",worksheet!$M$2:$M$629,"&lt;0%")</f>
        <v>0</v>
      </c>
      <c r="L11" s="285">
        <f t="shared" si="8"/>
        <v>17</v>
      </c>
      <c r="M11" s="255">
        <f t="shared" si="9"/>
        <v>6.8493150684931503E-2</v>
      </c>
      <c r="N11" s="37">
        <f>D11/D$22</f>
        <v>3.7037037037037035E-2</v>
      </c>
      <c r="O11" s="37">
        <f t="shared" si="0"/>
        <v>0.14814814814814814</v>
      </c>
      <c r="P11" s="37">
        <f t="shared" si="1"/>
        <v>0</v>
      </c>
      <c r="Q11" s="37">
        <f t="shared" si="2"/>
        <v>0.17647058823529413</v>
      </c>
      <c r="R11" s="37">
        <f t="shared" si="3"/>
        <v>0.33333333333333331</v>
      </c>
      <c r="S11" s="37">
        <f t="shared" si="4"/>
        <v>0</v>
      </c>
      <c r="T11" s="141">
        <f t="shared" si="5"/>
        <v>0.15384615384615385</v>
      </c>
      <c r="U11" s="141">
        <f t="shared" si="6"/>
        <v>0</v>
      </c>
      <c r="V11" s="37">
        <f t="shared" si="7"/>
        <v>8.5000000000000006E-2</v>
      </c>
    </row>
    <row r="12" spans="2:22" x14ac:dyDescent="0.25">
      <c r="B12" s="238" t="s">
        <v>216</v>
      </c>
      <c r="C12" s="328">
        <f>COUNTIFS(worksheet!$A$2:$A$629,C$4,worksheet!$M$2:$M$629,"&gt;=-20%",worksheet!$M$2:$M$629,"&lt;-10%")</f>
        <v>4</v>
      </c>
      <c r="D12" s="328">
        <f>COUNTIFS(worksheet!$A$2:$A$629,D$4,worksheet!$M$2:$M$629,"&gt;=-20%",worksheet!$M$2:$M$629,"&lt;-10%")</f>
        <v>3</v>
      </c>
      <c r="E12" s="328">
        <f>COUNTIFS(worksheet!$A$2:$A$629,E$4,worksheet!$M$2:$M$629,"&gt;=-20%",worksheet!$M$2:$M$629,"&lt;-10%")</f>
        <v>0</v>
      </c>
      <c r="F12" s="328">
        <f>COUNTIFS(worksheet!$A$2:$A$629,F$4,worksheet!$M$2:$M$629,"&gt;=-20%",worksheet!$M$2:$M$629,"&lt;-10%")</f>
        <v>0</v>
      </c>
      <c r="G12" s="328">
        <f>COUNTIFS(worksheet!$A$2:$A$629,G$4,worksheet!$M$2:$M$629,"&gt;=-20%",worksheet!$M$2:$M$629,"&lt;-10%")</f>
        <v>0</v>
      </c>
      <c r="H12" s="328">
        <f>COUNTIFS(worksheet!$A$2:$A$629,H$4,worksheet!$M$2:$M$629,"&gt;=-20%",worksheet!$M$2:$M$629,"&lt;-10%")</f>
        <v>0</v>
      </c>
      <c r="I12" s="328">
        <f>COUNTIFS(worksheet!$A$2:$A$629,I$4,worksheet!$M$2:$M$629,"&gt;=-20%",worksheet!$M$2:$M$629,"&lt;-10%")</f>
        <v>0</v>
      </c>
      <c r="J12" s="319">
        <f>COUNTIFS(worksheet!$A$2:$A$629,J$4,worksheet!$M$2:$M$629,"&gt;=-20%",worksheet!$M$2:$M$629,"&lt;-10%")</f>
        <v>5</v>
      </c>
      <c r="K12" s="319">
        <f>COUNTIFS(worksheet!$A$2:$A$629,K$4,worksheet!$M$2:$M$629,"&gt;=-20%",worksheet!$M$2:$M$629,"&lt;-10%")</f>
        <v>0</v>
      </c>
      <c r="L12" s="286">
        <f t="shared" si="8"/>
        <v>12</v>
      </c>
      <c r="M12" s="256">
        <f t="shared" si="9"/>
        <v>5.4794520547945202E-2</v>
      </c>
      <c r="N12" s="38">
        <f t="shared" si="10"/>
        <v>5.5555555555555552E-2</v>
      </c>
      <c r="O12" s="38">
        <f t="shared" si="0"/>
        <v>0</v>
      </c>
      <c r="P12" s="38">
        <f t="shared" si="1"/>
        <v>0</v>
      </c>
      <c r="Q12" s="38">
        <f t="shared" si="2"/>
        <v>0</v>
      </c>
      <c r="R12" s="38">
        <f t="shared" si="3"/>
        <v>0</v>
      </c>
      <c r="S12" s="38">
        <f t="shared" si="4"/>
        <v>0</v>
      </c>
      <c r="T12" s="142">
        <f t="shared" si="5"/>
        <v>0.38461538461538464</v>
      </c>
      <c r="U12" s="142">
        <f t="shared" si="6"/>
        <v>0</v>
      </c>
      <c r="V12" s="38">
        <f t="shared" si="7"/>
        <v>0.06</v>
      </c>
    </row>
    <row r="13" spans="2:22" x14ac:dyDescent="0.25">
      <c r="B13" s="238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1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319">
        <f>COUNTIFS(worksheet!$A$2:$A$629,J$4,worksheet!$M$2:$M$629,"&gt;=-30%",worksheet!$M$2:$M$629,"&lt;-20%")</f>
        <v>2</v>
      </c>
      <c r="K13" s="319">
        <f>COUNTIFS(worksheet!$A$2:$A$629,K$4,worksheet!$M$2:$M$629,"&gt;=-30%",worksheet!$M$2:$M$629,"&lt;-20%")</f>
        <v>0</v>
      </c>
      <c r="L13" s="286">
        <f t="shared" si="8"/>
        <v>3</v>
      </c>
      <c r="M13" s="256">
        <f t="shared" si="9"/>
        <v>0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5.8823529411764705E-2</v>
      </c>
      <c r="R13" s="38">
        <f t="shared" si="3"/>
        <v>0</v>
      </c>
      <c r="S13" s="38">
        <f t="shared" si="4"/>
        <v>0</v>
      </c>
      <c r="T13" s="142">
        <f t="shared" si="5"/>
        <v>0.15384615384615385</v>
      </c>
      <c r="U13" s="142">
        <f t="shared" si="6"/>
        <v>0</v>
      </c>
      <c r="V13" s="38">
        <f t="shared" si="7"/>
        <v>1.4999999999999999E-2</v>
      </c>
    </row>
    <row r="14" spans="2:22" x14ac:dyDescent="0.25">
      <c r="B14" s="192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327">
        <f>COUNTIFS(worksheet!$A$2:$A$629,J$4,worksheet!$M$2:$M$629,"&gt;=-40%",worksheet!$M$2:$M$629,"&lt;-30%")</f>
        <v>0</v>
      </c>
      <c r="K14" s="327">
        <f>COUNTIFS(worksheet!$A$2:$A$629,K$4,worksheet!$M$2:$M$629,"&gt;=-40%",worksheet!$M$2:$M$629,"&lt;-30%")</f>
        <v>0</v>
      </c>
      <c r="L14" s="287">
        <f t="shared" si="8"/>
        <v>0</v>
      </c>
      <c r="M14" s="257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3">
        <f t="shared" si="5"/>
        <v>0</v>
      </c>
      <c r="U14" s="143">
        <f t="shared" si="6"/>
        <v>0</v>
      </c>
      <c r="V14" s="30">
        <f t="shared" si="7"/>
        <v>0</v>
      </c>
    </row>
    <row r="15" spans="2:22" x14ac:dyDescent="0.25">
      <c r="B15" s="192" t="s">
        <v>269</v>
      </c>
      <c r="C15" s="324">
        <f>COUNTIFS(worksheet!$A$2:$A$629,C$4,worksheet!$M$2:$M$629,"&lt;-40%")</f>
        <v>1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5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327">
        <f>COUNTIFS(worksheet!$A$2:$A$629,J$4,worksheet!$M$2:$M$629,"&lt;-40%")</f>
        <v>0</v>
      </c>
      <c r="K15" s="327">
        <f>COUNTIFS(worksheet!$A$2:$A$629,K$4,worksheet!$M$2:$M$629,"&lt;-40%")</f>
        <v>0</v>
      </c>
      <c r="L15" s="287">
        <f>SUM(C15:K15)</f>
        <v>6</v>
      </c>
      <c r="M15" s="257">
        <f t="shared" si="9"/>
        <v>1.3698630136986301E-2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0.29411764705882354</v>
      </c>
      <c r="R15" s="30">
        <f t="shared" si="3"/>
        <v>0</v>
      </c>
      <c r="S15" s="30">
        <f t="shared" si="4"/>
        <v>0</v>
      </c>
      <c r="T15" s="143">
        <f t="shared" si="5"/>
        <v>0</v>
      </c>
      <c r="U15" s="143">
        <f t="shared" si="6"/>
        <v>0</v>
      </c>
      <c r="V15" s="30">
        <f t="shared" si="7"/>
        <v>0.03</v>
      </c>
    </row>
    <row r="16" spans="2:22" x14ac:dyDescent="0.25">
      <c r="B16" s="193" t="s">
        <v>264</v>
      </c>
      <c r="C16" s="49">
        <f t="shared" ref="C16:Q16" si="11">SUM(C10:C11)</f>
        <v>9</v>
      </c>
      <c r="D16" s="49">
        <f t="shared" si="11"/>
        <v>7</v>
      </c>
      <c r="E16" s="49">
        <f t="shared" si="11"/>
        <v>13</v>
      </c>
      <c r="F16" s="49">
        <f t="shared" si="11"/>
        <v>0</v>
      </c>
      <c r="G16" s="49">
        <f t="shared" si="11"/>
        <v>8</v>
      </c>
      <c r="H16" s="49">
        <f t="shared" si="11"/>
        <v>2</v>
      </c>
      <c r="I16" s="49">
        <f t="shared" si="11"/>
        <v>0</v>
      </c>
      <c r="J16" s="54">
        <f t="shared" si="11"/>
        <v>3</v>
      </c>
      <c r="K16" s="54">
        <f t="shared" si="11"/>
        <v>0</v>
      </c>
      <c r="L16" s="271">
        <f t="shared" si="11"/>
        <v>42</v>
      </c>
      <c r="M16" s="258">
        <f>SUM(M10:M11)</f>
        <v>0.12328767123287671</v>
      </c>
      <c r="N16" s="40">
        <f t="shared" si="11"/>
        <v>0.12962962962962962</v>
      </c>
      <c r="O16" s="40">
        <f t="shared" si="11"/>
        <v>0.48148148148148145</v>
      </c>
      <c r="P16" s="40">
        <f t="shared" si="11"/>
        <v>0</v>
      </c>
      <c r="Q16" s="40">
        <f t="shared" si="11"/>
        <v>0.47058823529411764</v>
      </c>
      <c r="R16" s="40">
        <f t="shared" ref="R16:S16" si="12">SUM(R10:R11)</f>
        <v>0.66666666666666663</v>
      </c>
      <c r="S16" s="40">
        <f t="shared" si="12"/>
        <v>0</v>
      </c>
      <c r="T16" s="144">
        <f t="shared" ref="T16" si="13">SUM(T10:T11)</f>
        <v>0.23076923076923078</v>
      </c>
      <c r="U16" s="144">
        <f>SUM(U10:U11)</f>
        <v>0</v>
      </c>
      <c r="V16" s="40">
        <f>SUM(V10:V11)</f>
        <v>0.21000000000000002</v>
      </c>
    </row>
    <row r="17" spans="1:22" x14ac:dyDescent="0.25">
      <c r="B17" s="194" t="s">
        <v>223</v>
      </c>
      <c r="C17" s="50">
        <f t="shared" ref="C17:Q17" si="14">SUM(C9:C10,C11:C12)</f>
        <v>25</v>
      </c>
      <c r="D17" s="50">
        <f t="shared" si="14"/>
        <v>24</v>
      </c>
      <c r="E17" s="50">
        <f t="shared" si="14"/>
        <v>16</v>
      </c>
      <c r="F17" s="50">
        <f t="shared" si="14"/>
        <v>4</v>
      </c>
      <c r="G17" s="50">
        <f t="shared" si="14"/>
        <v>10</v>
      </c>
      <c r="H17" s="50">
        <f t="shared" si="14"/>
        <v>2</v>
      </c>
      <c r="I17" s="50">
        <f t="shared" si="14"/>
        <v>0</v>
      </c>
      <c r="J17" s="55">
        <f t="shared" si="14"/>
        <v>9</v>
      </c>
      <c r="K17" s="55">
        <f t="shared" si="14"/>
        <v>0</v>
      </c>
      <c r="L17" s="272">
        <f t="shared" si="14"/>
        <v>90</v>
      </c>
      <c r="M17" s="259">
        <f t="shared" si="14"/>
        <v>0.34246575342465752</v>
      </c>
      <c r="N17" s="35">
        <f t="shared" si="14"/>
        <v>0.44444444444444442</v>
      </c>
      <c r="O17" s="35">
        <f t="shared" si="14"/>
        <v>0.59259259259259256</v>
      </c>
      <c r="P17" s="35">
        <f t="shared" si="14"/>
        <v>0.44444444444444442</v>
      </c>
      <c r="Q17" s="35">
        <f t="shared" si="14"/>
        <v>0.58823529411764708</v>
      </c>
      <c r="R17" s="35">
        <f t="shared" ref="R17:S17" si="15">SUM(R9:R10,R11:R12)</f>
        <v>0.66666666666666663</v>
      </c>
      <c r="S17" s="35">
        <f t="shared" si="15"/>
        <v>0</v>
      </c>
      <c r="T17" s="145">
        <f t="shared" ref="T17" si="16">SUM(T9:T10,T11:T12)</f>
        <v>0.69230769230769229</v>
      </c>
      <c r="U17" s="145">
        <f>SUM(U9:U10,U11:U12)</f>
        <v>0</v>
      </c>
      <c r="V17" s="35">
        <f>SUM(V9:V10,V11:V12)</f>
        <v>0.45</v>
      </c>
    </row>
    <row r="18" spans="1:22" x14ac:dyDescent="0.25">
      <c r="B18" s="195" t="s">
        <v>265</v>
      </c>
      <c r="C18" s="147">
        <f t="shared" ref="C18:Q18" si="17">SUM(C8:C13)</f>
        <v>40</v>
      </c>
      <c r="D18" s="147">
        <f t="shared" si="17"/>
        <v>43</v>
      </c>
      <c r="E18" s="147">
        <f t="shared" si="17"/>
        <v>20</v>
      </c>
      <c r="F18" s="147">
        <f t="shared" si="17"/>
        <v>8</v>
      </c>
      <c r="G18" s="147">
        <f t="shared" si="17"/>
        <v>11</v>
      </c>
      <c r="H18" s="147">
        <f t="shared" si="17"/>
        <v>3</v>
      </c>
      <c r="I18" s="147">
        <f t="shared" si="17"/>
        <v>0</v>
      </c>
      <c r="J18" s="148">
        <f t="shared" si="17"/>
        <v>13</v>
      </c>
      <c r="K18" s="148">
        <f t="shared" si="17"/>
        <v>0</v>
      </c>
      <c r="L18" s="273">
        <f t="shared" si="17"/>
        <v>138</v>
      </c>
      <c r="M18" s="260">
        <f t="shared" si="17"/>
        <v>0.54794520547945202</v>
      </c>
      <c r="N18" s="149">
        <f t="shared" si="17"/>
        <v>0.79629629629629628</v>
      </c>
      <c r="O18" s="149">
        <f t="shared" si="17"/>
        <v>0.7407407407407407</v>
      </c>
      <c r="P18" s="149">
        <f t="shared" si="17"/>
        <v>0.88888888888888884</v>
      </c>
      <c r="Q18" s="149">
        <f t="shared" si="17"/>
        <v>0.6470588235294118</v>
      </c>
      <c r="R18" s="149">
        <f t="shared" ref="R18:S18" si="18">SUM(R8:R13)</f>
        <v>1</v>
      </c>
      <c r="S18" s="149">
        <f t="shared" si="18"/>
        <v>0</v>
      </c>
      <c r="T18" s="150">
        <f t="shared" ref="T18" si="19">SUM(T8:T13)</f>
        <v>1</v>
      </c>
      <c r="U18" s="150">
        <f>SUM(U8:U13)</f>
        <v>0</v>
      </c>
      <c r="V18" s="149">
        <f>SUM(V8:V13)</f>
        <v>0.69000000000000006</v>
      </c>
    </row>
    <row r="19" spans="1:22" x14ac:dyDescent="0.25">
      <c r="B19" s="239"/>
      <c r="C19" s="481" t="s">
        <v>302</v>
      </c>
      <c r="D19" s="480"/>
      <c r="E19" s="480"/>
      <c r="F19" s="480"/>
      <c r="G19" s="480"/>
      <c r="H19" s="480"/>
      <c r="I19" s="480"/>
      <c r="J19" s="480"/>
      <c r="K19" s="480"/>
      <c r="L19" s="482"/>
      <c r="M19" s="479" t="s">
        <v>303</v>
      </c>
      <c r="N19" s="480"/>
      <c r="O19" s="480"/>
      <c r="P19" s="480"/>
      <c r="Q19" s="480"/>
      <c r="R19" s="480"/>
      <c r="S19" s="480"/>
      <c r="T19" s="480"/>
      <c r="U19" s="480"/>
      <c r="V19" s="480"/>
    </row>
    <row r="20" spans="1:22" x14ac:dyDescent="0.25">
      <c r="B20" s="240" t="s">
        <v>304</v>
      </c>
      <c r="C20" s="230">
        <f t="shared" ref="C20:Q20" si="20">SUM(C6:C10)</f>
        <v>63</v>
      </c>
      <c r="D20" s="230">
        <f t="shared" si="20"/>
        <v>49</v>
      </c>
      <c r="E20" s="230">
        <f t="shared" si="20"/>
        <v>23</v>
      </c>
      <c r="F20" s="230">
        <f t="shared" si="20"/>
        <v>9</v>
      </c>
      <c r="G20" s="230">
        <f t="shared" si="20"/>
        <v>8</v>
      </c>
      <c r="H20" s="230">
        <f t="shared" si="20"/>
        <v>2</v>
      </c>
      <c r="I20" s="230">
        <f t="shared" si="20"/>
        <v>1</v>
      </c>
      <c r="J20" s="230">
        <f t="shared" si="20"/>
        <v>4</v>
      </c>
      <c r="K20" s="230">
        <f t="shared" si="20"/>
        <v>3</v>
      </c>
      <c r="L20" s="288">
        <f>SUM(L6:L10)</f>
        <v>162</v>
      </c>
      <c r="M20" s="261">
        <f>SUM(M6:M10)</f>
        <v>0.86301369863013688</v>
      </c>
      <c r="N20" s="151">
        <f t="shared" si="20"/>
        <v>0.90740740740740744</v>
      </c>
      <c r="O20" s="151">
        <f t="shared" si="20"/>
        <v>0.85185185185185186</v>
      </c>
      <c r="P20" s="151">
        <f t="shared" si="20"/>
        <v>1</v>
      </c>
      <c r="Q20" s="151">
        <f t="shared" si="20"/>
        <v>0.47058823529411764</v>
      </c>
      <c r="R20" s="151">
        <f t="shared" ref="R20:S20" si="21">SUM(R6:R10)</f>
        <v>0.66666666666666663</v>
      </c>
      <c r="S20" s="151">
        <f t="shared" si="21"/>
        <v>1</v>
      </c>
      <c r="T20" s="151">
        <f t="shared" ref="T20" si="22">SUM(T6:T10)</f>
        <v>0.30769230769230771</v>
      </c>
      <c r="U20" s="151">
        <f>SUM(U6:U10)</f>
        <v>1</v>
      </c>
      <c r="V20" s="151">
        <f>SUM(V6:V10)</f>
        <v>0.81</v>
      </c>
    </row>
    <row r="21" spans="1:22" x14ac:dyDescent="0.25">
      <c r="B21" s="241" t="s">
        <v>305</v>
      </c>
      <c r="C21" s="231">
        <f t="shared" ref="C21:Q21" si="23">SUM(C11:C15)</f>
        <v>10</v>
      </c>
      <c r="D21" s="231">
        <f t="shared" si="23"/>
        <v>5</v>
      </c>
      <c r="E21" s="231">
        <f t="shared" si="23"/>
        <v>4</v>
      </c>
      <c r="F21" s="231">
        <f t="shared" si="23"/>
        <v>0</v>
      </c>
      <c r="G21" s="231">
        <f t="shared" si="23"/>
        <v>9</v>
      </c>
      <c r="H21" s="231">
        <f t="shared" si="23"/>
        <v>1</v>
      </c>
      <c r="I21" s="231">
        <f t="shared" si="23"/>
        <v>0</v>
      </c>
      <c r="J21" s="231">
        <f t="shared" si="23"/>
        <v>9</v>
      </c>
      <c r="K21" s="231">
        <f t="shared" si="23"/>
        <v>0</v>
      </c>
      <c r="L21" s="289">
        <f>SUM(L11:L15)</f>
        <v>38</v>
      </c>
      <c r="M21" s="262">
        <f>SUM(M11:M15)</f>
        <v>0.13698630136986301</v>
      </c>
      <c r="N21" s="152">
        <f t="shared" si="23"/>
        <v>9.2592592592592587E-2</v>
      </c>
      <c r="O21" s="152">
        <f t="shared" si="23"/>
        <v>0.14814814814814814</v>
      </c>
      <c r="P21" s="152">
        <f t="shared" si="23"/>
        <v>0</v>
      </c>
      <c r="Q21" s="152">
        <f t="shared" si="23"/>
        <v>0.52941176470588236</v>
      </c>
      <c r="R21" s="152">
        <f t="shared" ref="R21:S21" si="24">SUM(R11:R15)</f>
        <v>0.33333333333333331</v>
      </c>
      <c r="S21" s="152">
        <f t="shared" si="24"/>
        <v>0</v>
      </c>
      <c r="T21" s="152">
        <f t="shared" ref="T21" si="25">SUM(T11:T15)</f>
        <v>0.6923076923076924</v>
      </c>
      <c r="U21" s="152">
        <f>SUM(U11:U15)</f>
        <v>0</v>
      </c>
      <c r="V21" s="152">
        <f>SUM(V11:V15)</f>
        <v>0.19000000000000003</v>
      </c>
    </row>
    <row r="22" spans="1:22" x14ac:dyDescent="0.25">
      <c r="B22" s="196" t="s">
        <v>208</v>
      </c>
      <c r="C22" s="153">
        <f>C20+C21</f>
        <v>73</v>
      </c>
      <c r="D22" s="153">
        <f t="shared" ref="D22:V22" si="26">D20+D21</f>
        <v>54</v>
      </c>
      <c r="E22" s="153">
        <f t="shared" si="26"/>
        <v>27</v>
      </c>
      <c r="F22" s="153">
        <f t="shared" si="26"/>
        <v>9</v>
      </c>
      <c r="G22" s="153">
        <f t="shared" si="26"/>
        <v>17</v>
      </c>
      <c r="H22" s="153">
        <f t="shared" si="26"/>
        <v>3</v>
      </c>
      <c r="I22" s="153">
        <f t="shared" si="26"/>
        <v>1</v>
      </c>
      <c r="J22" s="154">
        <f t="shared" si="26"/>
        <v>13</v>
      </c>
      <c r="K22" s="154">
        <f t="shared" si="26"/>
        <v>3</v>
      </c>
      <c r="L22" s="290">
        <f>L20+L21</f>
        <v>200</v>
      </c>
      <c r="M22" s="263">
        <f t="shared" si="26"/>
        <v>0.99999999999999989</v>
      </c>
      <c r="N22" s="249">
        <f t="shared" si="26"/>
        <v>1</v>
      </c>
      <c r="O22" s="249">
        <f t="shared" si="26"/>
        <v>1</v>
      </c>
      <c r="P22" s="249">
        <f t="shared" si="26"/>
        <v>1</v>
      </c>
      <c r="Q22" s="249">
        <f t="shared" si="26"/>
        <v>1</v>
      </c>
      <c r="R22" s="249">
        <f t="shared" ref="R22:S22" si="27">R20+R21</f>
        <v>1</v>
      </c>
      <c r="S22" s="249">
        <f t="shared" si="27"/>
        <v>1</v>
      </c>
      <c r="T22" s="278">
        <f t="shared" ref="T22" si="28">T20+T21</f>
        <v>1</v>
      </c>
      <c r="U22" s="278">
        <f t="shared" si="26"/>
        <v>1</v>
      </c>
      <c r="V22" s="249">
        <f t="shared" si="26"/>
        <v>1</v>
      </c>
    </row>
    <row r="23" spans="1:22" x14ac:dyDescent="0.25">
      <c r="B23" s="475" t="s">
        <v>259</v>
      </c>
      <c r="C23" s="462"/>
      <c r="D23" s="462"/>
      <c r="E23" s="462"/>
      <c r="F23" s="462"/>
      <c r="G23" s="462"/>
      <c r="H23" s="462"/>
      <c r="I23" s="462"/>
      <c r="J23" s="462"/>
      <c r="K23" s="462"/>
      <c r="L23" s="463"/>
    </row>
    <row r="24" spans="1:22" x14ac:dyDescent="0.25">
      <c r="B24" s="242" t="s">
        <v>255</v>
      </c>
      <c r="C24" s="339">
        <f>IF(C20=0,"",AVERAGEIFS(worksheet!$M$2:$M$629,worksheet!$A$2:$A$629,C$4,worksheet!$M$2:$M$629,"&gt;=0%"))</f>
        <v>0.32312838341211253</v>
      </c>
      <c r="D24" s="339">
        <f>IF(D20=0,"",AVERAGEIFS(worksheet!$M$2:$M$629,worksheet!$A$2:$A$629,D$4,worksheet!$M$2:$M$629,"&gt;=0%"))</f>
        <v>0.22729682124744513</v>
      </c>
      <c r="E24" s="339">
        <f>IF(E20=0,"",AVERAGEIFS(worksheet!$M$2:$M$629,worksheet!$A$2:$A$629,E$4,worksheet!$M$2:$M$629,"&gt;=0%"))</f>
        <v>0.23416433376947432</v>
      </c>
      <c r="F24" s="339">
        <f>IF(F20=0,"",AVERAGEIFS(worksheet!$M$2:$M$629,worksheet!$A$2:$A$629,F$4,worksheet!$M$2:$M$629,"&gt;=0%"))</f>
        <v>0.22471014638890363</v>
      </c>
      <c r="G24" s="339">
        <f>IF(G20=0,"",AVERAGEIFS(worksheet!$M$2:$M$629,worksheet!$A$2:$A$629,G$4,worksheet!$M$2:$M$629,"&gt;=0%"))</f>
        <v>0.1440025140152654</v>
      </c>
      <c r="H24" s="339">
        <f>IF(H20=0,"",AVERAGEIFS(worksheet!$M$2:$M$629,worksheet!$A$2:$A$629,H$4,worksheet!$M$2:$M$629,"&gt;=0%"))</f>
        <v>0.18758950609669411</v>
      </c>
      <c r="I24" s="339">
        <f>IF(I20=0,"",AVERAGEIFS(worksheet!$M$2:$M$629,worksheet!$A$2:$A$629,I$4,worksheet!$M$2:$M$629,"&gt;=0%"))</f>
        <v>0.63033953997809422</v>
      </c>
      <c r="J24" s="342">
        <f>IF(J20=0,"",AVERAGEIFS(worksheet!$M$2:$M$629,worksheet!$A$2:$A$629,J$4,worksheet!$M$2:$M$629,"&gt;=0%"))</f>
        <v>0.17413034447274656</v>
      </c>
      <c r="K24" s="342">
        <f>IF(K20=0,"",AVERAGEIFS(worksheet!$M$2:$M$629,worksheet!$A$2:$A$629,K$4,worksheet!$M$2:$M$629,"&gt;=0%"))</f>
        <v>1.330324530046229</v>
      </c>
      <c r="L24" s="318">
        <f>AVERAGEIFS(worksheet!$M$2:$M$629,worksheet!$M$2:$M$629,"&gt;=0%",worksheet!$B$2:$B$629,1)</f>
        <v>0.28239405569511883</v>
      </c>
    </row>
    <row r="25" spans="1:22" s="232" customFormat="1" x14ac:dyDescent="0.25">
      <c r="B25" s="243" t="s">
        <v>256</v>
      </c>
      <c r="C25" s="339">
        <f>IF(C21=0,"",AVERAGEIFS(worksheet!$M$2:$M$629,worksheet!$A$2:$A$629,C$4,worksheet!$M$2:$M$629,"&lt;0%"))</f>
        <v>-0.12524351479816126</v>
      </c>
      <c r="D25" s="339">
        <f>IF(D21=0,"",AVERAGEIFS(worksheet!$M$2:$M$629,worksheet!$A$2:$A$629,D$4,worksheet!$M$2:$M$629,"&lt;0%"))</f>
        <v>-8.6873458244600382E-2</v>
      </c>
      <c r="E25" s="339">
        <f>IF(E21=0,"",AVERAGEIFS(worksheet!$M$2:$M$629,worksheet!$A$2:$A$629,E$4,worksheet!$M$2:$M$629,"&lt;0%"))</f>
        <v>-2.7805945745709076E-2</v>
      </c>
      <c r="F25" s="339" t="str">
        <f>IF(F21=0,"",AVERAGEIFS(worksheet!$M$2:$M$629,worksheet!$A$2:$A$629,F$4,worksheet!$M$2:$M$629,"&lt;0%"))</f>
        <v/>
      </c>
      <c r="G25" s="339">
        <f>IF(G21=0,"",AVERAGEIFS(worksheet!$M$2:$M$629,worksheet!$A$2:$A$629,G$4,worksheet!$M$2:$M$629,"&lt;0%"))</f>
        <v>-0.30587192723727202</v>
      </c>
      <c r="H25" s="339">
        <f>IF(H21=0,"",AVERAGEIFS(worksheet!$M$2:$M$629,worksheet!$A$2:$A$629,H$4,worksheet!$M$2:$M$629,"&lt;0%"))</f>
        <v>-1.9316265521999054E-2</v>
      </c>
      <c r="I25" s="339" t="str">
        <f>IF(I21=0,"",AVERAGEIFS(worksheet!$M$2:$M$629,worksheet!$A$2:$A$629,I$4,worksheet!$M$2:$M$629,"&lt;0%"))</f>
        <v/>
      </c>
      <c r="J25" s="342">
        <f>IF(J21=0,"",AVERAGEIFS(worksheet!$M$2:$M$629,worksheet!$A$2:$A$629,J$4,worksheet!$M$2:$M$629,"&lt;0%"))</f>
        <v>-0.14334365716825381</v>
      </c>
      <c r="K25" s="342" t="str">
        <f>IF(K21=0,"",AVERAGEIFS(worksheet!$M$2:$M$629,worksheet!$A$2:$A$629,K$4,worksheet!$M$2:$M$629,"&lt;0%"))</f>
        <v/>
      </c>
      <c r="L25" s="318">
        <f>AVERAGEIFS(worksheet!$M$2:$M$629,worksheet!$M$2:$M$629,"&lt;0%",worksheet!$B$2:$B$629,1)</f>
        <v>-0.15421796703576796</v>
      </c>
    </row>
    <row r="26" spans="1:22" ht="15.75" thickBot="1" x14ac:dyDescent="0.3">
      <c r="B26" s="244" t="s">
        <v>254</v>
      </c>
      <c r="C26" s="344">
        <f>IF(C22=0,"",AVERAGEIFS(worksheet!$M$2:$M$629,worksheet!$A$2:$A$629,C$4))</f>
        <v>0.26170757543810236</v>
      </c>
      <c r="D26" s="344">
        <f>IF(D22=0,"",AVERAGEIFS(worksheet!$M$2:$M$629,worksheet!$A$2:$A$629,D$4))</f>
        <v>0.19820698055373726</v>
      </c>
      <c r="E26" s="344">
        <f>IF(E22=0,"",AVERAGEIFS(worksheet!$M$2:$M$629,worksheet!$A$2:$A$629,E$4))</f>
        <v>0.19535392198944715</v>
      </c>
      <c r="F26" s="344">
        <f>IF(F22=0,"",AVERAGEIFS(worksheet!$M$2:$M$629,worksheet!$A$2:$A$629,F$4))</f>
        <v>0.22471014638890363</v>
      </c>
      <c r="G26" s="344">
        <f>IF(G22=0,"",AVERAGEIFS(worksheet!$M$2:$M$629,worksheet!$A$2:$A$629,G$4))</f>
        <v>-9.4166307824313233E-2</v>
      </c>
      <c r="H26" s="344">
        <f>IF(H22=0,"",AVERAGEIFS(worksheet!$M$2:$M$629,worksheet!$A$2:$A$629,H$4))</f>
        <v>0.11862091555712972</v>
      </c>
      <c r="I26" s="344">
        <f>IF(I22=0,"",AVERAGEIFS(worksheet!$M$2:$M$629,worksheet!$A$2:$A$629,I$4))</f>
        <v>0.63033953997809422</v>
      </c>
      <c r="J26" s="345">
        <f>IF(J22=0,"",AVERAGEIFS(worksheet!$M$2:$M$629,worksheet!$A$2:$A$629,J$4))</f>
        <v>-4.5659348971022924E-2</v>
      </c>
      <c r="K26" s="345">
        <f>IF(K22=0,"",AVERAGEIFS(worksheet!$M$2:$M$629,worksheet!$A$2:$A$629,K$4))</f>
        <v>1.330324530046229</v>
      </c>
      <c r="L26" s="315">
        <f>AVERAGEIFS(worksheet!$M$2:$M$629,worksheet!$B$2:$B$629,1)</f>
        <v>0.19943777137625004</v>
      </c>
    </row>
    <row r="27" spans="1:22" ht="15.75" thickTop="1" x14ac:dyDescent="0.25">
      <c r="B27" s="472" t="s">
        <v>262</v>
      </c>
      <c r="C27" s="473"/>
      <c r="D27" s="473"/>
      <c r="E27" s="473"/>
      <c r="F27" s="473"/>
      <c r="G27" s="473"/>
      <c r="H27" s="473"/>
      <c r="I27" s="473"/>
      <c r="J27" s="473"/>
      <c r="K27" s="473"/>
      <c r="L27" s="474"/>
    </row>
    <row r="28" spans="1:22" ht="15.75" thickBot="1" x14ac:dyDescent="0.3">
      <c r="B28" s="225" t="s">
        <v>263</v>
      </c>
      <c r="C28" s="326">
        <f>SQRT(SUMIF(worksheet!$A$2:$A$629,C$4,worksheet!$N$2:$N$629)/COUNTIF(worksheet!$A$2:$A$629,C4))/AVERAGEIF(worksheet!$A$2:$A$629,C4,worksheet!$K$2:$K$629)</f>
        <v>0.3507099598484501</v>
      </c>
      <c r="D28" s="326">
        <f>SQRT(SUMIF(worksheet!$A$2:$A$629,D$4,worksheet!$N$2:$N$629)/COUNTIF(worksheet!$A$2:$A$629,D4))/AVERAGEIF(worksheet!$A$2:$A$629,D4,worksheet!$K$2:$K$629)</f>
        <v>0.24987158204371715</v>
      </c>
      <c r="E28" s="326">
        <f>SQRT(SUMIF(worksheet!$A$2:$A$629,E$4,worksheet!$N$2:$N$629)/COUNTIF(worksheet!$A$2:$A$629,E4))/AVERAGEIF(worksheet!$A$2:$A$629,E4,worksheet!$K$2:$K$629)</f>
        <v>0.2294652375383458</v>
      </c>
      <c r="F28" s="326">
        <f>SQRT(SUMIF(worksheet!$A$2:$A$629,F$4,worksheet!$N$2:$N$629)/COUNTIF(worksheet!$A$2:$A$629,F4))/AVERAGEIF(worksheet!$A$2:$A$629,F4,worksheet!$K$2:$K$629)</f>
        <v>0.24709231860794886</v>
      </c>
      <c r="G28" s="326">
        <f>SQRT(SUMIF(worksheet!$A$2:$A$629,G$4,worksheet!$N$2:$N$629)/COUNTIF(worksheet!$A$2:$A$629,G4))/AVERAGEIF(worksheet!$A$2:$A$629,G4,worksheet!$K$2:$K$629)</f>
        <v>0.16920918681603633</v>
      </c>
      <c r="H28" s="62">
        <f>SQRT(SUMIF(worksheet!$A$2:$A$629,H$4,worksheet!$N$2:$N$629)/COUNTIF(worksheet!$A$2:$A$629,H4))/AVERAGEIF(worksheet!$A$2:$A$629,H4,worksheet!$K$2:$K$629)</f>
        <v>0.1768122430958608</v>
      </c>
      <c r="I28" s="155">
        <f>SQRT(SUMIF(worksheet!$A$2:$A$629,I$4,worksheet!$N$2:$N$629)/COUNTIF(worksheet!$A$2:$A$629,I4))/AVERAGEIF(worksheet!$A$2:$A$629,I4,worksheet!$K$2:$K$629)</f>
        <v>0.63033953997809422</v>
      </c>
      <c r="J28" s="317">
        <f>SQRT(SUMIF(worksheet!$A$2:$A$629,J$4,worksheet!$N$2:$N$629)/COUNTIF(worksheet!$A$2:$A$629,J4))/AVERAGEIF(worksheet!$A$2:$A$629,J4,worksheet!$K$2:$K$629)</f>
        <v>0.16119287570240715</v>
      </c>
      <c r="K28" s="317">
        <f>SQRT(SUMIF(worksheet!$A$2:$A$629,K$4,worksheet!$N$2:$N$629)/COUNTIF(worksheet!$A$2:$A$629,K4))/AVERAGEIF(worksheet!$A$2:$A$629,K4,worksheet!$K$2:$K$629)</f>
        <v>1.301340629158273</v>
      </c>
      <c r="L28" s="322">
        <f>SQRT(SUMIF(worksheet!$B$2:$B$629,1,worksheet!$N$2:$N$629)/COUNTIF(worksheet!$B$2:$B$629,1))/AVERAGEIF(worksheet!$B$2:$B$629,1,worksheet!$K$2:$K$629)</f>
        <v>0.29574253102644726</v>
      </c>
    </row>
    <row r="29" spans="1:22" ht="15.75" thickTop="1" x14ac:dyDescent="0.25">
      <c r="B29" s="458" t="s">
        <v>224</v>
      </c>
      <c r="C29" s="459"/>
      <c r="D29" s="459"/>
      <c r="E29" s="459"/>
      <c r="F29" s="459"/>
      <c r="G29" s="459"/>
      <c r="H29" s="459"/>
      <c r="I29" s="459"/>
      <c r="J29" s="459"/>
      <c r="K29" s="459"/>
      <c r="L29" s="460"/>
    </row>
    <row r="30" spans="1:22" ht="15.75" thickBot="1" x14ac:dyDescent="0.3">
      <c r="B30" s="226" t="s">
        <v>267</v>
      </c>
      <c r="C30" s="227">
        <f t="shared" ref="C30:K30" ca="1" si="29">INDIRECT(C5&amp;"!o$1")</f>
        <v>1.2794841790182672</v>
      </c>
      <c r="D30" s="227">
        <f t="shared" ca="1" si="29"/>
        <v>1.2060064680735383</v>
      </c>
      <c r="E30" s="227">
        <f t="shared" ca="1" si="29"/>
        <v>1.1378318641609599</v>
      </c>
      <c r="F30" s="227">
        <f t="shared" ca="1" si="29"/>
        <v>1.2288637180604933</v>
      </c>
      <c r="G30" s="227">
        <f t="shared" ca="1" si="29"/>
        <v>1.0534279387927492</v>
      </c>
      <c r="H30" s="227">
        <f t="shared" ca="1" si="29"/>
        <v>1.1105334744309596</v>
      </c>
      <c r="I30" s="227">
        <f t="shared" ca="1" si="29"/>
        <v>1.6303395399780942</v>
      </c>
      <c r="J30" s="228">
        <f t="shared" ca="1" si="29"/>
        <v>0.91808846373459407</v>
      </c>
      <c r="K30" s="228">
        <f t="shared" ca="1" si="29"/>
        <v>2.2630185276130494</v>
      </c>
      <c r="L30" s="229">
        <f>LINEST(worksheet!$L$2:$L$201,worksheet!$K$2:$K$201,FALSE)</f>
        <v>1.2141877194128559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sortState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paperSize="5" scale="7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  <pageSetUpPr fitToPage="1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2" width="10" style="12" customWidth="1"/>
    <col min="13" max="22" width="10" customWidth="1"/>
  </cols>
  <sheetData>
    <row r="3" spans="2:22" x14ac:dyDescent="0.25">
      <c r="B3" s="233"/>
      <c r="C3" s="475" t="s">
        <v>222</v>
      </c>
      <c r="D3" s="477"/>
      <c r="E3" s="477"/>
      <c r="F3" s="477"/>
      <c r="G3" s="477"/>
      <c r="H3" s="477"/>
      <c r="I3" s="477"/>
      <c r="J3" s="477"/>
      <c r="K3" s="477"/>
      <c r="L3" s="478"/>
      <c r="M3" s="462" t="s">
        <v>273</v>
      </c>
      <c r="N3" s="462"/>
      <c r="O3" s="462"/>
      <c r="P3" s="462"/>
      <c r="Q3" s="462"/>
      <c r="R3" s="462"/>
      <c r="S3" s="462"/>
      <c r="T3" s="462"/>
      <c r="U3" s="462"/>
      <c r="V3" s="476"/>
    </row>
    <row r="4" spans="2:22" x14ac:dyDescent="0.25">
      <c r="B4" s="234"/>
      <c r="C4" s="159">
        <v>8</v>
      </c>
      <c r="D4" s="160">
        <v>9</v>
      </c>
      <c r="E4" s="160">
        <v>10</v>
      </c>
      <c r="F4" s="159">
        <v>11</v>
      </c>
      <c r="G4" s="160">
        <v>12</v>
      </c>
      <c r="H4" s="160">
        <v>13</v>
      </c>
      <c r="I4" s="159">
        <v>14</v>
      </c>
      <c r="J4" s="160">
        <v>30</v>
      </c>
      <c r="K4" s="160">
        <v>32</v>
      </c>
      <c r="L4" s="280"/>
      <c r="M4" s="251">
        <v>8</v>
      </c>
      <c r="N4" s="159">
        <v>9</v>
      </c>
      <c r="O4" s="159">
        <v>10</v>
      </c>
      <c r="P4" s="159">
        <v>11</v>
      </c>
      <c r="Q4" s="159">
        <v>12</v>
      </c>
      <c r="R4" s="159">
        <v>13</v>
      </c>
      <c r="S4" s="159">
        <v>14</v>
      </c>
      <c r="T4" s="159">
        <v>30</v>
      </c>
      <c r="U4" s="159">
        <v>32</v>
      </c>
      <c r="V4" s="159"/>
    </row>
    <row r="5" spans="2:22" x14ac:dyDescent="0.25">
      <c r="B5" s="190" t="s">
        <v>210</v>
      </c>
      <c r="C5" s="158" t="s">
        <v>233</v>
      </c>
      <c r="D5" s="158" t="s">
        <v>232</v>
      </c>
      <c r="E5" s="158" t="s">
        <v>234</v>
      </c>
      <c r="F5" s="158" t="s">
        <v>236</v>
      </c>
      <c r="G5" s="158" t="s">
        <v>235</v>
      </c>
      <c r="H5" s="158" t="s">
        <v>237</v>
      </c>
      <c r="I5" s="158" t="s">
        <v>238</v>
      </c>
      <c r="J5" s="158" t="s">
        <v>308</v>
      </c>
      <c r="K5" s="158" t="s">
        <v>309</v>
      </c>
      <c r="L5" s="281" t="s">
        <v>211</v>
      </c>
      <c r="M5" s="252" t="s">
        <v>233</v>
      </c>
      <c r="N5" s="158" t="s">
        <v>232</v>
      </c>
      <c r="O5" s="158" t="s">
        <v>234</v>
      </c>
      <c r="P5" s="158" t="s">
        <v>236</v>
      </c>
      <c r="Q5" s="158" t="s">
        <v>235</v>
      </c>
      <c r="R5" s="158" t="s">
        <v>237</v>
      </c>
      <c r="S5" s="158" t="s">
        <v>238</v>
      </c>
      <c r="T5" s="158" t="s">
        <v>308</v>
      </c>
      <c r="U5" s="158" t="s">
        <v>309</v>
      </c>
      <c r="V5" s="158" t="s">
        <v>211</v>
      </c>
    </row>
    <row r="6" spans="2:22" x14ac:dyDescent="0.25">
      <c r="B6" s="191" t="s">
        <v>268</v>
      </c>
      <c r="C6" s="324">
        <f>COUNTIFS(worksheet!$A$2:$A$629,C$4,worksheet!$M$2:$M$629,"&gt;=40%")</f>
        <v>4</v>
      </c>
      <c r="D6" s="324">
        <f>COUNTIFS(worksheet!$A$2:$A$629,D$4,worksheet!$M$2:$M$629,"&gt;=40%")</f>
        <v>2</v>
      </c>
      <c r="E6" s="324">
        <f>COUNTIFS(worksheet!$A$2:$A$629,E$4,worksheet!$M$2:$M$629,"&gt;=40%")</f>
        <v>5</v>
      </c>
      <c r="F6" s="324">
        <f>COUNTIFS(worksheet!$A$2:$A$629,F$4,worksheet!$M$2:$M$629,"&gt;=40%")</f>
        <v>1</v>
      </c>
      <c r="G6" s="324">
        <f>COUNTIFS(worksheet!$A$2:$A$629,G$4,worksheet!$M$2:$M$629,"&gt;=40%")</f>
        <v>1</v>
      </c>
      <c r="H6" s="324">
        <f>COUNTIFS(worksheet!$A$2:$A$629,H$4,worksheet!$M$2:$M$629,"&gt;=40%")</f>
        <v>0</v>
      </c>
      <c r="I6" s="324">
        <f>COUNTIFS(worksheet!$A$2:$A$629,I$4,worksheet!$M$2:$M$629,"&gt;=40%")</f>
        <v>0</v>
      </c>
      <c r="J6" s="327">
        <f>COUNTIFS(worksheet!$A$2:$A$629,J$4,worksheet!$M$2:$M$629,"&gt;=40%")</f>
        <v>0</v>
      </c>
      <c r="K6" s="327">
        <f>COUNTIFS(worksheet!$A$2:$A$629,K$4,worksheet!$M$2:$M$629,"&gt;=40%")</f>
        <v>1</v>
      </c>
      <c r="L6" s="282">
        <f>SUM(C6:K6)</f>
        <v>14</v>
      </c>
      <c r="M6" s="253">
        <f>C6/C$22</f>
        <v>5.9701492537313432E-2</v>
      </c>
      <c r="N6" s="29">
        <f t="shared" ref="N6:V15" si="0">D6/D$22</f>
        <v>3.5087719298245612E-2</v>
      </c>
      <c r="O6" s="29">
        <f t="shared" si="0"/>
        <v>0.14705882352941177</v>
      </c>
      <c r="P6" s="29">
        <f t="shared" si="0"/>
        <v>0.1</v>
      </c>
      <c r="Q6" s="29">
        <f t="shared" si="0"/>
        <v>5.8823529411764705E-2</v>
      </c>
      <c r="R6" s="29">
        <f t="shared" ref="R6:R15" si="1">H6/H$22</f>
        <v>0</v>
      </c>
      <c r="S6" s="29">
        <f t="shared" ref="S6:S15" si="2">I6/I$22</f>
        <v>0</v>
      </c>
      <c r="T6" s="139">
        <f t="shared" si="0"/>
        <v>0</v>
      </c>
      <c r="U6" s="139">
        <f t="shared" si="0"/>
        <v>1</v>
      </c>
      <c r="V6" s="235">
        <f t="shared" si="0"/>
        <v>7.0351758793969849E-2</v>
      </c>
    </row>
    <row r="7" spans="2:22" x14ac:dyDescent="0.25">
      <c r="B7" s="191" t="s">
        <v>270</v>
      </c>
      <c r="C7" s="324">
        <f>COUNTIFS(worksheet!$A$2:$A$629,C$4,worksheet!$M$2:$M$629,"&gt;=30%",worksheet!$M$2:$M$629,"&lt;40%")</f>
        <v>6</v>
      </c>
      <c r="D7" s="324">
        <f>COUNTIFS(worksheet!$A$2:$A$629,D$4,worksheet!$M$2:$M$629,"&gt;=30%",worksheet!$M$2:$M$629,"&lt;40%")</f>
        <v>3</v>
      </c>
      <c r="E7" s="324">
        <f>COUNTIFS(worksheet!$A$2:$A$629,E$4,worksheet!$M$2:$M$629,"&gt;=30%",worksheet!$M$2:$M$629,"&lt;40%")</f>
        <v>4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327">
        <f>COUNTIFS(worksheet!$A$2:$A$629,J$4,worksheet!$M$2:$M$629,"&gt;=30%",worksheet!$M$2:$M$629,"&lt;40%")</f>
        <v>0</v>
      </c>
      <c r="K7" s="327">
        <f>COUNTIFS(worksheet!$A$2:$A$629,K$4,worksheet!$M$2:$M$629,"&gt;=30%",worksheet!$M$2:$M$629,"&lt;40%")</f>
        <v>0</v>
      </c>
      <c r="L7" s="283">
        <f t="shared" ref="L7:L15" si="3">SUM(C7:K7)</f>
        <v>13</v>
      </c>
      <c r="M7" s="253">
        <f t="shared" ref="M7:M15" si="4">C7/C$22</f>
        <v>8.9552238805970144E-2</v>
      </c>
      <c r="N7" s="29">
        <f t="shared" si="0"/>
        <v>5.2631578947368418E-2</v>
      </c>
      <c r="O7" s="29">
        <f t="shared" si="0"/>
        <v>0.11764705882352941</v>
      </c>
      <c r="P7" s="29">
        <f t="shared" si="0"/>
        <v>0</v>
      </c>
      <c r="Q7" s="29">
        <f t="shared" si="0"/>
        <v>0</v>
      </c>
      <c r="R7" s="29">
        <f t="shared" si="1"/>
        <v>0</v>
      </c>
      <c r="S7" s="29">
        <f t="shared" si="2"/>
        <v>0</v>
      </c>
      <c r="T7" s="139">
        <f t="shared" si="0"/>
        <v>0</v>
      </c>
      <c r="U7" s="139">
        <f t="shared" si="0"/>
        <v>0</v>
      </c>
      <c r="V7" s="29">
        <f t="shared" si="0"/>
        <v>6.5326633165829151E-2</v>
      </c>
    </row>
    <row r="8" spans="2:22" x14ac:dyDescent="0.25">
      <c r="B8" s="236" t="s">
        <v>212</v>
      </c>
      <c r="C8" s="328">
        <f>COUNTIFS(worksheet!$A$2:$A$629,C$4,worksheet!$M$2:$M$629,"&gt;=20%",worksheet!$M$2:$M$629,"&lt;30%")</f>
        <v>7</v>
      </c>
      <c r="D8" s="328">
        <f>COUNTIFS(worksheet!$A$2:$A$629,D$4,worksheet!$M$2:$M$629,"&gt;=20%",worksheet!$M$2:$M$629,"&lt;30%")</f>
        <v>5</v>
      </c>
      <c r="E8" s="328">
        <f>COUNTIFS(worksheet!$A$2:$A$629,E$4,worksheet!$M$2:$M$629,"&gt;=20%",worksheet!$M$2:$M$629,"&lt;30%")</f>
        <v>6</v>
      </c>
      <c r="F8" s="328">
        <f>COUNTIFS(worksheet!$A$2:$A$629,F$4,worksheet!$M$2:$M$629,"&gt;=20%",worksheet!$M$2:$M$629,"&lt;30%")</f>
        <v>1</v>
      </c>
      <c r="G8" s="328">
        <f>COUNTIFS(worksheet!$A$2:$A$629,G$4,worksheet!$M$2:$M$629,"&gt;=20%",worksheet!$M$2:$M$629,"&lt;30%")</f>
        <v>1</v>
      </c>
      <c r="H8" s="328">
        <f>COUNTIFS(worksheet!$A$2:$A$629,H$4,worksheet!$M$2:$M$629,"&gt;=20%",worksheet!$M$2:$M$629,"&lt;30%")</f>
        <v>1</v>
      </c>
      <c r="I8" s="328">
        <f>COUNTIFS(worksheet!$A$2:$A$629,I$4,worksheet!$M$2:$M$629,"&gt;=20%",worksheet!$M$2:$M$629,"&lt;30%")</f>
        <v>0</v>
      </c>
      <c r="J8" s="319">
        <f>COUNTIFS(worksheet!$A$2:$A$629,J$4,worksheet!$M$2:$M$629,"&gt;=20%",worksheet!$M$2:$M$629,"&lt;30%")</f>
        <v>0</v>
      </c>
      <c r="K8" s="319">
        <f>COUNTIFS(worksheet!$A$2:$A$629,K$4,worksheet!$M$2:$M$629,"&gt;=20%",worksheet!$M$2:$M$629,"&lt;30%")</f>
        <v>0</v>
      </c>
      <c r="L8" s="284">
        <f t="shared" si="3"/>
        <v>21</v>
      </c>
      <c r="M8" s="254">
        <f t="shared" si="4"/>
        <v>0.1044776119402985</v>
      </c>
      <c r="N8" s="36">
        <f t="shared" si="0"/>
        <v>8.771929824561403E-2</v>
      </c>
      <c r="O8" s="36">
        <f t="shared" si="0"/>
        <v>0.17647058823529413</v>
      </c>
      <c r="P8" s="36">
        <f t="shared" si="0"/>
        <v>0.1</v>
      </c>
      <c r="Q8" s="36">
        <f t="shared" si="0"/>
        <v>5.8823529411764705E-2</v>
      </c>
      <c r="R8" s="36">
        <f t="shared" si="1"/>
        <v>0.5</v>
      </c>
      <c r="S8" s="36">
        <f t="shared" si="2"/>
        <v>0</v>
      </c>
      <c r="T8" s="140">
        <f t="shared" si="0"/>
        <v>0</v>
      </c>
      <c r="U8" s="140">
        <f t="shared" si="0"/>
        <v>0</v>
      </c>
      <c r="V8" s="36">
        <f t="shared" si="0"/>
        <v>0.10552763819095477</v>
      </c>
    </row>
    <row r="9" spans="2:22" x14ac:dyDescent="0.25">
      <c r="B9" s="236" t="s">
        <v>213</v>
      </c>
      <c r="C9" s="328">
        <f>COUNTIFS(worksheet!$A$2:$A$629,C$4,worksheet!$M$2:$M$629,"&gt;=10%",worksheet!$M$2:$M$629,"&lt;20%")</f>
        <v>10</v>
      </c>
      <c r="D9" s="328">
        <f>COUNTIFS(worksheet!$A$2:$A$629,D$4,worksheet!$M$2:$M$629,"&gt;=10%",worksheet!$M$2:$M$629,"&lt;20%")</f>
        <v>13</v>
      </c>
      <c r="E9" s="328">
        <f>COUNTIFS(worksheet!$A$2:$A$629,E$4,worksheet!$M$2:$M$629,"&gt;=10%",worksheet!$M$2:$M$629,"&lt;20%")</f>
        <v>7</v>
      </c>
      <c r="F9" s="328">
        <f>COUNTIFS(worksheet!$A$2:$A$629,F$4,worksheet!$M$2:$M$629,"&gt;=10%",worksheet!$M$2:$M$629,"&lt;20%")</f>
        <v>2</v>
      </c>
      <c r="G9" s="328">
        <f>COUNTIFS(worksheet!$A$2:$A$629,G$4,worksheet!$M$2:$M$629,"&gt;=10%",worksheet!$M$2:$M$629,"&lt;20%")</f>
        <v>2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0</v>
      </c>
      <c r="J9" s="319">
        <f>COUNTIFS(worksheet!$A$2:$A$629,J$4,worksheet!$M$2:$M$629,"&gt;=10%",worksheet!$M$2:$M$629,"&lt;20%")</f>
        <v>0</v>
      </c>
      <c r="K9" s="319">
        <f>COUNTIFS(worksheet!$A$2:$A$629,K$4,worksheet!$M$2:$M$629,"&gt;=10%",worksheet!$M$2:$M$629,"&lt;20%")</f>
        <v>0</v>
      </c>
      <c r="L9" s="284">
        <f t="shared" si="3"/>
        <v>34</v>
      </c>
      <c r="M9" s="254">
        <f t="shared" si="4"/>
        <v>0.14925373134328357</v>
      </c>
      <c r="N9" s="36">
        <f t="shared" si="0"/>
        <v>0.22807017543859648</v>
      </c>
      <c r="O9" s="36">
        <f t="shared" si="0"/>
        <v>0.20588235294117646</v>
      </c>
      <c r="P9" s="36">
        <f t="shared" si="0"/>
        <v>0.2</v>
      </c>
      <c r="Q9" s="36">
        <f t="shared" si="0"/>
        <v>0.11764705882352941</v>
      </c>
      <c r="R9" s="36">
        <f t="shared" si="1"/>
        <v>0</v>
      </c>
      <c r="S9" s="36">
        <f t="shared" si="2"/>
        <v>0</v>
      </c>
      <c r="T9" s="140">
        <f t="shared" si="0"/>
        <v>0</v>
      </c>
      <c r="U9" s="140">
        <f t="shared" si="0"/>
        <v>0</v>
      </c>
      <c r="V9" s="36">
        <f t="shared" si="0"/>
        <v>0.17085427135678391</v>
      </c>
    </row>
    <row r="10" spans="2:22" x14ac:dyDescent="0.25">
      <c r="B10" s="236" t="s">
        <v>214</v>
      </c>
      <c r="C10" s="328">
        <f>COUNTIFS(worksheet!$A$2:$A$629,C$4,worksheet!$M$2:$M$629,"&gt;=0%",worksheet!$M$2:$M$629,"&lt;10%")</f>
        <v>9</v>
      </c>
      <c r="D10" s="328">
        <f>COUNTIFS(worksheet!$A$2:$A$629,D$4,worksheet!$M$2:$M$629,"&gt;=0%",worksheet!$M$2:$M$629,"&lt;10%")</f>
        <v>14</v>
      </c>
      <c r="E10" s="328">
        <f>COUNTIFS(worksheet!$A$2:$A$629,E$4,worksheet!$M$2:$M$629,"&gt;=0%",worksheet!$M$2:$M$629,"&lt;10%")</f>
        <v>5</v>
      </c>
      <c r="F10" s="328">
        <f>COUNTIFS(worksheet!$A$2:$A$629,F$4,worksheet!$M$2:$M$629,"&gt;=0%",worksheet!$M$2:$M$629,"&lt;10%")</f>
        <v>2</v>
      </c>
      <c r="G10" s="328">
        <f>COUNTIFS(worksheet!$A$2:$A$629,G$4,worksheet!$M$2:$M$629,"&gt;=0%",worksheet!$M$2:$M$629,"&lt;10%")</f>
        <v>1</v>
      </c>
      <c r="H10" s="328">
        <f>COUNTIFS(worksheet!$A$2:$A$629,H$4,worksheet!$M$2:$M$629,"&gt;=0%",worksheet!$M$2:$M$629,"&lt;10%")</f>
        <v>0</v>
      </c>
      <c r="I10" s="328">
        <f>COUNTIFS(worksheet!$A$2:$A$629,I$4,worksheet!$M$2:$M$629,"&gt;=0%",worksheet!$M$2:$M$629,"&lt;10%")</f>
        <v>0</v>
      </c>
      <c r="J10" s="319">
        <f>COUNTIFS(worksheet!$A$2:$A$629,J$4,worksheet!$M$2:$M$629,"&gt;=0%",worksheet!$M$2:$M$629,"&lt;10%")</f>
        <v>0</v>
      </c>
      <c r="K10" s="319">
        <f>COUNTIFS(worksheet!$A$2:$A$629,K$4,worksheet!$M$2:$M$629,"&gt;=0%",worksheet!$M$2:$M$629,"&lt;10%")</f>
        <v>0</v>
      </c>
      <c r="L10" s="284">
        <f t="shared" si="3"/>
        <v>31</v>
      </c>
      <c r="M10" s="254">
        <f t="shared" si="4"/>
        <v>0.13432835820895522</v>
      </c>
      <c r="N10" s="36">
        <f t="shared" si="0"/>
        <v>0.24561403508771928</v>
      </c>
      <c r="O10" s="36">
        <f t="shared" si="0"/>
        <v>0.14705882352941177</v>
      </c>
      <c r="P10" s="36">
        <f t="shared" si="0"/>
        <v>0.2</v>
      </c>
      <c r="Q10" s="36">
        <f t="shared" si="0"/>
        <v>5.8823529411764705E-2</v>
      </c>
      <c r="R10" s="36">
        <f t="shared" si="1"/>
        <v>0</v>
      </c>
      <c r="S10" s="36">
        <f t="shared" si="2"/>
        <v>0</v>
      </c>
      <c r="T10" s="140">
        <f t="shared" si="0"/>
        <v>0</v>
      </c>
      <c r="U10" s="140">
        <f t="shared" si="0"/>
        <v>0</v>
      </c>
      <c r="V10" s="36">
        <f t="shared" si="0"/>
        <v>0.15577889447236182</v>
      </c>
    </row>
    <row r="11" spans="2:22" x14ac:dyDescent="0.25">
      <c r="B11" s="237" t="s">
        <v>215</v>
      </c>
      <c r="C11" s="325">
        <f>COUNTIFS(worksheet!$A$2:$A$629,C$4,worksheet!$M$2:$M$629,"&gt;=-10%",worksheet!$M$2:$M$629,"&lt;0%")</f>
        <v>25</v>
      </c>
      <c r="D11" s="325">
        <f>COUNTIFS(worksheet!$A$2:$A$629,D$4,worksheet!$M$2:$M$629,"&gt;=-10%",worksheet!$M$2:$M$629,"&lt;0%")</f>
        <v>11</v>
      </c>
      <c r="E11" s="325">
        <f>COUNTIFS(worksheet!$A$2:$A$629,E$4,worksheet!$M$2:$M$629,"&gt;=-10%",worksheet!$M$2:$M$629,"&lt;0%")</f>
        <v>4</v>
      </c>
      <c r="F11" s="325">
        <f>COUNTIFS(worksheet!$A$2:$A$629,F$4,worksheet!$M$2:$M$629,"&gt;=-10%",worksheet!$M$2:$M$629,"&lt;0%")</f>
        <v>0</v>
      </c>
      <c r="G11" s="325">
        <f>COUNTIFS(worksheet!$A$2:$A$629,G$4,worksheet!$M$2:$M$629,"&gt;=-10%",worksheet!$M$2:$M$629,"&lt;0%")</f>
        <v>2</v>
      </c>
      <c r="H11" s="325">
        <f>COUNTIFS(worksheet!$A$2:$A$629,H$4,worksheet!$M$2:$M$629,"&gt;=-10%",worksheet!$M$2:$M$629,"&lt;0%")</f>
        <v>1</v>
      </c>
      <c r="I11" s="325">
        <f>COUNTIFS(worksheet!$A$2:$A$629,I$4,worksheet!$M$2:$M$629,"&gt;=-10%",worksheet!$M$2:$M$629,"&lt;0%")</f>
        <v>1</v>
      </c>
      <c r="J11" s="332">
        <f>COUNTIFS(worksheet!$A$2:$A$629,J$4,worksheet!$M$2:$M$629,"&gt;=-10%",worksheet!$M$2:$M$629,"&lt;0%")</f>
        <v>0</v>
      </c>
      <c r="K11" s="332">
        <f>COUNTIFS(worksheet!$A$2:$A$629,K$4,worksheet!$M$2:$M$629,"&gt;=-10%",worksheet!$M$2:$M$629,"&lt;0%")</f>
        <v>0</v>
      </c>
      <c r="L11" s="285">
        <f t="shared" si="3"/>
        <v>44</v>
      </c>
      <c r="M11" s="255">
        <f t="shared" si="4"/>
        <v>0.37313432835820898</v>
      </c>
      <c r="N11" s="37">
        <f t="shared" si="0"/>
        <v>0.19298245614035087</v>
      </c>
      <c r="O11" s="37">
        <f t="shared" si="0"/>
        <v>0.11764705882352941</v>
      </c>
      <c r="P11" s="37">
        <f t="shared" si="0"/>
        <v>0</v>
      </c>
      <c r="Q11" s="37">
        <f t="shared" si="0"/>
        <v>0.11764705882352941</v>
      </c>
      <c r="R11" s="37">
        <f t="shared" si="1"/>
        <v>0.5</v>
      </c>
      <c r="S11" s="37">
        <f t="shared" si="2"/>
        <v>1</v>
      </c>
      <c r="T11" s="141">
        <f t="shared" si="0"/>
        <v>0</v>
      </c>
      <c r="U11" s="141">
        <f t="shared" si="0"/>
        <v>0</v>
      </c>
      <c r="V11" s="37">
        <f t="shared" si="0"/>
        <v>0.22110552763819097</v>
      </c>
    </row>
    <row r="12" spans="2:22" x14ac:dyDescent="0.25">
      <c r="B12" s="238" t="s">
        <v>216</v>
      </c>
      <c r="C12" s="328">
        <f>COUNTIFS(worksheet!$A$2:$A$629,C$4,worksheet!$M$2:$M$629,"&gt;=-20%",worksheet!$M$2:$M$629,"&lt;-10%")</f>
        <v>5</v>
      </c>
      <c r="D12" s="328">
        <f>COUNTIFS(worksheet!$A$2:$A$629,D$4,worksheet!$M$2:$M$629,"&gt;=-20%",worksheet!$M$2:$M$629,"&lt;-10%")</f>
        <v>8</v>
      </c>
      <c r="E12" s="328">
        <f>COUNTIFS(worksheet!$A$2:$A$629,E$4,worksheet!$M$2:$M$629,"&gt;=-20%",worksheet!$M$2:$M$629,"&lt;-10%")</f>
        <v>3</v>
      </c>
      <c r="F12" s="328">
        <f>COUNTIFS(worksheet!$A$2:$A$629,F$4,worksheet!$M$2:$M$629,"&gt;=-20%",worksheet!$M$2:$M$629,"&lt;-10%")</f>
        <v>1</v>
      </c>
      <c r="G12" s="328">
        <f>COUNTIFS(worksheet!$A$2:$A$629,G$4,worksheet!$M$2:$M$629,"&gt;=-20%",worksheet!$M$2:$M$629,"&lt;-10%")</f>
        <v>4</v>
      </c>
      <c r="H12" s="328">
        <f>COUNTIFS(worksheet!$A$2:$A$629,H$4,worksheet!$M$2:$M$629,"&gt;=-20%",worksheet!$M$2:$M$629,"&lt;-10%")</f>
        <v>0</v>
      </c>
      <c r="I12" s="328">
        <f>COUNTIFS(worksheet!$A$2:$A$629,I$4,worksheet!$M$2:$M$629,"&gt;=-20%",worksheet!$M$2:$M$629,"&lt;-10%")</f>
        <v>0</v>
      </c>
      <c r="J12" s="319">
        <f>COUNTIFS(worksheet!$A$2:$A$629,J$4,worksheet!$M$2:$M$629,"&gt;=-20%",worksheet!$M$2:$M$629,"&lt;-10%")</f>
        <v>3</v>
      </c>
      <c r="K12" s="319">
        <f>COUNTIFS(worksheet!$A$2:$A$629,K$4,worksheet!$M$2:$M$629,"&gt;=-20%",worksheet!$M$2:$M$629,"&lt;-10%")</f>
        <v>0</v>
      </c>
      <c r="L12" s="286">
        <f t="shared" si="3"/>
        <v>24</v>
      </c>
      <c r="M12" s="256">
        <f t="shared" si="4"/>
        <v>7.4626865671641784E-2</v>
      </c>
      <c r="N12" s="38">
        <f t="shared" si="0"/>
        <v>0.14035087719298245</v>
      </c>
      <c r="O12" s="38">
        <f t="shared" si="0"/>
        <v>8.8235294117647065E-2</v>
      </c>
      <c r="P12" s="38">
        <f t="shared" si="0"/>
        <v>0.1</v>
      </c>
      <c r="Q12" s="38">
        <f t="shared" si="0"/>
        <v>0.23529411764705882</v>
      </c>
      <c r="R12" s="38">
        <f t="shared" si="1"/>
        <v>0</v>
      </c>
      <c r="S12" s="38">
        <f t="shared" si="2"/>
        <v>0</v>
      </c>
      <c r="T12" s="142">
        <f t="shared" si="0"/>
        <v>0.3</v>
      </c>
      <c r="U12" s="142">
        <f t="shared" si="0"/>
        <v>0</v>
      </c>
      <c r="V12" s="38">
        <f t="shared" si="0"/>
        <v>0.12060301507537688</v>
      </c>
    </row>
    <row r="13" spans="2:22" x14ac:dyDescent="0.25">
      <c r="B13" s="238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6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319">
        <f>COUNTIFS(worksheet!$A$2:$A$629,J$4,worksheet!$M$2:$M$629,"&gt;=-30%",worksheet!$M$2:$M$629,"&lt;-20%")</f>
        <v>1</v>
      </c>
      <c r="K13" s="319">
        <f>COUNTIFS(worksheet!$A$2:$A$629,K$4,worksheet!$M$2:$M$629,"&gt;=-30%",worksheet!$M$2:$M$629,"&lt;-20%")</f>
        <v>0</v>
      </c>
      <c r="L13" s="286">
        <f t="shared" si="3"/>
        <v>7</v>
      </c>
      <c r="M13" s="256">
        <f t="shared" si="4"/>
        <v>0</v>
      </c>
      <c r="N13" s="38">
        <f t="shared" si="0"/>
        <v>0</v>
      </c>
      <c r="O13" s="38">
        <f t="shared" si="0"/>
        <v>0</v>
      </c>
      <c r="P13" s="38">
        <f t="shared" si="0"/>
        <v>0</v>
      </c>
      <c r="Q13" s="38">
        <f t="shared" si="0"/>
        <v>0.35294117647058826</v>
      </c>
      <c r="R13" s="38">
        <f t="shared" si="1"/>
        <v>0</v>
      </c>
      <c r="S13" s="38">
        <f t="shared" si="2"/>
        <v>0</v>
      </c>
      <c r="T13" s="142">
        <f t="shared" si="0"/>
        <v>0.1</v>
      </c>
      <c r="U13" s="142">
        <f t="shared" si="0"/>
        <v>0</v>
      </c>
      <c r="V13" s="38">
        <f t="shared" si="0"/>
        <v>3.5175879396984924E-2</v>
      </c>
    </row>
    <row r="14" spans="2:22" x14ac:dyDescent="0.25">
      <c r="B14" s="192" t="s">
        <v>271</v>
      </c>
      <c r="C14" s="324">
        <f>COUNTIFS(worksheet!$A$2:$A$629,C$4,worksheet!$M$2:$M$629,"&gt;=-40%",worksheet!$M$2:$M$629,"&lt;-30%")</f>
        <v>1</v>
      </c>
      <c r="D14" s="324">
        <f>COUNTIFS(worksheet!$A$2:$A$629,D$4,worksheet!$M$2:$M$629,"&gt;=-40%",worksheet!$M$2:$M$629,"&lt;-30%")</f>
        <v>1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3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327">
        <f>COUNTIFS(worksheet!$A$2:$A$629,J$4,worksheet!$M$2:$M$629,"&gt;=-40%",worksheet!$M$2:$M$629,"&lt;-30%")</f>
        <v>2</v>
      </c>
      <c r="K14" s="327">
        <f>COUNTIFS(worksheet!$A$2:$A$629,K$4,worksheet!$M$2:$M$629,"&gt;=-40%",worksheet!$M$2:$M$629,"&lt;-30%")</f>
        <v>0</v>
      </c>
      <c r="L14" s="287">
        <f t="shared" si="3"/>
        <v>7</v>
      </c>
      <c r="M14" s="257">
        <f t="shared" si="4"/>
        <v>1.4925373134328358E-2</v>
      </c>
      <c r="N14" s="30">
        <f t="shared" si="0"/>
        <v>1.7543859649122806E-2</v>
      </c>
      <c r="O14" s="30">
        <f t="shared" si="0"/>
        <v>0</v>
      </c>
      <c r="P14" s="30">
        <f t="shared" si="0"/>
        <v>0.3</v>
      </c>
      <c r="Q14" s="30">
        <f t="shared" si="0"/>
        <v>0</v>
      </c>
      <c r="R14" s="30">
        <f t="shared" si="1"/>
        <v>0</v>
      </c>
      <c r="S14" s="30">
        <f t="shared" si="2"/>
        <v>0</v>
      </c>
      <c r="T14" s="143">
        <f t="shared" si="0"/>
        <v>0.2</v>
      </c>
      <c r="U14" s="143">
        <f t="shared" si="0"/>
        <v>0</v>
      </c>
      <c r="V14" s="30">
        <f t="shared" si="0"/>
        <v>3.5175879396984924E-2</v>
      </c>
    </row>
    <row r="15" spans="2:22" x14ac:dyDescent="0.25">
      <c r="B15" s="192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0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327">
        <f>COUNTIFS(worksheet!$A$2:$A$629,J$4,worksheet!$M$2:$M$629,"&lt;-40%")</f>
        <v>4</v>
      </c>
      <c r="K15" s="327">
        <f>COUNTIFS(worksheet!$A$2:$A$629,K$4,worksheet!$M$2:$M$629,"&lt;-40%")</f>
        <v>0</v>
      </c>
      <c r="L15" s="287">
        <f t="shared" si="3"/>
        <v>4</v>
      </c>
      <c r="M15" s="257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</v>
      </c>
      <c r="R15" s="30">
        <f t="shared" si="1"/>
        <v>0</v>
      </c>
      <c r="S15" s="30">
        <f t="shared" si="2"/>
        <v>0</v>
      </c>
      <c r="T15" s="143">
        <f t="shared" si="0"/>
        <v>0.4</v>
      </c>
      <c r="U15" s="143">
        <f t="shared" si="0"/>
        <v>0</v>
      </c>
      <c r="V15" s="30">
        <f t="shared" si="0"/>
        <v>2.0100502512562814E-2</v>
      </c>
    </row>
    <row r="16" spans="2:22" x14ac:dyDescent="0.25">
      <c r="B16" s="193" t="s">
        <v>264</v>
      </c>
      <c r="C16" s="49">
        <f t="shared" ref="C16:T16" si="5">SUM(C10:C11)</f>
        <v>34</v>
      </c>
      <c r="D16" s="49">
        <f t="shared" si="5"/>
        <v>25</v>
      </c>
      <c r="E16" s="49">
        <f t="shared" si="5"/>
        <v>9</v>
      </c>
      <c r="F16" s="49">
        <f t="shared" si="5"/>
        <v>2</v>
      </c>
      <c r="G16" s="49">
        <f t="shared" si="5"/>
        <v>3</v>
      </c>
      <c r="H16" s="49">
        <f t="shared" si="5"/>
        <v>1</v>
      </c>
      <c r="I16" s="49">
        <f t="shared" si="5"/>
        <v>1</v>
      </c>
      <c r="J16" s="54">
        <f t="shared" si="5"/>
        <v>0</v>
      </c>
      <c r="K16" s="54">
        <f t="shared" si="5"/>
        <v>0</v>
      </c>
      <c r="L16" s="271">
        <f t="shared" si="5"/>
        <v>75</v>
      </c>
      <c r="M16" s="258">
        <f>SUM(M10:M11)</f>
        <v>0.5074626865671642</v>
      </c>
      <c r="N16" s="40">
        <f t="shared" si="5"/>
        <v>0.43859649122807015</v>
      </c>
      <c r="O16" s="40">
        <f t="shared" si="5"/>
        <v>0.26470588235294118</v>
      </c>
      <c r="P16" s="40">
        <f t="shared" si="5"/>
        <v>0.2</v>
      </c>
      <c r="Q16" s="40">
        <f t="shared" si="5"/>
        <v>0.1764705882352941</v>
      </c>
      <c r="R16" s="40">
        <f t="shared" ref="R16:S16" si="6">SUM(R10:R11)</f>
        <v>0.5</v>
      </c>
      <c r="S16" s="40">
        <f t="shared" si="6"/>
        <v>1</v>
      </c>
      <c r="T16" s="144">
        <f t="shared" si="5"/>
        <v>0</v>
      </c>
      <c r="U16" s="144">
        <f>SUM(U10:U11)</f>
        <v>0</v>
      </c>
      <c r="V16" s="40">
        <f>SUM(V10:V11)</f>
        <v>0.37688442211055279</v>
      </c>
    </row>
    <row r="17" spans="1:22" x14ac:dyDescent="0.25">
      <c r="B17" s="194" t="s">
        <v>223</v>
      </c>
      <c r="C17" s="50">
        <f t="shared" ref="C17:T17" si="7">SUM(C9:C10,C11:C12)</f>
        <v>49</v>
      </c>
      <c r="D17" s="50">
        <f t="shared" si="7"/>
        <v>46</v>
      </c>
      <c r="E17" s="50">
        <f t="shared" si="7"/>
        <v>19</v>
      </c>
      <c r="F17" s="50">
        <f t="shared" si="7"/>
        <v>5</v>
      </c>
      <c r="G17" s="50">
        <f t="shared" si="7"/>
        <v>9</v>
      </c>
      <c r="H17" s="50">
        <f t="shared" si="7"/>
        <v>1</v>
      </c>
      <c r="I17" s="50">
        <f t="shared" si="7"/>
        <v>1</v>
      </c>
      <c r="J17" s="55">
        <f t="shared" si="7"/>
        <v>3</v>
      </c>
      <c r="K17" s="55">
        <f t="shared" si="7"/>
        <v>0</v>
      </c>
      <c r="L17" s="272">
        <f t="shared" si="7"/>
        <v>133</v>
      </c>
      <c r="M17" s="259">
        <f t="shared" si="7"/>
        <v>0.73134328358208955</v>
      </c>
      <c r="N17" s="35">
        <f t="shared" si="7"/>
        <v>0.80701754385964908</v>
      </c>
      <c r="O17" s="35">
        <f t="shared" si="7"/>
        <v>0.55882352941176472</v>
      </c>
      <c r="P17" s="35">
        <f t="shared" si="7"/>
        <v>0.5</v>
      </c>
      <c r="Q17" s="35">
        <f t="shared" si="7"/>
        <v>0.52941176470588225</v>
      </c>
      <c r="R17" s="35">
        <f t="shared" ref="R17:S17" si="8">SUM(R9:R10,R11:R12)</f>
        <v>0.5</v>
      </c>
      <c r="S17" s="35">
        <f t="shared" si="8"/>
        <v>1</v>
      </c>
      <c r="T17" s="145">
        <f t="shared" si="7"/>
        <v>0.3</v>
      </c>
      <c r="U17" s="145">
        <f>SUM(U9:U10,U11:U12)</f>
        <v>0</v>
      </c>
      <c r="V17" s="35">
        <f>SUM(V9:V10,V11:V12)</f>
        <v>0.66834170854271358</v>
      </c>
    </row>
    <row r="18" spans="1:22" x14ac:dyDescent="0.25">
      <c r="B18" s="195" t="s">
        <v>265</v>
      </c>
      <c r="C18" s="147">
        <f t="shared" ref="C18:T18" si="9">SUM(C8:C13)</f>
        <v>56</v>
      </c>
      <c r="D18" s="147">
        <f t="shared" si="9"/>
        <v>51</v>
      </c>
      <c r="E18" s="147">
        <f t="shared" si="9"/>
        <v>25</v>
      </c>
      <c r="F18" s="147">
        <f t="shared" si="9"/>
        <v>6</v>
      </c>
      <c r="G18" s="147">
        <f t="shared" si="9"/>
        <v>16</v>
      </c>
      <c r="H18" s="147">
        <f t="shared" si="9"/>
        <v>2</v>
      </c>
      <c r="I18" s="147">
        <f t="shared" si="9"/>
        <v>1</v>
      </c>
      <c r="J18" s="148">
        <f t="shared" si="9"/>
        <v>4</v>
      </c>
      <c r="K18" s="148">
        <f t="shared" si="9"/>
        <v>0</v>
      </c>
      <c r="L18" s="273">
        <f t="shared" si="9"/>
        <v>161</v>
      </c>
      <c r="M18" s="260">
        <f t="shared" si="9"/>
        <v>0.83582089552238803</v>
      </c>
      <c r="N18" s="149">
        <f t="shared" si="9"/>
        <v>0.89473684210526305</v>
      </c>
      <c r="O18" s="149">
        <f t="shared" si="9"/>
        <v>0.73529411764705888</v>
      </c>
      <c r="P18" s="149">
        <f t="shared" si="9"/>
        <v>0.6</v>
      </c>
      <c r="Q18" s="149">
        <f t="shared" si="9"/>
        <v>0.94117647058823528</v>
      </c>
      <c r="R18" s="149">
        <f t="shared" ref="R18:S18" si="10">SUM(R8:R13)</f>
        <v>1</v>
      </c>
      <c r="S18" s="149">
        <f t="shared" si="10"/>
        <v>1</v>
      </c>
      <c r="T18" s="150">
        <f t="shared" si="9"/>
        <v>0.4</v>
      </c>
      <c r="U18" s="150">
        <f>SUM(U8:U13)</f>
        <v>0</v>
      </c>
      <c r="V18" s="149">
        <f>SUM(V8:V13)</f>
        <v>0.80904522613065322</v>
      </c>
    </row>
    <row r="19" spans="1:22" x14ac:dyDescent="0.25">
      <c r="B19" s="239"/>
      <c r="C19" s="481" t="s">
        <v>302</v>
      </c>
      <c r="D19" s="480"/>
      <c r="E19" s="480"/>
      <c r="F19" s="480"/>
      <c r="G19" s="480"/>
      <c r="H19" s="480"/>
      <c r="I19" s="480"/>
      <c r="J19" s="480"/>
      <c r="K19" s="480"/>
      <c r="L19" s="482"/>
      <c r="M19" s="479" t="s">
        <v>303</v>
      </c>
      <c r="N19" s="480"/>
      <c r="O19" s="480"/>
      <c r="P19" s="480"/>
      <c r="Q19" s="480"/>
      <c r="R19" s="480"/>
      <c r="S19" s="480"/>
      <c r="T19" s="480"/>
      <c r="U19" s="480"/>
      <c r="V19" s="480"/>
    </row>
    <row r="20" spans="1:22" s="6" customFormat="1" x14ac:dyDescent="0.25">
      <c r="B20" s="240" t="s">
        <v>304</v>
      </c>
      <c r="C20" s="230">
        <f t="shared" ref="C20:T20" si="11">SUM(C6:C10)</f>
        <v>36</v>
      </c>
      <c r="D20" s="230">
        <f t="shared" si="11"/>
        <v>37</v>
      </c>
      <c r="E20" s="230">
        <f t="shared" si="11"/>
        <v>27</v>
      </c>
      <c r="F20" s="230">
        <f t="shared" si="11"/>
        <v>6</v>
      </c>
      <c r="G20" s="230">
        <f t="shared" si="11"/>
        <v>5</v>
      </c>
      <c r="H20" s="230">
        <f t="shared" si="11"/>
        <v>1</v>
      </c>
      <c r="I20" s="230">
        <f t="shared" si="11"/>
        <v>0</v>
      </c>
      <c r="J20" s="230">
        <f t="shared" si="11"/>
        <v>0</v>
      </c>
      <c r="K20" s="230">
        <f t="shared" si="11"/>
        <v>1</v>
      </c>
      <c r="L20" s="288">
        <f t="shared" si="11"/>
        <v>113</v>
      </c>
      <c r="M20" s="261">
        <f>SUM(M6:M10)</f>
        <v>0.53731343283582089</v>
      </c>
      <c r="N20" s="151">
        <f t="shared" si="11"/>
        <v>0.64912280701754388</v>
      </c>
      <c r="O20" s="151">
        <f t="shared" si="11"/>
        <v>0.79411764705882348</v>
      </c>
      <c r="P20" s="151">
        <f t="shared" si="11"/>
        <v>0.60000000000000009</v>
      </c>
      <c r="Q20" s="151">
        <f t="shared" si="11"/>
        <v>0.29411764705882354</v>
      </c>
      <c r="R20" s="151">
        <f t="shared" ref="R20:S20" si="12">SUM(R6:R10)</f>
        <v>0.5</v>
      </c>
      <c r="S20" s="151">
        <f t="shared" si="12"/>
        <v>0</v>
      </c>
      <c r="T20" s="151">
        <f t="shared" si="11"/>
        <v>0</v>
      </c>
      <c r="U20" s="151">
        <f>SUM(U6:U10)</f>
        <v>1</v>
      </c>
      <c r="V20" s="151">
        <f>SUM(V6:V10)</f>
        <v>0.56783919597989951</v>
      </c>
    </row>
    <row r="21" spans="1:22" s="232" customFormat="1" x14ac:dyDescent="0.25">
      <c r="B21" s="241" t="s">
        <v>305</v>
      </c>
      <c r="C21" s="231">
        <f t="shared" ref="C21:T21" si="13">SUM(C11:C15)</f>
        <v>31</v>
      </c>
      <c r="D21" s="231">
        <f t="shared" si="13"/>
        <v>20</v>
      </c>
      <c r="E21" s="231">
        <f t="shared" si="13"/>
        <v>7</v>
      </c>
      <c r="F21" s="231">
        <f t="shared" si="13"/>
        <v>4</v>
      </c>
      <c r="G21" s="231">
        <f t="shared" si="13"/>
        <v>12</v>
      </c>
      <c r="H21" s="231">
        <f t="shared" si="13"/>
        <v>1</v>
      </c>
      <c r="I21" s="231">
        <f t="shared" si="13"/>
        <v>1</v>
      </c>
      <c r="J21" s="231">
        <f t="shared" si="13"/>
        <v>10</v>
      </c>
      <c r="K21" s="231">
        <f t="shared" si="13"/>
        <v>0</v>
      </c>
      <c r="L21" s="289">
        <f t="shared" si="13"/>
        <v>86</v>
      </c>
      <c r="M21" s="262">
        <f>SUM(M11:M15)</f>
        <v>0.46268656716417911</v>
      </c>
      <c r="N21" s="152">
        <f t="shared" si="13"/>
        <v>0.35087719298245612</v>
      </c>
      <c r="O21" s="152">
        <f t="shared" si="13"/>
        <v>0.20588235294117646</v>
      </c>
      <c r="P21" s="152">
        <f t="shared" si="13"/>
        <v>0.4</v>
      </c>
      <c r="Q21" s="152">
        <f t="shared" si="13"/>
        <v>0.70588235294117641</v>
      </c>
      <c r="R21" s="152">
        <f t="shared" ref="R21:S21" si="14">SUM(R11:R15)</f>
        <v>0.5</v>
      </c>
      <c r="S21" s="152">
        <f t="shared" si="14"/>
        <v>1</v>
      </c>
      <c r="T21" s="152">
        <f t="shared" si="13"/>
        <v>1</v>
      </c>
      <c r="U21" s="152">
        <f>SUM(U11:U15)</f>
        <v>0</v>
      </c>
      <c r="V21" s="152">
        <f>SUM(V11:V15)</f>
        <v>0.43216080402010049</v>
      </c>
    </row>
    <row r="22" spans="1:22" x14ac:dyDescent="0.25">
      <c r="B22" s="196" t="s">
        <v>208</v>
      </c>
      <c r="C22" s="153">
        <f>C20+C21</f>
        <v>67</v>
      </c>
      <c r="D22" s="153">
        <f t="shared" ref="D22:V22" si="15">D20+D21</f>
        <v>57</v>
      </c>
      <c r="E22" s="153">
        <f t="shared" si="15"/>
        <v>34</v>
      </c>
      <c r="F22" s="153">
        <f t="shared" si="15"/>
        <v>10</v>
      </c>
      <c r="G22" s="153">
        <f t="shared" si="15"/>
        <v>17</v>
      </c>
      <c r="H22" s="153">
        <f t="shared" si="15"/>
        <v>2</v>
      </c>
      <c r="I22" s="153">
        <f t="shared" si="15"/>
        <v>1</v>
      </c>
      <c r="J22" s="154">
        <f t="shared" si="15"/>
        <v>10</v>
      </c>
      <c r="K22" s="154">
        <f t="shared" si="15"/>
        <v>1</v>
      </c>
      <c r="L22" s="290">
        <f>L20+L21</f>
        <v>199</v>
      </c>
      <c r="M22" s="264">
        <f t="shared" si="15"/>
        <v>1</v>
      </c>
      <c r="N22" s="245">
        <f t="shared" si="15"/>
        <v>1</v>
      </c>
      <c r="O22" s="245">
        <f t="shared" si="15"/>
        <v>1</v>
      </c>
      <c r="P22" s="245">
        <f t="shared" si="15"/>
        <v>1</v>
      </c>
      <c r="Q22" s="245">
        <f t="shared" si="15"/>
        <v>1</v>
      </c>
      <c r="R22" s="245">
        <f t="shared" ref="R22:S22" si="16">R20+R21</f>
        <v>1</v>
      </c>
      <c r="S22" s="245">
        <f t="shared" si="16"/>
        <v>1</v>
      </c>
      <c r="T22" s="246">
        <f t="shared" si="15"/>
        <v>1</v>
      </c>
      <c r="U22" s="246">
        <f t="shared" si="15"/>
        <v>1</v>
      </c>
      <c r="V22" s="245">
        <f t="shared" si="15"/>
        <v>1</v>
      </c>
    </row>
    <row r="23" spans="1:22" x14ac:dyDescent="0.25">
      <c r="B23" s="483" t="s">
        <v>259</v>
      </c>
      <c r="C23" s="484"/>
      <c r="D23" s="484"/>
      <c r="E23" s="484"/>
      <c r="F23" s="484"/>
      <c r="G23" s="484"/>
      <c r="H23" s="484"/>
      <c r="I23" s="484"/>
      <c r="J23" s="484"/>
      <c r="K23" s="484"/>
      <c r="L23" s="485"/>
    </row>
    <row r="24" spans="1:22" x14ac:dyDescent="0.25">
      <c r="B24" s="240" t="s">
        <v>255</v>
      </c>
      <c r="C24" s="340">
        <f>IF(C20=0,"",AVERAGEIFS(worksheet!$M$2:$M$629,worksheet!$A$2:$A$629,C$4,worksheet!$M$2:$M$629,"&gt;=0%"))</f>
        <v>0.2179468403654973</v>
      </c>
      <c r="D24" s="340">
        <f>IF(D20=0,"",AVERAGEIFS(worksheet!$M$2:$M$629,worksheet!$A$2:$A$629,D$4,worksheet!$M$2:$M$629,"&gt;=0%"))</f>
        <v>0.17020810807884509</v>
      </c>
      <c r="E24" s="340">
        <f>IF(E20=0,"",AVERAGEIFS(worksheet!$M$2:$M$629,worksheet!$A$2:$A$629,E$4,worksheet!$M$2:$M$629,"&gt;=0%"))</f>
        <v>0.23279262802401399</v>
      </c>
      <c r="F24" s="340">
        <f>IF(F20=0,"",AVERAGEIFS(worksheet!$M$2:$M$629,worksheet!$A$2:$A$629,F$4,worksheet!$M$2:$M$629,"&gt;=0%"))</f>
        <v>0.16043398840425024</v>
      </c>
      <c r="G24" s="340">
        <f>IF(G20=0,"",AVERAGEIFS(worksheet!$M$2:$M$629,worksheet!$A$2:$A$629,G$4,worksheet!$M$2:$M$629,"&gt;=0%"))</f>
        <v>0.35901658091638777</v>
      </c>
      <c r="H24" s="340">
        <f>IF(H20=0,"",AVERAGEIFS(worksheet!$M$2:$M$629,worksheet!$A$2:$A$629,H$4,worksheet!$M$2:$M$629,"&gt;=0%"))</f>
        <v>0.27798232695139902</v>
      </c>
      <c r="I24" s="340" t="str">
        <f>IF(I20=0,"",AVERAGEIFS(worksheet!$M$2:$M$629,worksheet!$A$2:$A$629,I$4,worksheet!$M$2:$M$629,"&gt;=0%"))</f>
        <v/>
      </c>
      <c r="J24" s="341" t="str">
        <f>IF(J20=0,"",AVERAGEIFS(worksheet!$M$2:$M$629,worksheet!$A$2:$A$629,J$4,worksheet!$M$2:$M$629,"&gt;=0%"))</f>
        <v/>
      </c>
      <c r="K24" s="341">
        <f>IF(K20=0,"",AVERAGEIFS(worksheet!$M$2:$M$629,worksheet!$A$2:$A$629,K$4,worksheet!$M$2:$M$629,"&gt;=0%"))</f>
        <v>0.90312876052948265</v>
      </c>
      <c r="L24" s="320">
        <f>AVERAGEIFS(worksheet!$M$2:$M$629,worksheet!$M$2:$M$629,"&gt;=0%",worksheet!$B$2:$B$629,2)</f>
        <v>0.21564588611691915</v>
      </c>
    </row>
    <row r="25" spans="1:22" s="232" customFormat="1" x14ac:dyDescent="0.25">
      <c r="B25" s="243" t="s">
        <v>256</v>
      </c>
      <c r="C25" s="339">
        <f>IF(C21=0,"",AVERAGEIFS(worksheet!$M$2:$M$629,worksheet!$A$2:$A$629,C$4,worksheet!$M$2:$M$629,"&lt;0%"))</f>
        <v>-6.9287473531036259E-2</v>
      </c>
      <c r="D25" s="339">
        <f>IF(D21=0,"",AVERAGEIFS(worksheet!$M$2:$M$629,worksheet!$A$2:$A$629,D$4,worksheet!$M$2:$M$629,"&lt;0%"))</f>
        <v>-9.667543961602737E-2</v>
      </c>
      <c r="E25" s="339">
        <f>IF(E21=0,"",AVERAGEIFS(worksheet!$M$2:$M$629,worksheet!$A$2:$A$629,E$4,worksheet!$M$2:$M$629,"&lt;0%"))</f>
        <v>-9.8043511525678848E-2</v>
      </c>
      <c r="F25" s="339">
        <f>IF(F21=0,"",AVERAGEIFS(worksheet!$M$2:$M$629,worksheet!$A$2:$A$629,F$4,worksheet!$M$2:$M$629,"&lt;0%"))</f>
        <v>-0.3058111626942483</v>
      </c>
      <c r="G25" s="339">
        <f>IF(G21=0,"",AVERAGEIFS(worksheet!$M$2:$M$629,worksheet!$A$2:$A$629,G$4,worksheet!$M$2:$M$629,"&lt;0%"))</f>
        <v>-0.19172213565070653</v>
      </c>
      <c r="H25" s="339">
        <f>IF(H21=0,"",AVERAGEIFS(worksheet!$M$2:$M$629,worksheet!$A$2:$A$629,H$4,worksheet!$M$2:$M$629,"&lt;0%"))</f>
        <v>-1.361681796464409E-2</v>
      </c>
      <c r="I25" s="339">
        <f>IF(I21=0,"",AVERAGEIFS(worksheet!$M$2:$M$629,worksheet!$A$2:$A$629,I$4,worksheet!$M$2:$M$629,"&lt;0%"))</f>
        <v>-7.5621456607064985E-2</v>
      </c>
      <c r="J25" s="342">
        <f>IF(J21=0,"",AVERAGEIFS(worksheet!$M$2:$M$629,worksheet!$A$2:$A$629,J$4,worksheet!$M$2:$M$629,"&lt;0%"))</f>
        <v>-0.35026657089615687</v>
      </c>
      <c r="K25" s="342" t="str">
        <f>IF(K21=0,"",AVERAGEIFS(worksheet!$M$2:$M$629,worksheet!$A$2:$A$629,K$4,worksheet!$M$2:$M$629,"&lt;0%"))</f>
        <v/>
      </c>
      <c r="L25" s="318">
        <f>AVERAGEIFS(worksheet!$M$2:$M$629,worksheet!$M$2:$M$629,"&lt;0%",worksheet!$B$2:$B$629,2)</f>
        <v>-0.13818068970443223</v>
      </c>
    </row>
    <row r="26" spans="1:22" ht="15.75" thickBot="1" x14ac:dyDescent="0.3">
      <c r="B26" s="244" t="s">
        <v>254</v>
      </c>
      <c r="C26" s="344">
        <f>IF(C22=0,"",AVERAGEIFS(worksheet!$M$2:$M$629,worksheet!$A$2:$A$629,C$4))</f>
        <v>8.5047381696951946E-2</v>
      </c>
      <c r="D26" s="344">
        <f>IF(D22=0,"",AVERAGEIFS(worksheet!$M$2:$M$629,worksheet!$A$2:$A$629,D$4))</f>
        <v>7.6564758010468775E-2</v>
      </c>
      <c r="E26" s="344">
        <f>IF(E22=0,"",AVERAGEIFS(worksheet!$M$2:$M$629,worksheet!$A$2:$A$629,E$4))</f>
        <v>0.16467930517554777</v>
      </c>
      <c r="F26" s="344">
        <f>IF(F22=0,"",AVERAGEIFS(worksheet!$M$2:$M$629,worksheet!$A$2:$A$629,F$4))</f>
        <v>-2.6064072035149176E-2</v>
      </c>
      <c r="G26" s="344">
        <f>IF(G22=0,"",AVERAGEIFS(worksheet!$M$2:$M$629,worksheet!$A$2:$A$629,G$4))</f>
        <v>-2.9740160189796444E-2</v>
      </c>
      <c r="H26" s="344">
        <f>IF(H22=0,"",AVERAGEIFS(worksheet!$M$2:$M$629,worksheet!$A$2:$A$629,H$4))</f>
        <v>0.13218275449337746</v>
      </c>
      <c r="I26" s="344">
        <f>IF(I22=0,"",AVERAGEIFS(worksheet!$M$2:$M$629,worksheet!$A$2:$A$629,I$4))</f>
        <v>-7.5621456607064985E-2</v>
      </c>
      <c r="J26" s="345">
        <f>IF(J22=0,"",AVERAGEIFS(worksheet!$M$2:$M$629,worksheet!$A$2:$A$629,J$4))</f>
        <v>-0.35026657089615687</v>
      </c>
      <c r="K26" s="345">
        <f>IF(K22=0,"",AVERAGEIFS(worksheet!$M$2:$M$629,worksheet!$A$2:$A$629,K$4))</f>
        <v>0.90312876052948265</v>
      </c>
      <c r="L26" s="315">
        <f>AVERAGEIFS(worksheet!$M$2:$M$629,worksheet!$B$2:$B$629,2)</f>
        <v>6.2735908626284906E-2</v>
      </c>
    </row>
    <row r="27" spans="1:22" ht="15.75" thickTop="1" x14ac:dyDescent="0.25">
      <c r="B27" s="472" t="s">
        <v>262</v>
      </c>
      <c r="C27" s="473"/>
      <c r="D27" s="473"/>
      <c r="E27" s="473"/>
      <c r="F27" s="473"/>
      <c r="G27" s="473"/>
      <c r="H27" s="473"/>
      <c r="I27" s="473"/>
      <c r="J27" s="473"/>
      <c r="K27" s="473"/>
      <c r="L27" s="474"/>
    </row>
    <row r="28" spans="1:22" ht="15.75" thickBot="1" x14ac:dyDescent="0.3">
      <c r="B28" s="225" t="s">
        <v>263</v>
      </c>
      <c r="C28" s="326">
        <f>SQRT(SUMIF(worksheet!$A$2:$A$629,C$4,worksheet!$N$2:$N$629)/COUNTIF(worksheet!$A$2:$A$629,C4))/AVERAGEIF(worksheet!$A$2:$A$629,C4,worksheet!$K$2:$K$629)</f>
        <v>0.19959556846564916</v>
      </c>
      <c r="D28" s="326">
        <f>SQRT(SUMIF(worksheet!$A$2:$A$629,D$4,worksheet!$N$2:$N$629)/COUNTIF(worksheet!$A$2:$A$629,D4))/AVERAGEIF(worksheet!$A$2:$A$629,D4,worksheet!$K$2:$K$629)</f>
        <v>0.17561554525286718</v>
      </c>
      <c r="E28" s="326">
        <f>SQRT(SUMIF(worksheet!$A$2:$A$629,E$4,worksheet!$N$2:$N$629)/COUNTIF(worksheet!$A$2:$A$629,E4))/AVERAGEIF(worksheet!$A$2:$A$629,E4,worksheet!$K$2:$K$629)</f>
        <v>0.23983325457093024</v>
      </c>
      <c r="F28" s="326">
        <f>SQRT(SUMIF(worksheet!$A$2:$A$629,F$4,worksheet!$N$2:$N$629)/COUNTIF(worksheet!$A$2:$A$629,F4))/AVERAGEIF(worksheet!$A$2:$A$629,F4,worksheet!$K$2:$K$629)</f>
        <v>0.27149213657162097</v>
      </c>
      <c r="G28" s="326">
        <f>SQRT(SUMIF(worksheet!$A$2:$A$629,G$4,worksheet!$N$2:$N$629)/COUNTIF(worksheet!$A$2:$A$629,G4))/AVERAGEIF(worksheet!$A$2:$A$629,G4,worksheet!$K$2:$K$629)</f>
        <v>0.34790994562747091</v>
      </c>
      <c r="H28" s="62">
        <f>SQRT(SUMIF(worksheet!$A$2:$A$629,H$4,worksheet!$N$2:$N$629)/COUNTIF(worksheet!$A$2:$A$629,H4))/AVERAGEIF(worksheet!$A$2:$A$629,H4,worksheet!$K$2:$K$629)</f>
        <v>0.24330766962775438</v>
      </c>
      <c r="I28" s="155">
        <f>SQRT(SUMIF(worksheet!$A$2:$A$629,I$4,worksheet!$N$2:$N$629)/COUNTIF(worksheet!$A$2:$A$629,I4))/AVERAGEIF(worksheet!$A$2:$A$629,I4,worksheet!$K$2:$K$629)</f>
        <v>7.5621456607064985E-2</v>
      </c>
      <c r="J28" s="317">
        <f>SQRT(SUMIF(worksheet!$A$2:$A$629,J$4,worksheet!$N$2:$N$629)/COUNTIF(worksheet!$A$2:$A$629,J4))/AVERAGEIF(worksheet!$A$2:$A$629,J4,worksheet!$K$2:$K$629)</f>
        <v>0.59246319483984011</v>
      </c>
      <c r="K28" s="317">
        <f>SQRT(SUMIF(worksheet!$A$2:$A$629,K$4,worksheet!$N$2:$N$629)/COUNTIF(worksheet!$A$2:$A$629,K4))/AVERAGEIF(worksheet!$A$2:$A$629,K4,worksheet!$K$2:$K$629)</f>
        <v>0.90312876052948254</v>
      </c>
      <c r="L28" s="322">
        <f>SQRT(SUMIF(worksheet!$B$2:$B$629,2,worksheet!$N$2:$N$629)/COUNTIF(worksheet!$B$2:$B$629,2))/AVERAGEIF(worksheet!$B$2:$B$629,2,worksheet!$K$2:$K$629)</f>
        <v>0.21988505850076351</v>
      </c>
    </row>
    <row r="29" spans="1:22" ht="15.75" thickTop="1" x14ac:dyDescent="0.25">
      <c r="B29" s="458" t="s">
        <v>224</v>
      </c>
      <c r="C29" s="459"/>
      <c r="D29" s="459"/>
      <c r="E29" s="459"/>
      <c r="F29" s="459"/>
      <c r="G29" s="459"/>
      <c r="H29" s="459"/>
      <c r="I29" s="459"/>
      <c r="J29" s="459"/>
      <c r="K29" s="459"/>
      <c r="L29" s="460"/>
    </row>
    <row r="30" spans="1:22" ht="15.75" thickBot="1" x14ac:dyDescent="0.3">
      <c r="B30" s="226" t="s">
        <v>267</v>
      </c>
      <c r="C30" s="227">
        <f t="shared" ref="C30:K30" ca="1" si="17">INDIRECT(C5&amp;"!o$1")</f>
        <v>1.0833720671697855</v>
      </c>
      <c r="D30" s="227">
        <f t="shared" ca="1" si="17"/>
        <v>1.0343023699557952</v>
      </c>
      <c r="E30" s="227">
        <f t="shared" ca="1" si="17"/>
        <v>1.1543439501857962</v>
      </c>
      <c r="F30" s="227">
        <f t="shared" ca="1" si="17"/>
        <v>0.91478985074593167</v>
      </c>
      <c r="G30" s="227">
        <f t="shared" ca="1" si="17"/>
        <v>1.0285709133017744</v>
      </c>
      <c r="H30" s="227">
        <f t="shared" ca="1" si="17"/>
        <v>1.1976768210626556</v>
      </c>
      <c r="I30" s="227">
        <f t="shared" ca="1" si="17"/>
        <v>0.92437854339293501</v>
      </c>
      <c r="J30" s="228">
        <f t="shared" ca="1" si="17"/>
        <v>0.51145137524252249</v>
      </c>
      <c r="K30" s="228">
        <f t="shared" ca="1" si="17"/>
        <v>1.9031287605294827</v>
      </c>
      <c r="L30" s="229">
        <f>LINEST(worksheet!$L$202:$L$400,worksheet!$K$202:$K$400,FALSE)</f>
        <v>1.0710488241627083</v>
      </c>
    </row>
    <row r="31" spans="1:22" ht="15.75" thickTop="1" x14ac:dyDescent="0.25">
      <c r="A31" s="10"/>
    </row>
    <row r="32" spans="1:22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paperSize="5" scale="7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B34" sqref="B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3"/>
      <c r="C3" s="475" t="s">
        <v>222</v>
      </c>
      <c r="D3" s="477"/>
      <c r="E3" s="477"/>
      <c r="F3" s="477"/>
      <c r="G3" s="477"/>
      <c r="H3" s="477"/>
      <c r="I3" s="477"/>
      <c r="J3" s="478"/>
      <c r="K3" s="462" t="s">
        <v>273</v>
      </c>
      <c r="L3" s="462"/>
      <c r="M3" s="462"/>
      <c r="N3" s="462"/>
      <c r="O3" s="462"/>
      <c r="P3" s="462"/>
      <c r="Q3" s="462"/>
      <c r="R3" s="476"/>
    </row>
    <row r="4" spans="2:18" x14ac:dyDescent="0.25">
      <c r="B4" s="234"/>
      <c r="C4" s="159">
        <v>15</v>
      </c>
      <c r="D4" s="160">
        <v>16</v>
      </c>
      <c r="E4" s="160">
        <v>17</v>
      </c>
      <c r="F4" s="159">
        <v>18</v>
      </c>
      <c r="G4" s="160">
        <v>19</v>
      </c>
      <c r="H4" s="160">
        <v>20</v>
      </c>
      <c r="I4" s="159">
        <v>21</v>
      </c>
      <c r="J4" s="280"/>
      <c r="K4" s="251">
        <v>15</v>
      </c>
      <c r="L4" s="159">
        <v>16</v>
      </c>
      <c r="M4" s="159">
        <v>17</v>
      </c>
      <c r="N4" s="159">
        <v>18</v>
      </c>
      <c r="O4" s="159">
        <v>19</v>
      </c>
      <c r="P4" s="159">
        <v>20</v>
      </c>
      <c r="Q4" s="159">
        <v>21</v>
      </c>
      <c r="R4" s="159"/>
    </row>
    <row r="5" spans="2:18" x14ac:dyDescent="0.25">
      <c r="B5" s="190" t="s">
        <v>210</v>
      </c>
      <c r="C5" s="158" t="s">
        <v>239</v>
      </c>
      <c r="D5" s="158" t="s">
        <v>243</v>
      </c>
      <c r="E5" s="158" t="s">
        <v>240</v>
      </c>
      <c r="F5" s="158" t="s">
        <v>241</v>
      </c>
      <c r="G5" s="158" t="s">
        <v>242</v>
      </c>
      <c r="H5" s="158" t="s">
        <v>244</v>
      </c>
      <c r="I5" s="158" t="s">
        <v>245</v>
      </c>
      <c r="J5" s="281" t="s">
        <v>211</v>
      </c>
      <c r="K5" s="252" t="s">
        <v>239</v>
      </c>
      <c r="L5" s="158" t="s">
        <v>243</v>
      </c>
      <c r="M5" s="158" t="s">
        <v>240</v>
      </c>
      <c r="N5" s="158" t="s">
        <v>241</v>
      </c>
      <c r="O5" s="158" t="s">
        <v>242</v>
      </c>
      <c r="P5" s="158" t="s">
        <v>244</v>
      </c>
      <c r="Q5" s="158" t="s">
        <v>245</v>
      </c>
      <c r="R5" s="158" t="s">
        <v>211</v>
      </c>
    </row>
    <row r="6" spans="2:18" x14ac:dyDescent="0.25">
      <c r="B6" s="191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2</v>
      </c>
      <c r="E6" s="324">
        <f>COUNTIFS(worksheet!$A$2:$A$629,E$4,worksheet!$M$2:$M$629,"&gt;=40%")</f>
        <v>7</v>
      </c>
      <c r="F6" s="324">
        <f>COUNTIFS(worksheet!$A$2:$A$629,F$4,worksheet!$M$2:$M$629,"&gt;=40%")</f>
        <v>0</v>
      </c>
      <c r="G6" s="324">
        <f>COUNTIFS(worksheet!$A$2:$A$629,G$4,worksheet!$M$2:$M$629,"&gt;=40%")</f>
        <v>1</v>
      </c>
      <c r="H6" s="324">
        <f>COUNTIFS(worksheet!$A$2:$A$629,H$4,worksheet!$M$2:$M$629,"&gt;=40%")</f>
        <v>0</v>
      </c>
      <c r="I6" s="324">
        <f>COUNTIFS(worksheet!$A$2:$A$629,I$4,worksheet!$M$2:$M$629,"&gt;=40%")</f>
        <v>0</v>
      </c>
      <c r="J6" s="282">
        <f t="shared" ref="J6:J15" si="0">SUM(C6:I6)</f>
        <v>10</v>
      </c>
      <c r="K6" s="253">
        <f t="shared" ref="K6:K15" si="1">C6/C$22</f>
        <v>0</v>
      </c>
      <c r="L6" s="29">
        <f t="shared" ref="L6:L15" si="2">D6/D$22</f>
        <v>8.3333333333333329E-2</v>
      </c>
      <c r="M6" s="29">
        <f t="shared" ref="M6:M15" si="3">E6/E$22</f>
        <v>0.4375</v>
      </c>
      <c r="N6" s="29">
        <f t="shared" ref="N6:N15" si="4">F6/F$22</f>
        <v>0</v>
      </c>
      <c r="O6" s="29">
        <f t="shared" ref="O6:P15" si="5">G6/G$22</f>
        <v>8.3333333333333329E-2</v>
      </c>
      <c r="P6" s="29">
        <f t="shared" si="5"/>
        <v>0</v>
      </c>
      <c r="Q6" s="29">
        <f t="shared" ref="Q6:Q15" si="6">I6/I$22</f>
        <v>0</v>
      </c>
      <c r="R6" s="235">
        <f t="shared" ref="R6:R15" si="7">J6/J$22</f>
        <v>0.08</v>
      </c>
    </row>
    <row r="7" spans="2:18" x14ac:dyDescent="0.25">
      <c r="B7" s="191" t="s">
        <v>270</v>
      </c>
      <c r="C7" s="324">
        <f>COUNTIFS(worksheet!$A$2:$A$629,C$4,worksheet!$M$2:$M$629,"&gt;=30%",worksheet!$M$2:$M$629,"&lt;40%")</f>
        <v>0</v>
      </c>
      <c r="D7" s="324">
        <f>COUNTIFS(worksheet!$A$2:$A$629,D$4,worksheet!$M$2:$M$629,"&gt;=30%",worksheet!$M$2:$M$629,"&lt;40%")</f>
        <v>1</v>
      </c>
      <c r="E7" s="324">
        <f>COUNTIFS(worksheet!$A$2:$A$629,E$4,worksheet!$M$2:$M$629,"&gt;=30%",worksheet!$M$2:$M$629,"&lt;40%")</f>
        <v>0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4</v>
      </c>
      <c r="H7" s="324">
        <f>COUNTIFS(worksheet!$A$2:$A$629,H$4,worksheet!$M$2:$M$629,"&gt;=30%",worksheet!$M$2:$M$629,"&lt;40%")</f>
        <v>0</v>
      </c>
      <c r="I7" s="324">
        <f>COUNTIFS(worksheet!$A$2:$A$629,I$4,worksheet!$M$2:$M$629,"&gt;=30%",worksheet!$M$2:$M$629,"&lt;40%")</f>
        <v>0</v>
      </c>
      <c r="J7" s="283">
        <f t="shared" si="0"/>
        <v>5</v>
      </c>
      <c r="K7" s="253">
        <f t="shared" si="1"/>
        <v>0</v>
      </c>
      <c r="L7" s="29">
        <f t="shared" si="2"/>
        <v>4.1666666666666664E-2</v>
      </c>
      <c r="M7" s="29">
        <f t="shared" si="3"/>
        <v>0</v>
      </c>
      <c r="N7" s="29">
        <f t="shared" si="4"/>
        <v>0</v>
      </c>
      <c r="O7" s="29">
        <f t="shared" si="5"/>
        <v>0.33333333333333331</v>
      </c>
      <c r="P7" s="29">
        <f t="shared" si="5"/>
        <v>0</v>
      </c>
      <c r="Q7" s="29">
        <f t="shared" si="6"/>
        <v>0</v>
      </c>
      <c r="R7" s="29">
        <f t="shared" si="7"/>
        <v>0.04</v>
      </c>
    </row>
    <row r="8" spans="2:18" x14ac:dyDescent="0.25">
      <c r="B8" s="236" t="s">
        <v>212</v>
      </c>
      <c r="C8" s="328">
        <f>COUNTIFS(worksheet!$A$2:$A$629,C$4,worksheet!$M$2:$M$629,"&gt;=20%",worksheet!$M$2:$M$629,"&lt;30%")</f>
        <v>0</v>
      </c>
      <c r="D8" s="328">
        <f>COUNTIFS(worksheet!$A$2:$A$629,D$4,worksheet!$M$2:$M$629,"&gt;=20%",worksheet!$M$2:$M$629,"&lt;30%")</f>
        <v>5</v>
      </c>
      <c r="E8" s="328">
        <f>COUNTIFS(worksheet!$A$2:$A$629,E$4,worksheet!$M$2:$M$629,"&gt;=20%",worksheet!$M$2:$M$629,"&lt;30%")</f>
        <v>1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3</v>
      </c>
      <c r="H8" s="328">
        <f>COUNTIFS(worksheet!$A$2:$A$629,H$4,worksheet!$M$2:$M$629,"&gt;=20%",worksheet!$M$2:$M$629,"&lt;30%")</f>
        <v>0</v>
      </c>
      <c r="I8" s="328">
        <f>COUNTIFS(worksheet!$A$2:$A$629,I$4,worksheet!$M$2:$M$629,"&gt;=20%",worksheet!$M$2:$M$629,"&lt;30%")</f>
        <v>2</v>
      </c>
      <c r="J8" s="284">
        <f t="shared" si="0"/>
        <v>11</v>
      </c>
      <c r="K8" s="254">
        <f t="shared" si="1"/>
        <v>0</v>
      </c>
      <c r="L8" s="36">
        <f t="shared" si="2"/>
        <v>0.20833333333333334</v>
      </c>
      <c r="M8" s="36">
        <f t="shared" si="3"/>
        <v>6.25E-2</v>
      </c>
      <c r="N8" s="36">
        <f t="shared" si="4"/>
        <v>0</v>
      </c>
      <c r="O8" s="36">
        <f t="shared" si="5"/>
        <v>0.25</v>
      </c>
      <c r="P8" s="36">
        <f t="shared" si="5"/>
        <v>0</v>
      </c>
      <c r="Q8" s="36">
        <f t="shared" si="6"/>
        <v>0.1</v>
      </c>
      <c r="R8" s="36">
        <f t="shared" si="7"/>
        <v>8.7999999999999995E-2</v>
      </c>
    </row>
    <row r="9" spans="2:18" x14ac:dyDescent="0.25">
      <c r="B9" s="236" t="s">
        <v>213</v>
      </c>
      <c r="C9" s="328">
        <f>COUNTIFS(worksheet!$A$2:$A$629,C$4,worksheet!$M$2:$M$629,"&gt;=10%",worksheet!$M$2:$M$629,"&lt;20%")</f>
        <v>3</v>
      </c>
      <c r="D9" s="328">
        <f>COUNTIFS(worksheet!$A$2:$A$629,D$4,worksheet!$M$2:$M$629,"&gt;=10%",worksheet!$M$2:$M$629,"&lt;20%")</f>
        <v>4</v>
      </c>
      <c r="E9" s="328">
        <f>COUNTIFS(worksheet!$A$2:$A$629,E$4,worksheet!$M$2:$M$629,"&gt;=10%",worksheet!$M$2:$M$629,"&lt;20%")</f>
        <v>2</v>
      </c>
      <c r="F9" s="328">
        <f>COUNTIFS(worksheet!$A$2:$A$629,F$4,worksheet!$M$2:$M$629,"&gt;=10%",worksheet!$M$2:$M$629,"&lt;20%")</f>
        <v>0</v>
      </c>
      <c r="G9" s="328">
        <f>COUNTIFS(worksheet!$A$2:$A$629,G$4,worksheet!$M$2:$M$629,"&gt;=10%",worksheet!$M$2:$M$629,"&lt;20%")</f>
        <v>3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0</v>
      </c>
      <c r="J9" s="284">
        <f t="shared" si="0"/>
        <v>12</v>
      </c>
      <c r="K9" s="254">
        <f t="shared" si="1"/>
        <v>7.1428571428571425E-2</v>
      </c>
      <c r="L9" s="36">
        <f t="shared" si="2"/>
        <v>0.16666666666666666</v>
      </c>
      <c r="M9" s="36">
        <f t="shared" si="3"/>
        <v>0.125</v>
      </c>
      <c r="N9" s="36">
        <f t="shared" si="4"/>
        <v>0</v>
      </c>
      <c r="O9" s="36">
        <f t="shared" si="5"/>
        <v>0.25</v>
      </c>
      <c r="P9" s="36">
        <f t="shared" si="5"/>
        <v>0</v>
      </c>
      <c r="Q9" s="36">
        <f t="shared" si="6"/>
        <v>0</v>
      </c>
      <c r="R9" s="36">
        <f t="shared" si="7"/>
        <v>9.6000000000000002E-2</v>
      </c>
    </row>
    <row r="10" spans="2:18" x14ac:dyDescent="0.25">
      <c r="B10" s="236" t="s">
        <v>214</v>
      </c>
      <c r="C10" s="328">
        <f>COUNTIFS(worksheet!$A$2:$A$629,C$4,worksheet!$M$2:$M$629,"&gt;=0%",worksheet!$M$2:$M$629,"&lt;10%")</f>
        <v>10</v>
      </c>
      <c r="D10" s="328">
        <f>COUNTIFS(worksheet!$A$2:$A$629,D$4,worksheet!$M$2:$M$629,"&gt;=0%",worksheet!$M$2:$M$629,"&lt;10%")</f>
        <v>5</v>
      </c>
      <c r="E10" s="328">
        <f>COUNTIFS(worksheet!$A$2:$A$629,E$4,worksheet!$M$2:$M$629,"&gt;=0%",worksheet!$M$2:$M$629,"&lt;10%")</f>
        <v>5</v>
      </c>
      <c r="F10" s="328">
        <f>COUNTIFS(worksheet!$A$2:$A$629,F$4,worksheet!$M$2:$M$629,"&gt;=0%",worksheet!$M$2:$M$629,"&lt;10%")</f>
        <v>0</v>
      </c>
      <c r="G10" s="328">
        <f>COUNTIFS(worksheet!$A$2:$A$629,G$4,worksheet!$M$2:$M$629,"&gt;=0%",worksheet!$M$2:$M$629,"&lt;10%")</f>
        <v>1</v>
      </c>
      <c r="H10" s="328">
        <f>COUNTIFS(worksheet!$A$2:$A$629,H$4,worksheet!$M$2:$M$629,"&gt;=0%",worksheet!$M$2:$M$629,"&lt;10%")</f>
        <v>0</v>
      </c>
      <c r="I10" s="328">
        <f>COUNTIFS(worksheet!$A$2:$A$629,I$4,worksheet!$M$2:$M$629,"&gt;=0%",worksheet!$M$2:$M$629,"&lt;10%")</f>
        <v>12</v>
      </c>
      <c r="J10" s="284">
        <f t="shared" si="0"/>
        <v>33</v>
      </c>
      <c r="K10" s="254">
        <f t="shared" si="1"/>
        <v>0.23809523809523808</v>
      </c>
      <c r="L10" s="36">
        <f t="shared" si="2"/>
        <v>0.20833333333333334</v>
      </c>
      <c r="M10" s="36">
        <f t="shared" si="3"/>
        <v>0.3125</v>
      </c>
      <c r="N10" s="36">
        <f t="shared" si="4"/>
        <v>0</v>
      </c>
      <c r="O10" s="36">
        <f t="shared" si="5"/>
        <v>8.3333333333333329E-2</v>
      </c>
      <c r="P10" s="36">
        <f t="shared" si="5"/>
        <v>0</v>
      </c>
      <c r="Q10" s="36">
        <f t="shared" si="6"/>
        <v>0.6</v>
      </c>
      <c r="R10" s="36">
        <f t="shared" si="7"/>
        <v>0.26400000000000001</v>
      </c>
    </row>
    <row r="11" spans="2:18" x14ac:dyDescent="0.25">
      <c r="B11" s="237" t="s">
        <v>215</v>
      </c>
      <c r="C11" s="325">
        <f>COUNTIFS(worksheet!$A$2:$A$629,C$4,worksheet!$M$2:$M$629,"&gt;=-10%",worksheet!$M$2:$M$629,"&lt;0%")</f>
        <v>17</v>
      </c>
      <c r="D11" s="325">
        <f>COUNTIFS(worksheet!$A$2:$A$629,D$4,worksheet!$M$2:$M$629,"&gt;=-10%",worksheet!$M$2:$M$629,"&lt;0%")</f>
        <v>6</v>
      </c>
      <c r="E11" s="325">
        <f>COUNTIFS(worksheet!$A$2:$A$629,E$4,worksheet!$M$2:$M$629,"&gt;=-10%",worksheet!$M$2:$M$629,"&lt;0%")</f>
        <v>1</v>
      </c>
      <c r="F11" s="325">
        <f>COUNTIFS(worksheet!$A$2:$A$629,F$4,worksheet!$M$2:$M$629,"&gt;=-10%",worksheet!$M$2:$M$629,"&lt;0%")</f>
        <v>1</v>
      </c>
      <c r="G11" s="325">
        <f>COUNTIFS(worksheet!$A$2:$A$629,G$4,worksheet!$M$2:$M$629,"&gt;=-10%",worksheet!$M$2:$M$629,"&lt;0%")</f>
        <v>0</v>
      </c>
      <c r="H11" s="325">
        <f>COUNTIFS(worksheet!$A$2:$A$629,H$4,worksheet!$M$2:$M$629,"&gt;=-10%",worksheet!$M$2:$M$629,"&lt;0%")</f>
        <v>1</v>
      </c>
      <c r="I11" s="325">
        <f>COUNTIFS(worksheet!$A$2:$A$629,I$4,worksheet!$M$2:$M$629,"&gt;=-10%",worksheet!$M$2:$M$629,"&lt;0%")</f>
        <v>6</v>
      </c>
      <c r="J11" s="285">
        <f t="shared" si="0"/>
        <v>32</v>
      </c>
      <c r="K11" s="255">
        <f t="shared" si="1"/>
        <v>0.40476190476190477</v>
      </c>
      <c r="L11" s="37">
        <f t="shared" si="2"/>
        <v>0.25</v>
      </c>
      <c r="M11" s="37">
        <f t="shared" si="3"/>
        <v>6.25E-2</v>
      </c>
      <c r="N11" s="37">
        <f t="shared" si="4"/>
        <v>0.16666666666666666</v>
      </c>
      <c r="O11" s="37">
        <f t="shared" si="5"/>
        <v>0</v>
      </c>
      <c r="P11" s="37">
        <f t="shared" si="5"/>
        <v>0.2</v>
      </c>
      <c r="Q11" s="37">
        <f t="shared" si="6"/>
        <v>0.3</v>
      </c>
      <c r="R11" s="37">
        <f t="shared" si="7"/>
        <v>0.25600000000000001</v>
      </c>
    </row>
    <row r="12" spans="2:18" x14ac:dyDescent="0.25">
      <c r="B12" s="238" t="s">
        <v>216</v>
      </c>
      <c r="C12" s="328">
        <f>COUNTIFS(worksheet!$A$2:$A$629,C$4,worksheet!$M$2:$M$629,"&gt;=-20%",worksheet!$M$2:$M$629,"&lt;-10%")</f>
        <v>9</v>
      </c>
      <c r="D12" s="328">
        <f>COUNTIFS(worksheet!$A$2:$A$629,D$4,worksheet!$M$2:$M$629,"&gt;=-20%",worksheet!$M$2:$M$629,"&lt;-10%")</f>
        <v>1</v>
      </c>
      <c r="E12" s="328">
        <f>COUNTIFS(worksheet!$A$2:$A$629,E$4,worksheet!$M$2:$M$629,"&gt;=-20%",worksheet!$M$2:$M$629,"&lt;-10%")</f>
        <v>0</v>
      </c>
      <c r="F12" s="328">
        <f>COUNTIFS(worksheet!$A$2:$A$629,F$4,worksheet!$M$2:$M$629,"&gt;=-20%",worksheet!$M$2:$M$629,"&lt;-10%")</f>
        <v>1</v>
      </c>
      <c r="G12" s="328">
        <f>COUNTIFS(worksheet!$A$2:$A$629,G$4,worksheet!$M$2:$M$629,"&gt;=-20%",worksheet!$M$2:$M$629,"&lt;-10%")</f>
        <v>0</v>
      </c>
      <c r="H12" s="328">
        <f>COUNTIFS(worksheet!$A$2:$A$629,H$4,worksheet!$M$2:$M$629,"&gt;=-20%",worksheet!$M$2:$M$629,"&lt;-10%")</f>
        <v>1</v>
      </c>
      <c r="I12" s="328">
        <f>COUNTIFS(worksheet!$A$2:$A$629,I$4,worksheet!$M$2:$M$629,"&gt;=-20%",worksheet!$M$2:$M$629,"&lt;-10%")</f>
        <v>0</v>
      </c>
      <c r="J12" s="286">
        <f t="shared" si="0"/>
        <v>12</v>
      </c>
      <c r="K12" s="256">
        <f t="shared" si="1"/>
        <v>0.21428571428571427</v>
      </c>
      <c r="L12" s="38">
        <f t="shared" si="2"/>
        <v>4.1666666666666664E-2</v>
      </c>
      <c r="M12" s="38">
        <f t="shared" si="3"/>
        <v>0</v>
      </c>
      <c r="N12" s="38">
        <f t="shared" si="4"/>
        <v>0.16666666666666666</v>
      </c>
      <c r="O12" s="38">
        <f t="shared" si="5"/>
        <v>0</v>
      </c>
      <c r="P12" s="38">
        <f t="shared" si="5"/>
        <v>0.2</v>
      </c>
      <c r="Q12" s="38">
        <f t="shared" si="6"/>
        <v>0</v>
      </c>
      <c r="R12" s="38">
        <f t="shared" si="7"/>
        <v>9.6000000000000002E-2</v>
      </c>
    </row>
    <row r="13" spans="2:18" x14ac:dyDescent="0.25">
      <c r="B13" s="238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4</v>
      </c>
      <c r="G13" s="328">
        <f>COUNTIFS(worksheet!$A$2:$A$629,G$4,worksheet!$M$2:$M$629,"&gt;=-30%",worksheet!$M$2:$M$629,"&lt;-20%")</f>
        <v>0</v>
      </c>
      <c r="H13" s="328">
        <f>COUNTIFS(worksheet!$A$2:$A$629,H$4,worksheet!$M$2:$M$629,"&gt;=-30%",worksheet!$M$2:$M$629,"&lt;-20%")</f>
        <v>1</v>
      </c>
      <c r="I13" s="328">
        <f>COUNTIFS(worksheet!$A$2:$A$629,I$4,worksheet!$M$2:$M$629,"&gt;=-30%",worksheet!$M$2:$M$629,"&lt;-20%")</f>
        <v>0</v>
      </c>
      <c r="J13" s="286">
        <f t="shared" si="0"/>
        <v>5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0.66666666666666663</v>
      </c>
      <c r="O13" s="38">
        <f t="shared" si="5"/>
        <v>0</v>
      </c>
      <c r="P13" s="38">
        <f t="shared" si="5"/>
        <v>0.2</v>
      </c>
      <c r="Q13" s="38">
        <f t="shared" si="6"/>
        <v>0</v>
      </c>
      <c r="R13" s="38">
        <f t="shared" si="7"/>
        <v>0.04</v>
      </c>
    </row>
    <row r="14" spans="2:18" x14ac:dyDescent="0.25">
      <c r="B14" s="192" t="s">
        <v>271</v>
      </c>
      <c r="C14" s="324">
        <f>COUNTIFS(worksheet!$A$2:$A$629,C$4,worksheet!$M$2:$M$629,"&gt;=-40%",worksheet!$M$2:$M$629,"&lt;-30%")</f>
        <v>1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1</v>
      </c>
      <c r="I14" s="324">
        <f>COUNTIFS(worksheet!$A$2:$A$629,I$4,worksheet!$M$2:$M$629,"&gt;=-40%",worksheet!$M$2:$M$629,"&lt;-30%")</f>
        <v>0</v>
      </c>
      <c r="J14" s="287">
        <f t="shared" si="0"/>
        <v>2</v>
      </c>
      <c r="K14" s="257">
        <f t="shared" si="1"/>
        <v>2.3809523809523808E-2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0.2</v>
      </c>
      <c r="Q14" s="30">
        <f t="shared" si="6"/>
        <v>0</v>
      </c>
      <c r="R14" s="30">
        <f t="shared" si="7"/>
        <v>1.6E-2</v>
      </c>
    </row>
    <row r="15" spans="2:18" x14ac:dyDescent="0.25">
      <c r="B15" s="192" t="s">
        <v>269</v>
      </c>
      <c r="C15" s="324">
        <f>COUNTIFS(worksheet!$A$2:$A$629,C$4,worksheet!$M$2:$M$629,"&lt;-40%")</f>
        <v>2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0</v>
      </c>
      <c r="H15" s="324">
        <f>COUNTIFS(worksheet!$A$2:$A$629,H$4,worksheet!$M$2:$M$629,"&lt;-40%")</f>
        <v>1</v>
      </c>
      <c r="I15" s="324">
        <f>COUNTIFS(worksheet!$A$2:$A$629,I$4,worksheet!$M$2:$M$629,"&lt;-40%")</f>
        <v>0</v>
      </c>
      <c r="J15" s="287">
        <f t="shared" si="0"/>
        <v>3</v>
      </c>
      <c r="K15" s="257">
        <f t="shared" si="1"/>
        <v>4.7619047619047616E-2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0.2</v>
      </c>
      <c r="Q15" s="30">
        <f t="shared" si="6"/>
        <v>0</v>
      </c>
      <c r="R15" s="30">
        <f t="shared" si="7"/>
        <v>2.4E-2</v>
      </c>
    </row>
    <row r="16" spans="2:18" x14ac:dyDescent="0.25">
      <c r="B16" s="193" t="s">
        <v>264</v>
      </c>
      <c r="C16" s="49">
        <f t="shared" ref="C16:Q16" si="8">SUM(C10:C11)</f>
        <v>27</v>
      </c>
      <c r="D16" s="49">
        <f t="shared" si="8"/>
        <v>11</v>
      </c>
      <c r="E16" s="49">
        <f t="shared" si="8"/>
        <v>6</v>
      </c>
      <c r="F16" s="49">
        <f t="shared" si="8"/>
        <v>1</v>
      </c>
      <c r="G16" s="49">
        <f t="shared" si="8"/>
        <v>1</v>
      </c>
      <c r="H16" s="49">
        <f t="shared" si="8"/>
        <v>1</v>
      </c>
      <c r="I16" s="49">
        <f t="shared" si="8"/>
        <v>18</v>
      </c>
      <c r="J16" s="271">
        <f t="shared" si="8"/>
        <v>65</v>
      </c>
      <c r="K16" s="258">
        <f>SUM(K10:K11)</f>
        <v>0.64285714285714279</v>
      </c>
      <c r="L16" s="40">
        <f t="shared" si="8"/>
        <v>0.45833333333333337</v>
      </c>
      <c r="M16" s="40">
        <f t="shared" si="8"/>
        <v>0.375</v>
      </c>
      <c r="N16" s="40">
        <f t="shared" si="8"/>
        <v>0.16666666666666666</v>
      </c>
      <c r="O16" s="40">
        <f t="shared" si="8"/>
        <v>8.3333333333333329E-2</v>
      </c>
      <c r="P16" s="40">
        <f t="shared" ref="P16" si="9">SUM(P10:P11)</f>
        <v>0.2</v>
      </c>
      <c r="Q16" s="40">
        <f t="shared" si="8"/>
        <v>0.89999999999999991</v>
      </c>
      <c r="R16" s="40">
        <f>SUM(R10:R11)</f>
        <v>0.52</v>
      </c>
    </row>
    <row r="17" spans="1:18" x14ac:dyDescent="0.25">
      <c r="B17" s="194" t="s">
        <v>223</v>
      </c>
      <c r="C17" s="50">
        <f t="shared" ref="C17:Q17" si="10">SUM(C9:C10,C11:C12)</f>
        <v>39</v>
      </c>
      <c r="D17" s="50">
        <f t="shared" si="10"/>
        <v>16</v>
      </c>
      <c r="E17" s="50">
        <f t="shared" si="10"/>
        <v>8</v>
      </c>
      <c r="F17" s="50">
        <f t="shared" si="10"/>
        <v>2</v>
      </c>
      <c r="G17" s="50">
        <f t="shared" si="10"/>
        <v>4</v>
      </c>
      <c r="H17" s="50">
        <f t="shared" si="10"/>
        <v>2</v>
      </c>
      <c r="I17" s="50">
        <f t="shared" si="10"/>
        <v>18</v>
      </c>
      <c r="J17" s="272">
        <f t="shared" si="10"/>
        <v>89</v>
      </c>
      <c r="K17" s="259">
        <f t="shared" si="10"/>
        <v>0.9285714285714286</v>
      </c>
      <c r="L17" s="35">
        <f t="shared" si="10"/>
        <v>0.66666666666666663</v>
      </c>
      <c r="M17" s="35">
        <f t="shared" si="10"/>
        <v>0.5</v>
      </c>
      <c r="N17" s="35">
        <f t="shared" si="10"/>
        <v>0.33333333333333331</v>
      </c>
      <c r="O17" s="35">
        <f t="shared" si="10"/>
        <v>0.33333333333333331</v>
      </c>
      <c r="P17" s="35">
        <f t="shared" ref="P17" si="11">SUM(P9:P10,P11:P12)</f>
        <v>0.4</v>
      </c>
      <c r="Q17" s="35">
        <f t="shared" si="10"/>
        <v>0.89999999999999991</v>
      </c>
      <c r="R17" s="35">
        <f>SUM(R9:R10,R11:R12)</f>
        <v>0.71199999999999997</v>
      </c>
    </row>
    <row r="18" spans="1:18" x14ac:dyDescent="0.25">
      <c r="B18" s="195" t="s">
        <v>265</v>
      </c>
      <c r="C18" s="147">
        <f t="shared" ref="C18:Q18" si="12">SUM(C8:C13)</f>
        <v>39</v>
      </c>
      <c r="D18" s="147">
        <f t="shared" si="12"/>
        <v>21</v>
      </c>
      <c r="E18" s="147">
        <f t="shared" si="12"/>
        <v>9</v>
      </c>
      <c r="F18" s="147">
        <f t="shared" si="12"/>
        <v>6</v>
      </c>
      <c r="G18" s="147">
        <f t="shared" si="12"/>
        <v>7</v>
      </c>
      <c r="H18" s="147">
        <f t="shared" si="12"/>
        <v>3</v>
      </c>
      <c r="I18" s="147">
        <f t="shared" si="12"/>
        <v>20</v>
      </c>
      <c r="J18" s="273">
        <f t="shared" si="12"/>
        <v>105</v>
      </c>
      <c r="K18" s="260">
        <f t="shared" si="12"/>
        <v>0.9285714285714286</v>
      </c>
      <c r="L18" s="149">
        <f t="shared" si="12"/>
        <v>0.875</v>
      </c>
      <c r="M18" s="149">
        <f t="shared" si="12"/>
        <v>0.5625</v>
      </c>
      <c r="N18" s="149">
        <f t="shared" si="12"/>
        <v>1</v>
      </c>
      <c r="O18" s="149">
        <f t="shared" si="12"/>
        <v>0.58333333333333337</v>
      </c>
      <c r="P18" s="149">
        <f t="shared" ref="P18" si="13">SUM(P8:P13)</f>
        <v>0.60000000000000009</v>
      </c>
      <c r="Q18" s="149">
        <f t="shared" si="12"/>
        <v>1</v>
      </c>
      <c r="R18" s="149">
        <f>SUM(R8:R13)</f>
        <v>0.84</v>
      </c>
    </row>
    <row r="19" spans="1:18" x14ac:dyDescent="0.25">
      <c r="B19" s="239"/>
      <c r="C19" s="481" t="s">
        <v>302</v>
      </c>
      <c r="D19" s="480"/>
      <c r="E19" s="480"/>
      <c r="F19" s="480"/>
      <c r="G19" s="480"/>
      <c r="H19" s="480"/>
      <c r="I19" s="480"/>
      <c r="J19" s="482"/>
      <c r="K19" s="479" t="s">
        <v>303</v>
      </c>
      <c r="L19" s="480"/>
      <c r="M19" s="480"/>
      <c r="N19" s="480"/>
      <c r="O19" s="480"/>
      <c r="P19" s="480"/>
      <c r="Q19" s="480"/>
      <c r="R19" s="480"/>
    </row>
    <row r="20" spans="1:18" s="6" customFormat="1" x14ac:dyDescent="0.25">
      <c r="B20" s="240" t="s">
        <v>304</v>
      </c>
      <c r="C20" s="230">
        <f t="shared" ref="C20:Q20" si="14">SUM(C6:C10)</f>
        <v>13</v>
      </c>
      <c r="D20" s="230">
        <f t="shared" si="14"/>
        <v>17</v>
      </c>
      <c r="E20" s="230">
        <f t="shared" si="14"/>
        <v>15</v>
      </c>
      <c r="F20" s="230">
        <f t="shared" si="14"/>
        <v>0</v>
      </c>
      <c r="G20" s="230">
        <f t="shared" si="14"/>
        <v>12</v>
      </c>
      <c r="H20" s="230">
        <f t="shared" si="14"/>
        <v>0</v>
      </c>
      <c r="I20" s="230">
        <f t="shared" si="14"/>
        <v>14</v>
      </c>
      <c r="J20" s="288">
        <f t="shared" si="14"/>
        <v>71</v>
      </c>
      <c r="K20" s="261">
        <f>SUM(K6:K10)</f>
        <v>0.30952380952380953</v>
      </c>
      <c r="L20" s="151">
        <f t="shared" si="14"/>
        <v>0.70833333333333337</v>
      </c>
      <c r="M20" s="151">
        <f t="shared" si="14"/>
        <v>0.9375</v>
      </c>
      <c r="N20" s="151">
        <f t="shared" si="14"/>
        <v>0</v>
      </c>
      <c r="O20" s="151">
        <f t="shared" si="14"/>
        <v>1</v>
      </c>
      <c r="P20" s="151">
        <f t="shared" si="14"/>
        <v>0</v>
      </c>
      <c r="Q20" s="151">
        <f t="shared" si="14"/>
        <v>0.7</v>
      </c>
      <c r="R20" s="151">
        <f>SUM(R6:R10)</f>
        <v>0.56800000000000006</v>
      </c>
    </row>
    <row r="21" spans="1:18" s="232" customFormat="1" x14ac:dyDescent="0.25">
      <c r="B21" s="241" t="s">
        <v>305</v>
      </c>
      <c r="C21" s="231">
        <f t="shared" ref="C21:Q21" si="15">SUM(C11:C15)</f>
        <v>29</v>
      </c>
      <c r="D21" s="231">
        <f t="shared" si="15"/>
        <v>7</v>
      </c>
      <c r="E21" s="231">
        <f t="shared" si="15"/>
        <v>1</v>
      </c>
      <c r="F21" s="231">
        <f t="shared" si="15"/>
        <v>6</v>
      </c>
      <c r="G21" s="231">
        <f t="shared" si="15"/>
        <v>0</v>
      </c>
      <c r="H21" s="231">
        <f t="shared" si="15"/>
        <v>5</v>
      </c>
      <c r="I21" s="231">
        <f t="shared" si="15"/>
        <v>6</v>
      </c>
      <c r="J21" s="289">
        <f t="shared" si="15"/>
        <v>54</v>
      </c>
      <c r="K21" s="262">
        <f>SUM(K11:K15)</f>
        <v>0.69047619047619047</v>
      </c>
      <c r="L21" s="152">
        <f t="shared" si="15"/>
        <v>0.29166666666666669</v>
      </c>
      <c r="M21" s="152">
        <f t="shared" si="15"/>
        <v>6.25E-2</v>
      </c>
      <c r="N21" s="152">
        <f t="shared" si="15"/>
        <v>1</v>
      </c>
      <c r="O21" s="152">
        <f t="shared" si="15"/>
        <v>0</v>
      </c>
      <c r="P21" s="152">
        <f t="shared" si="15"/>
        <v>1</v>
      </c>
      <c r="Q21" s="152">
        <f t="shared" si="15"/>
        <v>0.3</v>
      </c>
      <c r="R21" s="152">
        <f>SUM(R11:R15)</f>
        <v>0.432</v>
      </c>
    </row>
    <row r="22" spans="1:18" x14ac:dyDescent="0.25">
      <c r="B22" s="196" t="s">
        <v>208</v>
      </c>
      <c r="C22" s="153">
        <f>C20+C21</f>
        <v>42</v>
      </c>
      <c r="D22" s="153">
        <f t="shared" ref="D22:R22" si="16">D20+D21</f>
        <v>24</v>
      </c>
      <c r="E22" s="153">
        <f t="shared" si="16"/>
        <v>16</v>
      </c>
      <c r="F22" s="153">
        <f t="shared" si="16"/>
        <v>6</v>
      </c>
      <c r="G22" s="153">
        <f t="shared" si="16"/>
        <v>12</v>
      </c>
      <c r="H22" s="153">
        <f t="shared" si="16"/>
        <v>5</v>
      </c>
      <c r="I22" s="153">
        <f t="shared" si="16"/>
        <v>20</v>
      </c>
      <c r="J22" s="290">
        <f>J20+J21</f>
        <v>125</v>
      </c>
      <c r="K22" s="264">
        <f t="shared" si="16"/>
        <v>1</v>
      </c>
      <c r="L22" s="245">
        <f t="shared" si="16"/>
        <v>1</v>
      </c>
      <c r="M22" s="245">
        <f t="shared" si="16"/>
        <v>1</v>
      </c>
      <c r="N22" s="245">
        <f t="shared" si="16"/>
        <v>1</v>
      </c>
      <c r="O22" s="245">
        <f t="shared" si="16"/>
        <v>1</v>
      </c>
      <c r="P22" s="245">
        <f t="shared" si="16"/>
        <v>1</v>
      </c>
      <c r="Q22" s="245">
        <f t="shared" si="16"/>
        <v>1</v>
      </c>
      <c r="R22" s="245">
        <f t="shared" si="16"/>
        <v>1</v>
      </c>
    </row>
    <row r="23" spans="1:18" x14ac:dyDescent="0.25">
      <c r="B23" s="483" t="s">
        <v>259</v>
      </c>
      <c r="C23" s="484"/>
      <c r="D23" s="484"/>
      <c r="E23" s="484"/>
      <c r="F23" s="484"/>
      <c r="G23" s="484"/>
      <c r="H23" s="484"/>
      <c r="I23" s="484"/>
      <c r="J23" s="485"/>
    </row>
    <row r="24" spans="1:18" x14ac:dyDescent="0.25">
      <c r="B24" s="240" t="s">
        <v>255</v>
      </c>
      <c r="C24" s="340">
        <f>IF(C20=0,"",AVERAGEIFS(worksheet!$M$2:$M$629,worksheet!$A$2:$A$629,C$4,worksheet!$M$2:$M$629,"&gt;=0%"))</f>
        <v>6.1567155685797806E-2</v>
      </c>
      <c r="D24" s="340">
        <f>IF(D20=0,"",AVERAGEIFS(worksheet!$M$2:$M$629,worksheet!$A$2:$A$629,D$4,worksheet!$M$2:$M$629,"&gt;=0%"))</f>
        <v>0.18915871838203846</v>
      </c>
      <c r="E24" s="340">
        <f>IF(E20=0,"",AVERAGEIFS(worksheet!$M$2:$M$629,worksheet!$A$2:$A$629,E$4,worksheet!$M$2:$M$629,"&gt;=0%"))</f>
        <v>0.38656841458520586</v>
      </c>
      <c r="F24" s="340" t="str">
        <f>IF(F20=0,"",AVERAGEIFS(worksheet!$M$2:$M$629,worksheet!$A$2:$A$629,F$4,worksheet!$M$2:$M$629,"&gt;=0%"))</f>
        <v/>
      </c>
      <c r="G24" s="340">
        <f>IF(G20=0,"",AVERAGEIFS(worksheet!$M$2:$M$629,worksheet!$A$2:$A$629,G$4,worksheet!$M$2:$M$629,"&gt;=0%"))</f>
        <v>0.25021749829291201</v>
      </c>
      <c r="H24" s="340" t="str">
        <f>IF(H20=0,"",AVERAGEIFS(worksheet!$M$2:$M$629,worksheet!$A$2:$A$629,H$4,worksheet!$M$2:$M$629,"&gt;=0%"))</f>
        <v/>
      </c>
      <c r="I24" s="340">
        <f>IF(I20=0,"",AVERAGEIFS(worksheet!$M$2:$M$629,worksheet!$A$2:$A$629,I$4,worksheet!$M$2:$M$629,"&gt;=0%"))</f>
        <v>5.8899951272328104E-2</v>
      </c>
      <c r="J24" s="320">
        <f>AVERAGEIFS(worksheet!$M$2:$M$629,worksheet!$M$2:$M$629,"&gt;=0%",worksheet!$B$2:$B$629,3)</f>
        <v>0.19213812327486832</v>
      </c>
    </row>
    <row r="25" spans="1:18" s="232" customFormat="1" x14ac:dyDescent="0.25">
      <c r="B25" s="243" t="s">
        <v>256</v>
      </c>
      <c r="C25" s="339">
        <f>IF(C21=0,"",AVERAGEIFS(worksheet!$M$2:$M$629,worksheet!$A$2:$A$629,C$4,worksheet!$M$2:$M$629,"&lt;0%"))</f>
        <v>-0.12443463504442841</v>
      </c>
      <c r="D25" s="339">
        <f>IF(D21=0,"",AVERAGEIFS(worksheet!$M$2:$M$629,worksheet!$A$2:$A$629,D$4,worksheet!$M$2:$M$629,"&lt;0%"))</f>
        <v>-6.2977072383388566E-2</v>
      </c>
      <c r="E25" s="339">
        <f>IF(E21=0,"",AVERAGEIFS(worksheet!$M$2:$M$629,worksheet!$A$2:$A$629,E$4,worksheet!$M$2:$M$629,"&lt;0%"))</f>
        <v>-7.3076044759077363E-2</v>
      </c>
      <c r="F25" s="339">
        <f>IF(F21=0,"",AVERAGEIFS(worksheet!$M$2:$M$629,worksheet!$A$2:$A$629,F$4,worksheet!$M$2:$M$629,"&lt;0%"))</f>
        <v>-0.19720663528450463</v>
      </c>
      <c r="G25" s="339" t="str">
        <f>IF(G21=0,"",AVERAGEIFS(worksheet!$M$2:$M$629,worksheet!$A$2:$A$629,G$4,worksheet!$M$2:$M$629,"&lt;0%"))</f>
        <v/>
      </c>
      <c r="H25" s="339">
        <f>IF(H21=0,"",AVERAGEIFS(worksheet!$M$2:$M$629,worksheet!$A$2:$A$629,H$4,worksheet!$M$2:$M$629,"&lt;0%"))</f>
        <v>-0.24431887775561273</v>
      </c>
      <c r="I25" s="339">
        <f>IF(I21=0,"",AVERAGEIFS(worksheet!$M$2:$M$629,worksheet!$A$2:$A$629,I$4,worksheet!$M$2:$M$629,"&lt;0%"))</f>
        <v>-3.0485600790661649E-2</v>
      </c>
      <c r="J25" s="318">
        <f>AVERAGEIFS(worksheet!$M$2:$M$629,worksheet!$M$2:$M$629,"&lt;0%",worksheet!$B$2:$B$629,3)</f>
        <v>-0.12426421801778303</v>
      </c>
    </row>
    <row r="26" spans="1:18" ht="15.75" thickBot="1" x14ac:dyDescent="0.3">
      <c r="B26" s="247" t="s">
        <v>254</v>
      </c>
      <c r="C26" s="343">
        <f>IF(C22=0,"",AVERAGEIFS(worksheet!$M$2:$M$629,worksheet!$A$2:$A$629,C$4))</f>
        <v>-6.6862652199358399E-2</v>
      </c>
      <c r="D26" s="343">
        <f>IF(D22=0,"",AVERAGEIFS(worksheet!$M$2:$M$629,worksheet!$A$2:$A$629,D$4))</f>
        <v>0.11561911274212226</v>
      </c>
      <c r="E26" s="343">
        <f>IF(E22=0,"",AVERAGEIFS(worksheet!$M$2:$M$629,worksheet!$A$2:$A$629,E$4))</f>
        <v>0.35784063587618808</v>
      </c>
      <c r="F26" s="343">
        <f>IF(F22=0,"",AVERAGEIFS(worksheet!$M$2:$M$629,worksheet!$A$2:$A$629,F$4))</f>
        <v>-0.19720663528450463</v>
      </c>
      <c r="G26" s="343">
        <f>IF(G22=0,"",AVERAGEIFS(worksheet!$M$2:$M$629,worksheet!$A$2:$A$629,G$4))</f>
        <v>0.25021749829291201</v>
      </c>
      <c r="H26" s="343">
        <f>IF(H22=0,"",AVERAGEIFS(worksheet!$M$2:$M$629,worksheet!$A$2:$A$629,H$4))</f>
        <v>-0.24431887775561273</v>
      </c>
      <c r="I26" s="343">
        <f>IF(I22=0,"",AVERAGEIFS(worksheet!$M$2:$M$629,worksheet!$A$2:$A$629,I$4))</f>
        <v>3.2084285653431174E-2</v>
      </c>
      <c r="J26" s="321">
        <f>AVERAGEIFS(worksheet!$M$2:$M$629,worksheet!$B$2:$B$629,3)</f>
        <v>5.5452311836442919E-2</v>
      </c>
    </row>
    <row r="27" spans="1:18" ht="15.75" thickTop="1" x14ac:dyDescent="0.25">
      <c r="B27" s="472" t="s">
        <v>262</v>
      </c>
      <c r="C27" s="473"/>
      <c r="D27" s="473"/>
      <c r="E27" s="473"/>
      <c r="F27" s="473"/>
      <c r="G27" s="473"/>
      <c r="H27" s="473"/>
      <c r="I27" s="473"/>
      <c r="J27" s="474"/>
    </row>
    <row r="28" spans="1:18" ht="15.75" thickBot="1" x14ac:dyDescent="0.3">
      <c r="B28" s="225" t="s">
        <v>263</v>
      </c>
      <c r="C28" s="326">
        <f>SQRT(SUMIF(worksheet!$A$2:$A$629,C$4,worksheet!$N$2:$N$629)/COUNTIF(worksheet!$A$2:$A$629,C4))/AVERAGEIF(worksheet!$A$2:$A$629,C4,worksheet!$K$2:$K$629)</f>
        <v>8.8663355611034861E-2</v>
      </c>
      <c r="D28" s="326">
        <f>SQRT(SUMIF(worksheet!$A$2:$A$629,D$4,worksheet!$N$2:$N$629)/COUNTIF(worksheet!$A$2:$A$629,D4))/AVERAGEIF(worksheet!$A$2:$A$629,D4,worksheet!$K$2:$K$629)</f>
        <v>0.19863467693117134</v>
      </c>
      <c r="E28" s="326">
        <f>SQRT(SUMIF(worksheet!$A$2:$A$629,E$4,worksheet!$N$2:$N$629)/COUNTIF(worksheet!$A$2:$A$629,E4))/AVERAGEIF(worksheet!$A$2:$A$629,E4,worksheet!$K$2:$K$629)</f>
        <v>0.42529887507568226</v>
      </c>
      <c r="F28" s="326">
        <f>SQRT(SUMIF(worksheet!$A$2:$A$629,F$4,worksheet!$N$2:$N$629)/COUNTIF(worksheet!$A$2:$A$629,F4))/AVERAGEIF(worksheet!$A$2:$A$629,F4,worksheet!$K$2:$K$629)</f>
        <v>0.21254698947262207</v>
      </c>
      <c r="G28" s="326">
        <f>SQRT(SUMIF(worksheet!$A$2:$A$629,G$4,worksheet!$N$2:$N$629)/COUNTIF(worksheet!$A$2:$A$629,G4))/AVERAGEIF(worksheet!$A$2:$A$629,G4,worksheet!$K$2:$K$629)</f>
        <v>0.24662697377529685</v>
      </c>
      <c r="H28" s="62">
        <f>SQRT(SUMIF(worksheet!$A$2:$A$629,H$4,worksheet!$N$2:$N$629)/COUNTIF(worksheet!$A$2:$A$629,H4))/AVERAGEIF(worksheet!$A$2:$A$629,H4,worksheet!$K$2:$K$629)</f>
        <v>0.22524780241344536</v>
      </c>
      <c r="I28" s="323">
        <f>SQRT(SUMIF(worksheet!$A$2:$A$629,I$4,worksheet!$N$2:$N$629)/COUNTIF(worksheet!$A$2:$A$629,I4))/AVERAGEIF(worksheet!$A$2:$A$629,I4,worksheet!$K$2:$K$629)</f>
        <v>6.5420039304330685E-2</v>
      </c>
      <c r="J28" s="322">
        <f>SQRT(SUMIF(worksheet!$B$2:$B$629,3,worksheet!$N$2:$N$629)/COUNTIF(worksheet!$B$2:$B$629,3))/AVERAGEIF(worksheet!$B$2:$B$629,3,worksheet!$K$2:$K$629)</f>
        <v>0.17090291326550336</v>
      </c>
    </row>
    <row r="29" spans="1:18" ht="15.75" thickTop="1" x14ac:dyDescent="0.25">
      <c r="B29" s="458" t="s">
        <v>224</v>
      </c>
      <c r="C29" s="459"/>
      <c r="D29" s="459"/>
      <c r="E29" s="459"/>
      <c r="F29" s="459"/>
      <c r="G29" s="459"/>
      <c r="H29" s="459"/>
      <c r="I29" s="459"/>
      <c r="J29" s="460"/>
    </row>
    <row r="30" spans="1:18" ht="15.75" thickBot="1" x14ac:dyDescent="0.3">
      <c r="B30" s="226" t="s">
        <v>267</v>
      </c>
      <c r="C30" s="227">
        <f t="shared" ref="C30:I30" ca="1" si="17">INDIRECT(C5&amp;"!o$1")</f>
        <v>0.98436753712730629</v>
      </c>
      <c r="D30" s="227">
        <f t="shared" ca="1" si="17"/>
        <v>1.108406150327131</v>
      </c>
      <c r="E30" s="227">
        <f t="shared" ca="1" si="17"/>
        <v>1.2950561248142922</v>
      </c>
      <c r="F30" s="227">
        <f t="shared" ca="1" si="17"/>
        <v>0.79633831700418112</v>
      </c>
      <c r="G30" s="227">
        <f t="shared" ca="1" si="17"/>
        <v>1.2129067392803861</v>
      </c>
      <c r="H30" s="227">
        <f t="shared" ca="1" si="17"/>
        <v>0.82647626464639001</v>
      </c>
      <c r="I30" s="227">
        <f t="shared" ca="1" si="17"/>
        <v>1.0178646961540232</v>
      </c>
      <c r="J30" s="229">
        <f>LINEST(worksheet!$L$401:$L$525,worksheet!$K$401:$K$525,FALSE)</f>
        <v>1.0243466087550153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C34" sqref="C34"/>
    </sheetView>
  </sheetViews>
  <sheetFormatPr defaultRowHeight="15" x14ac:dyDescent="0.25"/>
  <cols>
    <col min="1" max="1" width="10.7109375" customWidth="1"/>
    <col min="2" max="2" width="14.5703125" style="11" bestFit="1" customWidth="1"/>
    <col min="3" max="10" width="10" style="12" customWidth="1"/>
    <col min="11" max="18" width="10" customWidth="1"/>
  </cols>
  <sheetData>
    <row r="3" spans="2:18" x14ac:dyDescent="0.25">
      <c r="B3" s="233"/>
      <c r="C3" s="475" t="s">
        <v>222</v>
      </c>
      <c r="D3" s="477"/>
      <c r="E3" s="477"/>
      <c r="F3" s="477"/>
      <c r="G3" s="477"/>
      <c r="H3" s="477"/>
      <c r="I3" s="477"/>
      <c r="J3" s="478"/>
      <c r="K3" s="462" t="s">
        <v>273</v>
      </c>
      <c r="L3" s="462"/>
      <c r="M3" s="462"/>
      <c r="N3" s="462"/>
      <c r="O3" s="462"/>
      <c r="P3" s="462"/>
      <c r="Q3" s="462"/>
      <c r="R3" s="476"/>
    </row>
    <row r="4" spans="2:18" x14ac:dyDescent="0.25">
      <c r="B4" s="234"/>
      <c r="C4" s="159">
        <v>22</v>
      </c>
      <c r="D4" s="160">
        <v>23</v>
      </c>
      <c r="E4" s="160">
        <v>24</v>
      </c>
      <c r="F4" s="159">
        <v>25</v>
      </c>
      <c r="G4" s="160">
        <v>26</v>
      </c>
      <c r="H4" s="160">
        <v>27</v>
      </c>
      <c r="I4" s="159">
        <v>28</v>
      </c>
      <c r="J4" s="280"/>
      <c r="K4" s="251">
        <v>22</v>
      </c>
      <c r="L4" s="159">
        <v>23</v>
      </c>
      <c r="M4" s="159">
        <v>24</v>
      </c>
      <c r="N4" s="159">
        <v>25</v>
      </c>
      <c r="O4" s="159">
        <v>26</v>
      </c>
      <c r="P4" s="159">
        <v>27</v>
      </c>
      <c r="Q4" s="159">
        <v>28</v>
      </c>
      <c r="R4" s="159"/>
    </row>
    <row r="5" spans="2:18" x14ac:dyDescent="0.25">
      <c r="B5" s="190" t="s">
        <v>210</v>
      </c>
      <c r="C5" s="158" t="s">
        <v>246</v>
      </c>
      <c r="D5" s="158" t="s">
        <v>250</v>
      </c>
      <c r="E5" s="158" t="s">
        <v>247</v>
      </c>
      <c r="F5" s="158" t="s">
        <v>248</v>
      </c>
      <c r="G5" s="158" t="s">
        <v>249</v>
      </c>
      <c r="H5" s="158" t="s">
        <v>251</v>
      </c>
      <c r="I5" s="158" t="s">
        <v>252</v>
      </c>
      <c r="J5" s="281" t="s">
        <v>211</v>
      </c>
      <c r="K5" s="252" t="s">
        <v>246</v>
      </c>
      <c r="L5" s="158" t="s">
        <v>250</v>
      </c>
      <c r="M5" s="158" t="s">
        <v>247</v>
      </c>
      <c r="N5" s="158" t="s">
        <v>248</v>
      </c>
      <c r="O5" s="158" t="s">
        <v>249</v>
      </c>
      <c r="P5" s="158" t="s">
        <v>251</v>
      </c>
      <c r="Q5" s="158" t="s">
        <v>252</v>
      </c>
      <c r="R5" s="158" t="s">
        <v>211</v>
      </c>
    </row>
    <row r="6" spans="2:18" x14ac:dyDescent="0.25">
      <c r="B6" s="191" t="s">
        <v>268</v>
      </c>
      <c r="C6" s="324">
        <f>COUNTIFS(worksheet!$A$2:$A$629,C$4,worksheet!$M$2:$M$629,"&gt;=40%")</f>
        <v>0</v>
      </c>
      <c r="D6" s="324">
        <f>COUNTIFS(worksheet!$A$2:$A$629,D$4,worksheet!$M$2:$M$629,"&gt;=40%")</f>
        <v>0</v>
      </c>
      <c r="E6" s="324">
        <f>COUNTIFS(worksheet!$A$2:$A$629,E$4,worksheet!$M$2:$M$629,"&gt;=40%")</f>
        <v>1</v>
      </c>
      <c r="F6" s="324">
        <f>COUNTIFS(worksheet!$A$2:$A$629,F$4,worksheet!$M$2:$M$629,"&gt;=40%")</f>
        <v>0</v>
      </c>
      <c r="G6" s="324">
        <f>COUNTIFS(worksheet!$A$2:$A$629,G$4,worksheet!$M$2:$M$629,"&gt;=40%")</f>
        <v>0</v>
      </c>
      <c r="H6" s="324">
        <f>COUNTIFS(worksheet!$A$2:$A$629,H$4,worksheet!$M$2:$M$629,"&gt;=40%")</f>
        <v>2</v>
      </c>
      <c r="I6" s="324">
        <f>COUNTIFS(worksheet!$A$2:$A$629,I$4,worksheet!$M$2:$M$629,"&gt;=40%")</f>
        <v>0</v>
      </c>
      <c r="J6" s="282">
        <f t="shared" ref="J6:J15" si="0">SUM(C6:I6)</f>
        <v>3</v>
      </c>
      <c r="K6" s="253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7.6923076923076927E-2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0.4</v>
      </c>
      <c r="Q6" s="29">
        <f t="shared" ref="Q6:Q15" si="6">I6/I$22</f>
        <v>0</v>
      </c>
      <c r="R6" s="235">
        <f t="shared" ref="R6:R15" si="7">J6/J$22</f>
        <v>2.8846153846153848E-2</v>
      </c>
    </row>
    <row r="7" spans="2:18" x14ac:dyDescent="0.25">
      <c r="B7" s="191" t="s">
        <v>270</v>
      </c>
      <c r="C7" s="324">
        <f>COUNTIFS(worksheet!$A$2:$A$629,C$4,worksheet!$M$2:$M$629,"&gt;=30%",worksheet!$M$2:$M$629,"&lt;40%")</f>
        <v>1</v>
      </c>
      <c r="D7" s="324">
        <f>COUNTIFS(worksheet!$A$2:$A$629,D$4,worksheet!$M$2:$M$629,"&gt;=30%",worksheet!$M$2:$M$629,"&lt;40%")</f>
        <v>2</v>
      </c>
      <c r="E7" s="324">
        <f>COUNTIFS(worksheet!$A$2:$A$629,E$4,worksheet!$M$2:$M$629,"&gt;=30%",worksheet!$M$2:$M$629,"&lt;40%")</f>
        <v>0</v>
      </c>
      <c r="F7" s="324">
        <f>COUNTIFS(worksheet!$A$2:$A$629,F$4,worksheet!$M$2:$M$629,"&gt;=30%",worksheet!$M$2:$M$629,"&lt;40%")</f>
        <v>0</v>
      </c>
      <c r="G7" s="324">
        <f>COUNTIFS(worksheet!$A$2:$A$629,G$4,worksheet!$M$2:$M$629,"&gt;=30%",worksheet!$M$2:$M$629,"&lt;40%")</f>
        <v>0</v>
      </c>
      <c r="H7" s="324">
        <f>COUNTIFS(worksheet!$A$2:$A$629,H$4,worksheet!$M$2:$M$629,"&gt;=30%",worksheet!$M$2:$M$629,"&lt;40%")</f>
        <v>1</v>
      </c>
      <c r="I7" s="324">
        <f>COUNTIFS(worksheet!$A$2:$A$629,I$4,worksheet!$M$2:$M$629,"&gt;=30%",worksheet!$M$2:$M$629,"&lt;40%")</f>
        <v>0</v>
      </c>
      <c r="J7" s="283">
        <f t="shared" si="0"/>
        <v>4</v>
      </c>
      <c r="K7" s="253">
        <f t="shared" si="1"/>
        <v>2.7027027027027029E-2</v>
      </c>
      <c r="L7" s="29">
        <f t="shared" si="2"/>
        <v>9.5238095238095233E-2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3.8461538461538464E-2</v>
      </c>
    </row>
    <row r="8" spans="2:18" x14ac:dyDescent="0.25">
      <c r="B8" s="236" t="s">
        <v>212</v>
      </c>
      <c r="C8" s="328">
        <f>COUNTIFS(worksheet!$A$2:$A$629,C$4,worksheet!$M$2:$M$629,"&gt;=20%",worksheet!$M$2:$M$629,"&lt;30%")</f>
        <v>3</v>
      </c>
      <c r="D8" s="328">
        <f>COUNTIFS(worksheet!$A$2:$A$629,D$4,worksheet!$M$2:$M$629,"&gt;=20%",worksheet!$M$2:$M$629,"&lt;30%")</f>
        <v>5</v>
      </c>
      <c r="E8" s="328">
        <f>COUNTIFS(worksheet!$A$2:$A$629,E$4,worksheet!$M$2:$M$629,"&gt;=20%",worksheet!$M$2:$M$629,"&lt;30%")</f>
        <v>3</v>
      </c>
      <c r="F8" s="328">
        <f>COUNTIFS(worksheet!$A$2:$A$629,F$4,worksheet!$M$2:$M$629,"&gt;=20%",worksheet!$M$2:$M$629,"&lt;30%")</f>
        <v>0</v>
      </c>
      <c r="G8" s="328">
        <f>COUNTIFS(worksheet!$A$2:$A$629,G$4,worksheet!$M$2:$M$629,"&gt;=20%",worksheet!$M$2:$M$629,"&lt;30%")</f>
        <v>2</v>
      </c>
      <c r="H8" s="328">
        <f>COUNTIFS(worksheet!$A$2:$A$629,H$4,worksheet!$M$2:$M$629,"&gt;=20%",worksheet!$M$2:$M$629,"&lt;30%")</f>
        <v>1</v>
      </c>
      <c r="I8" s="328">
        <f>COUNTIFS(worksheet!$A$2:$A$629,I$4,worksheet!$M$2:$M$629,"&gt;=20%",worksheet!$M$2:$M$629,"&lt;30%")</f>
        <v>0</v>
      </c>
      <c r="J8" s="284">
        <f t="shared" si="0"/>
        <v>14</v>
      </c>
      <c r="K8" s="254">
        <f t="shared" si="1"/>
        <v>8.1081081081081086E-2</v>
      </c>
      <c r="L8" s="36">
        <f t="shared" si="2"/>
        <v>0.23809523809523808</v>
      </c>
      <c r="M8" s="36">
        <f t="shared" si="3"/>
        <v>0.23076923076923078</v>
      </c>
      <c r="N8" s="36">
        <f t="shared" si="4"/>
        <v>0</v>
      </c>
      <c r="O8" s="36">
        <f t="shared" si="5"/>
        <v>0.25</v>
      </c>
      <c r="P8" s="36">
        <f t="shared" si="5"/>
        <v>0.2</v>
      </c>
      <c r="Q8" s="36">
        <f t="shared" si="6"/>
        <v>0</v>
      </c>
      <c r="R8" s="36">
        <f t="shared" si="7"/>
        <v>0.13461538461538461</v>
      </c>
    </row>
    <row r="9" spans="2:18" x14ac:dyDescent="0.25">
      <c r="B9" s="236" t="s">
        <v>213</v>
      </c>
      <c r="C9" s="328">
        <f>COUNTIFS(worksheet!$A$2:$A$629,C$4,worksheet!$M$2:$M$629,"&gt;=10%",worksheet!$M$2:$M$629,"&lt;20%")</f>
        <v>15</v>
      </c>
      <c r="D9" s="328">
        <f>COUNTIFS(worksheet!$A$2:$A$629,D$4,worksheet!$M$2:$M$629,"&gt;=10%",worksheet!$M$2:$M$629,"&lt;20%")</f>
        <v>2</v>
      </c>
      <c r="E9" s="328">
        <f>COUNTIFS(worksheet!$A$2:$A$629,E$4,worksheet!$M$2:$M$629,"&gt;=10%",worksheet!$M$2:$M$629,"&lt;20%")</f>
        <v>8</v>
      </c>
      <c r="F9" s="328">
        <f>COUNTIFS(worksheet!$A$2:$A$629,F$4,worksheet!$M$2:$M$629,"&gt;=10%",worksheet!$M$2:$M$629,"&lt;20%")</f>
        <v>0</v>
      </c>
      <c r="G9" s="328">
        <f>COUNTIFS(worksheet!$A$2:$A$629,G$4,worksheet!$M$2:$M$629,"&gt;=10%",worksheet!$M$2:$M$629,"&lt;20%")</f>
        <v>0</v>
      </c>
      <c r="H9" s="328">
        <f>COUNTIFS(worksheet!$A$2:$A$629,H$4,worksheet!$M$2:$M$629,"&gt;=10%",worksheet!$M$2:$M$629,"&lt;20%")</f>
        <v>0</v>
      </c>
      <c r="I9" s="328">
        <f>COUNTIFS(worksheet!$A$2:$A$629,I$4,worksheet!$M$2:$M$629,"&gt;=10%",worksheet!$M$2:$M$629,"&lt;20%")</f>
        <v>6</v>
      </c>
      <c r="J9" s="284">
        <f t="shared" si="0"/>
        <v>31</v>
      </c>
      <c r="K9" s="254">
        <f t="shared" si="1"/>
        <v>0.40540540540540543</v>
      </c>
      <c r="L9" s="36">
        <f t="shared" si="2"/>
        <v>9.5238095238095233E-2</v>
      </c>
      <c r="M9" s="36">
        <f t="shared" si="3"/>
        <v>0.61538461538461542</v>
      </c>
      <c r="N9" s="36">
        <f t="shared" si="4"/>
        <v>0</v>
      </c>
      <c r="O9" s="36">
        <f t="shared" si="5"/>
        <v>0</v>
      </c>
      <c r="P9" s="36">
        <f t="shared" si="5"/>
        <v>0</v>
      </c>
      <c r="Q9" s="36">
        <f t="shared" si="6"/>
        <v>0.42857142857142855</v>
      </c>
      <c r="R9" s="36">
        <f t="shared" si="7"/>
        <v>0.29807692307692307</v>
      </c>
    </row>
    <row r="10" spans="2:18" x14ac:dyDescent="0.25">
      <c r="B10" s="236" t="s">
        <v>214</v>
      </c>
      <c r="C10" s="328">
        <f>COUNTIFS(worksheet!$A$2:$A$629,C$4,worksheet!$M$2:$M$629,"&gt;=0%",worksheet!$M$2:$M$629,"&lt;10%")</f>
        <v>14</v>
      </c>
      <c r="D10" s="328">
        <f>COUNTIFS(worksheet!$A$2:$A$629,D$4,worksheet!$M$2:$M$629,"&gt;=0%",worksheet!$M$2:$M$629,"&lt;10%")</f>
        <v>6</v>
      </c>
      <c r="E10" s="328">
        <f>COUNTIFS(worksheet!$A$2:$A$629,E$4,worksheet!$M$2:$M$629,"&gt;=0%",worksheet!$M$2:$M$629,"&lt;10%")</f>
        <v>1</v>
      </c>
      <c r="F10" s="328">
        <f>COUNTIFS(worksheet!$A$2:$A$629,F$4,worksheet!$M$2:$M$629,"&gt;=0%",worksheet!$M$2:$M$629,"&lt;10%")</f>
        <v>4</v>
      </c>
      <c r="G10" s="328">
        <f>COUNTIFS(worksheet!$A$2:$A$629,G$4,worksheet!$M$2:$M$629,"&gt;=0%",worksheet!$M$2:$M$629,"&lt;10%")</f>
        <v>2</v>
      </c>
      <c r="H10" s="328">
        <f>COUNTIFS(worksheet!$A$2:$A$629,H$4,worksheet!$M$2:$M$629,"&gt;=0%",worksheet!$M$2:$M$629,"&lt;10%")</f>
        <v>0</v>
      </c>
      <c r="I10" s="328">
        <f>COUNTIFS(worksheet!$A$2:$A$629,I$4,worksheet!$M$2:$M$629,"&gt;=0%",worksheet!$M$2:$M$629,"&lt;10%")</f>
        <v>6</v>
      </c>
      <c r="J10" s="284">
        <f t="shared" si="0"/>
        <v>33</v>
      </c>
      <c r="K10" s="254">
        <f t="shared" si="1"/>
        <v>0.3783783783783784</v>
      </c>
      <c r="L10" s="36">
        <f t="shared" si="2"/>
        <v>0.2857142857142857</v>
      </c>
      <c r="M10" s="36">
        <f t="shared" si="3"/>
        <v>7.6923076923076927E-2</v>
      </c>
      <c r="N10" s="36">
        <f t="shared" si="4"/>
        <v>0.66666666666666663</v>
      </c>
      <c r="O10" s="36">
        <f t="shared" si="5"/>
        <v>0.25</v>
      </c>
      <c r="P10" s="36">
        <f t="shared" si="5"/>
        <v>0</v>
      </c>
      <c r="Q10" s="36">
        <f t="shared" si="6"/>
        <v>0.42857142857142855</v>
      </c>
      <c r="R10" s="36">
        <f t="shared" si="7"/>
        <v>0.31730769230769229</v>
      </c>
    </row>
    <row r="11" spans="2:18" x14ac:dyDescent="0.25">
      <c r="B11" s="237" t="s">
        <v>215</v>
      </c>
      <c r="C11" s="325">
        <f>COUNTIFS(worksheet!$A$2:$A$629,C$4,worksheet!$M$2:$M$629,"&gt;=-10%",worksheet!$M$2:$M$629,"&lt;0%")</f>
        <v>4</v>
      </c>
      <c r="D11" s="325">
        <f>COUNTIFS(worksheet!$A$2:$A$629,D$4,worksheet!$M$2:$M$629,"&gt;=-10%",worksheet!$M$2:$M$629,"&lt;0%")</f>
        <v>6</v>
      </c>
      <c r="E11" s="325">
        <f>COUNTIFS(worksheet!$A$2:$A$629,E$4,worksheet!$M$2:$M$629,"&gt;=-10%",worksheet!$M$2:$M$629,"&lt;0%")</f>
        <v>0</v>
      </c>
      <c r="F11" s="325">
        <f>COUNTIFS(worksheet!$A$2:$A$629,F$4,worksheet!$M$2:$M$629,"&gt;=-10%",worksheet!$M$2:$M$629,"&lt;0%")</f>
        <v>2</v>
      </c>
      <c r="G11" s="325">
        <f>COUNTIFS(worksheet!$A$2:$A$629,G$4,worksheet!$M$2:$M$629,"&gt;=-10%",worksheet!$M$2:$M$629,"&lt;0%")</f>
        <v>3</v>
      </c>
      <c r="H11" s="325">
        <f>COUNTIFS(worksheet!$A$2:$A$629,H$4,worksheet!$M$2:$M$629,"&gt;=-10%",worksheet!$M$2:$M$629,"&lt;0%")</f>
        <v>0</v>
      </c>
      <c r="I11" s="325">
        <f>COUNTIFS(worksheet!$A$2:$A$629,I$4,worksheet!$M$2:$M$629,"&gt;=-10%",worksheet!$M$2:$M$629,"&lt;0%")</f>
        <v>1</v>
      </c>
      <c r="J11" s="285">
        <f t="shared" si="0"/>
        <v>16</v>
      </c>
      <c r="K11" s="255">
        <f t="shared" si="1"/>
        <v>0.10810810810810811</v>
      </c>
      <c r="L11" s="37">
        <f t="shared" si="2"/>
        <v>0.2857142857142857</v>
      </c>
      <c r="M11" s="37">
        <f t="shared" si="3"/>
        <v>0</v>
      </c>
      <c r="N11" s="37">
        <f t="shared" si="4"/>
        <v>0.33333333333333331</v>
      </c>
      <c r="O11" s="37">
        <f t="shared" si="5"/>
        <v>0.375</v>
      </c>
      <c r="P11" s="37">
        <f t="shared" si="5"/>
        <v>0</v>
      </c>
      <c r="Q11" s="37">
        <f t="shared" si="6"/>
        <v>7.1428571428571425E-2</v>
      </c>
      <c r="R11" s="37">
        <f t="shared" si="7"/>
        <v>0.15384615384615385</v>
      </c>
    </row>
    <row r="12" spans="2:18" x14ac:dyDescent="0.25">
      <c r="B12" s="238" t="s">
        <v>216</v>
      </c>
      <c r="C12" s="328">
        <f>COUNTIFS(worksheet!$A$2:$A$629,C$4,worksheet!$M$2:$M$629,"&gt;=-20%",worksheet!$M$2:$M$629,"&lt;-10%")</f>
        <v>0</v>
      </c>
      <c r="D12" s="328">
        <f>COUNTIFS(worksheet!$A$2:$A$629,D$4,worksheet!$M$2:$M$629,"&gt;=-20%",worksheet!$M$2:$M$629,"&lt;-10%")</f>
        <v>0</v>
      </c>
      <c r="E12" s="328">
        <f>COUNTIFS(worksheet!$A$2:$A$629,E$4,worksheet!$M$2:$M$629,"&gt;=-20%",worksheet!$M$2:$M$629,"&lt;-10%")</f>
        <v>0</v>
      </c>
      <c r="F12" s="328">
        <f>COUNTIFS(worksheet!$A$2:$A$629,F$4,worksheet!$M$2:$M$629,"&gt;=-20%",worksheet!$M$2:$M$629,"&lt;-10%")</f>
        <v>0</v>
      </c>
      <c r="G12" s="328">
        <f>COUNTIFS(worksheet!$A$2:$A$629,G$4,worksheet!$M$2:$M$629,"&gt;=-20%",worksheet!$M$2:$M$629,"&lt;-10%")</f>
        <v>1</v>
      </c>
      <c r="H12" s="328">
        <f>COUNTIFS(worksheet!$A$2:$A$629,H$4,worksheet!$M$2:$M$629,"&gt;=-20%",worksheet!$M$2:$M$629,"&lt;-10%")</f>
        <v>1</v>
      </c>
      <c r="I12" s="328">
        <f>COUNTIFS(worksheet!$A$2:$A$629,I$4,worksheet!$M$2:$M$629,"&gt;=-20%",worksheet!$M$2:$M$629,"&lt;-10%")</f>
        <v>1</v>
      </c>
      <c r="J12" s="286">
        <f t="shared" si="0"/>
        <v>3</v>
      </c>
      <c r="K12" s="256">
        <f t="shared" si="1"/>
        <v>0</v>
      </c>
      <c r="L12" s="38">
        <f t="shared" si="2"/>
        <v>0</v>
      </c>
      <c r="M12" s="38">
        <f t="shared" si="3"/>
        <v>0</v>
      </c>
      <c r="N12" s="38">
        <f t="shared" si="4"/>
        <v>0</v>
      </c>
      <c r="O12" s="38">
        <f t="shared" si="5"/>
        <v>0.125</v>
      </c>
      <c r="P12" s="38">
        <f t="shared" si="5"/>
        <v>0.2</v>
      </c>
      <c r="Q12" s="38">
        <f t="shared" si="6"/>
        <v>7.1428571428571425E-2</v>
      </c>
      <c r="R12" s="38">
        <f t="shared" si="7"/>
        <v>2.8846153846153848E-2</v>
      </c>
    </row>
    <row r="13" spans="2:18" x14ac:dyDescent="0.25">
      <c r="B13" s="238" t="s">
        <v>217</v>
      </c>
      <c r="C13" s="328">
        <f>COUNTIFS(worksheet!$A$2:$A$629,C$4,worksheet!$M$2:$M$629,"&gt;=-30%",worksheet!$M$2:$M$629,"&lt;-20%")</f>
        <v>0</v>
      </c>
      <c r="D13" s="328">
        <f>COUNTIFS(worksheet!$A$2:$A$629,D$4,worksheet!$M$2:$M$629,"&gt;=-30%",worksheet!$M$2:$M$629,"&lt;-20%")</f>
        <v>0</v>
      </c>
      <c r="E13" s="328">
        <f>COUNTIFS(worksheet!$A$2:$A$629,E$4,worksheet!$M$2:$M$629,"&gt;=-30%",worksheet!$M$2:$M$629,"&lt;-20%")</f>
        <v>0</v>
      </c>
      <c r="F13" s="328">
        <f>COUNTIFS(worksheet!$A$2:$A$629,F$4,worksheet!$M$2:$M$629,"&gt;=-30%",worksheet!$M$2:$M$629,"&lt;-20%")</f>
        <v>0</v>
      </c>
      <c r="G13" s="328">
        <f>COUNTIFS(worksheet!$A$2:$A$629,G$4,worksheet!$M$2:$M$629,"&gt;=-30%",worksheet!$M$2:$M$629,"&lt;-20%")</f>
        <v>0</v>
      </c>
      <c r="H13" s="328">
        <f>COUNTIFS(worksheet!$A$2:$A$629,H$4,worksheet!$M$2:$M$629,"&gt;=-30%",worksheet!$M$2:$M$629,"&lt;-20%")</f>
        <v>0</v>
      </c>
      <c r="I13" s="328">
        <f>COUNTIFS(worksheet!$A$2:$A$629,I$4,worksheet!$M$2:$M$629,"&gt;=-30%",worksheet!$M$2:$M$629,"&lt;-20%")</f>
        <v>0</v>
      </c>
      <c r="J13" s="286">
        <f t="shared" si="0"/>
        <v>0</v>
      </c>
      <c r="K13" s="256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25">
      <c r="B14" s="192" t="s">
        <v>271</v>
      </c>
      <c r="C14" s="324">
        <f>COUNTIFS(worksheet!$A$2:$A$629,C$4,worksheet!$M$2:$M$629,"&gt;=-40%",worksheet!$M$2:$M$629,"&lt;-30%")</f>
        <v>0</v>
      </c>
      <c r="D14" s="324">
        <f>COUNTIFS(worksheet!$A$2:$A$629,D$4,worksheet!$M$2:$M$629,"&gt;=-40%",worksheet!$M$2:$M$629,"&lt;-30%")</f>
        <v>0</v>
      </c>
      <c r="E14" s="324">
        <f>COUNTIFS(worksheet!$A$2:$A$629,E$4,worksheet!$M$2:$M$629,"&gt;=-40%",worksheet!$M$2:$M$629,"&lt;-30%")</f>
        <v>0</v>
      </c>
      <c r="F14" s="324">
        <f>COUNTIFS(worksheet!$A$2:$A$629,F$4,worksheet!$M$2:$M$629,"&gt;=-40%",worksheet!$M$2:$M$629,"&lt;-30%")</f>
        <v>0</v>
      </c>
      <c r="G14" s="324">
        <f>COUNTIFS(worksheet!$A$2:$A$629,G$4,worksheet!$M$2:$M$629,"&gt;=-40%",worksheet!$M$2:$M$629,"&lt;-30%")</f>
        <v>0</v>
      </c>
      <c r="H14" s="324">
        <f>COUNTIFS(worksheet!$A$2:$A$629,H$4,worksheet!$M$2:$M$629,"&gt;=-40%",worksheet!$M$2:$M$629,"&lt;-30%")</f>
        <v>0</v>
      </c>
      <c r="I14" s="324">
        <f>COUNTIFS(worksheet!$A$2:$A$629,I$4,worksheet!$M$2:$M$629,"&gt;=-40%",worksheet!$M$2:$M$629,"&lt;-30%")</f>
        <v>0</v>
      </c>
      <c r="J14" s="287">
        <f t="shared" si="0"/>
        <v>0</v>
      </c>
      <c r="K14" s="257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25">
      <c r="B15" s="192" t="s">
        <v>269</v>
      </c>
      <c r="C15" s="324">
        <f>COUNTIFS(worksheet!$A$2:$A$629,C$4,worksheet!$M$2:$M$629,"&lt;-40%")</f>
        <v>0</v>
      </c>
      <c r="D15" s="324">
        <f>COUNTIFS(worksheet!$A$2:$A$629,D$4,worksheet!$M$2:$M$629,"&lt;-40%")</f>
        <v>0</v>
      </c>
      <c r="E15" s="324">
        <f>COUNTIFS(worksheet!$A$2:$A$629,E$4,worksheet!$M$2:$M$629,"&lt;-40%")</f>
        <v>0</v>
      </c>
      <c r="F15" s="324">
        <f>COUNTIFS(worksheet!$A$2:$A$629,F$4,worksheet!$M$2:$M$629,"&lt;-40%")</f>
        <v>0</v>
      </c>
      <c r="G15" s="324">
        <f>COUNTIFS(worksheet!$A$2:$A$629,G$4,worksheet!$M$2:$M$629,"&lt;-40%")</f>
        <v>0</v>
      </c>
      <c r="H15" s="324">
        <f>COUNTIFS(worksheet!$A$2:$A$629,H$4,worksheet!$M$2:$M$629,"&lt;-40%")</f>
        <v>0</v>
      </c>
      <c r="I15" s="324">
        <f>COUNTIFS(worksheet!$A$2:$A$629,I$4,worksheet!$M$2:$M$629,"&lt;-40%")</f>
        <v>0</v>
      </c>
      <c r="J15" s="287">
        <f t="shared" si="0"/>
        <v>0</v>
      </c>
      <c r="K15" s="257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25">
      <c r="B16" s="193" t="s">
        <v>264</v>
      </c>
      <c r="C16" s="49">
        <f t="shared" ref="C16:Q16" si="8">SUM(C10:C11)</f>
        <v>18</v>
      </c>
      <c r="D16" s="49">
        <f t="shared" si="8"/>
        <v>12</v>
      </c>
      <c r="E16" s="49">
        <f t="shared" si="8"/>
        <v>1</v>
      </c>
      <c r="F16" s="49">
        <f t="shared" si="8"/>
        <v>6</v>
      </c>
      <c r="G16" s="49">
        <f t="shared" si="8"/>
        <v>5</v>
      </c>
      <c r="H16" s="49">
        <f t="shared" si="8"/>
        <v>0</v>
      </c>
      <c r="I16" s="49">
        <f t="shared" si="8"/>
        <v>7</v>
      </c>
      <c r="J16" s="271">
        <f t="shared" si="8"/>
        <v>49</v>
      </c>
      <c r="K16" s="258">
        <f>SUM(K10:K11)</f>
        <v>0.48648648648648651</v>
      </c>
      <c r="L16" s="40">
        <f t="shared" si="8"/>
        <v>0.5714285714285714</v>
      </c>
      <c r="M16" s="40">
        <f t="shared" si="8"/>
        <v>7.6923076923076927E-2</v>
      </c>
      <c r="N16" s="40">
        <f t="shared" si="8"/>
        <v>1</v>
      </c>
      <c r="O16" s="40">
        <f t="shared" si="8"/>
        <v>0.625</v>
      </c>
      <c r="P16" s="40">
        <f t="shared" ref="P16" si="9">SUM(P10:P11)</f>
        <v>0</v>
      </c>
      <c r="Q16" s="40">
        <f t="shared" si="8"/>
        <v>0.5</v>
      </c>
      <c r="R16" s="40">
        <f>SUM(R10:R11)</f>
        <v>0.47115384615384615</v>
      </c>
    </row>
    <row r="17" spans="1:18" x14ac:dyDescent="0.25">
      <c r="B17" s="194" t="s">
        <v>223</v>
      </c>
      <c r="C17" s="50">
        <f t="shared" ref="C17:Q17" si="10">SUM(C9:C10,C11:C12)</f>
        <v>33</v>
      </c>
      <c r="D17" s="50">
        <f t="shared" si="10"/>
        <v>14</v>
      </c>
      <c r="E17" s="50">
        <f t="shared" si="10"/>
        <v>9</v>
      </c>
      <c r="F17" s="50">
        <f t="shared" si="10"/>
        <v>6</v>
      </c>
      <c r="G17" s="50">
        <f t="shared" si="10"/>
        <v>6</v>
      </c>
      <c r="H17" s="50">
        <f t="shared" si="10"/>
        <v>1</v>
      </c>
      <c r="I17" s="50">
        <f t="shared" si="10"/>
        <v>14</v>
      </c>
      <c r="J17" s="272">
        <f t="shared" si="10"/>
        <v>83</v>
      </c>
      <c r="K17" s="259">
        <f t="shared" si="10"/>
        <v>0.89189189189189189</v>
      </c>
      <c r="L17" s="35">
        <f t="shared" si="10"/>
        <v>0.66666666666666663</v>
      </c>
      <c r="M17" s="35">
        <f t="shared" si="10"/>
        <v>0.69230769230769229</v>
      </c>
      <c r="N17" s="35">
        <f t="shared" si="10"/>
        <v>1</v>
      </c>
      <c r="O17" s="35">
        <f t="shared" si="10"/>
        <v>0.75</v>
      </c>
      <c r="P17" s="35">
        <f t="shared" ref="P17" si="11">SUM(P9:P10,P11:P12)</f>
        <v>0.2</v>
      </c>
      <c r="Q17" s="35">
        <f t="shared" si="10"/>
        <v>0.99999999999999989</v>
      </c>
      <c r="R17" s="35">
        <f>SUM(R9:R10,R11:R12)</f>
        <v>0.79807692307692313</v>
      </c>
    </row>
    <row r="18" spans="1:18" x14ac:dyDescent="0.25">
      <c r="B18" s="195" t="s">
        <v>265</v>
      </c>
      <c r="C18" s="147">
        <f t="shared" ref="C18:Q18" si="12">SUM(C8:C13)</f>
        <v>36</v>
      </c>
      <c r="D18" s="147">
        <f t="shared" si="12"/>
        <v>19</v>
      </c>
      <c r="E18" s="147">
        <f t="shared" si="12"/>
        <v>12</v>
      </c>
      <c r="F18" s="147">
        <f t="shared" si="12"/>
        <v>6</v>
      </c>
      <c r="G18" s="147">
        <f t="shared" si="12"/>
        <v>8</v>
      </c>
      <c r="H18" s="147">
        <f t="shared" si="12"/>
        <v>2</v>
      </c>
      <c r="I18" s="147">
        <f t="shared" si="12"/>
        <v>14</v>
      </c>
      <c r="J18" s="273">
        <f t="shared" si="12"/>
        <v>97</v>
      </c>
      <c r="K18" s="260">
        <f t="shared" si="12"/>
        <v>0.97297297297297303</v>
      </c>
      <c r="L18" s="149">
        <f t="shared" si="12"/>
        <v>0.90476190476190477</v>
      </c>
      <c r="M18" s="149">
        <f t="shared" si="12"/>
        <v>0.92307692307692313</v>
      </c>
      <c r="N18" s="149">
        <f t="shared" si="12"/>
        <v>1</v>
      </c>
      <c r="O18" s="149">
        <f t="shared" si="12"/>
        <v>1</v>
      </c>
      <c r="P18" s="149">
        <f t="shared" ref="P18" si="13">SUM(P8:P13)</f>
        <v>0.4</v>
      </c>
      <c r="Q18" s="149">
        <f t="shared" si="12"/>
        <v>0.99999999999999989</v>
      </c>
      <c r="R18" s="149">
        <f>SUM(R8:R13)</f>
        <v>0.93269230769230771</v>
      </c>
    </row>
    <row r="19" spans="1:18" x14ac:dyDescent="0.25">
      <c r="B19" s="239"/>
      <c r="C19" s="481" t="s">
        <v>302</v>
      </c>
      <c r="D19" s="480"/>
      <c r="E19" s="480"/>
      <c r="F19" s="480"/>
      <c r="G19" s="480"/>
      <c r="H19" s="480"/>
      <c r="I19" s="480"/>
      <c r="J19" s="482"/>
      <c r="K19" s="479" t="s">
        <v>303</v>
      </c>
      <c r="L19" s="480"/>
      <c r="M19" s="480"/>
      <c r="N19" s="480"/>
      <c r="O19" s="480"/>
      <c r="P19" s="480"/>
      <c r="Q19" s="480"/>
      <c r="R19" s="480"/>
    </row>
    <row r="20" spans="1:18" s="6" customFormat="1" x14ac:dyDescent="0.25">
      <c r="B20" s="240" t="s">
        <v>304</v>
      </c>
      <c r="C20" s="230">
        <f t="shared" ref="C20:Q20" si="14">SUM(C6:C10)</f>
        <v>33</v>
      </c>
      <c r="D20" s="230">
        <f t="shared" si="14"/>
        <v>15</v>
      </c>
      <c r="E20" s="230">
        <f t="shared" si="14"/>
        <v>13</v>
      </c>
      <c r="F20" s="230">
        <f t="shared" si="14"/>
        <v>4</v>
      </c>
      <c r="G20" s="230">
        <f t="shared" si="14"/>
        <v>4</v>
      </c>
      <c r="H20" s="230">
        <f t="shared" si="14"/>
        <v>4</v>
      </c>
      <c r="I20" s="230">
        <f t="shared" si="14"/>
        <v>12</v>
      </c>
      <c r="J20" s="288">
        <f t="shared" si="14"/>
        <v>85</v>
      </c>
      <c r="K20" s="261">
        <f>SUM(K6:K10)</f>
        <v>0.891891891891892</v>
      </c>
      <c r="L20" s="151">
        <f t="shared" si="14"/>
        <v>0.71428571428571419</v>
      </c>
      <c r="M20" s="151">
        <f t="shared" si="14"/>
        <v>1</v>
      </c>
      <c r="N20" s="151">
        <f t="shared" si="14"/>
        <v>0.66666666666666663</v>
      </c>
      <c r="O20" s="151">
        <f t="shared" si="14"/>
        <v>0.5</v>
      </c>
      <c r="P20" s="151">
        <f t="shared" si="14"/>
        <v>0.8</v>
      </c>
      <c r="Q20" s="151">
        <f t="shared" si="14"/>
        <v>0.8571428571428571</v>
      </c>
      <c r="R20" s="151">
        <f>SUM(R6:R10)</f>
        <v>0.81730769230769229</v>
      </c>
    </row>
    <row r="21" spans="1:18" s="232" customFormat="1" x14ac:dyDescent="0.25">
      <c r="B21" s="241" t="s">
        <v>305</v>
      </c>
      <c r="C21" s="231">
        <f t="shared" ref="C21:Q21" si="15">SUM(C11:C15)</f>
        <v>4</v>
      </c>
      <c r="D21" s="231">
        <f t="shared" si="15"/>
        <v>6</v>
      </c>
      <c r="E21" s="231">
        <f t="shared" si="15"/>
        <v>0</v>
      </c>
      <c r="F21" s="231">
        <f t="shared" si="15"/>
        <v>2</v>
      </c>
      <c r="G21" s="231">
        <f t="shared" si="15"/>
        <v>4</v>
      </c>
      <c r="H21" s="231">
        <f t="shared" si="15"/>
        <v>1</v>
      </c>
      <c r="I21" s="231">
        <f t="shared" si="15"/>
        <v>2</v>
      </c>
      <c r="J21" s="289">
        <f t="shared" si="15"/>
        <v>19</v>
      </c>
      <c r="K21" s="262">
        <f>SUM(K11:K15)</f>
        <v>0.10810810810810811</v>
      </c>
      <c r="L21" s="152">
        <f t="shared" si="15"/>
        <v>0.2857142857142857</v>
      </c>
      <c r="M21" s="152">
        <f t="shared" si="15"/>
        <v>0</v>
      </c>
      <c r="N21" s="152">
        <f t="shared" si="15"/>
        <v>0.33333333333333331</v>
      </c>
      <c r="O21" s="152">
        <f t="shared" si="15"/>
        <v>0.5</v>
      </c>
      <c r="P21" s="152">
        <f t="shared" si="15"/>
        <v>0.2</v>
      </c>
      <c r="Q21" s="152">
        <f t="shared" si="15"/>
        <v>0.14285714285714285</v>
      </c>
      <c r="R21" s="152">
        <f>SUM(R11:R15)</f>
        <v>0.18269230769230771</v>
      </c>
    </row>
    <row r="22" spans="1:18" x14ac:dyDescent="0.25">
      <c r="B22" s="196" t="s">
        <v>208</v>
      </c>
      <c r="C22" s="153">
        <f>C20+C21</f>
        <v>37</v>
      </c>
      <c r="D22" s="153">
        <f t="shared" ref="D22:R22" si="16">D20+D21</f>
        <v>21</v>
      </c>
      <c r="E22" s="153">
        <f t="shared" si="16"/>
        <v>13</v>
      </c>
      <c r="F22" s="153">
        <f t="shared" si="16"/>
        <v>6</v>
      </c>
      <c r="G22" s="153">
        <f t="shared" si="16"/>
        <v>8</v>
      </c>
      <c r="H22" s="153">
        <f t="shared" si="16"/>
        <v>5</v>
      </c>
      <c r="I22" s="153">
        <f t="shared" si="16"/>
        <v>14</v>
      </c>
      <c r="J22" s="290">
        <f>J20+J21</f>
        <v>104</v>
      </c>
      <c r="K22" s="263">
        <f t="shared" si="16"/>
        <v>1</v>
      </c>
      <c r="L22" s="249">
        <f t="shared" si="16"/>
        <v>0.99999999999999989</v>
      </c>
      <c r="M22" s="249">
        <f t="shared" si="16"/>
        <v>1</v>
      </c>
      <c r="N22" s="249">
        <f t="shared" si="16"/>
        <v>1</v>
      </c>
      <c r="O22" s="249">
        <f t="shared" si="16"/>
        <v>1</v>
      </c>
      <c r="P22" s="249">
        <f t="shared" si="16"/>
        <v>1</v>
      </c>
      <c r="Q22" s="249">
        <f t="shared" si="16"/>
        <v>1</v>
      </c>
      <c r="R22" s="249">
        <f t="shared" si="16"/>
        <v>1</v>
      </c>
    </row>
    <row r="23" spans="1:18" x14ac:dyDescent="0.25">
      <c r="B23" s="483" t="s">
        <v>259</v>
      </c>
      <c r="C23" s="484"/>
      <c r="D23" s="484"/>
      <c r="E23" s="484"/>
      <c r="F23" s="484"/>
      <c r="G23" s="484"/>
      <c r="H23" s="484"/>
      <c r="I23" s="484"/>
      <c r="J23" s="485"/>
    </row>
    <row r="24" spans="1:18" x14ac:dyDescent="0.25">
      <c r="B24" s="240" t="s">
        <v>255</v>
      </c>
      <c r="C24" s="340">
        <f>IF(C20=0,"",AVERAGEIFS(worksheet!$M$2:$M$629,worksheet!$A$2:$A$629,C$4,worksheet!$M$2:$M$629,"&gt;=0%"))</f>
        <v>0.116628024988298</v>
      </c>
      <c r="D24" s="340">
        <f>IF(D20=0,"",AVERAGEIFS(worksheet!$M$2:$M$629,worksheet!$A$2:$A$629,D$4,worksheet!$M$2:$M$629,"&gt;=0%"))</f>
        <v>0.16681774319837159</v>
      </c>
      <c r="E24" s="340">
        <f>IF(E20=0,"",AVERAGEIFS(worksheet!$M$2:$M$629,worksheet!$A$2:$A$629,E$4,worksheet!$M$2:$M$629,"&gt;=0%"))</f>
        <v>0.24470232204757772</v>
      </c>
      <c r="F24" s="340">
        <f>IF(F20=0,"",AVERAGEIFS(worksheet!$M$2:$M$629,worksheet!$A$2:$A$629,F$4,worksheet!$M$2:$M$629,"&gt;=0%"))</f>
        <v>3.0754502320780142E-2</v>
      </c>
      <c r="G24" s="340">
        <f>IF(G20=0,"",AVERAGEIFS(worksheet!$M$2:$M$629,worksheet!$A$2:$A$629,G$4,worksheet!$M$2:$M$629,"&gt;=0%"))</f>
        <v>0.15143073142060626</v>
      </c>
      <c r="H24" s="340">
        <f>IF(H20=0,"",AVERAGEIFS(worksheet!$M$2:$M$629,worksheet!$A$2:$A$629,H$4,worksheet!$M$2:$M$629,"&gt;=0%"))</f>
        <v>0.539794000446568</v>
      </c>
      <c r="I24" s="340">
        <f>IF(I20=0,"",AVERAGEIFS(worksheet!$M$2:$M$629,worksheet!$A$2:$A$629,I$4,worksheet!$M$2:$M$629,"&gt;=0%"))</f>
        <v>0.10960577882392873</v>
      </c>
      <c r="J24" s="320">
        <f>AVERAGEIFS(worksheet!$M$2:$M$629,worksheet!$M$2:$M$629,"&gt;=0%",worksheet!$B$2:$B$629,4)</f>
        <v>0.16159185225702211</v>
      </c>
    </row>
    <row r="25" spans="1:18" s="232" customFormat="1" x14ac:dyDescent="0.25">
      <c r="B25" s="243" t="s">
        <v>256</v>
      </c>
      <c r="C25" s="339">
        <f>IF(C21=0,"",AVERAGEIFS(worksheet!$M$2:$M$629,worksheet!$A$2:$A$629,C$4,worksheet!$M$2:$M$629,"&lt;0%"))</f>
        <v>-3.9817995808402784E-2</v>
      </c>
      <c r="D25" s="339">
        <f>IF(D21=0,"",AVERAGEIFS(worksheet!$M$2:$M$629,worksheet!$A$2:$A$629,D$4,worksheet!$M$2:$M$629,"&lt;0%"))</f>
        <v>-4.7601196020241487E-2</v>
      </c>
      <c r="E25" s="339" t="str">
        <f>IF(E21=0,"",AVERAGEIFS(worksheet!$M$2:$M$629,worksheet!$A$2:$A$629,E$4,worksheet!$M$2:$M$629,"&lt;0%"))</f>
        <v/>
      </c>
      <c r="F25" s="339">
        <f>IF(F21=0,"",AVERAGEIFS(worksheet!$M$2:$M$629,worksheet!$A$2:$A$629,F$4,worksheet!$M$2:$M$629,"&lt;0%"))</f>
        <v>-2.3324010389530081E-2</v>
      </c>
      <c r="G25" s="339">
        <f>IF(G21=0,"",AVERAGEIFS(worksheet!$M$2:$M$629,worksheet!$A$2:$A$629,G$4,worksheet!$M$2:$M$629,"&lt;0%"))</f>
        <v>-4.1239769633451051E-2</v>
      </c>
      <c r="H25" s="339">
        <f>IF(H21=0,"",AVERAGEIFS(worksheet!$M$2:$M$629,worksheet!$A$2:$A$629,H$4,worksheet!$M$2:$M$629,"&lt;0%"))</f>
        <v>-0.13699825479930194</v>
      </c>
      <c r="I25" s="339">
        <f>IF(I21=0,"",AVERAGEIFS(worksheet!$M$2:$M$629,worksheet!$A$2:$A$629,I$4,worksheet!$M$2:$M$629,"&lt;0%"))</f>
        <v>-6.0538263330182085E-2</v>
      </c>
      <c r="J25" s="318">
        <f>AVERAGEIFS(worksheet!$M$2:$M$629,worksheet!$M$2:$M$629,"&lt;0%",worksheet!$B$2:$B$629,4)</f>
        <v>-4.813479158566266E-2</v>
      </c>
    </row>
    <row r="26" spans="1:18" ht="15.75" thickBot="1" x14ac:dyDescent="0.3">
      <c r="B26" s="247" t="s">
        <v>254</v>
      </c>
      <c r="C26" s="343">
        <f>IF(C22=0,"",AVERAGEIFS(worksheet!$M$2:$M$629,worksheet!$A$2:$A$629,C$4))</f>
        <v>9.9714941658924958E-2</v>
      </c>
      <c r="D26" s="343">
        <f>IF(D22=0,"",AVERAGEIFS(worksheet!$M$2:$M$629,worksheet!$A$2:$A$629,D$4))</f>
        <v>0.10555518913591071</v>
      </c>
      <c r="E26" s="343">
        <f>IF(E22=0,"",AVERAGEIFS(worksheet!$M$2:$M$629,worksheet!$A$2:$A$629,E$4))</f>
        <v>0.24470232204757772</v>
      </c>
      <c r="F26" s="343">
        <f>IF(F22=0,"",AVERAGEIFS(worksheet!$M$2:$M$629,worksheet!$A$2:$A$629,F$4))</f>
        <v>1.27283314173434E-2</v>
      </c>
      <c r="G26" s="343">
        <f>IF(G22=0,"",AVERAGEIFS(worksheet!$M$2:$M$629,worksheet!$A$2:$A$629,G$4))</f>
        <v>5.5095480893577603E-2</v>
      </c>
      <c r="H26" s="343">
        <f>IF(H22=0,"",AVERAGEIFS(worksheet!$M$2:$M$629,worksheet!$A$2:$A$629,H$4))</f>
        <v>0.40443554939739401</v>
      </c>
      <c r="I26" s="343">
        <f>IF(I22=0,"",AVERAGEIFS(worksheet!$M$2:$M$629,worksheet!$A$2:$A$629,I$4))</f>
        <v>8.5299487087627204E-2</v>
      </c>
      <c r="J26" s="321">
        <f>AVERAGEIFS(worksheet!$M$2:$M$629,worksheet!$B$2:$B$629,4)</f>
        <v>0.12327640770883931</v>
      </c>
    </row>
    <row r="27" spans="1:18" ht="15.75" thickTop="1" x14ac:dyDescent="0.25">
      <c r="B27" s="472" t="s">
        <v>262</v>
      </c>
      <c r="C27" s="473"/>
      <c r="D27" s="473"/>
      <c r="E27" s="473"/>
      <c r="F27" s="473"/>
      <c r="G27" s="473"/>
      <c r="H27" s="473"/>
      <c r="I27" s="473"/>
      <c r="J27" s="474"/>
    </row>
    <row r="28" spans="1:18" ht="15.75" thickBot="1" x14ac:dyDescent="0.3">
      <c r="B28" s="225" t="s">
        <v>263</v>
      </c>
      <c r="C28" s="326">
        <f>SQRT(SUMIF(worksheet!$A$2:$A$629,C$4,worksheet!$N$2:$N$629)/COUNTIF(worksheet!$A$2:$A$629,C4))/AVERAGEIF(worksheet!$A$2:$A$629,C4,worksheet!$K$2:$K$629)</f>
        <v>0.1261495240368217</v>
      </c>
      <c r="D28" s="326">
        <f>SQRT(SUMIF(worksheet!$A$2:$A$629,D$4,worksheet!$N$2:$N$629)/COUNTIF(worksheet!$A$2:$A$629,D4))/AVERAGEIF(worksheet!$A$2:$A$629,D4,worksheet!$K$2:$K$629)</f>
        <v>0.16280858220333339</v>
      </c>
      <c r="E28" s="326">
        <f>SQRT(SUMIF(worksheet!$A$2:$A$629,E$4,worksheet!$N$2:$N$629)/COUNTIF(worksheet!$A$2:$A$629,E4))/AVERAGEIF(worksheet!$A$2:$A$629,E4,worksheet!$K$2:$K$629)</f>
        <v>0.23763333840857112</v>
      </c>
      <c r="F28" s="326">
        <f>SQRT(SUMIF(worksheet!$A$2:$A$629,F$4,worksheet!$N$2:$N$629)/COUNTIF(worksheet!$A$2:$A$629,F4))/AVERAGEIF(worksheet!$A$2:$A$629,F4,worksheet!$K$2:$K$629)</f>
        <v>3.4961190133683602E-2</v>
      </c>
      <c r="G28" s="326">
        <f>SQRT(SUMIF(worksheet!$A$2:$A$629,G$4,worksheet!$N$2:$N$629)/COUNTIF(worksheet!$A$2:$A$629,G4))/AVERAGEIF(worksheet!$A$2:$A$629,G4,worksheet!$K$2:$K$629)</f>
        <v>0.11843457160263735</v>
      </c>
      <c r="H28" s="62">
        <f>SQRT(SUMIF(worksheet!$A$2:$A$629,H$4,worksheet!$N$2:$N$629)/COUNTIF(worksheet!$A$2:$A$629,H4))/AVERAGEIF(worksheet!$A$2:$A$629,H4,worksheet!$K$2:$K$629)</f>
        <v>0.44355052276403761</v>
      </c>
      <c r="I28" s="323">
        <f>SQRT(SUMIF(worksheet!$A$2:$A$629,I$4,worksheet!$N$2:$N$629)/COUNTIF(worksheet!$A$2:$A$629,I4))/AVERAGEIF(worksheet!$A$2:$A$629,I4,worksheet!$K$2:$K$629)</f>
        <v>0.11704370379096117</v>
      </c>
      <c r="J28" s="322">
        <f>SQRT(SUMIF(worksheet!$B$2:$B$629,4,worksheet!$N$2:$N$629)/COUNTIF(worksheet!$B$2:$B$629,4))/AVERAGEIF(worksheet!$B$2:$B$629,4,worksheet!$K$2:$K$629)</f>
        <v>0.14706056873143281</v>
      </c>
    </row>
    <row r="29" spans="1:18" ht="15.75" thickTop="1" x14ac:dyDescent="0.25">
      <c r="B29" s="458" t="s">
        <v>224</v>
      </c>
      <c r="C29" s="459"/>
      <c r="D29" s="459"/>
      <c r="E29" s="459"/>
      <c r="F29" s="459"/>
      <c r="G29" s="459"/>
      <c r="H29" s="459"/>
      <c r="I29" s="459"/>
      <c r="J29" s="460"/>
    </row>
    <row r="30" spans="1:18" ht="15.75" thickBot="1" x14ac:dyDescent="0.3">
      <c r="B30" s="226" t="s">
        <v>267</v>
      </c>
      <c r="C30" s="227">
        <f t="shared" ref="C30:I30" ca="1" si="17">INDIRECT(C5&amp;"!o$1")</f>
        <v>1.0942186782792886</v>
      </c>
      <c r="D30" s="227">
        <f t="shared" ca="1" si="17"/>
        <v>1.0815046616269501</v>
      </c>
      <c r="E30" s="227">
        <f t="shared" ca="1" si="17"/>
        <v>1.1982228568936668</v>
      </c>
      <c r="F30" s="227">
        <f t="shared" ca="1" si="17"/>
        <v>1.006273298335006</v>
      </c>
      <c r="G30" s="227">
        <f t="shared" ca="1" si="17"/>
        <v>1.0510444425345313</v>
      </c>
      <c r="H30" s="227">
        <f t="shared" ca="1" si="17"/>
        <v>1.2505370888508058</v>
      </c>
      <c r="I30" s="227">
        <f t="shared" ca="1" si="17"/>
        <v>1.0974485185437062</v>
      </c>
      <c r="J30" s="229">
        <f>LINEST(worksheet!$L$526:$L$629,worksheet!$K$526:$K$629,FALSE)</f>
        <v>1.0963480164040575</v>
      </c>
    </row>
    <row r="31" spans="1:18" ht="15.75" thickTop="1" x14ac:dyDescent="0.25">
      <c r="A31" s="10"/>
    </row>
    <row r="32" spans="1:18" x14ac:dyDescent="0.25">
      <c r="A32" s="10"/>
    </row>
    <row r="33" spans="1:4" x14ac:dyDescent="0.25">
      <c r="A33" s="10"/>
    </row>
    <row r="42" spans="1:4" x14ac:dyDescent="0.25">
      <c r="B42"/>
    </row>
    <row r="43" spans="1:4" x14ac:dyDescent="0.25">
      <c r="D43" s="31"/>
    </row>
    <row r="44" spans="1:4" x14ac:dyDescent="0.25">
      <c r="D44" s="31"/>
    </row>
    <row r="45" spans="1:4" x14ac:dyDescent="0.25">
      <c r="D45" s="31"/>
    </row>
    <row r="46" spans="1:4" x14ac:dyDescent="0.25">
      <c r="D46" s="31"/>
    </row>
    <row r="47" spans="1:4" x14ac:dyDescent="0.25">
      <c r="D47" s="31"/>
    </row>
    <row r="48" spans="1:4" x14ac:dyDescent="0.25">
      <c r="D48" s="31"/>
    </row>
    <row r="134" spans="1:2" x14ac:dyDescent="0.25">
      <c r="A134" s="5"/>
    </row>
    <row r="135" spans="1:2" x14ac:dyDescent="0.25">
      <c r="A135" s="5"/>
    </row>
    <row r="136" spans="1:2" x14ac:dyDescent="0.25">
      <c r="A136" s="5"/>
    </row>
    <row r="137" spans="1:2" x14ac:dyDescent="0.25">
      <c r="A137" s="5"/>
    </row>
    <row r="138" spans="1:2" x14ac:dyDescent="0.25">
      <c r="A138" s="5"/>
    </row>
    <row r="139" spans="1:2" x14ac:dyDescent="0.25">
      <c r="A139" s="5"/>
    </row>
    <row r="140" spans="1:2" x14ac:dyDescent="0.25">
      <c r="A140" s="5"/>
    </row>
    <row r="141" spans="1:2" x14ac:dyDescent="0.25">
      <c r="A141" s="5"/>
    </row>
    <row r="142" spans="1:2" x14ac:dyDescent="0.25">
      <c r="A142" s="5"/>
    </row>
    <row r="143" spans="1:2" x14ac:dyDescent="0.25">
      <c r="A143" s="5"/>
      <c r="B143" s="5"/>
    </row>
    <row r="144" spans="1:2" x14ac:dyDescent="0.25">
      <c r="A144" s="5"/>
      <c r="B144" s="5"/>
    </row>
    <row r="145" spans="1:2" x14ac:dyDescent="0.25">
      <c r="A145" s="5"/>
      <c r="B145" s="5"/>
    </row>
    <row r="146" spans="1:2" x14ac:dyDescent="0.25">
      <c r="A146" s="5"/>
      <c r="B146" s="5"/>
    </row>
    <row r="147" spans="1:2" x14ac:dyDescent="0.25">
      <c r="A147" s="5"/>
      <c r="B147" s="5"/>
    </row>
    <row r="148" spans="1:2" x14ac:dyDescent="0.25">
      <c r="A148" s="5"/>
      <c r="B148" s="5"/>
    </row>
    <row r="149" spans="1:2" x14ac:dyDescent="0.25">
      <c r="A149" s="5"/>
      <c r="B149" s="5"/>
    </row>
    <row r="150" spans="1:2" x14ac:dyDescent="0.25">
      <c r="A150" s="5"/>
      <c r="B150" s="5"/>
    </row>
    <row r="151" spans="1:2" x14ac:dyDescent="0.25">
      <c r="A151" s="5"/>
      <c r="B151" s="5"/>
    </row>
    <row r="152" spans="1:2" x14ac:dyDescent="0.25">
      <c r="A152" s="5"/>
      <c r="B152" s="5"/>
    </row>
    <row r="153" spans="1:2" x14ac:dyDescent="0.25">
      <c r="A153" s="5"/>
      <c r="B153" s="5"/>
    </row>
    <row r="154" spans="1:2" x14ac:dyDescent="0.25">
      <c r="A154" s="5"/>
      <c r="B154" s="5"/>
    </row>
    <row r="155" spans="1:2" x14ac:dyDescent="0.25">
      <c r="A155" s="5"/>
      <c r="B155" s="5"/>
    </row>
    <row r="156" spans="1:2" x14ac:dyDescent="0.25">
      <c r="A156" s="5"/>
      <c r="B156" s="5"/>
    </row>
    <row r="157" spans="1:2" x14ac:dyDescent="0.25">
      <c r="A157" s="5"/>
      <c r="B157" s="5"/>
    </row>
    <row r="158" spans="1:2" x14ac:dyDescent="0.25">
      <c r="A158" s="5"/>
      <c r="B158" s="5"/>
    </row>
    <row r="159" spans="1:2" x14ac:dyDescent="0.25">
      <c r="A159" s="5"/>
      <c r="B159" s="5"/>
    </row>
    <row r="160" spans="1:2" x14ac:dyDescent="0.25">
      <c r="A160" s="5"/>
      <c r="B160" s="5"/>
    </row>
    <row r="161" spans="1:2" x14ac:dyDescent="0.25">
      <c r="A161" s="5"/>
      <c r="B161" s="5"/>
    </row>
    <row r="162" spans="1:2" x14ac:dyDescent="0.25">
      <c r="A162" s="5"/>
      <c r="B162" s="5"/>
    </row>
    <row r="163" spans="1:2" x14ac:dyDescent="0.25">
      <c r="A163" s="5"/>
      <c r="B163" s="5"/>
    </row>
    <row r="164" spans="1:2" x14ac:dyDescent="0.25">
      <c r="A164" s="5"/>
      <c r="B164" s="5"/>
    </row>
    <row r="165" spans="1:2" x14ac:dyDescent="0.25">
      <c r="A165" s="5"/>
      <c r="B165" s="5"/>
    </row>
    <row r="166" spans="1:2" x14ac:dyDescent="0.25">
      <c r="A166" s="5"/>
      <c r="B166" s="5"/>
    </row>
    <row r="167" spans="1:2" x14ac:dyDescent="0.25">
      <c r="A167" s="5"/>
      <c r="B167" s="5"/>
    </row>
    <row r="168" spans="1:2" x14ac:dyDescent="0.25">
      <c r="B168" s="5"/>
    </row>
    <row r="169" spans="1:2" x14ac:dyDescent="0.25">
      <c r="B169" s="5"/>
    </row>
    <row r="170" spans="1:2" x14ac:dyDescent="0.25">
      <c r="B170" s="5"/>
    </row>
    <row r="171" spans="1:2" x14ac:dyDescent="0.25">
      <c r="B171" s="5"/>
    </row>
    <row r="172" spans="1:2" x14ac:dyDescent="0.25">
      <c r="B172" s="5"/>
    </row>
    <row r="173" spans="1:2" x14ac:dyDescent="0.25">
      <c r="B173" s="5"/>
    </row>
    <row r="174" spans="1:2" x14ac:dyDescent="0.25">
      <c r="B174" s="5"/>
    </row>
    <row r="175" spans="1:2" x14ac:dyDescent="0.25">
      <c r="B175" s="5"/>
    </row>
    <row r="176" spans="1:2" x14ac:dyDescent="0.25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paperSize="5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39997558519241921"/>
  </sheetPr>
  <dimension ref="A1:AI75"/>
  <sheetViews>
    <sheetView showGridLines="0" topLeftCell="C1" zoomScale="90" zoomScaleNormal="90" workbookViewId="0">
      <pane ySplit="1" topLeftCell="A2" activePane="bottomLeft" state="frozen"/>
      <selection activeCell="AF15" sqref="AF15"/>
      <selection pane="bottomLeft" activeCell="AG34" sqref="AG34"/>
    </sheetView>
  </sheetViews>
  <sheetFormatPr defaultRowHeight="15" x14ac:dyDescent="0.25"/>
  <cols>
    <col min="1" max="2" width="10.140625" style="80" customWidth="1"/>
    <col min="3" max="3" width="11.5703125" style="96" customWidth="1"/>
    <col min="4" max="4" width="11.140625" style="89" customWidth="1"/>
    <col min="5" max="5" width="8.140625" style="117" hidden="1" customWidth="1"/>
    <col min="6" max="7" width="17.28515625" style="96" bestFit="1" customWidth="1"/>
    <col min="8" max="8" width="10.28515625" style="89" customWidth="1"/>
    <col min="9" max="9" width="11.140625" style="89" customWidth="1"/>
    <col min="10" max="10" width="7.85546875" style="88" customWidth="1"/>
    <col min="11" max="12" width="12.28515625" style="81" hidden="1" customWidth="1"/>
    <col min="13" max="13" width="10.7109375" style="81" customWidth="1"/>
    <col min="14" max="14" width="12.28515625" style="81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L1" s="81" t="s">
        <v>500</v>
      </c>
      <c r="N1" s="156">
        <f>SQRT(AVERAGE(c_1[x2]))/AVERAGE(c_1[count])</f>
        <v>0.3507099598484501</v>
      </c>
      <c r="O1" s="136">
        <f>LINEST(c_1[flow],c_1[count],FALSE)</f>
        <v>1.2794841790182672</v>
      </c>
      <c r="P1" s="136">
        <f>RSQ(c_1[flow],c_1[count])</f>
        <v>0.77441931841291012</v>
      </c>
      <c r="Q1" s="43">
        <f>IFERROR(AVERAGEIF(c_1[gap],"&gt;=0",c_1[gap]),0)</f>
        <v>0.32312838341211253</v>
      </c>
      <c r="R1" s="44">
        <f>IFERROR(AVERAGEIF(c_1[gap],"&lt;0",c_1[gap]),0)</f>
        <v>-0.12524351479816126</v>
      </c>
      <c r="S1" s="14">
        <f>AVERAGE(c_1[gap])</f>
        <v>0.26170757543810236</v>
      </c>
      <c r="T1" s="42">
        <f>COUNTIFS(c_1[gap],"&lt;10%",c_1[gap],"&gt;=-10%")/COUNTA(c_1[gap])</f>
        <v>0.12328767123287671</v>
      </c>
      <c r="U1" s="42">
        <f>COUNTIFS(c_1[gap],"&lt;20%",c_1[gap],"&gt;=-20%")/COUNTA(c_1[gap])</f>
        <v>0.34246575342465752</v>
      </c>
      <c r="V1" s="42">
        <f>COUNTIFS(c_1[gap],"&lt;30%",c_1[gap],"&gt;=-30%")/COUNTA(c_1[gap])</f>
        <v>0.54794520547945202</v>
      </c>
      <c r="W1" s="43">
        <f>COUNTIF(c_1[gap],"&gt;=0")/COUNTA(c_1[gap])</f>
        <v>0.86301369863013699</v>
      </c>
      <c r="X1" s="45">
        <f>COUNTIF(c_1[gap],"&lt;0")/COUNTA(c_1[gap])</f>
        <v>0.13698630136986301</v>
      </c>
      <c r="Y1" s="7" t="str">
        <f>"%Link(+)="&amp;TEXT(W1,"0%")</f>
        <v>%Link(+)=86%</v>
      </c>
      <c r="Z1" s="7" t="str">
        <f>"%Link(-)="&amp;TEXT(X1,"0%")</f>
        <v>%Link(-)=14%</v>
      </c>
      <c r="AA1" s="32" t="str">
        <f>"AvgGap(+)="&amp;TEXT(Q1,"0%")</f>
        <v>AvgGap(+)=32%</v>
      </c>
      <c r="AB1" t="str">
        <f>"AvgGap(-)="&amp;TEXT(R1,"0%")</f>
        <v>AvgGap(-)=-13%</v>
      </c>
      <c r="AC1" t="str">
        <f>"AvgGap(±)="&amp;TEXT(S1,"0%")</f>
        <v>AvgGap(±)=26%</v>
      </c>
      <c r="AD1" t="str">
        <f>"GapIn(±10%)="&amp;TEXT(T1,"0%")</f>
        <v>GapIn(±10%)=12%</v>
      </c>
      <c r="AE1" t="str">
        <f>"GapIn(±20%)="&amp;TEXT(U1,"0%")</f>
        <v>GapIn(±20%)=34%</v>
      </c>
      <c r="AF1" t="str">
        <f>"GapIn(±30%)="&amp;TEXT(V1,"0%")</f>
        <v>GapIn(±30%)=55%</v>
      </c>
      <c r="AG1" t="str">
        <f>"Linear Slope="&amp;TEXT(O1,"#.###")</f>
        <v>Linear Slope=1.279</v>
      </c>
      <c r="AH1" t="str">
        <f>"RMSE="&amp;TEXT(N1,"0%")</f>
        <v>RMSE=35%</v>
      </c>
      <c r="AI1" s="78" t="str">
        <f>CONCATENATE(Y1," ",Z1," ",AA1,"  ",AB1,"  ",AC1,"  ",AD1,"  ",AE1,"  ",AF1,"  ",AG1," ",AH1)</f>
        <v>%Link(+)=86% %Link(-)=14% AvgGap(+)=32%  AvgGap(-)=-13%  AvgGap(±)=26%  GapIn(±10%)=12%  GapIn(±20%)=34%  GapIn(±30%)=55%  Linear Slope=1.279 RMSE=35%</v>
      </c>
    </row>
    <row r="2" spans="1:35" x14ac:dyDescent="0.25">
      <c r="A2" s="80">
        <v>1</v>
      </c>
      <c r="B2" s="80" t="s">
        <v>323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v>3216</v>
      </c>
      <c r="I2" s="94">
        <f>VLOOKUP(c_1[[#This Row],[hwycov_id]],flow0[],5,FALSE)</f>
        <v>1613</v>
      </c>
      <c r="J2" s="88">
        <f t="shared" ref="J2:J33" si="0">I2/H2-1</f>
        <v>-0.49844527363184077</v>
      </c>
      <c r="K2" s="81">
        <f t="shared" ref="K2:K33" si="1">POWER((I2-H2),2)</f>
        <v>2569609</v>
      </c>
      <c r="L2" s="61" t="e">
        <f>VLOOKUP(c_1[[#This Row],[hwycov_id]],count!$A$630:$E$652,5,FALSE)</f>
        <v>#N/A</v>
      </c>
      <c r="S2" s="7"/>
    </row>
    <row r="3" spans="1:35" x14ac:dyDescent="0.25">
      <c r="A3" s="80">
        <v>1</v>
      </c>
      <c r="B3" s="80" t="s">
        <v>323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5003</v>
      </c>
      <c r="I3" s="94">
        <f>VLOOKUP(c_1[[#This Row],[hwycov_id]],flow0[],5,FALSE)</f>
        <v>4201</v>
      </c>
      <c r="J3" s="88">
        <f t="shared" si="0"/>
        <v>-0.16030381770937441</v>
      </c>
      <c r="K3" s="81">
        <f t="shared" si="1"/>
        <v>643204</v>
      </c>
      <c r="L3" s="61" t="e">
        <f>VLOOKUP(c_1[[#This Row],[hwycov_id]],count!$A$630:$E$652,5,FALSE)</f>
        <v>#N/A</v>
      </c>
    </row>
    <row r="4" spans="1:35" x14ac:dyDescent="0.25">
      <c r="A4" s="80">
        <v>1</v>
      </c>
      <c r="B4" s="80" t="s">
        <v>323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6405</v>
      </c>
      <c r="I4" s="94">
        <f>VLOOKUP(c_1[[#This Row],[hwycov_id]],flow0[],5,FALSE)</f>
        <v>5408</v>
      </c>
      <c r="J4" s="88">
        <f t="shared" si="0"/>
        <v>-0.15565964090554252</v>
      </c>
      <c r="K4" s="81">
        <f t="shared" si="1"/>
        <v>994009</v>
      </c>
      <c r="L4" s="61" t="e">
        <f>VLOOKUP(c_1[[#This Row],[hwycov_id]],count!$A$630:$E$652,5,FALSE)</f>
        <v>#N/A</v>
      </c>
    </row>
    <row r="5" spans="1:35" x14ac:dyDescent="0.25">
      <c r="A5" s="80">
        <v>1</v>
      </c>
      <c r="B5" s="80" t="s">
        <v>323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6468</v>
      </c>
      <c r="I5" s="94">
        <f>VLOOKUP(c_1[[#This Row],[hwycov_id]],flow0[],5,FALSE)</f>
        <v>5611</v>
      </c>
      <c r="J5" s="88">
        <f t="shared" si="0"/>
        <v>-0.13249845392702531</v>
      </c>
      <c r="K5" s="81">
        <f t="shared" si="1"/>
        <v>734449</v>
      </c>
      <c r="L5" s="61" t="e">
        <f>VLOOKUP(c_1[[#This Row],[hwycov_id]],count!$A$630:$E$652,5,FALSE)</f>
        <v>#N/A</v>
      </c>
    </row>
    <row r="6" spans="1:35" x14ac:dyDescent="0.25">
      <c r="A6" s="80">
        <v>1</v>
      </c>
      <c r="B6" s="80" t="s">
        <v>323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13346</v>
      </c>
      <c r="I6" s="94">
        <f>VLOOKUP(c_1[[#This Row],[hwycov_id]],flow0[],5,FALSE)</f>
        <v>10941</v>
      </c>
      <c r="J6" s="88">
        <f t="shared" si="0"/>
        <v>-0.18020380638393529</v>
      </c>
      <c r="K6" s="81">
        <f t="shared" si="1"/>
        <v>5784025</v>
      </c>
      <c r="L6" s="61" t="e">
        <f>VLOOKUP(c_1[[#This Row],[hwycov_id]],count!$A$630:$E$652,5,FALSE)</f>
        <v>#N/A</v>
      </c>
    </row>
    <row r="7" spans="1:35" x14ac:dyDescent="0.25">
      <c r="A7" s="80">
        <v>1</v>
      </c>
      <c r="B7" s="80" t="s">
        <v>323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9513</v>
      </c>
      <c r="I7" s="94">
        <f>VLOOKUP(c_1[[#This Row],[hwycov_id]],flow0[],5,FALSE)</f>
        <v>9076</v>
      </c>
      <c r="J7" s="88">
        <f t="shared" si="0"/>
        <v>-4.5937138652370479E-2</v>
      </c>
      <c r="K7" s="81">
        <f t="shared" si="1"/>
        <v>190969</v>
      </c>
      <c r="L7" s="61" t="e">
        <f>VLOOKUP(c_1[[#This Row],[hwycov_id]],count!$A$630:$E$652,5,FALSE)</f>
        <v>#N/A</v>
      </c>
    </row>
    <row r="8" spans="1:35" x14ac:dyDescent="0.25">
      <c r="A8" s="80">
        <v>1</v>
      </c>
      <c r="B8" s="80" t="s">
        <v>323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15901</v>
      </c>
      <c r="I8" s="94">
        <f>VLOOKUP(c_1[[#This Row],[hwycov_id]],flow0[],5,FALSE)</f>
        <v>14996</v>
      </c>
      <c r="J8" s="88">
        <f t="shared" si="0"/>
        <v>-5.6914659455380212E-2</v>
      </c>
      <c r="K8" s="81">
        <f t="shared" si="1"/>
        <v>819025</v>
      </c>
      <c r="L8" s="61" t="e">
        <f>VLOOKUP(c_1[[#This Row],[hwycov_id]],count!$A$630:$E$652,5,FALSE)</f>
        <v>#N/A</v>
      </c>
    </row>
    <row r="9" spans="1:35" x14ac:dyDescent="0.25">
      <c r="A9" s="80">
        <v>1</v>
      </c>
      <c r="B9" s="80" t="s">
        <v>323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14924</v>
      </c>
      <c r="I9" s="94">
        <f>VLOOKUP(c_1[[#This Row],[hwycov_id]],flow0[],5,FALSE)</f>
        <v>14709</v>
      </c>
      <c r="J9" s="88">
        <f t="shared" si="0"/>
        <v>-1.4406325381935092E-2</v>
      </c>
      <c r="K9" s="81">
        <f t="shared" si="1"/>
        <v>46225</v>
      </c>
      <c r="L9" s="61" t="e">
        <f>VLOOKUP(c_1[[#This Row],[hwycov_id]],count!$A$630:$E$652,5,FALSE)</f>
        <v>#N/A</v>
      </c>
    </row>
    <row r="10" spans="1:35" x14ac:dyDescent="0.25">
      <c r="A10" s="80">
        <v>1</v>
      </c>
      <c r="B10" s="80" t="s">
        <v>323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13241</v>
      </c>
      <c r="I10" s="94">
        <f>VLOOKUP(c_1[[#This Row],[hwycov_id]],flow0[],5,FALSE)</f>
        <v>14911</v>
      </c>
      <c r="J10" s="88">
        <f t="shared" si="0"/>
        <v>0.12612340457669369</v>
      </c>
      <c r="K10" s="81">
        <f t="shared" si="1"/>
        <v>2788900</v>
      </c>
      <c r="L10" s="61" t="e">
        <f>VLOOKUP(c_1[[#This Row],[hwycov_id]],count!$A$630:$E$652,5,FALSE)</f>
        <v>#N/A</v>
      </c>
    </row>
    <row r="11" spans="1:35" x14ac:dyDescent="0.25">
      <c r="A11" s="80">
        <v>1</v>
      </c>
      <c r="B11" s="80" t="s">
        <v>323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15899</v>
      </c>
      <c r="I11" s="94">
        <f>VLOOKUP(c_1[[#This Row],[hwycov_id]],flow0[],5,FALSE)</f>
        <v>17528</v>
      </c>
      <c r="J11" s="88">
        <f t="shared" si="0"/>
        <v>0.10245927416818668</v>
      </c>
      <c r="K11" s="81">
        <f t="shared" si="1"/>
        <v>2653641</v>
      </c>
      <c r="L11" s="61" t="e">
        <f>VLOOKUP(c_1[[#This Row],[hwycov_id]],count!$A$630:$E$652,5,FALSE)</f>
        <v>#N/A</v>
      </c>
    </row>
    <row r="12" spans="1:35" x14ac:dyDescent="0.25">
      <c r="A12" s="80">
        <v>1</v>
      </c>
      <c r="B12" s="80" t="s">
        <v>323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13748</v>
      </c>
      <c r="I12" s="94">
        <f>VLOOKUP(c_1[[#This Row],[hwycov_id]],flow0[],5,FALSE)</f>
        <v>16258</v>
      </c>
      <c r="J12" s="88">
        <f t="shared" si="0"/>
        <v>0.18257201047425076</v>
      </c>
      <c r="K12" s="81">
        <f t="shared" si="1"/>
        <v>6300100</v>
      </c>
      <c r="L12" s="61" t="e">
        <f>VLOOKUP(c_1[[#This Row],[hwycov_id]],count!$A$630:$E$652,5,FALSE)</f>
        <v>#N/A</v>
      </c>
    </row>
    <row r="13" spans="1:35" x14ac:dyDescent="0.25">
      <c r="A13" s="80">
        <v>1</v>
      </c>
      <c r="B13" s="80" t="s">
        <v>323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15736</v>
      </c>
      <c r="I13" s="94">
        <f>VLOOKUP(c_1[[#This Row],[hwycov_id]],flow0[],5,FALSE)</f>
        <v>18149</v>
      </c>
      <c r="J13" s="88">
        <f t="shared" si="0"/>
        <v>0.15334265378749357</v>
      </c>
      <c r="K13" s="81">
        <f t="shared" si="1"/>
        <v>5822569</v>
      </c>
      <c r="L13" s="61" t="e">
        <f>VLOOKUP(c_1[[#This Row],[hwycov_id]],count!$A$630:$E$652,5,FALSE)</f>
        <v>#N/A</v>
      </c>
    </row>
    <row r="14" spans="1:35" x14ac:dyDescent="0.25">
      <c r="A14" s="80">
        <v>1</v>
      </c>
      <c r="B14" s="80" t="s">
        <v>323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16284</v>
      </c>
      <c r="I14" s="94">
        <f>VLOOKUP(c_1[[#This Row],[hwycov_id]],flow0[],5,FALSE)</f>
        <v>18692</v>
      </c>
      <c r="J14" s="88">
        <f t="shared" si="0"/>
        <v>0.14787521493490541</v>
      </c>
      <c r="K14" s="81">
        <f t="shared" si="1"/>
        <v>5798464</v>
      </c>
      <c r="L14" s="61" t="e">
        <f>VLOOKUP(c_1[[#This Row],[hwycov_id]],count!$A$630:$E$652,5,FALSE)</f>
        <v>#N/A</v>
      </c>
    </row>
    <row r="15" spans="1:35" x14ac:dyDescent="0.25">
      <c r="A15" s="80">
        <v>1</v>
      </c>
      <c r="B15" s="80" t="s">
        <v>323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16433</v>
      </c>
      <c r="I15" s="94">
        <f>VLOOKUP(c_1[[#This Row],[hwycov_id]],flow0[],5,FALSE)</f>
        <v>19975</v>
      </c>
      <c r="J15" s="88">
        <f t="shared" si="0"/>
        <v>0.21554189740156993</v>
      </c>
      <c r="K15" s="81">
        <f t="shared" si="1"/>
        <v>12545764</v>
      </c>
      <c r="L15" s="61" t="e">
        <f>VLOOKUP(c_1[[#This Row],[hwycov_id]],count!$A$630:$E$652,5,FALSE)</f>
        <v>#N/A</v>
      </c>
    </row>
    <row r="16" spans="1:35" x14ac:dyDescent="0.25">
      <c r="A16" s="80">
        <v>1</v>
      </c>
      <c r="B16" s="80" t="s">
        <v>323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13768</v>
      </c>
      <c r="I16" s="94">
        <f>VLOOKUP(c_1[[#This Row],[hwycov_id]],flow0[],5,FALSE)</f>
        <v>20626</v>
      </c>
      <c r="J16" s="88">
        <f t="shared" si="0"/>
        <v>0.49811156304474147</v>
      </c>
      <c r="K16" s="81">
        <f t="shared" si="1"/>
        <v>47032164</v>
      </c>
      <c r="L16" s="61" t="e">
        <f>VLOOKUP(c_1[[#This Row],[hwycov_id]],count!$A$630:$E$652,5,FALSE)</f>
        <v>#N/A</v>
      </c>
    </row>
    <row r="17" spans="1:12" x14ac:dyDescent="0.25">
      <c r="A17" s="80">
        <v>1</v>
      </c>
      <c r="B17" s="80" t="s">
        <v>323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15172</v>
      </c>
      <c r="I17" s="94">
        <f>VLOOKUP(c_1[[#This Row],[hwycov_id]],flow0[],5,FALSE)</f>
        <v>19611</v>
      </c>
      <c r="J17" s="88">
        <f t="shared" si="0"/>
        <v>0.29257843395728966</v>
      </c>
      <c r="K17" s="81">
        <f t="shared" si="1"/>
        <v>19704721</v>
      </c>
      <c r="L17" s="61" t="e">
        <f>VLOOKUP(c_1[[#This Row],[hwycov_id]],count!$A$630:$E$652,5,FALSE)</f>
        <v>#N/A</v>
      </c>
    </row>
    <row r="18" spans="1:12" x14ac:dyDescent="0.25">
      <c r="A18" s="80">
        <v>1</v>
      </c>
      <c r="B18" s="80" t="s">
        <v>323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18512</v>
      </c>
      <c r="I18" s="94">
        <f>VLOOKUP(c_1[[#This Row],[hwycov_id]],flow0[],5,FALSE)</f>
        <v>25567</v>
      </c>
      <c r="J18" s="88">
        <f t="shared" si="0"/>
        <v>0.38110414866032838</v>
      </c>
      <c r="K18" s="81">
        <f t="shared" si="1"/>
        <v>49773025</v>
      </c>
      <c r="L18" s="61" t="e">
        <f>VLOOKUP(c_1[[#This Row],[hwycov_id]],count!$A$630:$E$652,5,FALSE)</f>
        <v>#N/A</v>
      </c>
    </row>
    <row r="19" spans="1:12" x14ac:dyDescent="0.25">
      <c r="A19" s="80">
        <v>1</v>
      </c>
      <c r="B19" s="80" t="s">
        <v>323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19154</v>
      </c>
      <c r="I19" s="94">
        <f>VLOOKUP(c_1[[#This Row],[hwycov_id]],flow0[],5,FALSE)</f>
        <v>24072</v>
      </c>
      <c r="J19" s="88">
        <f t="shared" si="0"/>
        <v>0.25676098987156726</v>
      </c>
      <c r="K19" s="81">
        <f t="shared" si="1"/>
        <v>24186724</v>
      </c>
      <c r="L19" s="61" t="e">
        <f>VLOOKUP(c_1[[#This Row],[hwycov_id]],count!$A$630:$E$652,5,FALSE)</f>
        <v>#N/A</v>
      </c>
    </row>
    <row r="20" spans="1:12" x14ac:dyDescent="0.25">
      <c r="A20" s="80">
        <v>1</v>
      </c>
      <c r="B20" s="80" t="s">
        <v>323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13885</v>
      </c>
      <c r="I20" s="94">
        <f>VLOOKUP(c_1[[#This Row],[hwycov_id]],flow0[],5,FALSE)</f>
        <v>16932</v>
      </c>
      <c r="J20" s="88">
        <f t="shared" si="0"/>
        <v>0.21944544472452288</v>
      </c>
      <c r="K20" s="81">
        <f t="shared" si="1"/>
        <v>9284209</v>
      </c>
      <c r="L20" s="61" t="e">
        <f>VLOOKUP(c_1[[#This Row],[hwycov_id]],count!$A$630:$E$652,5,FALSE)</f>
        <v>#N/A</v>
      </c>
    </row>
    <row r="21" spans="1:12" x14ac:dyDescent="0.25">
      <c r="A21" s="80">
        <v>1</v>
      </c>
      <c r="B21" s="80" t="s">
        <v>323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14788</v>
      </c>
      <c r="I21" s="94">
        <f>VLOOKUP(c_1[[#This Row],[hwycov_id]],flow0[],5,FALSE)</f>
        <v>19600</v>
      </c>
      <c r="J21" s="88">
        <f t="shared" si="0"/>
        <v>0.3253989721395727</v>
      </c>
      <c r="K21" s="81">
        <f t="shared" si="1"/>
        <v>23155344</v>
      </c>
      <c r="L21" s="61" t="e">
        <f>VLOOKUP(c_1[[#This Row],[hwycov_id]],count!$A$630:$E$652,5,FALSE)</f>
        <v>#N/A</v>
      </c>
    </row>
    <row r="22" spans="1:12" x14ac:dyDescent="0.25">
      <c r="A22" s="80">
        <v>1</v>
      </c>
      <c r="B22" s="80" t="s">
        <v>323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13255</v>
      </c>
      <c r="I22" s="94">
        <f>VLOOKUP(c_1[[#This Row],[hwycov_id]],flow0[],5,FALSE)</f>
        <v>18545</v>
      </c>
      <c r="J22" s="88">
        <f t="shared" si="0"/>
        <v>0.3990946812523577</v>
      </c>
      <c r="K22" s="81">
        <f t="shared" si="1"/>
        <v>27984100</v>
      </c>
      <c r="L22" s="61" t="e">
        <f>VLOOKUP(c_1[[#This Row],[hwycov_id]],count!$A$630:$E$652,5,FALSE)</f>
        <v>#N/A</v>
      </c>
    </row>
    <row r="23" spans="1:12" x14ac:dyDescent="0.25">
      <c r="A23" s="80">
        <v>1</v>
      </c>
      <c r="B23" s="80" t="s">
        <v>323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15802</v>
      </c>
      <c r="I23" s="94">
        <f>VLOOKUP(c_1[[#This Row],[hwycov_id]],flow0[],5,FALSE)</f>
        <v>22115</v>
      </c>
      <c r="J23" s="88">
        <f t="shared" si="0"/>
        <v>0.39950639159600043</v>
      </c>
      <c r="K23" s="81">
        <f t="shared" si="1"/>
        <v>39853969</v>
      </c>
      <c r="L23" s="61" t="e">
        <f>VLOOKUP(c_1[[#This Row],[hwycov_id]],count!$A$630:$E$652,5,FALSE)</f>
        <v>#N/A</v>
      </c>
    </row>
    <row r="24" spans="1:12" x14ac:dyDescent="0.25">
      <c r="A24" s="80">
        <v>1</v>
      </c>
      <c r="B24" s="80" t="s">
        <v>323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17066</v>
      </c>
      <c r="I24" s="94">
        <f>VLOOKUP(c_1[[#This Row],[hwycov_id]],flow0[],5,FALSE)</f>
        <v>22891</v>
      </c>
      <c r="J24" s="88">
        <f t="shared" si="0"/>
        <v>0.34132192663775918</v>
      </c>
      <c r="K24" s="81">
        <f t="shared" si="1"/>
        <v>33930625</v>
      </c>
      <c r="L24" s="61" t="e">
        <f>VLOOKUP(c_1[[#This Row],[hwycov_id]],count!$A$630:$E$652,5,FALSE)</f>
        <v>#N/A</v>
      </c>
    </row>
    <row r="25" spans="1:12" x14ac:dyDescent="0.25">
      <c r="A25" s="80">
        <v>1</v>
      </c>
      <c r="B25" s="80" t="s">
        <v>323</v>
      </c>
      <c r="C25" s="99">
        <v>27807</v>
      </c>
      <c r="D25" s="94">
        <v>14.77</v>
      </c>
      <c r="E25" s="100">
        <v>0.11297500000000001</v>
      </c>
      <c r="F25" s="100" t="s">
        <v>324</v>
      </c>
      <c r="G25" s="100" t="s">
        <v>73</v>
      </c>
      <c r="H25" s="94">
        <v>17981</v>
      </c>
      <c r="I25" s="94">
        <f>VLOOKUP(c_1[[#This Row],[hwycov_id]],flow0[],5,FALSE)</f>
        <v>22453</v>
      </c>
      <c r="J25" s="88">
        <f t="shared" si="0"/>
        <v>0.24870696846671492</v>
      </c>
      <c r="K25" s="81">
        <f t="shared" si="1"/>
        <v>19998784</v>
      </c>
      <c r="L25" s="61" t="e">
        <f>VLOOKUP(c_1[[#This Row],[hwycov_id]],count!$A$630:$E$652,5,FALSE)</f>
        <v>#N/A</v>
      </c>
    </row>
    <row r="26" spans="1:12" x14ac:dyDescent="0.25">
      <c r="A26" s="80">
        <v>1</v>
      </c>
      <c r="B26" s="80" t="s">
        <v>323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14973</v>
      </c>
      <c r="I26" s="94">
        <f>VLOOKUP(c_1[[#This Row],[hwycov_id]],flow0[],5,FALSE)</f>
        <v>18675</v>
      </c>
      <c r="J26" s="88">
        <f t="shared" si="0"/>
        <v>0.24724504107393308</v>
      </c>
      <c r="K26" s="81">
        <f t="shared" si="1"/>
        <v>13704804</v>
      </c>
      <c r="L26" s="61" t="e">
        <f>VLOOKUP(c_1[[#This Row],[hwycov_id]],count!$A$630:$E$652,5,FALSE)</f>
        <v>#N/A</v>
      </c>
    </row>
    <row r="27" spans="1:12" x14ac:dyDescent="0.25">
      <c r="A27" s="80">
        <v>1</v>
      </c>
      <c r="B27" s="80" t="s">
        <v>323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16429</v>
      </c>
      <c r="I27" s="94">
        <f>VLOOKUP(c_1[[#This Row],[hwycov_id]],flow0[],5,FALSE)</f>
        <v>18675</v>
      </c>
      <c r="J27" s="88">
        <f t="shared" si="0"/>
        <v>0.13670947714407444</v>
      </c>
      <c r="K27" s="81">
        <f t="shared" si="1"/>
        <v>5044516</v>
      </c>
      <c r="L27" s="61" t="e">
        <f>VLOOKUP(c_1[[#This Row],[hwycov_id]],count!$A$630:$E$652,5,FALSE)</f>
        <v>#N/A</v>
      </c>
    </row>
    <row r="28" spans="1:12" x14ac:dyDescent="0.25">
      <c r="A28" s="80">
        <v>1</v>
      </c>
      <c r="B28" s="80" t="s">
        <v>323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16190</v>
      </c>
      <c r="I28" s="94">
        <f>VLOOKUP(c_1[[#This Row],[hwycov_id]],flow0[],5,FALSE)</f>
        <v>19996</v>
      </c>
      <c r="J28" s="88">
        <f t="shared" si="0"/>
        <v>0.23508338480543545</v>
      </c>
      <c r="K28" s="81">
        <f t="shared" si="1"/>
        <v>14485636</v>
      </c>
      <c r="L28" s="61" t="e">
        <f>VLOOKUP(c_1[[#This Row],[hwycov_id]],count!$A$630:$E$652,5,FALSE)</f>
        <v>#N/A</v>
      </c>
    </row>
    <row r="29" spans="1:12" x14ac:dyDescent="0.25">
      <c r="A29" s="80">
        <v>1</v>
      </c>
      <c r="B29" s="80" t="s">
        <v>323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16718</v>
      </c>
      <c r="I29" s="94">
        <f>VLOOKUP(c_1[[#This Row],[hwycov_id]],flow0[],5,FALSE)</f>
        <v>18096</v>
      </c>
      <c r="J29" s="88">
        <f t="shared" si="0"/>
        <v>8.2426127527216231E-2</v>
      </c>
      <c r="K29" s="81">
        <f t="shared" si="1"/>
        <v>1898884</v>
      </c>
      <c r="L29" s="61" t="e">
        <f>VLOOKUP(c_1[[#This Row],[hwycov_id]],count!$A$630:$E$652,5,FALSE)</f>
        <v>#N/A</v>
      </c>
    </row>
    <row r="30" spans="1:12" x14ac:dyDescent="0.25">
      <c r="A30" s="80">
        <v>1</v>
      </c>
      <c r="B30" s="80" t="s">
        <v>323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22327</v>
      </c>
      <c r="I30" s="94">
        <f>VLOOKUP(c_1[[#This Row],[hwycov_id]],flow0[],5,FALSE)</f>
        <v>23295</v>
      </c>
      <c r="J30" s="88">
        <f t="shared" si="0"/>
        <v>4.3355578447619392E-2</v>
      </c>
      <c r="K30" s="81">
        <f t="shared" si="1"/>
        <v>937024</v>
      </c>
      <c r="L30" s="61" t="e">
        <f>VLOOKUP(c_1[[#This Row],[hwycov_id]],count!$A$630:$E$652,5,FALSE)</f>
        <v>#N/A</v>
      </c>
    </row>
    <row r="31" spans="1:12" x14ac:dyDescent="0.25">
      <c r="A31" s="80">
        <v>1</v>
      </c>
      <c r="B31" s="80" t="s">
        <v>323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18162</v>
      </c>
      <c r="I31" s="94">
        <f>VLOOKUP(c_1[[#This Row],[hwycov_id]],flow0[],5,FALSE)</f>
        <v>24693</v>
      </c>
      <c r="J31" s="88">
        <f t="shared" si="0"/>
        <v>0.35959696068714897</v>
      </c>
      <c r="K31" s="81">
        <f t="shared" si="1"/>
        <v>42653961</v>
      </c>
      <c r="L31" s="61" t="e">
        <f>VLOOKUP(c_1[[#This Row],[hwycov_id]],count!$A$630:$E$652,5,FALSE)</f>
        <v>#N/A</v>
      </c>
    </row>
    <row r="32" spans="1:12" x14ac:dyDescent="0.25">
      <c r="A32" s="80">
        <v>1</v>
      </c>
      <c r="B32" s="80" t="s">
        <v>323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17896</v>
      </c>
      <c r="I32" s="94">
        <f>VLOOKUP(c_1[[#This Row],[hwycov_id]],flow0[],5,FALSE)</f>
        <v>20016</v>
      </c>
      <c r="J32" s="88">
        <f t="shared" si="0"/>
        <v>0.11846222619579794</v>
      </c>
      <c r="K32" s="81">
        <f t="shared" si="1"/>
        <v>4494400</v>
      </c>
      <c r="L32" s="61" t="e">
        <f>VLOOKUP(c_1[[#This Row],[hwycov_id]],count!$A$630:$E$652,5,FALSE)</f>
        <v>#N/A</v>
      </c>
    </row>
    <row r="33" spans="1:33" x14ac:dyDescent="0.25">
      <c r="A33" s="80">
        <v>1</v>
      </c>
      <c r="B33" s="80" t="s">
        <v>323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17021</v>
      </c>
      <c r="I33" s="94">
        <f>VLOOKUP(c_1[[#This Row],[hwycov_id]],flow0[],5,FALSE)</f>
        <v>18697</v>
      </c>
      <c r="J33" s="88">
        <f t="shared" si="0"/>
        <v>9.8466600082251388E-2</v>
      </c>
      <c r="K33" s="81">
        <f t="shared" si="1"/>
        <v>2808976</v>
      </c>
      <c r="L33" s="61" t="e">
        <f>VLOOKUP(c_1[[#This Row],[hwycov_id]],count!$A$630:$E$652,5,FALSE)</f>
        <v>#N/A</v>
      </c>
    </row>
    <row r="34" spans="1:33" x14ac:dyDescent="0.25">
      <c r="A34" s="80">
        <v>1</v>
      </c>
      <c r="B34" s="80" t="s">
        <v>323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18852</v>
      </c>
      <c r="I34" s="94">
        <f>VLOOKUP(c_1[[#This Row],[hwycov_id]],flow0[],5,FALSE)</f>
        <v>20356</v>
      </c>
      <c r="J34" s="88">
        <f t="shared" ref="J34:J65" si="2">I34/H34-1</f>
        <v>7.9779333757691528E-2</v>
      </c>
      <c r="K34" s="81">
        <f t="shared" ref="K34:K65" si="3">POWER((I34-H34),2)</f>
        <v>2262016</v>
      </c>
      <c r="L34" s="61" t="e">
        <f>VLOOKUP(c_1[[#This Row],[hwycov_id]],count!$A$630:$E$652,5,FALSE)</f>
        <v>#N/A</v>
      </c>
    </row>
    <row r="35" spans="1:33" x14ac:dyDescent="0.25">
      <c r="A35" s="80">
        <v>1</v>
      </c>
      <c r="B35" s="80" t="s">
        <v>323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21245</v>
      </c>
      <c r="I35" s="94">
        <f>VLOOKUP(c_1[[#This Row],[hwycov_id]],flow0[],5,FALSE)</f>
        <v>21209</v>
      </c>
      <c r="J35" s="88">
        <f t="shared" si="2"/>
        <v>-1.6945163567898547E-3</v>
      </c>
      <c r="K35" s="81">
        <f t="shared" si="3"/>
        <v>1296</v>
      </c>
      <c r="L35" s="61" t="e">
        <f>VLOOKUP(c_1[[#This Row],[hwycov_id]],count!$A$630:$E$652,5,FALSE)</f>
        <v>#N/A</v>
      </c>
    </row>
    <row r="36" spans="1:33" x14ac:dyDescent="0.25">
      <c r="A36" s="80">
        <v>1</v>
      </c>
      <c r="B36" s="80" t="s">
        <v>323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21345</v>
      </c>
      <c r="I36" s="94">
        <f>VLOOKUP(c_1[[#This Row],[hwycov_id]],flow0[],5,FALSE)</f>
        <v>21209</v>
      </c>
      <c r="J36" s="88">
        <f t="shared" si="2"/>
        <v>-6.3715155774185517E-3</v>
      </c>
      <c r="K36" s="81">
        <f t="shared" si="3"/>
        <v>18496</v>
      </c>
      <c r="L36" s="61" t="e">
        <f>VLOOKUP(c_1[[#This Row],[hwycov_id]],count!$A$630:$E$652,5,FALSE)</f>
        <v>#N/A</v>
      </c>
    </row>
    <row r="37" spans="1:33" x14ac:dyDescent="0.25">
      <c r="A37" s="80">
        <v>1</v>
      </c>
      <c r="B37" s="80" t="s">
        <v>323</v>
      </c>
      <c r="C37" s="99">
        <v>8790</v>
      </c>
      <c r="D37" s="94">
        <v>21.95</v>
      </c>
      <c r="E37" s="100">
        <v>0.94275399999999998</v>
      </c>
      <c r="F37" s="100" t="s">
        <v>325</v>
      </c>
      <c r="G37" s="100" t="s">
        <v>83</v>
      </c>
      <c r="H37" s="94">
        <v>25547</v>
      </c>
      <c r="I37" s="94">
        <f>VLOOKUP(c_1[[#This Row],[hwycov_id]],flow0[],5,FALSE)</f>
        <v>28193</v>
      </c>
      <c r="J37" s="88">
        <f t="shared" si="2"/>
        <v>0.10357380514346115</v>
      </c>
      <c r="K37" s="81">
        <f t="shared" si="3"/>
        <v>7001316</v>
      </c>
      <c r="L37" s="61" t="e">
        <f>VLOOKUP(c_1[[#This Row],[hwycov_id]],count!$A$630:$E$652,5,FALSE)</f>
        <v>#N/A</v>
      </c>
    </row>
    <row r="38" spans="1:33" x14ac:dyDescent="0.25">
      <c r="A38" s="80">
        <v>1</v>
      </c>
      <c r="B38" s="80" t="s">
        <v>323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19336</v>
      </c>
      <c r="I38" s="94">
        <f>VLOOKUP(c_1[[#This Row],[hwycov_id]],flow0[],5,FALSE)</f>
        <v>21577</v>
      </c>
      <c r="J38" s="88">
        <f t="shared" si="2"/>
        <v>0.11589780719900711</v>
      </c>
      <c r="K38" s="81">
        <f t="shared" si="3"/>
        <v>5022081</v>
      </c>
      <c r="L38" s="61" t="e">
        <f>VLOOKUP(c_1[[#This Row],[hwycov_id]],count!$A$630:$E$652,5,FALSE)</f>
        <v>#N/A</v>
      </c>
    </row>
    <row r="39" spans="1:33" x14ac:dyDescent="0.25">
      <c r="A39" s="80">
        <v>1</v>
      </c>
      <c r="B39" s="80" t="s">
        <v>323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12911</v>
      </c>
      <c r="I39" s="94">
        <f>VLOOKUP(c_1[[#This Row],[hwycov_id]],flow0[],5,FALSE)</f>
        <v>18056</v>
      </c>
      <c r="J39" s="88">
        <f t="shared" si="2"/>
        <v>0.3984974053132988</v>
      </c>
      <c r="K39" s="81">
        <f t="shared" si="3"/>
        <v>26471025</v>
      </c>
      <c r="L39" s="61" t="e">
        <f>VLOOKUP(c_1[[#This Row],[hwycov_id]],count!$A$630:$E$652,5,FALSE)</f>
        <v>#N/A</v>
      </c>
    </row>
    <row r="40" spans="1:33" x14ac:dyDescent="0.25">
      <c r="A40" s="80">
        <v>1</v>
      </c>
      <c r="B40" s="80" t="s">
        <v>323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14734</v>
      </c>
      <c r="I40" s="94">
        <f>VLOOKUP(c_1[[#This Row],[hwycov_id]],flow0[],5,FALSE)</f>
        <v>19651</v>
      </c>
      <c r="J40" s="88">
        <f t="shared" si="2"/>
        <v>0.33371793131532512</v>
      </c>
      <c r="K40" s="81">
        <f t="shared" si="3"/>
        <v>24176889</v>
      </c>
      <c r="L40" s="61" t="e">
        <f>VLOOKUP(c_1[[#This Row],[hwycov_id]],count!$A$630:$E$652,5,FALSE)</f>
        <v>#N/A</v>
      </c>
    </row>
    <row r="41" spans="1:33" x14ac:dyDescent="0.25">
      <c r="A41" s="80">
        <v>1</v>
      </c>
      <c r="B41" s="80" t="s">
        <v>323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12853</v>
      </c>
      <c r="I41" s="94">
        <f>VLOOKUP(c_1[[#This Row],[hwycov_id]],flow0[],5,FALSE)</f>
        <v>20675</v>
      </c>
      <c r="J41" s="88">
        <f t="shared" si="2"/>
        <v>0.60857387380378114</v>
      </c>
      <c r="K41" s="81">
        <f t="shared" si="3"/>
        <v>61183684</v>
      </c>
      <c r="L41" s="61" t="e">
        <f>VLOOKUP(c_1[[#This Row],[hwycov_id]],count!$A$630:$E$652,5,FALSE)</f>
        <v>#N/A</v>
      </c>
    </row>
    <row r="42" spans="1:33" x14ac:dyDescent="0.25">
      <c r="A42" s="80">
        <v>1</v>
      </c>
      <c r="B42" s="80" t="s">
        <v>323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13188</v>
      </c>
      <c r="I42" s="94">
        <f>VLOOKUP(c_1[[#This Row],[hwycov_id]],flow0[],5,FALSE)</f>
        <v>18432</v>
      </c>
      <c r="J42" s="88">
        <f t="shared" si="2"/>
        <v>0.39763421292083723</v>
      </c>
      <c r="K42" s="81">
        <f t="shared" si="3"/>
        <v>27499536</v>
      </c>
      <c r="L42" s="61" t="e">
        <f>VLOOKUP(c_1[[#This Row],[hwycov_id]],count!$A$630:$E$652,5,FALSE)</f>
        <v>#N/A</v>
      </c>
      <c r="AG42" t="s">
        <v>124</v>
      </c>
    </row>
    <row r="43" spans="1:33" x14ac:dyDescent="0.25">
      <c r="A43" s="80">
        <v>1</v>
      </c>
      <c r="B43" s="80" t="s">
        <v>323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14915</v>
      </c>
      <c r="I43" s="94">
        <f>VLOOKUP(c_1[[#This Row],[hwycov_id]],flow0[],5,FALSE)</f>
        <v>16604</v>
      </c>
      <c r="J43" s="88">
        <f t="shared" si="2"/>
        <v>0.1132417029835735</v>
      </c>
      <c r="K43" s="81">
        <f t="shared" si="3"/>
        <v>2852721</v>
      </c>
      <c r="L43" s="61" t="e">
        <f>VLOOKUP(c_1[[#This Row],[hwycov_id]],count!$A$630:$E$652,5,FALSE)</f>
        <v>#N/A</v>
      </c>
    </row>
    <row r="44" spans="1:33" ht="15.75" x14ac:dyDescent="0.25">
      <c r="A44" s="80">
        <v>1</v>
      </c>
      <c r="B44" s="80" t="s">
        <v>323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17592</v>
      </c>
      <c r="I44" s="94">
        <f>VLOOKUP(c_1[[#This Row],[hwycov_id]],flow0[],5,FALSE)</f>
        <v>28171</v>
      </c>
      <c r="J44" s="88">
        <f t="shared" si="2"/>
        <v>0.60135288767621642</v>
      </c>
      <c r="K44" s="81">
        <f t="shared" si="3"/>
        <v>111915241</v>
      </c>
      <c r="L44" s="61" t="e">
        <f>VLOOKUP(c_1[[#This Row],[hwycov_id]],count!$A$630:$E$652,5,FALSE)</f>
        <v>#N/A</v>
      </c>
      <c r="Q44" s="9"/>
    </row>
    <row r="45" spans="1:33" x14ac:dyDescent="0.25">
      <c r="A45" s="80">
        <v>1</v>
      </c>
      <c r="B45" s="80" t="s">
        <v>323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18088</v>
      </c>
      <c r="I45" s="94">
        <f>VLOOKUP(c_1[[#This Row],[hwycov_id]],flow0[],5,FALSE)</f>
        <v>24562</v>
      </c>
      <c r="J45" s="88">
        <f t="shared" si="2"/>
        <v>0.35791685095090675</v>
      </c>
      <c r="K45" s="81">
        <f t="shared" si="3"/>
        <v>41912676</v>
      </c>
      <c r="L45" s="61" t="e">
        <f>VLOOKUP(c_1[[#This Row],[hwycov_id]],count!$A$630:$E$652,5,FALSE)</f>
        <v>#N/A</v>
      </c>
    </row>
    <row r="46" spans="1:33" x14ac:dyDescent="0.25">
      <c r="A46" s="80">
        <v>1</v>
      </c>
      <c r="B46" s="80" t="s">
        <v>323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8098</v>
      </c>
      <c r="I46" s="94">
        <f>VLOOKUP(c_1[[#This Row],[hwycov_id]],flow0[],5,FALSE)</f>
        <v>15961</v>
      </c>
      <c r="J46" s="88">
        <f t="shared" si="2"/>
        <v>0.97098048900963208</v>
      </c>
      <c r="K46" s="81">
        <f t="shared" si="3"/>
        <v>61826769</v>
      </c>
      <c r="L46" s="61" t="e">
        <f>VLOOKUP(c_1[[#This Row],[hwycov_id]],count!$A$630:$E$652,5,FALSE)</f>
        <v>#N/A</v>
      </c>
    </row>
    <row r="47" spans="1:33" x14ac:dyDescent="0.25">
      <c r="A47" s="80">
        <v>1</v>
      </c>
      <c r="B47" s="80" t="s">
        <v>323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21677</v>
      </c>
      <c r="I47" s="94">
        <f>VLOOKUP(c_1[[#This Row],[hwycov_id]],flow0[],5,FALSE)</f>
        <v>33670</v>
      </c>
      <c r="J47" s="88">
        <f t="shared" si="2"/>
        <v>0.55325921483600138</v>
      </c>
      <c r="K47" s="81">
        <f t="shared" si="3"/>
        <v>143832049</v>
      </c>
      <c r="L47" s="61" t="e">
        <f>VLOOKUP(c_1[[#This Row],[hwycov_id]],count!$A$630:$E$652,5,FALSE)</f>
        <v>#N/A</v>
      </c>
    </row>
    <row r="48" spans="1:33" x14ac:dyDescent="0.25">
      <c r="A48" s="80">
        <v>1</v>
      </c>
      <c r="B48" s="80" t="s">
        <v>323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18041</v>
      </c>
      <c r="I48" s="94">
        <f>VLOOKUP(c_1[[#This Row],[hwycov_id]],flow0[],5,FALSE)</f>
        <v>31597</v>
      </c>
      <c r="J48" s="88">
        <f t="shared" si="2"/>
        <v>0.75139958982318045</v>
      </c>
      <c r="K48" s="81">
        <f t="shared" si="3"/>
        <v>183765136</v>
      </c>
      <c r="L48" s="61" t="e">
        <f>VLOOKUP(c_1[[#This Row],[hwycov_id]],count!$A$630:$E$652,5,FALSE)</f>
        <v>#N/A</v>
      </c>
    </row>
    <row r="49" spans="1:16" x14ac:dyDescent="0.25">
      <c r="A49" s="80">
        <v>1</v>
      </c>
      <c r="B49" s="78" t="s">
        <v>323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14919</v>
      </c>
      <c r="I49" s="94">
        <f>VLOOKUP(c_1[[#This Row],[hwycov_id]],flow0[],5,FALSE)</f>
        <v>30134</v>
      </c>
      <c r="J49" s="98">
        <f t="shared" si="2"/>
        <v>1.0198404718814933</v>
      </c>
      <c r="K49" s="82">
        <f t="shared" si="3"/>
        <v>231496225</v>
      </c>
      <c r="L49" s="361" t="e">
        <f>VLOOKUP(c_1[[#This Row],[hwycov_id]],count!$A$630:$E$652,5,FALSE)</f>
        <v>#N/A</v>
      </c>
    </row>
    <row r="50" spans="1:16" s="13" customFormat="1" x14ac:dyDescent="0.25">
      <c r="A50" s="80">
        <v>1</v>
      </c>
      <c r="B50" s="78" t="s">
        <v>323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20123</v>
      </c>
      <c r="I50" s="94">
        <f>VLOOKUP(c_1[[#This Row],[hwycov_id]],flow0[],5,FALSE)</f>
        <v>31028</v>
      </c>
      <c r="J50" s="98">
        <f t="shared" si="2"/>
        <v>0.5419172091636435</v>
      </c>
      <c r="K50" s="82">
        <f t="shared" si="3"/>
        <v>118919025</v>
      </c>
      <c r="L50" s="361" t="e">
        <f>VLOOKUP(c_1[[#This Row],[hwycov_id]],count!$A$630:$E$652,5,FALSE)</f>
        <v>#N/A</v>
      </c>
      <c r="M50" s="82"/>
      <c r="N50" s="82"/>
      <c r="O50" s="64"/>
      <c r="P50" s="64"/>
    </row>
    <row r="51" spans="1:16" s="13" customFormat="1" x14ac:dyDescent="0.25">
      <c r="A51" s="80">
        <v>1</v>
      </c>
      <c r="B51" s="78" t="s">
        <v>323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26077</v>
      </c>
      <c r="I51" s="94">
        <f>VLOOKUP(c_1[[#This Row],[hwycov_id]],flow0[],5,FALSE)</f>
        <v>32064</v>
      </c>
      <c r="J51" s="98">
        <f t="shared" si="2"/>
        <v>0.22958929324692257</v>
      </c>
      <c r="K51" s="82">
        <f t="shared" si="3"/>
        <v>35844169</v>
      </c>
      <c r="L51" s="361" t="e">
        <f>VLOOKUP(c_1[[#This Row],[hwycov_id]],count!$A$630:$E$652,5,FALSE)</f>
        <v>#N/A</v>
      </c>
      <c r="M51" s="82"/>
      <c r="N51" s="82"/>
      <c r="O51" s="64"/>
      <c r="P51" s="64"/>
    </row>
    <row r="52" spans="1:16" s="13" customFormat="1" x14ac:dyDescent="0.25">
      <c r="A52" s="80">
        <v>1</v>
      </c>
      <c r="B52" s="78" t="s">
        <v>323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23557</v>
      </c>
      <c r="I52" s="94">
        <f>VLOOKUP(c_1[[#This Row],[hwycov_id]],flow0[],5,FALSE)</f>
        <v>33266</v>
      </c>
      <c r="J52" s="98">
        <f t="shared" si="2"/>
        <v>0.41214925499851418</v>
      </c>
      <c r="K52" s="82">
        <f t="shared" si="3"/>
        <v>94264681</v>
      </c>
      <c r="L52" s="361" t="e">
        <f>VLOOKUP(c_1[[#This Row],[hwycov_id]],count!$A$630:$E$652,5,FALSE)</f>
        <v>#N/A</v>
      </c>
      <c r="M52" s="82"/>
      <c r="N52" s="82"/>
      <c r="O52" s="64"/>
      <c r="P52" s="64"/>
    </row>
    <row r="53" spans="1:16" s="13" customFormat="1" x14ac:dyDescent="0.25">
      <c r="A53" s="80">
        <v>1</v>
      </c>
      <c r="B53" s="80" t="s">
        <v>323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22521</v>
      </c>
      <c r="I53" s="94">
        <f>VLOOKUP(c_1[[#This Row],[hwycov_id]],flow0[],5,FALSE)</f>
        <v>30620</v>
      </c>
      <c r="J53" s="88">
        <f t="shared" si="2"/>
        <v>0.35961991030593676</v>
      </c>
      <c r="K53" s="81">
        <f t="shared" si="3"/>
        <v>65593801</v>
      </c>
      <c r="L53" s="61" t="e">
        <f>VLOOKUP(c_1[[#This Row],[hwycov_id]],count!$A$630:$E$652,5,FALSE)</f>
        <v>#N/A</v>
      </c>
      <c r="M53" s="82"/>
      <c r="N53" s="82"/>
      <c r="O53" s="64"/>
      <c r="P53" s="64"/>
    </row>
    <row r="54" spans="1:16" x14ac:dyDescent="0.25">
      <c r="A54" s="80">
        <v>1</v>
      </c>
      <c r="B54" s="80" t="s">
        <v>323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21673</v>
      </c>
      <c r="I54" s="94">
        <f>VLOOKUP(c_1[[#This Row],[hwycov_id]],flow0[],5,FALSE)</f>
        <v>29806</v>
      </c>
      <c r="J54" s="88">
        <f t="shared" si="2"/>
        <v>0.37525953951921753</v>
      </c>
      <c r="K54" s="81">
        <f t="shared" si="3"/>
        <v>66145689</v>
      </c>
      <c r="L54" s="61" t="e">
        <f>VLOOKUP(c_1[[#This Row],[hwycov_id]],count!$A$630:$E$652,5,FALSE)</f>
        <v>#N/A</v>
      </c>
    </row>
    <row r="55" spans="1:16" x14ac:dyDescent="0.25">
      <c r="A55" s="80">
        <v>1</v>
      </c>
      <c r="B55" s="80" t="s">
        <v>323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23644</v>
      </c>
      <c r="I55" s="94">
        <f>VLOOKUP(c_1[[#This Row],[hwycov_id]],flow0[],5,FALSE)</f>
        <v>31178</v>
      </c>
      <c r="J55" s="88">
        <f t="shared" si="2"/>
        <v>0.31864320757908993</v>
      </c>
      <c r="K55" s="81">
        <f t="shared" si="3"/>
        <v>56761156</v>
      </c>
      <c r="L55" s="61" t="e">
        <f>VLOOKUP(c_1[[#This Row],[hwycov_id]],count!$A$630:$E$652,5,FALSE)</f>
        <v>#N/A</v>
      </c>
    </row>
    <row r="56" spans="1:16" x14ac:dyDescent="0.25">
      <c r="A56" s="80">
        <v>1</v>
      </c>
      <c r="B56" s="80" t="s">
        <v>323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21817</v>
      </c>
      <c r="I56" s="94">
        <f>VLOOKUP(c_1[[#This Row],[hwycov_id]],flow0[],5,FALSE)</f>
        <v>29248</v>
      </c>
      <c r="J56" s="88">
        <f t="shared" si="2"/>
        <v>0.34060594948893064</v>
      </c>
      <c r="K56" s="81">
        <f t="shared" si="3"/>
        <v>55219761</v>
      </c>
      <c r="L56" s="61" t="e">
        <f>VLOOKUP(c_1[[#This Row],[hwycov_id]],count!$A$630:$E$652,5,FALSE)</f>
        <v>#N/A</v>
      </c>
    </row>
    <row r="57" spans="1:16" x14ac:dyDescent="0.25">
      <c r="A57" s="80">
        <v>1</v>
      </c>
      <c r="B57" s="80" t="s">
        <v>323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24411</v>
      </c>
      <c r="I57" s="94">
        <f>VLOOKUP(c_1[[#This Row],[hwycov_id]],flow0[],5,FALSE)</f>
        <v>30987</v>
      </c>
      <c r="J57" s="88">
        <f t="shared" si="2"/>
        <v>0.26938675187415506</v>
      </c>
      <c r="K57" s="81">
        <f t="shared" si="3"/>
        <v>43243776</v>
      </c>
      <c r="L57" s="61" t="e">
        <f>VLOOKUP(c_1[[#This Row],[hwycov_id]],count!$A$630:$E$652,5,FALSE)</f>
        <v>#N/A</v>
      </c>
    </row>
    <row r="58" spans="1:16" x14ac:dyDescent="0.25">
      <c r="A58" s="129">
        <v>1</v>
      </c>
      <c r="B58" s="80" t="s">
        <v>323</v>
      </c>
      <c r="C58" s="351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2">
        <v>21307</v>
      </c>
      <c r="I58" s="94">
        <f>VLOOKUP(c_1[[#This Row],[hwycov_id]],flow0[],5,FALSE)</f>
        <v>29073</v>
      </c>
      <c r="J58" s="88">
        <f t="shared" si="2"/>
        <v>0.36448115642746526</v>
      </c>
      <c r="K58" s="81">
        <f t="shared" si="3"/>
        <v>60310756</v>
      </c>
      <c r="L58" s="61" t="e">
        <f>VLOOKUP(c_1[[#This Row],[hwycov_id]],count!$A$630:$E$652,5,FALSE)</f>
        <v>#N/A</v>
      </c>
    </row>
    <row r="59" spans="1:16" x14ac:dyDescent="0.25">
      <c r="A59" s="129">
        <v>1</v>
      </c>
      <c r="B59" s="80" t="s">
        <v>323</v>
      </c>
      <c r="C59" s="351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2">
        <v>22060</v>
      </c>
      <c r="I59" s="94">
        <f>VLOOKUP(c_1[[#This Row],[hwycov_id]],flow0[],5,FALSE)</f>
        <v>30001</v>
      </c>
      <c r="J59" s="88">
        <f t="shared" si="2"/>
        <v>0.35997280145058941</v>
      </c>
      <c r="K59" s="81">
        <f t="shared" si="3"/>
        <v>63059481</v>
      </c>
      <c r="L59" s="61" t="e">
        <f>VLOOKUP(c_1[[#This Row],[hwycov_id]],count!$A$630:$E$652,5,FALSE)</f>
        <v>#N/A</v>
      </c>
    </row>
    <row r="60" spans="1:16" x14ac:dyDescent="0.25">
      <c r="A60" s="129">
        <v>1</v>
      </c>
      <c r="B60" s="80" t="s">
        <v>323</v>
      </c>
      <c r="C60" s="351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2">
        <v>20180</v>
      </c>
      <c r="I60" s="94">
        <f>VLOOKUP(c_1[[#This Row],[hwycov_id]],flow0[],5,FALSE)</f>
        <v>27940</v>
      </c>
      <c r="J60" s="88">
        <f t="shared" si="2"/>
        <v>0.38453914767096142</v>
      </c>
      <c r="K60" s="81">
        <f t="shared" si="3"/>
        <v>60217600</v>
      </c>
      <c r="L60" s="61" t="e">
        <f>VLOOKUP(c_1[[#This Row],[hwycov_id]],count!$A$630:$E$652,5,FALSE)</f>
        <v>#N/A</v>
      </c>
    </row>
    <row r="61" spans="1:16" x14ac:dyDescent="0.25">
      <c r="A61" s="129">
        <v>1</v>
      </c>
      <c r="B61" s="80" t="s">
        <v>323</v>
      </c>
      <c r="C61" s="351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2">
        <v>17408</v>
      </c>
      <c r="I61" s="94">
        <f>VLOOKUP(c_1[[#This Row],[hwycov_id]],flow0[],5,FALSE)</f>
        <v>29487</v>
      </c>
      <c r="J61" s="88">
        <f t="shared" si="2"/>
        <v>0.69387637867647056</v>
      </c>
      <c r="K61" s="81">
        <f t="shared" si="3"/>
        <v>145902241</v>
      </c>
      <c r="L61" s="61" t="e">
        <f>VLOOKUP(c_1[[#This Row],[hwycov_id]],count!$A$630:$E$652,5,FALSE)</f>
        <v>#N/A</v>
      </c>
    </row>
    <row r="62" spans="1:16" x14ac:dyDescent="0.25">
      <c r="A62" s="129">
        <v>1</v>
      </c>
      <c r="B62" s="80" t="s">
        <v>323</v>
      </c>
      <c r="C62" s="351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2">
        <v>19518</v>
      </c>
      <c r="I62" s="94">
        <f>VLOOKUP(c_1[[#This Row],[hwycov_id]],flow0[],5,FALSE)</f>
        <v>26895</v>
      </c>
      <c r="J62" s="88">
        <f t="shared" si="2"/>
        <v>0.37795880725484166</v>
      </c>
      <c r="K62" s="81">
        <f t="shared" si="3"/>
        <v>54420129</v>
      </c>
      <c r="L62" s="61" t="e">
        <f>VLOOKUP(c_1[[#This Row],[hwycov_id]],count!$A$630:$E$652,5,FALSE)</f>
        <v>#N/A</v>
      </c>
    </row>
    <row r="63" spans="1:16" x14ac:dyDescent="0.25">
      <c r="A63" s="129">
        <v>1</v>
      </c>
      <c r="B63" s="80" t="s">
        <v>323</v>
      </c>
      <c r="C63" s="351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2">
        <v>19908</v>
      </c>
      <c r="I63" s="94">
        <f>VLOOKUP(c_1[[#This Row],[hwycov_id]],flow0[],5,FALSE)</f>
        <v>28062</v>
      </c>
      <c r="J63" s="88">
        <f t="shared" si="2"/>
        <v>0.4095840867992766</v>
      </c>
      <c r="K63" s="81">
        <f t="shared" si="3"/>
        <v>66487716</v>
      </c>
      <c r="L63" s="61" t="e">
        <f>VLOOKUP(c_1[[#This Row],[hwycov_id]],count!$A$630:$E$652,5,FALSE)</f>
        <v>#N/A</v>
      </c>
    </row>
    <row r="64" spans="1:16" x14ac:dyDescent="0.25">
      <c r="A64" s="129">
        <v>1</v>
      </c>
      <c r="B64" s="80" t="s">
        <v>323</v>
      </c>
      <c r="C64" s="351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2">
        <v>18579</v>
      </c>
      <c r="I64" s="94">
        <f>VLOOKUP(c_1[[#This Row],[hwycov_id]],flow0[],5,FALSE)</f>
        <v>25538</v>
      </c>
      <c r="J64" s="88">
        <f t="shared" si="2"/>
        <v>0.37456267829269607</v>
      </c>
      <c r="K64" s="81">
        <f t="shared" si="3"/>
        <v>48427681</v>
      </c>
      <c r="L64" s="61" t="e">
        <f>VLOOKUP(c_1[[#This Row],[hwycov_id]],count!$A$630:$E$652,5,FALSE)</f>
        <v>#N/A</v>
      </c>
    </row>
    <row r="65" spans="1:12" x14ac:dyDescent="0.25">
      <c r="A65" s="129">
        <v>1</v>
      </c>
      <c r="B65" s="80" t="s">
        <v>323</v>
      </c>
      <c r="C65" s="351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2">
        <v>20733</v>
      </c>
      <c r="I65" s="94">
        <f>VLOOKUP(c_1[[#This Row],[hwycov_id]],flow0[],5,FALSE)</f>
        <v>26538</v>
      </c>
      <c r="J65" s="88">
        <f t="shared" si="2"/>
        <v>0.27998842425119386</v>
      </c>
      <c r="K65" s="81">
        <f t="shared" si="3"/>
        <v>33698025</v>
      </c>
      <c r="L65" s="61" t="e">
        <f>VLOOKUP(c_1[[#This Row],[hwycov_id]],count!$A$630:$E$652,5,FALSE)</f>
        <v>#N/A</v>
      </c>
    </row>
    <row r="66" spans="1:12" x14ac:dyDescent="0.25">
      <c r="A66" s="129">
        <v>1</v>
      </c>
      <c r="B66" s="80" t="s">
        <v>323</v>
      </c>
      <c r="C66" s="351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2">
        <v>24326</v>
      </c>
      <c r="I66" s="94">
        <f>VLOOKUP(c_1[[#This Row],[hwycov_id]],flow0[],5,FALSE)</f>
        <v>27822</v>
      </c>
      <c r="J66" s="88">
        <f t="shared" ref="J66:J75" si="4">I66/H66-1</f>
        <v>0.14371454410918361</v>
      </c>
      <c r="K66" s="81">
        <f t="shared" ref="K66:K75" si="5">POWER((I66-H66),2)</f>
        <v>12222016</v>
      </c>
      <c r="L66" s="61" t="e">
        <f>VLOOKUP(c_1[[#This Row],[hwycov_id]],count!$A$630:$E$652,5,FALSE)</f>
        <v>#N/A</v>
      </c>
    </row>
    <row r="67" spans="1:12" x14ac:dyDescent="0.25">
      <c r="A67" s="129">
        <v>1</v>
      </c>
      <c r="B67" s="80" t="s">
        <v>323</v>
      </c>
      <c r="C67" s="351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2">
        <v>23200</v>
      </c>
      <c r="I67" s="94">
        <f>VLOOKUP(c_1[[#This Row],[hwycov_id]],flow0[],5,FALSE)</f>
        <v>28981</v>
      </c>
      <c r="J67" s="88">
        <f t="shared" si="4"/>
        <v>0.24918103448275852</v>
      </c>
      <c r="K67" s="81">
        <f t="shared" si="5"/>
        <v>33419961</v>
      </c>
      <c r="L67" s="61" t="e">
        <f>VLOOKUP(c_1[[#This Row],[hwycov_id]],count!$A$630:$E$652,5,FALSE)</f>
        <v>#N/A</v>
      </c>
    </row>
    <row r="68" spans="1:12" x14ac:dyDescent="0.25">
      <c r="A68" s="129">
        <v>1</v>
      </c>
      <c r="B68" s="80" t="s">
        <v>323</v>
      </c>
      <c r="C68" s="351">
        <v>12253</v>
      </c>
      <c r="D68" s="89">
        <v>51.92</v>
      </c>
      <c r="E68" s="89">
        <v>0.62427699999999997</v>
      </c>
      <c r="F68" s="96" t="s">
        <v>106</v>
      </c>
      <c r="G68" s="96" t="s">
        <v>326</v>
      </c>
      <c r="H68" s="352">
        <v>22843</v>
      </c>
      <c r="I68" s="94">
        <f>VLOOKUP(c_1[[#This Row],[hwycov_id]],flow0[],5,FALSE)</f>
        <v>26662</v>
      </c>
      <c r="J68" s="88">
        <f t="shared" si="4"/>
        <v>0.16718469553035931</v>
      </c>
      <c r="K68" s="81">
        <f t="shared" si="5"/>
        <v>14584761</v>
      </c>
      <c r="L68" s="61" t="e">
        <f>VLOOKUP(c_1[[#This Row],[hwycov_id]],count!$A$630:$E$652,5,FALSE)</f>
        <v>#N/A</v>
      </c>
    </row>
    <row r="69" spans="1:12" x14ac:dyDescent="0.25">
      <c r="A69" s="129">
        <v>1</v>
      </c>
      <c r="B69" s="80" t="s">
        <v>323</v>
      </c>
      <c r="C69" s="351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2">
        <v>19400</v>
      </c>
      <c r="I69" s="94">
        <f>VLOOKUP(c_1[[#This Row],[hwycov_id]],flow0[],5,FALSE)</f>
        <v>24581</v>
      </c>
      <c r="J69" s="88">
        <f t="shared" si="4"/>
        <v>0.26706185567010299</v>
      </c>
      <c r="K69" s="81">
        <f t="shared" si="5"/>
        <v>26842761</v>
      </c>
      <c r="L69" s="61" t="e">
        <f>VLOOKUP(c_1[[#This Row],[hwycov_id]],count!$A$630:$E$652,5,FALSE)</f>
        <v>#N/A</v>
      </c>
    </row>
    <row r="70" spans="1:12" x14ac:dyDescent="0.25">
      <c r="A70" s="129">
        <v>1</v>
      </c>
      <c r="B70" s="80" t="s">
        <v>323</v>
      </c>
      <c r="C70" s="351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2">
        <v>15599</v>
      </c>
      <c r="I70" s="94">
        <f>VLOOKUP(c_1[[#This Row],[hwycov_id]],flow0[],5,FALSE)</f>
        <v>20097</v>
      </c>
      <c r="J70" s="88">
        <f t="shared" si="4"/>
        <v>0.28835181742419391</v>
      </c>
      <c r="K70" s="81">
        <f t="shared" si="5"/>
        <v>20232004</v>
      </c>
      <c r="L70" s="61" t="e">
        <f>VLOOKUP(c_1[[#This Row],[hwycov_id]],count!$A$630:$E$652,5,FALSE)</f>
        <v>#N/A</v>
      </c>
    </row>
    <row r="71" spans="1:12" x14ac:dyDescent="0.25">
      <c r="A71" s="129">
        <v>1</v>
      </c>
      <c r="B71" s="80" t="s">
        <v>323</v>
      </c>
      <c r="C71" s="351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2">
        <v>16392</v>
      </c>
      <c r="I71" s="94">
        <f>VLOOKUP(c_1[[#This Row],[hwycov_id]],flow0[],5,FALSE)</f>
        <v>20436</v>
      </c>
      <c r="J71" s="88">
        <f t="shared" si="4"/>
        <v>0.24670571010248898</v>
      </c>
      <c r="K71" s="81">
        <f t="shared" si="5"/>
        <v>16353936</v>
      </c>
      <c r="L71" s="61" t="e">
        <f>VLOOKUP(c_1[[#This Row],[hwycov_id]],count!$A$630:$E$652,5,FALSE)</f>
        <v>#N/A</v>
      </c>
    </row>
    <row r="72" spans="1:12" x14ac:dyDescent="0.25">
      <c r="A72" s="129">
        <v>1</v>
      </c>
      <c r="B72" s="80" t="s">
        <v>323</v>
      </c>
      <c r="C72" s="351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2">
        <v>13227</v>
      </c>
      <c r="I72" s="94">
        <f>VLOOKUP(c_1[[#This Row],[hwycov_id]],flow0[],5,FALSE)</f>
        <v>17297</v>
      </c>
      <c r="J72" s="88">
        <f t="shared" si="4"/>
        <v>0.30770393891282977</v>
      </c>
      <c r="K72" s="81">
        <f t="shared" si="5"/>
        <v>16564900</v>
      </c>
      <c r="L72" s="61" t="e">
        <f>VLOOKUP(c_1[[#This Row],[hwycov_id]],count!$A$630:$E$652,5,FALSE)</f>
        <v>#N/A</v>
      </c>
    </row>
    <row r="73" spans="1:12" x14ac:dyDescent="0.25">
      <c r="A73" s="129">
        <v>1</v>
      </c>
      <c r="B73" s="80" t="s">
        <v>323</v>
      </c>
      <c r="C73" s="351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2">
        <v>11270</v>
      </c>
      <c r="I73" s="94">
        <f>VLOOKUP(c_1[[#This Row],[hwycov_id]],flow0[],5,FALSE)</f>
        <v>14668</v>
      </c>
      <c r="J73" s="88">
        <f t="shared" si="4"/>
        <v>0.30150842945874001</v>
      </c>
      <c r="K73" s="81">
        <f t="shared" si="5"/>
        <v>11546404</v>
      </c>
      <c r="L73" s="61" t="e">
        <f>VLOOKUP(c_1[[#This Row],[hwycov_id]],count!$A$630:$E$652,5,FALSE)</f>
        <v>#N/A</v>
      </c>
    </row>
    <row r="74" spans="1:12" x14ac:dyDescent="0.25">
      <c r="A74" s="129">
        <v>1</v>
      </c>
      <c r="B74" s="80" t="s">
        <v>323</v>
      </c>
      <c r="C74" s="351">
        <v>27597</v>
      </c>
      <c r="D74" s="89">
        <v>61.7</v>
      </c>
      <c r="E74" s="89">
        <v>7.1136410000000003</v>
      </c>
      <c r="F74" s="96" t="s">
        <v>109</v>
      </c>
      <c r="G74" s="96" t="s">
        <v>327</v>
      </c>
      <c r="H74" s="352">
        <v>11613</v>
      </c>
      <c r="I74" s="94">
        <f>VLOOKUP(c_1[[#This Row],[hwycov_id]],flow0[],5,FALSE)</f>
        <v>14825</v>
      </c>
      <c r="J74" s="88">
        <f t="shared" si="4"/>
        <v>0.27658658400068892</v>
      </c>
      <c r="K74" s="81">
        <f t="shared" si="5"/>
        <v>10316944</v>
      </c>
      <c r="L74" s="61" t="e">
        <f>VLOOKUP(c_1[[#This Row],[hwycov_id]],count!$A$630:$E$652,5,FALSE)</f>
        <v>#N/A</v>
      </c>
    </row>
    <row r="75" spans="1:12" hidden="1" x14ac:dyDescent="0.25">
      <c r="A75" s="129">
        <v>1</v>
      </c>
      <c r="B75" s="80" t="s">
        <v>323</v>
      </c>
      <c r="C75" s="412">
        <v>20600</v>
      </c>
      <c r="D75" s="362">
        <v>19.86</v>
      </c>
      <c r="E75" s="362">
        <v>0.41339300000000001</v>
      </c>
      <c r="F75" s="413" t="s">
        <v>5</v>
      </c>
      <c r="G75" s="413" t="s">
        <v>82</v>
      </c>
      <c r="H75" s="94">
        <v>17666</v>
      </c>
      <c r="I75" s="94" t="e">
        <f>VLOOKUP(c_1[[#This Row],[hwycov_id]],flow0[],5,FALSE)</f>
        <v>#VALUE!</v>
      </c>
      <c r="J75" s="88" t="e">
        <f t="shared" si="4"/>
        <v>#VALUE!</v>
      </c>
      <c r="K75" s="81" t="e">
        <f t="shared" si="5"/>
        <v>#VALUE!</v>
      </c>
      <c r="L75" s="61" t="e">
        <f>VLOOKUP(c_1[[#This Row],[hwycov_id]],count!$A$630:$E$652,5,FALSE)</f>
        <v>#VALUE!</v>
      </c>
    </row>
  </sheetData>
  <conditionalFormatting sqref="J2:J74">
    <cfRule type="cellIs" dxfId="631" priority="1" operator="lessThan">
      <formula>-0.2</formula>
    </cfRule>
    <cfRule type="cellIs" dxfId="63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AI60"/>
  <sheetViews>
    <sheetView showGridLines="0" zoomScale="90" zoomScaleNormal="90" workbookViewId="0">
      <pane ySplit="1" topLeftCell="A5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5703125" style="80" bestFit="1" customWidth="1"/>
    <col min="2" max="2" width="13.57031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7" width="21.42578125" style="96" bestFit="1" customWidth="1"/>
    <col min="8" max="8" width="7.85546875" style="89" bestFit="1" customWidth="1"/>
    <col min="9" max="9" width="7.7109375" style="89" bestFit="1" customWidth="1"/>
    <col min="10" max="10" width="8.42578125" style="88" bestFit="1" customWidth="1"/>
    <col min="11" max="12" width="12.28515625" style="81" hidden="1" customWidth="1"/>
    <col min="13" max="13" width="10.7109375" style="7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s="306" t="s">
        <v>253</v>
      </c>
      <c r="B1" s="306" t="s">
        <v>279</v>
      </c>
      <c r="C1" s="307" t="s">
        <v>209</v>
      </c>
      <c r="D1" s="308" t="s">
        <v>278</v>
      </c>
      <c r="E1" s="309" t="s">
        <v>298</v>
      </c>
      <c r="F1" s="310" t="s">
        <v>300</v>
      </c>
      <c r="G1" s="307" t="s">
        <v>301</v>
      </c>
      <c r="H1" s="311" t="s">
        <v>299</v>
      </c>
      <c r="I1" s="311" t="s">
        <v>42</v>
      </c>
      <c r="J1" s="312" t="s">
        <v>206</v>
      </c>
      <c r="K1" s="304" t="s">
        <v>261</v>
      </c>
      <c r="L1" s="304" t="s">
        <v>500</v>
      </c>
      <c r="M1" s="137"/>
      <c r="N1" s="353">
        <f>SQRT(AVERAGE(c_2[x2]))/AVERAGE(c_2[count])</f>
        <v>0.24987158204371715</v>
      </c>
      <c r="O1" s="136">
        <f>LINEST(c_2[flow],c_2[count],FALSE)</f>
        <v>1.2060064680735383</v>
      </c>
      <c r="P1" s="136">
        <f>RSQ(c_2[flow],c_2[count])</f>
        <v>0.87053773668596468</v>
      </c>
      <c r="Q1" s="43">
        <f>IFERROR(AVERAGEIF(c_2[gap],"&gt;=0",c_2[gap]),0)</f>
        <v>0.22729682124744513</v>
      </c>
      <c r="R1" s="44">
        <f>IFERROR(AVERAGEIF(c_2[gap],"&lt;0",c_2[gap]),0)</f>
        <v>-8.6873458244600382E-2</v>
      </c>
      <c r="S1" s="14">
        <f>AVERAGE(c_2[gap])</f>
        <v>0.19820698055373726</v>
      </c>
      <c r="T1" s="42">
        <f>COUNTIFS(c_2[gap],"&lt;10%",c_2[gap],"&gt;=-10%")/COUNTA(c_2[gap])</f>
        <v>0.12962962962962962</v>
      </c>
      <c r="U1" s="42">
        <f>COUNTIFS(c_2[gap],"&lt;20%",c_2[gap],"&gt;=-20%")/COUNTA(c_2[gap])</f>
        <v>0.44444444444444442</v>
      </c>
      <c r="V1" s="42">
        <f>COUNTIFS(c_2[gap],"&lt;30%",c_2[gap],"&gt;=-30%")/COUNTA(c_2[gap])</f>
        <v>0.79629629629629628</v>
      </c>
      <c r="W1" s="43">
        <f>COUNTIF(c_2[gap],"&gt;=0")/COUNTA(c_2[gap])</f>
        <v>0.90740740740740744</v>
      </c>
      <c r="X1" s="45">
        <f>COUNTIF(c_2[gap],"&lt;0")/COUNTA(c_2[gap])</f>
        <v>9.2592592592592587E-2</v>
      </c>
      <c r="Y1" s="90" t="str">
        <f>"%Link(+)="&amp;TEXT(W1,"0%")</f>
        <v>%Link(+)=91%</v>
      </c>
      <c r="Z1" s="48" t="str">
        <f>"%Link(-)="&amp;TEXT(X1,"0%")</f>
        <v>%Link(-)=9%</v>
      </c>
      <c r="AA1" s="32" t="str">
        <f>"AvgGap(+)="&amp;TEXT(Q1,"0%")</f>
        <v>AvgGap(+)=23%</v>
      </c>
      <c r="AB1" t="str">
        <f>"AvgGap(-)="&amp;TEXT(R1,"0%")</f>
        <v>AvgGap(-)=-9%</v>
      </c>
      <c r="AC1" t="str">
        <f>"AvgGap(±)="&amp;TEXT(S1,"0%")</f>
        <v>AvgGap(±)=20%</v>
      </c>
      <c r="AD1" t="str">
        <f>"GapIn(±10%)="&amp;TEXT(T1,"0%")</f>
        <v>GapIn(±10%)=13%</v>
      </c>
      <c r="AE1" t="str">
        <f>"GapIn(±20%)="&amp;TEXT(U1,"0%")</f>
        <v>GapIn(±20%)=44%</v>
      </c>
      <c r="AF1" t="str">
        <f>"GapIn(±30%)="&amp;TEXT(V1,"0%")</f>
        <v>GapIn(±30%)=80%</v>
      </c>
      <c r="AG1" t="str">
        <f>"Linear Slope="&amp;TEXT(O1,"#.###")</f>
        <v>Linear Slope=1.206</v>
      </c>
      <c r="AH1" t="str">
        <f>"RMSE="&amp;TEXT(N1,"0%")</f>
        <v>RMSE=25%</v>
      </c>
      <c r="AI1" s="47" t="str">
        <f>CONCATENATE(Y1," ",Z1," ",AA1,"  ",AB1,"  ",AC1,"  ",AD1,"  ",AE1,"  ",AF1,"  ",AG1," ",AH1)</f>
        <v>%Link(+)=91% %Link(-)=9% AvgGap(+)=23%  AvgGap(-)=-9%  AvgGap(±)=20%  GapIn(±10%)=13%  GapIn(±20%)=44%  GapIn(±30%)=80%  Linear Slope=1.206 RMSE=25%</v>
      </c>
    </row>
    <row r="2" spans="1:35" x14ac:dyDescent="0.25">
      <c r="A2" s="118">
        <v>2</v>
      </c>
      <c r="B2" s="118" t="s">
        <v>367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13149</v>
      </c>
      <c r="I2" s="95">
        <f>VLOOKUP(c_2[[#This Row],[hwycov_id]],flow0[],5,FALSE)</f>
        <v>17197</v>
      </c>
      <c r="J2" s="301">
        <f t="shared" ref="J2:J33" si="0">I2/H2-1</f>
        <v>0.30785611073085395</v>
      </c>
      <c r="K2" s="305">
        <f t="shared" ref="K2:K33" si="1">POWER((I2-H2),2)</f>
        <v>16386304</v>
      </c>
      <c r="L2" s="305" t="e">
        <f>VLOOKUP(c_2[[#This Row],[hwycov_id]],count!$A$630:$E$652,5,FALSE)</f>
        <v>#N/A</v>
      </c>
    </row>
    <row r="3" spans="1:35" x14ac:dyDescent="0.25">
      <c r="A3" s="83">
        <v>2</v>
      </c>
      <c r="B3" s="83" t="s">
        <v>367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14761</v>
      </c>
      <c r="I3" s="87">
        <f>VLOOKUP(c_2[[#This Row],[hwycov_id]],flow0[],5,FALSE)</f>
        <v>18014</v>
      </c>
      <c r="J3" s="301">
        <f t="shared" si="0"/>
        <v>0.22037802316916189</v>
      </c>
      <c r="K3" s="305">
        <f t="shared" si="1"/>
        <v>10582009</v>
      </c>
      <c r="L3" s="305" t="e">
        <f>VLOOKUP(c_2[[#This Row],[hwycov_id]],count!$A$630:$E$652,5,FALSE)</f>
        <v>#N/A</v>
      </c>
    </row>
    <row r="4" spans="1:35" x14ac:dyDescent="0.25">
      <c r="A4" s="83">
        <v>2</v>
      </c>
      <c r="B4" s="83" t="s">
        <v>367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329</v>
      </c>
      <c r="H4" s="87">
        <v>16609</v>
      </c>
      <c r="I4" s="87">
        <f>VLOOKUP(c_2[[#This Row],[hwycov_id]],flow0[],5,FALSE)</f>
        <v>19070</v>
      </c>
      <c r="J4" s="301">
        <f t="shared" si="0"/>
        <v>0.14817267746402552</v>
      </c>
      <c r="K4" s="305">
        <f t="shared" si="1"/>
        <v>6056521</v>
      </c>
      <c r="L4" s="305" t="e">
        <f>VLOOKUP(c_2[[#This Row],[hwycov_id]],count!$A$630:$E$652,5,FALSE)</f>
        <v>#N/A</v>
      </c>
    </row>
    <row r="5" spans="1:35" x14ac:dyDescent="0.25">
      <c r="A5" s="83">
        <v>2</v>
      </c>
      <c r="B5" s="83" t="s">
        <v>367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14365</v>
      </c>
      <c r="I5" s="87">
        <f>VLOOKUP(c_2[[#This Row],[hwycov_id]],flow0[],5,FALSE)</f>
        <v>18238</v>
      </c>
      <c r="J5" s="301">
        <f t="shared" si="0"/>
        <v>0.26961364427427781</v>
      </c>
      <c r="K5" s="305">
        <f t="shared" si="1"/>
        <v>15000129</v>
      </c>
      <c r="L5" s="305" t="e">
        <f>VLOOKUP(c_2[[#This Row],[hwycov_id]],count!$A$630:$E$652,5,FALSE)</f>
        <v>#N/A</v>
      </c>
    </row>
    <row r="6" spans="1:35" x14ac:dyDescent="0.25">
      <c r="A6" s="83">
        <v>2</v>
      </c>
      <c r="B6" s="83" t="s">
        <v>367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368</v>
      </c>
      <c r="H6" s="87">
        <v>20064</v>
      </c>
      <c r="I6" s="87">
        <f>VLOOKUP(c_2[[#This Row],[hwycov_id]],flow0[],5,FALSE)</f>
        <v>23643</v>
      </c>
      <c r="J6" s="301">
        <f t="shared" si="0"/>
        <v>0.17837918660287078</v>
      </c>
      <c r="K6" s="305">
        <f t="shared" si="1"/>
        <v>12809241</v>
      </c>
      <c r="L6" s="305" t="e">
        <f>VLOOKUP(c_2[[#This Row],[hwycov_id]],count!$A$630:$E$652,5,FALSE)</f>
        <v>#N/A</v>
      </c>
    </row>
    <row r="7" spans="1:35" x14ac:dyDescent="0.25">
      <c r="A7" s="83">
        <v>2</v>
      </c>
      <c r="B7" s="83" t="s">
        <v>367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14325</v>
      </c>
      <c r="I7" s="87">
        <f>VLOOKUP(c_2[[#This Row],[hwycov_id]],flow0[],5,FALSE)</f>
        <v>19193</v>
      </c>
      <c r="J7" s="301">
        <f t="shared" si="0"/>
        <v>0.33982547993019208</v>
      </c>
      <c r="K7" s="305">
        <f t="shared" si="1"/>
        <v>23697424</v>
      </c>
      <c r="L7" s="305" t="e">
        <f>VLOOKUP(c_2[[#This Row],[hwycov_id]],count!$A$630:$E$652,5,FALSE)</f>
        <v>#N/A</v>
      </c>
    </row>
    <row r="8" spans="1:35" x14ac:dyDescent="0.25">
      <c r="A8" s="83">
        <v>2</v>
      </c>
      <c r="B8" s="83" t="s">
        <v>367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15383</v>
      </c>
      <c r="I8" s="87">
        <f>VLOOKUP(c_2[[#This Row],[hwycov_id]],flow0[],5,FALSE)</f>
        <v>20849</v>
      </c>
      <c r="J8" s="301">
        <f t="shared" si="0"/>
        <v>0.35532730936748358</v>
      </c>
      <c r="K8" s="305">
        <f t="shared" si="1"/>
        <v>29877156</v>
      </c>
      <c r="L8" s="305" t="e">
        <f>VLOOKUP(c_2[[#This Row],[hwycov_id]],count!$A$630:$E$652,5,FALSE)</f>
        <v>#N/A</v>
      </c>
      <c r="M8"/>
      <c r="N8"/>
    </row>
    <row r="9" spans="1:35" x14ac:dyDescent="0.25">
      <c r="A9" s="83">
        <v>2</v>
      </c>
      <c r="B9" s="83" t="s">
        <v>367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17762</v>
      </c>
      <c r="I9" s="87">
        <f>VLOOKUP(c_2[[#This Row],[hwycov_id]],flow0[],5,FALSE)</f>
        <v>20789</v>
      </c>
      <c r="J9" s="301">
        <f t="shared" si="0"/>
        <v>0.17041999774800143</v>
      </c>
      <c r="K9" s="305">
        <f t="shared" si="1"/>
        <v>9162729</v>
      </c>
      <c r="L9" s="305" t="e">
        <f>VLOOKUP(c_2[[#This Row],[hwycov_id]],count!$A$630:$E$652,5,FALSE)</f>
        <v>#N/A</v>
      </c>
      <c r="M9"/>
      <c r="N9"/>
    </row>
    <row r="10" spans="1:35" x14ac:dyDescent="0.25">
      <c r="A10" s="83">
        <v>2</v>
      </c>
      <c r="B10" s="83" t="s">
        <v>367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16983</v>
      </c>
      <c r="I10" s="87">
        <f>VLOOKUP(c_2[[#This Row],[hwycov_id]],flow0[],5,FALSE)</f>
        <v>16280</v>
      </c>
      <c r="J10" s="301">
        <f t="shared" si="0"/>
        <v>-4.1394335511982572E-2</v>
      </c>
      <c r="K10" s="305">
        <f t="shared" si="1"/>
        <v>494209</v>
      </c>
      <c r="L10" s="305" t="e">
        <f>VLOOKUP(c_2[[#This Row],[hwycov_id]],count!$A$630:$E$652,5,FALSE)</f>
        <v>#N/A</v>
      </c>
      <c r="M10"/>
      <c r="N10"/>
    </row>
    <row r="11" spans="1:35" x14ac:dyDescent="0.25">
      <c r="A11" s="83">
        <v>2</v>
      </c>
      <c r="B11" s="83" t="s">
        <v>367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15967</v>
      </c>
      <c r="I11" s="87">
        <f>VLOOKUP(c_2[[#This Row],[hwycov_id]],flow0[],5,FALSE)</f>
        <v>16280</v>
      </c>
      <c r="J11" s="301">
        <f t="shared" si="0"/>
        <v>1.9602931045280991E-2</v>
      </c>
      <c r="K11" s="305">
        <f t="shared" si="1"/>
        <v>97969</v>
      </c>
      <c r="L11" s="305" t="e">
        <f>VLOOKUP(c_2[[#This Row],[hwycov_id]],count!$A$630:$E$652,5,FALSE)</f>
        <v>#N/A</v>
      </c>
    </row>
    <row r="12" spans="1:35" x14ac:dyDescent="0.25">
      <c r="A12" s="83">
        <v>2</v>
      </c>
      <c r="B12" s="83" t="s">
        <v>367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21966</v>
      </c>
      <c r="I12" s="87">
        <f>VLOOKUP(c_2[[#This Row],[hwycov_id]],flow0[],5,FALSE)</f>
        <v>28192</v>
      </c>
      <c r="J12" s="301">
        <f t="shared" si="0"/>
        <v>0.28343804060821265</v>
      </c>
      <c r="K12" s="305">
        <f t="shared" si="1"/>
        <v>38763076</v>
      </c>
      <c r="L12" s="305" t="e">
        <f>VLOOKUP(c_2[[#This Row],[hwycov_id]],count!$A$630:$E$652,5,FALSE)</f>
        <v>#N/A</v>
      </c>
    </row>
    <row r="13" spans="1:35" x14ac:dyDescent="0.25">
      <c r="A13" s="83">
        <v>2</v>
      </c>
      <c r="B13" s="83" t="s">
        <v>367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17283</v>
      </c>
      <c r="I13" s="87">
        <f>VLOOKUP(c_2[[#This Row],[hwycov_id]],flow0[],5,FALSE)</f>
        <v>22660</v>
      </c>
      <c r="J13" s="301">
        <f t="shared" si="0"/>
        <v>0.31111496846612274</v>
      </c>
      <c r="K13" s="305">
        <f t="shared" si="1"/>
        <v>28912129</v>
      </c>
      <c r="L13" s="305" t="e">
        <f>VLOOKUP(c_2[[#This Row],[hwycov_id]],count!$A$630:$E$652,5,FALSE)</f>
        <v>#N/A</v>
      </c>
    </row>
    <row r="14" spans="1:35" x14ac:dyDescent="0.25">
      <c r="A14" s="83">
        <v>2</v>
      </c>
      <c r="B14" s="83" t="s">
        <v>367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19197</v>
      </c>
      <c r="I14" s="87">
        <f>VLOOKUP(c_2[[#This Row],[hwycov_id]],flow0[],5,FALSE)</f>
        <v>24406</v>
      </c>
      <c r="J14" s="301">
        <f t="shared" si="0"/>
        <v>0.27134448090847529</v>
      </c>
      <c r="K14" s="305">
        <f t="shared" si="1"/>
        <v>27133681</v>
      </c>
      <c r="L14" s="305" t="e">
        <f>VLOOKUP(c_2[[#This Row],[hwycov_id]],count!$A$630:$E$652,5,FALSE)</f>
        <v>#N/A</v>
      </c>
    </row>
    <row r="15" spans="1:35" x14ac:dyDescent="0.25">
      <c r="A15" s="83">
        <v>2</v>
      </c>
      <c r="B15" s="83" t="s">
        <v>367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16666</v>
      </c>
      <c r="I15" s="87">
        <f>VLOOKUP(c_2[[#This Row],[hwycov_id]],flow0[],5,FALSE)</f>
        <v>20584</v>
      </c>
      <c r="J15" s="301">
        <f t="shared" si="0"/>
        <v>0.23508940357614305</v>
      </c>
      <c r="K15" s="305">
        <f t="shared" si="1"/>
        <v>15350724</v>
      </c>
      <c r="L15" s="305" t="e">
        <f>VLOOKUP(c_2[[#This Row],[hwycov_id]],count!$A$630:$E$652,5,FALSE)</f>
        <v>#N/A</v>
      </c>
    </row>
    <row r="16" spans="1:35" x14ac:dyDescent="0.25">
      <c r="A16" s="83">
        <v>2</v>
      </c>
      <c r="B16" s="83" t="s">
        <v>367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19169</v>
      </c>
      <c r="I16" s="87">
        <f>VLOOKUP(c_2[[#This Row],[hwycov_id]],flow0[],5,FALSE)</f>
        <v>23161</v>
      </c>
      <c r="J16" s="301">
        <f t="shared" si="0"/>
        <v>0.20825290834159316</v>
      </c>
      <c r="K16" s="305">
        <f t="shared" si="1"/>
        <v>15936064</v>
      </c>
      <c r="L16" s="305" t="e">
        <f>VLOOKUP(c_2[[#This Row],[hwycov_id]],count!$A$630:$E$652,5,FALSE)</f>
        <v>#N/A</v>
      </c>
    </row>
    <row r="17" spans="1:12" x14ac:dyDescent="0.25">
      <c r="A17" s="83">
        <v>2</v>
      </c>
      <c r="B17" s="83" t="s">
        <v>367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17861</v>
      </c>
      <c r="I17" s="87">
        <f>VLOOKUP(c_2[[#This Row],[hwycov_id]],flow0[],5,FALSE)</f>
        <v>21419</v>
      </c>
      <c r="J17" s="301">
        <f t="shared" si="0"/>
        <v>0.19920497172610707</v>
      </c>
      <c r="K17" s="305">
        <f t="shared" si="1"/>
        <v>12659364</v>
      </c>
      <c r="L17" s="305" t="e">
        <f>VLOOKUP(c_2[[#This Row],[hwycov_id]],count!$A$630:$E$652,5,FALSE)</f>
        <v>#N/A</v>
      </c>
    </row>
    <row r="18" spans="1:12" x14ac:dyDescent="0.25">
      <c r="A18" s="83">
        <v>2</v>
      </c>
      <c r="B18" s="83" t="s">
        <v>367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18518</v>
      </c>
      <c r="I18" s="87">
        <f>VLOOKUP(c_2[[#This Row],[hwycov_id]],flow0[],5,FALSE)</f>
        <v>30520</v>
      </c>
      <c r="J18" s="301">
        <f t="shared" si="0"/>
        <v>0.64812614753213094</v>
      </c>
      <c r="K18" s="305">
        <f t="shared" si="1"/>
        <v>144048004</v>
      </c>
      <c r="L18" s="305" t="e">
        <f>VLOOKUP(c_2[[#This Row],[hwycov_id]],count!$A$630:$E$652,5,FALSE)</f>
        <v>#N/A</v>
      </c>
    </row>
    <row r="19" spans="1:12" x14ac:dyDescent="0.25">
      <c r="A19" s="83">
        <v>2</v>
      </c>
      <c r="B19" s="83" t="s">
        <v>367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36316</v>
      </c>
      <c r="I19" s="87">
        <f>VLOOKUP(c_2[[#This Row],[hwycov_id]],flow0[],5,FALSE)</f>
        <v>44796</v>
      </c>
      <c r="J19" s="301">
        <f t="shared" si="0"/>
        <v>0.23350589271946243</v>
      </c>
      <c r="K19" s="305">
        <f t="shared" si="1"/>
        <v>71910400</v>
      </c>
      <c r="L19" s="305" t="e">
        <f>VLOOKUP(c_2[[#This Row],[hwycov_id]],count!$A$630:$E$652,5,FALSE)</f>
        <v>#N/A</v>
      </c>
    </row>
    <row r="20" spans="1:12" x14ac:dyDescent="0.25">
      <c r="A20" s="83">
        <v>2</v>
      </c>
      <c r="B20" s="83" t="s">
        <v>367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33516</v>
      </c>
      <c r="I20" s="87">
        <f>VLOOKUP(c_2[[#This Row],[hwycov_id]],flow0[],5,FALSE)</f>
        <v>44064</v>
      </c>
      <c r="J20" s="301">
        <f t="shared" si="0"/>
        <v>0.31471535982814181</v>
      </c>
      <c r="K20" s="305">
        <f t="shared" si="1"/>
        <v>111260304</v>
      </c>
      <c r="L20" s="305" t="e">
        <f>VLOOKUP(c_2[[#This Row],[hwycov_id]],count!$A$630:$E$652,5,FALSE)</f>
        <v>#N/A</v>
      </c>
    </row>
    <row r="21" spans="1:12" x14ac:dyDescent="0.25">
      <c r="A21" s="83">
        <v>2</v>
      </c>
      <c r="B21" s="83" t="s">
        <v>367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31178</v>
      </c>
      <c r="I21" s="87">
        <f>VLOOKUP(c_2[[#This Row],[hwycov_id]],flow0[],5,FALSE)</f>
        <v>44634</v>
      </c>
      <c r="J21" s="301">
        <f t="shared" si="0"/>
        <v>0.43158637500801844</v>
      </c>
      <c r="K21" s="305">
        <f t="shared" si="1"/>
        <v>181063936</v>
      </c>
      <c r="L21" s="305" t="e">
        <f>VLOOKUP(c_2[[#This Row],[hwycov_id]],count!$A$630:$E$652,5,FALSE)</f>
        <v>#N/A</v>
      </c>
    </row>
    <row r="22" spans="1:12" x14ac:dyDescent="0.25">
      <c r="A22" s="83">
        <v>2</v>
      </c>
      <c r="B22" s="83" t="s">
        <v>367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32417</v>
      </c>
      <c r="I22" s="87">
        <f>VLOOKUP(c_2[[#This Row],[hwycov_id]],flow0[],5,FALSE)</f>
        <v>39690</v>
      </c>
      <c r="J22" s="301">
        <f t="shared" si="0"/>
        <v>0.22435759015331458</v>
      </c>
      <c r="K22" s="305">
        <f t="shared" si="1"/>
        <v>52896529</v>
      </c>
      <c r="L22" s="305" t="e">
        <f>VLOOKUP(c_2[[#This Row],[hwycov_id]],count!$A$630:$E$652,5,FALSE)</f>
        <v>#N/A</v>
      </c>
    </row>
    <row r="23" spans="1:12" x14ac:dyDescent="0.25">
      <c r="A23" s="83">
        <v>2</v>
      </c>
      <c r="B23" s="83" t="s">
        <v>367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32620</v>
      </c>
      <c r="I23" s="87">
        <f>VLOOKUP(c_2[[#This Row],[hwycov_id]],flow0[],5,FALSE)</f>
        <v>39756</v>
      </c>
      <c r="J23" s="301">
        <f t="shared" si="0"/>
        <v>0.21876149601471484</v>
      </c>
      <c r="K23" s="305">
        <f t="shared" si="1"/>
        <v>50922496</v>
      </c>
      <c r="L23" s="305" t="e">
        <f>VLOOKUP(c_2[[#This Row],[hwycov_id]],count!$A$630:$E$652,5,FALSE)</f>
        <v>#N/A</v>
      </c>
    </row>
    <row r="24" spans="1:12" x14ac:dyDescent="0.25">
      <c r="A24" s="83">
        <v>2</v>
      </c>
      <c r="B24" s="83" t="s">
        <v>367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35728</v>
      </c>
      <c r="I24" s="87">
        <f>VLOOKUP(c_2[[#This Row],[hwycov_id]],flow0[],5,FALSE)</f>
        <v>41262</v>
      </c>
      <c r="J24" s="301">
        <f t="shared" si="0"/>
        <v>0.15489252127183151</v>
      </c>
      <c r="K24" s="305">
        <f t="shared" si="1"/>
        <v>30625156</v>
      </c>
      <c r="L24" s="305" t="e">
        <f>VLOOKUP(c_2[[#This Row],[hwycov_id]],count!$A$630:$E$652,5,FALSE)</f>
        <v>#N/A</v>
      </c>
    </row>
    <row r="25" spans="1:12" x14ac:dyDescent="0.25">
      <c r="A25" s="83">
        <v>2</v>
      </c>
      <c r="B25" s="83" t="s">
        <v>367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29575</v>
      </c>
      <c r="I25" s="87">
        <f>VLOOKUP(c_2[[#This Row],[hwycov_id]],flow0[],5,FALSE)</f>
        <v>37626</v>
      </c>
      <c r="J25" s="301">
        <f t="shared" si="0"/>
        <v>0.27222316145393077</v>
      </c>
      <c r="K25" s="305">
        <f t="shared" si="1"/>
        <v>64818601</v>
      </c>
      <c r="L25" s="305" t="e">
        <f>VLOOKUP(c_2[[#This Row],[hwycov_id]],count!$A$630:$E$652,5,FALSE)</f>
        <v>#N/A</v>
      </c>
    </row>
    <row r="26" spans="1:12" x14ac:dyDescent="0.25">
      <c r="A26" s="83">
        <v>2</v>
      </c>
      <c r="B26" s="83" t="s">
        <v>367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29029</v>
      </c>
      <c r="I26" s="87">
        <f>VLOOKUP(c_2[[#This Row],[hwycov_id]],flow0[],5,FALSE)</f>
        <v>42146</v>
      </c>
      <c r="J26" s="301">
        <f t="shared" si="0"/>
        <v>0.45185848634124492</v>
      </c>
      <c r="K26" s="305">
        <f t="shared" si="1"/>
        <v>172055689</v>
      </c>
      <c r="L26" s="305" t="e">
        <f>VLOOKUP(c_2[[#This Row],[hwycov_id]],count!$A$630:$E$652,5,FALSE)</f>
        <v>#N/A</v>
      </c>
    </row>
    <row r="27" spans="1:12" x14ac:dyDescent="0.25">
      <c r="A27" s="83">
        <v>2</v>
      </c>
      <c r="B27" s="83" t="s">
        <v>367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31038</v>
      </c>
      <c r="I27" s="87">
        <f>VLOOKUP(c_2[[#This Row],[hwycov_id]],flow0[],5,FALSE)</f>
        <v>38670</v>
      </c>
      <c r="J27" s="301">
        <f t="shared" si="0"/>
        <v>0.24589213222501449</v>
      </c>
      <c r="K27" s="305">
        <f t="shared" si="1"/>
        <v>58247424</v>
      </c>
      <c r="L27" s="305" t="e">
        <f>VLOOKUP(c_2[[#This Row],[hwycov_id]],count!$A$630:$E$652,5,FALSE)</f>
        <v>#N/A</v>
      </c>
    </row>
    <row r="28" spans="1:12" x14ac:dyDescent="0.25">
      <c r="A28" s="83">
        <v>2</v>
      </c>
      <c r="B28" s="83" t="s">
        <v>367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27727</v>
      </c>
      <c r="I28" s="87">
        <f>VLOOKUP(c_2[[#This Row],[hwycov_id]],flow0[],5,FALSE)</f>
        <v>32312</v>
      </c>
      <c r="J28" s="301">
        <f t="shared" si="0"/>
        <v>0.16536228225195648</v>
      </c>
      <c r="K28" s="305">
        <f t="shared" si="1"/>
        <v>21022225</v>
      </c>
      <c r="L28" s="305" t="e">
        <f>VLOOKUP(c_2[[#This Row],[hwycov_id]],count!$A$630:$E$652,5,FALSE)</f>
        <v>#N/A</v>
      </c>
    </row>
    <row r="29" spans="1:12" x14ac:dyDescent="0.25">
      <c r="A29" s="83">
        <v>2</v>
      </c>
      <c r="B29" s="83" t="s">
        <v>367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28826</v>
      </c>
      <c r="I29" s="87">
        <f>VLOOKUP(c_2[[#This Row],[hwycov_id]],flow0[],5,FALSE)</f>
        <v>33170</v>
      </c>
      <c r="J29" s="301">
        <f t="shared" si="0"/>
        <v>0.15069728717130371</v>
      </c>
      <c r="K29" s="305">
        <f t="shared" si="1"/>
        <v>18870336</v>
      </c>
      <c r="L29" s="305" t="e">
        <f>VLOOKUP(c_2[[#This Row],[hwycov_id]],count!$A$630:$E$652,5,FALSE)</f>
        <v>#N/A</v>
      </c>
    </row>
    <row r="30" spans="1:12" x14ac:dyDescent="0.25">
      <c r="A30" s="83">
        <v>2</v>
      </c>
      <c r="B30" s="83" t="s">
        <v>367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25725</v>
      </c>
      <c r="I30" s="87">
        <f>VLOOKUP(c_2[[#This Row],[hwycov_id]],flow0[],5,FALSE)</f>
        <v>30445</v>
      </c>
      <c r="J30" s="301">
        <f t="shared" si="0"/>
        <v>0.18347910592808558</v>
      </c>
      <c r="K30" s="305">
        <f t="shared" si="1"/>
        <v>22278400</v>
      </c>
      <c r="L30" s="305" t="e">
        <f>VLOOKUP(c_2[[#This Row],[hwycov_id]],count!$A$630:$E$652,5,FALSE)</f>
        <v>#N/A</v>
      </c>
    </row>
    <row r="31" spans="1:12" x14ac:dyDescent="0.25">
      <c r="A31" s="83">
        <v>2</v>
      </c>
      <c r="B31" s="83" t="s">
        <v>367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26747</v>
      </c>
      <c r="I31" s="87">
        <f>VLOOKUP(c_2[[#This Row],[hwycov_id]],flow0[],5,FALSE)</f>
        <v>33065</v>
      </c>
      <c r="J31" s="301">
        <f t="shared" si="0"/>
        <v>0.23621340711107797</v>
      </c>
      <c r="K31" s="305">
        <f t="shared" si="1"/>
        <v>39917124</v>
      </c>
      <c r="L31" s="305" t="e">
        <f>VLOOKUP(c_2[[#This Row],[hwycov_id]],count!$A$630:$E$652,5,FALSE)</f>
        <v>#N/A</v>
      </c>
    </row>
    <row r="32" spans="1:12" x14ac:dyDescent="0.25">
      <c r="A32" s="83">
        <v>2</v>
      </c>
      <c r="B32" s="83" t="s">
        <v>367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27888</v>
      </c>
      <c r="I32" s="87">
        <f>VLOOKUP(c_2[[#This Row],[hwycov_id]],flow0[],5,FALSE)</f>
        <v>34900</v>
      </c>
      <c r="J32" s="301">
        <f t="shared" si="0"/>
        <v>0.25143430866322425</v>
      </c>
      <c r="K32" s="305">
        <f t="shared" si="1"/>
        <v>49168144</v>
      </c>
      <c r="L32" s="305" t="e">
        <f>VLOOKUP(c_2[[#This Row],[hwycov_id]],count!$A$630:$E$652,5,FALSE)</f>
        <v>#N/A</v>
      </c>
    </row>
    <row r="33" spans="1:12" x14ac:dyDescent="0.25">
      <c r="A33" s="83">
        <v>2</v>
      </c>
      <c r="B33" s="83" t="s">
        <v>367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24668</v>
      </c>
      <c r="I33" s="87">
        <f>VLOOKUP(c_2[[#This Row],[hwycov_id]],flow0[],5,FALSE)</f>
        <v>31357</v>
      </c>
      <c r="J33" s="301">
        <f t="shared" si="0"/>
        <v>0.27116101832333395</v>
      </c>
      <c r="K33" s="305">
        <f t="shared" si="1"/>
        <v>44742721</v>
      </c>
      <c r="L33" s="305" t="e">
        <f>VLOOKUP(c_2[[#This Row],[hwycov_id]],count!$A$630:$E$652,5,FALSE)</f>
        <v>#N/A</v>
      </c>
    </row>
    <row r="34" spans="1:12" x14ac:dyDescent="0.25">
      <c r="A34" s="83">
        <v>2</v>
      </c>
      <c r="B34" s="83" t="s">
        <v>367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25193</v>
      </c>
      <c r="I34" s="87">
        <f>VLOOKUP(c_2[[#This Row],[hwycov_id]],flow0[],5,FALSE)</f>
        <v>31297</v>
      </c>
      <c r="J34" s="301">
        <f t="shared" ref="J34:J60" si="2">I34/H34-1</f>
        <v>0.2422895248680188</v>
      </c>
      <c r="K34" s="305">
        <f t="shared" ref="K34:K60" si="3">POWER((I34-H34),2)</f>
        <v>37258816</v>
      </c>
      <c r="L34" s="305" t="e">
        <f>VLOOKUP(c_2[[#This Row],[hwycov_id]],count!$A$630:$E$652,5,FALSE)</f>
        <v>#N/A</v>
      </c>
    </row>
    <row r="35" spans="1:12" x14ac:dyDescent="0.25">
      <c r="A35" s="83">
        <v>2</v>
      </c>
      <c r="B35" s="83" t="s">
        <v>367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27258</v>
      </c>
      <c r="I35" s="87">
        <f>VLOOKUP(c_2[[#This Row],[hwycov_id]],flow0[],5,FALSE)</f>
        <v>32834</v>
      </c>
      <c r="J35" s="301">
        <f t="shared" si="2"/>
        <v>0.2045637977841368</v>
      </c>
      <c r="K35" s="305">
        <f t="shared" si="3"/>
        <v>31091776</v>
      </c>
      <c r="L35" s="305" t="e">
        <f>VLOOKUP(c_2[[#This Row],[hwycov_id]],count!$A$630:$E$652,5,FALSE)</f>
        <v>#N/A</v>
      </c>
    </row>
    <row r="36" spans="1:12" x14ac:dyDescent="0.25">
      <c r="A36" s="83">
        <v>2</v>
      </c>
      <c r="B36" s="83" t="s">
        <v>367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26992</v>
      </c>
      <c r="I36" s="87">
        <f>VLOOKUP(c_2[[#This Row],[hwycov_id]],flow0[],5,FALSE)</f>
        <v>30083</v>
      </c>
      <c r="J36" s="301">
        <f t="shared" si="2"/>
        <v>0.11451541197391824</v>
      </c>
      <c r="K36" s="305">
        <f t="shared" si="3"/>
        <v>9554281</v>
      </c>
      <c r="L36" s="305" t="e">
        <f>VLOOKUP(c_2[[#This Row],[hwycov_id]],count!$A$630:$E$652,5,FALSE)</f>
        <v>#N/A</v>
      </c>
    </row>
    <row r="37" spans="1:12" x14ac:dyDescent="0.25">
      <c r="A37" s="83">
        <v>2</v>
      </c>
      <c r="B37" s="83" t="s">
        <v>367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26360</v>
      </c>
      <c r="I37" s="87">
        <f>VLOOKUP(c_2[[#This Row],[hwycov_id]],flow0[],5,FALSE)</f>
        <v>32351</v>
      </c>
      <c r="J37" s="301">
        <f t="shared" si="2"/>
        <v>0.22727617602427919</v>
      </c>
      <c r="K37" s="305">
        <f t="shared" si="3"/>
        <v>35892081</v>
      </c>
      <c r="L37" s="305" t="e">
        <f>VLOOKUP(c_2[[#This Row],[hwycov_id]],count!$A$630:$E$652,5,FALSE)</f>
        <v>#N/A</v>
      </c>
    </row>
    <row r="38" spans="1:12" x14ac:dyDescent="0.25">
      <c r="A38" s="83">
        <v>2</v>
      </c>
      <c r="B38" s="83" t="s">
        <v>367</v>
      </c>
      <c r="C38" s="84">
        <v>31206</v>
      </c>
      <c r="D38" s="85">
        <v>25.09</v>
      </c>
      <c r="E38" s="86">
        <v>1.196132</v>
      </c>
      <c r="F38" s="84" t="s">
        <v>6</v>
      </c>
      <c r="G38" s="84" t="s">
        <v>7</v>
      </c>
      <c r="H38" s="87">
        <v>29001</v>
      </c>
      <c r="I38" s="87">
        <f>VLOOKUP(c_2[[#This Row],[hwycov_id]],flow0[],5,FALSE)</f>
        <v>33907</v>
      </c>
      <c r="J38" s="301">
        <f t="shared" si="2"/>
        <v>0.16916658046274269</v>
      </c>
      <c r="K38" s="305">
        <f t="shared" si="3"/>
        <v>24068836</v>
      </c>
      <c r="L38" s="305" t="e">
        <f>VLOOKUP(c_2[[#This Row],[hwycov_id]],count!$A$630:$E$652,5,FALSE)</f>
        <v>#N/A</v>
      </c>
    </row>
    <row r="39" spans="1:12" x14ac:dyDescent="0.25">
      <c r="A39" s="83">
        <v>2</v>
      </c>
      <c r="B39" s="83" t="s">
        <v>367</v>
      </c>
      <c r="C39" s="84">
        <v>554</v>
      </c>
      <c r="D39" s="85">
        <v>25.39</v>
      </c>
      <c r="E39" s="86">
        <v>0.30307899999999999</v>
      </c>
      <c r="F39" s="84" t="s">
        <v>6</v>
      </c>
      <c r="G39" s="84" t="s">
        <v>7</v>
      </c>
      <c r="H39" s="87">
        <v>28833</v>
      </c>
      <c r="I39" s="87">
        <f>VLOOKUP(c_2[[#This Row],[hwycov_id]],flow0[],5,FALSE)</f>
        <v>35038</v>
      </c>
      <c r="J39" s="301">
        <f t="shared" si="2"/>
        <v>0.21520480005549203</v>
      </c>
      <c r="K39" s="305">
        <f t="shared" si="3"/>
        <v>38502025</v>
      </c>
      <c r="L39" s="305" t="e">
        <f>VLOOKUP(c_2[[#This Row],[hwycov_id]],count!$A$630:$E$652,5,FALSE)</f>
        <v>#N/A</v>
      </c>
    </row>
    <row r="40" spans="1:12" x14ac:dyDescent="0.25">
      <c r="A40" s="83">
        <v>2</v>
      </c>
      <c r="B40" s="83" t="s">
        <v>367</v>
      </c>
      <c r="C40" s="84">
        <v>8809</v>
      </c>
      <c r="D40" s="85">
        <v>25.93</v>
      </c>
      <c r="E40" s="86">
        <v>0.54373099999999996</v>
      </c>
      <c r="F40" s="84" t="s">
        <v>7</v>
      </c>
      <c r="G40" s="84" t="s">
        <v>7</v>
      </c>
      <c r="H40" s="87">
        <v>28357</v>
      </c>
      <c r="I40" s="87">
        <f>VLOOKUP(c_2[[#This Row],[hwycov_id]],flow0[],5,FALSE)</f>
        <v>33814</v>
      </c>
      <c r="J40" s="301">
        <f t="shared" si="2"/>
        <v>0.19243925662094008</v>
      </c>
      <c r="K40" s="305">
        <f t="shared" si="3"/>
        <v>29778849</v>
      </c>
      <c r="L40" s="305" t="e">
        <f>VLOOKUP(c_2[[#This Row],[hwycov_id]],count!$A$630:$E$652,5,FALSE)</f>
        <v>#N/A</v>
      </c>
    </row>
    <row r="41" spans="1:12" x14ac:dyDescent="0.25">
      <c r="A41" s="83">
        <v>2</v>
      </c>
      <c r="B41" s="83" t="s">
        <v>367</v>
      </c>
      <c r="C41" s="84">
        <v>8807</v>
      </c>
      <c r="D41" s="85">
        <v>26.36</v>
      </c>
      <c r="E41" s="86">
        <v>0.42237599999999997</v>
      </c>
      <c r="F41" s="84" t="s">
        <v>7</v>
      </c>
      <c r="G41" s="84" t="s">
        <v>13</v>
      </c>
      <c r="H41" s="87">
        <v>31976</v>
      </c>
      <c r="I41" s="87">
        <f>VLOOKUP(c_2[[#This Row],[hwycov_id]],flow0[],5,FALSE)</f>
        <v>36424</v>
      </c>
      <c r="J41" s="301">
        <f t="shared" si="2"/>
        <v>0.13910432824618457</v>
      </c>
      <c r="K41" s="305">
        <f t="shared" si="3"/>
        <v>19784704</v>
      </c>
      <c r="L41" s="305" t="e">
        <f>VLOOKUP(c_2[[#This Row],[hwycov_id]],count!$A$630:$E$652,5,FALSE)</f>
        <v>#N/A</v>
      </c>
    </row>
    <row r="42" spans="1:12" x14ac:dyDescent="0.25">
      <c r="A42" s="83">
        <v>2</v>
      </c>
      <c r="B42" s="83" t="s">
        <v>367</v>
      </c>
      <c r="C42" s="84">
        <v>721</v>
      </c>
      <c r="D42" s="85">
        <v>26.86</v>
      </c>
      <c r="E42" s="86">
        <v>0.23632600000000001</v>
      </c>
      <c r="F42" s="84" t="s">
        <v>13</v>
      </c>
      <c r="G42" s="84" t="s">
        <v>13</v>
      </c>
      <c r="H42" s="87">
        <v>26607</v>
      </c>
      <c r="I42" s="87">
        <f>VLOOKUP(c_2[[#This Row],[hwycov_id]],flow0[],5,FALSE)</f>
        <v>32233</v>
      </c>
      <c r="J42" s="301">
        <f t="shared" si="2"/>
        <v>0.21144811515766526</v>
      </c>
      <c r="K42" s="305">
        <f t="shared" si="3"/>
        <v>31651876</v>
      </c>
      <c r="L42" s="305" t="e">
        <f>VLOOKUP(c_2[[#This Row],[hwycov_id]],count!$A$630:$E$652,5,FALSE)</f>
        <v>#N/A</v>
      </c>
    </row>
    <row r="43" spans="1:12" x14ac:dyDescent="0.25">
      <c r="A43" s="83">
        <v>2</v>
      </c>
      <c r="B43" s="83" t="s">
        <v>367</v>
      </c>
      <c r="C43" s="84">
        <v>12749</v>
      </c>
      <c r="D43" s="85">
        <v>27.18</v>
      </c>
      <c r="E43" s="86">
        <v>0.17111299999999999</v>
      </c>
      <c r="F43" s="84" t="s">
        <v>28</v>
      </c>
      <c r="G43" s="84" t="s">
        <v>3</v>
      </c>
      <c r="H43" s="87">
        <v>20202</v>
      </c>
      <c r="I43" s="87">
        <f>VLOOKUP(c_2[[#This Row],[hwycov_id]],flow0[],5,FALSE)</f>
        <v>27283</v>
      </c>
      <c r="J43" s="301">
        <f t="shared" si="2"/>
        <v>0.35050985050985051</v>
      </c>
      <c r="K43" s="305">
        <f t="shared" si="3"/>
        <v>50140561</v>
      </c>
      <c r="L43" s="305" t="e">
        <f>VLOOKUP(c_2[[#This Row],[hwycov_id]],count!$A$630:$E$652,5,FALSE)</f>
        <v>#N/A</v>
      </c>
    </row>
    <row r="44" spans="1:12" x14ac:dyDescent="0.25">
      <c r="A44" s="83">
        <v>2</v>
      </c>
      <c r="B44" s="83" t="s">
        <v>367</v>
      </c>
      <c r="C44" s="84">
        <v>12955</v>
      </c>
      <c r="D44" s="85">
        <v>28.17</v>
      </c>
      <c r="E44" s="86">
        <v>0.99765400000000004</v>
      </c>
      <c r="F44" s="84" t="s">
        <v>28</v>
      </c>
      <c r="G44" s="84" t="s">
        <v>3</v>
      </c>
      <c r="H44" s="87">
        <v>26024</v>
      </c>
      <c r="I44" s="87">
        <f>VLOOKUP(c_2[[#This Row],[hwycov_id]],flow0[],5,FALSE)</f>
        <v>27283</v>
      </c>
      <c r="J44" s="301">
        <f t="shared" si="2"/>
        <v>4.8378419920073856E-2</v>
      </c>
      <c r="K44" s="305">
        <f t="shared" si="3"/>
        <v>1585081</v>
      </c>
      <c r="L44" s="305" t="e">
        <f>VLOOKUP(c_2[[#This Row],[hwycov_id]],count!$A$630:$E$652,5,FALSE)</f>
        <v>#N/A</v>
      </c>
    </row>
    <row r="45" spans="1:12" x14ac:dyDescent="0.25">
      <c r="A45" s="83">
        <v>2</v>
      </c>
      <c r="B45" s="83" t="s">
        <v>367</v>
      </c>
      <c r="C45" s="84">
        <v>12957</v>
      </c>
      <c r="D45" s="85">
        <v>28.81</v>
      </c>
      <c r="E45" s="86">
        <v>0.33827499999999999</v>
      </c>
      <c r="F45" s="84" t="s">
        <v>3</v>
      </c>
      <c r="G45" s="84" t="s">
        <v>3</v>
      </c>
      <c r="H45" s="87">
        <v>26201</v>
      </c>
      <c r="I45" s="87">
        <f>VLOOKUP(c_2[[#This Row],[hwycov_id]],flow0[],5,FALSE)</f>
        <v>30509</v>
      </c>
      <c r="J45" s="301">
        <f t="shared" si="2"/>
        <v>0.16442120529750781</v>
      </c>
      <c r="K45" s="305">
        <f t="shared" si="3"/>
        <v>18558864</v>
      </c>
      <c r="L45" s="305" t="e">
        <f>VLOOKUP(c_2[[#This Row],[hwycov_id]],count!$A$630:$E$652,5,FALSE)</f>
        <v>#N/A</v>
      </c>
    </row>
    <row r="46" spans="1:12" x14ac:dyDescent="0.25">
      <c r="A46" s="83">
        <v>2</v>
      </c>
      <c r="B46" s="83" t="s">
        <v>367</v>
      </c>
      <c r="C46" s="84">
        <v>12929</v>
      </c>
      <c r="D46" s="85">
        <v>30.22</v>
      </c>
      <c r="E46" s="86">
        <v>0.14044699999999999</v>
      </c>
      <c r="F46" s="84" t="s">
        <v>8</v>
      </c>
      <c r="G46" s="84" t="s">
        <v>29</v>
      </c>
      <c r="H46" s="87">
        <v>21239</v>
      </c>
      <c r="I46" s="87">
        <f>VLOOKUP(c_2[[#This Row],[hwycov_id]],flow0[],5,FALSE)</f>
        <v>29865</v>
      </c>
      <c r="J46" s="301">
        <f t="shared" si="2"/>
        <v>0.40613964875935782</v>
      </c>
      <c r="K46" s="305">
        <f t="shared" si="3"/>
        <v>74407876</v>
      </c>
      <c r="L46" s="305" t="e">
        <f>VLOOKUP(c_2[[#This Row],[hwycov_id]],count!$A$630:$E$652,5,FALSE)</f>
        <v>#N/A</v>
      </c>
    </row>
    <row r="47" spans="1:12" x14ac:dyDescent="0.25">
      <c r="A47" s="83">
        <v>2</v>
      </c>
      <c r="B47" s="83" t="s">
        <v>367</v>
      </c>
      <c r="C47" s="84">
        <v>28588</v>
      </c>
      <c r="D47" s="85">
        <v>30.64</v>
      </c>
      <c r="E47" s="86">
        <v>0.41934300000000002</v>
      </c>
      <c r="F47" s="84" t="s">
        <v>29</v>
      </c>
      <c r="G47" s="84" t="s">
        <v>29</v>
      </c>
      <c r="H47" s="87">
        <v>25315</v>
      </c>
      <c r="I47" s="87">
        <f>VLOOKUP(c_2[[#This Row],[hwycov_id]],flow0[],5,FALSE)</f>
        <v>28062</v>
      </c>
      <c r="J47" s="301">
        <f t="shared" si="2"/>
        <v>0.10851273948252027</v>
      </c>
      <c r="K47" s="305">
        <f t="shared" si="3"/>
        <v>7546009</v>
      </c>
      <c r="L47" s="305" t="e">
        <f>VLOOKUP(c_2[[#This Row],[hwycov_id]],count!$A$630:$E$652,5,FALSE)</f>
        <v>#N/A</v>
      </c>
    </row>
    <row r="48" spans="1:12" x14ac:dyDescent="0.25">
      <c r="A48" s="83">
        <v>2</v>
      </c>
      <c r="B48" s="83" t="s">
        <v>367</v>
      </c>
      <c r="C48" s="84">
        <v>558</v>
      </c>
      <c r="D48" s="85">
        <v>31.44</v>
      </c>
      <c r="E48" s="86">
        <v>0.39086100000000001</v>
      </c>
      <c r="F48" s="84" t="s">
        <v>9</v>
      </c>
      <c r="G48" s="84" t="s">
        <v>10</v>
      </c>
      <c r="H48" s="87">
        <v>18814</v>
      </c>
      <c r="I48" s="87">
        <f>VLOOKUP(c_2[[#This Row],[hwycov_id]],flow0[],5,FALSE)</f>
        <v>18391</v>
      </c>
      <c r="J48" s="301">
        <f t="shared" si="2"/>
        <v>-2.2483257148931624E-2</v>
      </c>
      <c r="K48" s="305">
        <f t="shared" si="3"/>
        <v>178929</v>
      </c>
      <c r="L48" s="305" t="e">
        <f>VLOOKUP(c_2[[#This Row],[hwycov_id]],count!$A$630:$E$652,5,FALSE)</f>
        <v>#N/A</v>
      </c>
    </row>
    <row r="49" spans="1:16" x14ac:dyDescent="0.25">
      <c r="A49" s="83">
        <v>2</v>
      </c>
      <c r="B49" s="83" t="s">
        <v>367</v>
      </c>
      <c r="C49" s="84">
        <v>27181</v>
      </c>
      <c r="D49" s="85">
        <v>36.04</v>
      </c>
      <c r="E49" s="86">
        <v>1.229724</v>
      </c>
      <c r="F49" s="84" t="s">
        <v>28</v>
      </c>
      <c r="G49" s="84" t="s">
        <v>32</v>
      </c>
      <c r="H49" s="87">
        <v>20135</v>
      </c>
      <c r="I49" s="87">
        <f>VLOOKUP(c_2[[#This Row],[hwycov_id]],flow0[],5,FALSE)</f>
        <v>20624</v>
      </c>
      <c r="J49" s="301">
        <f t="shared" si="2"/>
        <v>2.4286069034020308E-2</v>
      </c>
      <c r="K49" s="305">
        <f t="shared" si="3"/>
        <v>239121</v>
      </c>
      <c r="L49" s="305" t="e">
        <f>VLOOKUP(c_2[[#This Row],[hwycov_id]],count!$A$630:$E$652,5,FALSE)</f>
        <v>#N/A</v>
      </c>
    </row>
    <row r="50" spans="1:16" x14ac:dyDescent="0.25">
      <c r="A50" s="83">
        <v>2</v>
      </c>
      <c r="B50" s="83" t="s">
        <v>367</v>
      </c>
      <c r="C50" s="84">
        <v>27166</v>
      </c>
      <c r="D50" s="85">
        <v>36.729999999999997</v>
      </c>
      <c r="E50" s="86">
        <v>0.69089500000000004</v>
      </c>
      <c r="F50" s="84" t="s">
        <v>32</v>
      </c>
      <c r="G50" s="84" t="s">
        <v>32</v>
      </c>
      <c r="H50" s="87">
        <v>14592</v>
      </c>
      <c r="I50" s="87">
        <f>VLOOKUP(c_2[[#This Row],[hwycov_id]],flow0[],5,FALSE)</f>
        <v>19443</v>
      </c>
      <c r="J50" s="301">
        <f t="shared" si="2"/>
        <v>0.33244243421052633</v>
      </c>
      <c r="K50" s="305">
        <f t="shared" si="3"/>
        <v>23532201</v>
      </c>
      <c r="L50" s="305" t="e">
        <f>VLOOKUP(c_2[[#This Row],[hwycov_id]],count!$A$630:$E$652,5,FALSE)</f>
        <v>#N/A</v>
      </c>
    </row>
    <row r="51" spans="1:16" x14ac:dyDescent="0.25">
      <c r="A51" s="83">
        <v>2</v>
      </c>
      <c r="B51" s="83" t="s">
        <v>367</v>
      </c>
      <c r="C51" s="84">
        <v>27352</v>
      </c>
      <c r="D51" s="85">
        <v>40.19</v>
      </c>
      <c r="E51" s="86">
        <v>3.4551099999999999</v>
      </c>
      <c r="F51" s="84" t="s">
        <v>32</v>
      </c>
      <c r="G51" s="84" t="s">
        <v>369</v>
      </c>
      <c r="H51" s="87">
        <v>20665</v>
      </c>
      <c r="I51" s="87">
        <f>VLOOKUP(c_2[[#This Row],[hwycov_id]],flow0[],5,FALSE)</f>
        <v>20758</v>
      </c>
      <c r="J51" s="301">
        <f t="shared" si="2"/>
        <v>4.5003629324944505E-3</v>
      </c>
      <c r="K51" s="305">
        <f t="shared" si="3"/>
        <v>8649</v>
      </c>
      <c r="L51" s="305" t="e">
        <f>VLOOKUP(c_2[[#This Row],[hwycov_id]],count!$A$630:$E$652,5,FALSE)</f>
        <v>#N/A</v>
      </c>
    </row>
    <row r="52" spans="1:16" x14ac:dyDescent="0.25">
      <c r="A52" s="83">
        <v>2</v>
      </c>
      <c r="B52" s="83" t="s">
        <v>367</v>
      </c>
      <c r="C52" s="84">
        <v>26667</v>
      </c>
      <c r="D52" s="85">
        <v>46.29</v>
      </c>
      <c r="E52" s="86">
        <v>0.44320900000000002</v>
      </c>
      <c r="F52" s="84" t="s">
        <v>370</v>
      </c>
      <c r="G52" s="84" t="s">
        <v>370</v>
      </c>
      <c r="H52" s="87">
        <v>19555</v>
      </c>
      <c r="I52" s="87">
        <f>VLOOKUP(c_2[[#This Row],[hwycov_id]],flow0[],5,FALSE)</f>
        <v>17045</v>
      </c>
      <c r="J52" s="301">
        <f t="shared" si="2"/>
        <v>-0.12835591920225009</v>
      </c>
      <c r="K52" s="305">
        <f t="shared" si="3"/>
        <v>6300100</v>
      </c>
      <c r="L52" s="305" t="e">
        <f>VLOOKUP(c_2[[#This Row],[hwycov_id]],count!$A$630:$E$652,5,FALSE)</f>
        <v>#N/A</v>
      </c>
    </row>
    <row r="53" spans="1:16" x14ac:dyDescent="0.25">
      <c r="A53" s="83">
        <v>2</v>
      </c>
      <c r="B53" s="83" t="s">
        <v>367</v>
      </c>
      <c r="C53" s="84">
        <v>27193</v>
      </c>
      <c r="D53" s="85">
        <v>48.53</v>
      </c>
      <c r="E53" s="86">
        <v>1.872716</v>
      </c>
      <c r="F53" s="84" t="s">
        <v>370</v>
      </c>
      <c r="G53" s="84" t="s">
        <v>371</v>
      </c>
      <c r="H53" s="87">
        <v>18193</v>
      </c>
      <c r="I53" s="87">
        <f>VLOOKUP(c_2[[#This Row],[hwycov_id]],flow0[],5,FALSE)</f>
        <v>18376</v>
      </c>
      <c r="J53" s="301">
        <f t="shared" si="2"/>
        <v>1.0058813829494806E-2</v>
      </c>
      <c r="K53" s="305">
        <f t="shared" si="3"/>
        <v>33489</v>
      </c>
      <c r="L53" s="305" t="e">
        <f>VLOOKUP(c_2[[#This Row],[hwycov_id]],count!$A$630:$E$652,5,FALSE)</f>
        <v>#N/A</v>
      </c>
    </row>
    <row r="54" spans="1:16" x14ac:dyDescent="0.25">
      <c r="A54" s="83">
        <v>2</v>
      </c>
      <c r="B54" s="83" t="s">
        <v>367</v>
      </c>
      <c r="C54" s="84">
        <v>27195</v>
      </c>
      <c r="D54" s="85">
        <v>53.44</v>
      </c>
      <c r="E54" s="86">
        <v>2.7243810000000002</v>
      </c>
      <c r="F54" s="84" t="s">
        <v>41</v>
      </c>
      <c r="G54" s="84" t="s">
        <v>372</v>
      </c>
      <c r="H54" s="87">
        <v>19986</v>
      </c>
      <c r="I54" s="87">
        <f>VLOOKUP(c_2[[#This Row],[hwycov_id]],flow0[],5,FALSE)</f>
        <v>17526</v>
      </c>
      <c r="J54" s="301">
        <f t="shared" si="2"/>
        <v>-0.12308616031221853</v>
      </c>
      <c r="K54" s="305">
        <f t="shared" si="3"/>
        <v>6051600</v>
      </c>
      <c r="L54" s="305" t="e">
        <f>VLOOKUP(c_2[[#This Row],[hwycov_id]],count!$A$630:$E$652,5,FALSE)</f>
        <v>#N/A</v>
      </c>
    </row>
    <row r="55" spans="1:16" x14ac:dyDescent="0.25">
      <c r="A55" s="83">
        <v>2</v>
      </c>
      <c r="B55" s="83" t="s">
        <v>367</v>
      </c>
      <c r="C55" s="84">
        <v>12767</v>
      </c>
      <c r="D55" s="85">
        <v>54.17</v>
      </c>
      <c r="E55" s="86">
        <v>9.7387000000000001E-2</v>
      </c>
      <c r="F55" s="84" t="s">
        <v>372</v>
      </c>
      <c r="G55" s="84" t="s">
        <v>373</v>
      </c>
      <c r="H55" s="87">
        <v>19908</v>
      </c>
      <c r="I55" s="87">
        <f>VLOOKUP(c_2[[#This Row],[hwycov_id]],flow0[],5,FALSE)</f>
        <v>17538</v>
      </c>
      <c r="J55" s="301">
        <f t="shared" si="2"/>
        <v>-0.11904761904761907</v>
      </c>
      <c r="K55" s="305">
        <f t="shared" si="3"/>
        <v>5616900</v>
      </c>
      <c r="L55" s="305" t="e">
        <f>VLOOKUP(c_2[[#This Row],[hwycov_id]],count!$A$630:$E$652,5,FALSE)</f>
        <v>#N/A</v>
      </c>
    </row>
    <row r="56" spans="1:16" s="405" customFormat="1" hidden="1" x14ac:dyDescent="0.25">
      <c r="A56" s="406">
        <v>2</v>
      </c>
      <c r="B56" s="406" t="s">
        <v>367</v>
      </c>
      <c r="C56" s="414">
        <v>15187</v>
      </c>
      <c r="D56" s="415">
        <v>11.88</v>
      </c>
      <c r="E56" s="416">
        <v>0.71371399999999996</v>
      </c>
      <c r="F56" s="414" t="s">
        <v>35</v>
      </c>
      <c r="G56" s="414" t="s">
        <v>11</v>
      </c>
      <c r="H56" s="417">
        <v>28973</v>
      </c>
      <c r="I56" s="417" t="e">
        <f>VLOOKUP(c_2[[#This Row],[hwycov_id]],flow0[],5,FALSE)</f>
        <v>#VALUE!</v>
      </c>
      <c r="J56" s="418" t="e">
        <f t="shared" si="2"/>
        <v>#VALUE!</v>
      </c>
      <c r="K56" s="415" t="e">
        <f t="shared" si="3"/>
        <v>#VALUE!</v>
      </c>
      <c r="L56" s="415" t="e">
        <f>VLOOKUP(c_2[[#This Row],[hwycov_id]],count!$A$630:$E$652,5,FALSE)</f>
        <v>#VALUE!</v>
      </c>
      <c r="M56" s="419"/>
      <c r="N56" s="419"/>
      <c r="O56" s="420"/>
      <c r="P56" s="420"/>
    </row>
    <row r="57" spans="1:16" s="405" customFormat="1" hidden="1" x14ac:dyDescent="0.25">
      <c r="A57" s="406">
        <v>2</v>
      </c>
      <c r="B57" s="406" t="s">
        <v>367</v>
      </c>
      <c r="C57" s="414">
        <v>16167</v>
      </c>
      <c r="D57" s="415">
        <v>12.79</v>
      </c>
      <c r="E57" s="416">
        <v>0.32053199999999998</v>
      </c>
      <c r="F57" s="414" t="s">
        <v>11</v>
      </c>
      <c r="G57" s="414" t="s">
        <v>12</v>
      </c>
      <c r="H57" s="417">
        <v>25921</v>
      </c>
      <c r="I57" s="417" t="e">
        <f>VLOOKUP(c_2[[#This Row],[hwycov_id]],flow0[],5,FALSE)</f>
        <v>#VALUE!</v>
      </c>
      <c r="J57" s="418" t="e">
        <f t="shared" si="2"/>
        <v>#VALUE!</v>
      </c>
      <c r="K57" s="415" t="e">
        <f t="shared" si="3"/>
        <v>#VALUE!</v>
      </c>
      <c r="L57" s="415" t="e">
        <f>VLOOKUP(c_2[[#This Row],[hwycov_id]],count!$A$630:$E$652,5,FALSE)</f>
        <v>#VALUE!</v>
      </c>
      <c r="M57" s="419"/>
      <c r="N57" s="419"/>
      <c r="O57" s="420"/>
      <c r="P57" s="420"/>
    </row>
    <row r="58" spans="1:16" s="405" customFormat="1" hidden="1" x14ac:dyDescent="0.25">
      <c r="A58" s="406">
        <v>2</v>
      </c>
      <c r="B58" s="406" t="s">
        <v>367</v>
      </c>
      <c r="C58" s="414">
        <v>14647</v>
      </c>
      <c r="D58" s="415">
        <v>20.11</v>
      </c>
      <c r="E58" s="416">
        <v>0.52996200000000004</v>
      </c>
      <c r="F58" s="414" t="s">
        <v>1</v>
      </c>
      <c r="G58" s="414" t="s">
        <v>31</v>
      </c>
      <c r="H58" s="417">
        <v>37856</v>
      </c>
      <c r="I58" s="417" t="e">
        <f>VLOOKUP(c_2[[#This Row],[hwycov_id]],flow0[],5,FALSE)</f>
        <v>#VALUE!</v>
      </c>
      <c r="J58" s="418" t="e">
        <f t="shared" si="2"/>
        <v>#VALUE!</v>
      </c>
      <c r="K58" s="415" t="e">
        <f t="shared" si="3"/>
        <v>#VALUE!</v>
      </c>
      <c r="L58" s="415" t="e">
        <f>VLOOKUP(c_2[[#This Row],[hwycov_id]],count!$A$630:$E$652,5,FALSE)</f>
        <v>#VALUE!</v>
      </c>
      <c r="M58" s="419"/>
      <c r="N58" s="419"/>
      <c r="O58" s="420"/>
      <c r="P58" s="420"/>
    </row>
    <row r="59" spans="1:16" s="405" customFormat="1" hidden="1" x14ac:dyDescent="0.25">
      <c r="A59" s="406">
        <v>2</v>
      </c>
      <c r="B59" s="406" t="s">
        <v>367</v>
      </c>
      <c r="C59" s="414">
        <v>31192</v>
      </c>
      <c r="D59" s="415">
        <v>31.04</v>
      </c>
      <c r="E59" s="416">
        <v>0.22740199999999999</v>
      </c>
      <c r="F59" s="414" t="s">
        <v>9</v>
      </c>
      <c r="G59" s="414" t="s">
        <v>10</v>
      </c>
      <c r="H59" s="417">
        <v>19089</v>
      </c>
      <c r="I59" s="417" t="e">
        <f>VLOOKUP(c_2[[#This Row],[hwycov_id]],flow0[],5,FALSE)</f>
        <v>#VALUE!</v>
      </c>
      <c r="J59" s="418" t="e">
        <f t="shared" si="2"/>
        <v>#VALUE!</v>
      </c>
      <c r="K59" s="415" t="e">
        <f t="shared" si="3"/>
        <v>#VALUE!</v>
      </c>
      <c r="L59" s="415" t="e">
        <f>VLOOKUP(c_2[[#This Row],[hwycov_id]],count!$A$630:$E$652,5,FALSE)</f>
        <v>#VALUE!</v>
      </c>
      <c r="M59" s="419"/>
      <c r="N59" s="419"/>
      <c r="O59" s="420"/>
      <c r="P59" s="420"/>
    </row>
    <row r="60" spans="1:16" s="405" customFormat="1" hidden="1" x14ac:dyDescent="0.25">
      <c r="A60" s="406">
        <v>2</v>
      </c>
      <c r="B60" s="406" t="s">
        <v>367</v>
      </c>
      <c r="C60" s="414">
        <v>27165</v>
      </c>
      <c r="D60" s="415">
        <v>32.97</v>
      </c>
      <c r="E60" s="416">
        <v>0.70303199999999999</v>
      </c>
      <c r="F60" s="414" t="s">
        <v>40</v>
      </c>
      <c r="G60" s="414" t="s">
        <v>40</v>
      </c>
      <c r="H60" s="417">
        <v>22453</v>
      </c>
      <c r="I60" s="417" t="e">
        <f>VLOOKUP(c_2[[#This Row],[hwycov_id]],flow0[],5,FALSE)</f>
        <v>#VALUE!</v>
      </c>
      <c r="J60" s="418" t="e">
        <f t="shared" si="2"/>
        <v>#VALUE!</v>
      </c>
      <c r="K60" s="415" t="e">
        <f t="shared" si="3"/>
        <v>#VALUE!</v>
      </c>
      <c r="L60" s="415" t="e">
        <f>VLOOKUP(c_2[[#This Row],[hwycov_id]],count!$A$630:$E$652,5,FALSE)</f>
        <v>#VALUE!</v>
      </c>
      <c r="M60" s="419"/>
      <c r="N60" s="419"/>
      <c r="O60" s="420"/>
      <c r="P60" s="420"/>
    </row>
  </sheetData>
  <conditionalFormatting sqref="M2:N1048576 J2:J78">
    <cfRule type="cellIs" dxfId="616" priority="7" operator="lessThan">
      <formula>-0.2</formula>
    </cfRule>
    <cfRule type="cellIs" dxfId="615" priority="8" operator="greaterThan">
      <formula>0.2</formula>
    </cfRule>
  </conditionalFormatting>
  <conditionalFormatting sqref="M1:N1">
    <cfRule type="cellIs" dxfId="614" priority="1" operator="lessThan">
      <formula>-0.2</formula>
    </cfRule>
    <cfRule type="cellIs" dxfId="613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39997558519241921"/>
  </sheetPr>
  <dimension ref="A1:AI54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customHeight="1" x14ac:dyDescent="0.2"/>
  <cols>
    <col min="1" max="1" width="9.140625" style="59"/>
    <col min="2" max="2" width="10.42578125" style="59" bestFit="1" customWidth="1"/>
    <col min="3" max="3" width="11.5703125" style="59" customWidth="1"/>
    <col min="4" max="4" width="10.140625" style="74" bestFit="1" customWidth="1"/>
    <col min="5" max="5" width="8.42578125" style="69" hidden="1" customWidth="1"/>
    <col min="6" max="6" width="22.140625" style="59" bestFit="1" customWidth="1"/>
    <col min="7" max="7" width="19.42578125" style="59" bestFit="1" customWidth="1"/>
    <col min="8" max="9" width="9.28515625" style="61" bestFit="1" customWidth="1"/>
    <col min="10" max="10" width="6" style="60" customWidth="1"/>
    <col min="11" max="11" width="12.28515625" style="81" hidden="1" customWidth="1"/>
    <col min="12" max="12" width="12.28515625" style="427" hidden="1" customWidth="1"/>
    <col min="13" max="13" width="10.7109375" style="81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426" t="s">
        <v>500</v>
      </c>
      <c r="N1" s="122">
        <f>SQRT(AVERAGE(c_3[x2]))/AVERAGE(c_3[count])</f>
        <v>0.2294652375383458</v>
      </c>
      <c r="O1" s="136">
        <f>LINEST(c_3[flow],c_3[count],FALSE)</f>
        <v>1.1378318641609599</v>
      </c>
      <c r="P1" s="136">
        <f>RSQ(c_3[flow],c_3[count])</f>
        <v>0.64703866737570892</v>
      </c>
      <c r="Q1" s="43">
        <f>IFERROR(AVERAGEIF(c_3[gap],"&gt;=0",c_3[gap]),0)</f>
        <v>0.23416433376947432</v>
      </c>
      <c r="R1" s="44">
        <f>IFERROR(AVERAGEIF(c_3[gap],"&lt;0",c_3[gap]),0)</f>
        <v>-2.7805945745709076E-2</v>
      </c>
      <c r="S1" s="14">
        <f>AVERAGE(c_3[gap])</f>
        <v>0.19535392198944715</v>
      </c>
      <c r="T1" s="42">
        <f>COUNTIFS(c_3[gap],"&lt;10%",c_3[gap],"&gt;=-10%")/COUNTA(c_3[gap])</f>
        <v>0.48148148148148145</v>
      </c>
      <c r="U1" s="42">
        <f>COUNTIFS(c_3[gap],"&lt;20%",c_3[gap],"&gt;=-20%")/COUNTA(c_3[gap])</f>
        <v>0.59259259259259256</v>
      </c>
      <c r="V1" s="42">
        <f>COUNTIFS(c_3[gap],"&lt;30%",c_3[gap],"&gt;=-30%")/COUNTA(c_3[gap])</f>
        <v>0.7407407407407407</v>
      </c>
      <c r="W1" s="43">
        <f>COUNTIF(c_3[gap],"&gt;=0")/COUNTA(c_3[gap])</f>
        <v>0.85185185185185186</v>
      </c>
      <c r="X1" s="45">
        <f>COUNTIF(c_3[gap],"&lt;0")/COUNTA(c_3[gap])</f>
        <v>0.14814814814814814</v>
      </c>
      <c r="Y1" s="60" t="str">
        <f>"%Link(+)="&amp;TEXT(W1,"0%")</f>
        <v>%Link(+)=85%</v>
      </c>
      <c r="Z1" s="60" t="str">
        <f>"%Link(-)="&amp;TEXT(X1,"0%")</f>
        <v>%Link(-)=15%</v>
      </c>
      <c r="AA1" s="73" t="str">
        <f>"AvgGap(+)="&amp;TEXT(Q1,"0%")</f>
        <v>AvgGap(+)=23%</v>
      </c>
      <c r="AB1" s="59" t="str">
        <f>"AvgGap(-)="&amp;TEXT(R1,"0%")</f>
        <v>AvgGap(-)=-3%</v>
      </c>
      <c r="AC1" s="59" t="str">
        <f>"AvgGap(±)="&amp;TEXT(S1,"0%")</f>
        <v>AvgGap(±)=20%</v>
      </c>
      <c r="AD1" s="59" t="str">
        <f>"GapIn(±10%)="&amp;TEXT(T1,"0%")</f>
        <v>GapIn(±10%)=48%</v>
      </c>
      <c r="AE1" s="59" t="str">
        <f>"GapIn(±20%)="&amp;TEXT(U1,"0%")</f>
        <v>GapIn(±20%)=59%</v>
      </c>
      <c r="AF1" s="59" t="str">
        <f>"GapIn(±30%)="&amp;TEXT(V1,"0%")</f>
        <v>GapIn(±30%)=74%</v>
      </c>
      <c r="AG1" s="59" t="str">
        <f>"Linear Slope="&amp;TEXT(O1,"#.###")</f>
        <v>Linear Slope=1.138</v>
      </c>
      <c r="AH1" s="59" t="str">
        <f>"RMSE="&amp;TEXT(N1,"0%")</f>
        <v>RMSE=23%</v>
      </c>
      <c r="AI1" s="77" t="str">
        <f>CONCATENATE(Y1," ",Z1," ",AA1,"  ",AB1,"  ",AC1,"  ",AD1,"  ",AE1,"  ",AF1,"  ",AG1," ",AH1)</f>
        <v>%Link(+)=85% %Link(-)=15% AvgGap(+)=23%  AvgGap(-)=-3%  AvgGap(±)=20%  GapIn(±10%)=48%  GapIn(±20%)=59%  GapIn(±30%)=74%  Linear Slope=1.138 RMSE=23%</v>
      </c>
    </row>
    <row r="2" spans="1:35" ht="15" customHeight="1" x14ac:dyDescent="0.2">
      <c r="A2" s="59">
        <v>3</v>
      </c>
      <c r="B2" s="65" t="s">
        <v>396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5905</v>
      </c>
      <c r="I2" s="68">
        <f>VLOOKUP(c_3[hwycov_id],flow0[],5,FALSE)</f>
        <v>7736</v>
      </c>
      <c r="J2" s="60">
        <f t="shared" ref="J2:J30" si="0">I2/H2-1</f>
        <v>0.31007620660457236</v>
      </c>
      <c r="K2" s="81">
        <f t="shared" ref="K2:K30" si="1">POWER((I2-H2),2)</f>
        <v>3352561</v>
      </c>
      <c r="L2" s="427" t="e">
        <f>VLOOKUP(c_3[[#This Row],[hwycov_id]],count!$A$630:$E$652,5,FALSE)</f>
        <v>#N/A</v>
      </c>
    </row>
    <row r="3" spans="1:35" ht="15" customHeight="1" x14ac:dyDescent="0.2">
      <c r="A3" s="59">
        <v>3</v>
      </c>
      <c r="B3" s="65" t="s">
        <v>396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12365</v>
      </c>
      <c r="I3" s="68">
        <f>VLOOKUP(c_3[hwycov_id],flow0[],5,FALSE)</f>
        <v>13696</v>
      </c>
      <c r="J3" s="60">
        <f t="shared" si="0"/>
        <v>0.10764253942579871</v>
      </c>
      <c r="K3" s="81">
        <f t="shared" si="1"/>
        <v>1771561</v>
      </c>
      <c r="L3" s="427" t="e">
        <f>VLOOKUP(c_3[[#This Row],[hwycov_id]],count!$A$630:$E$652,5,FALSE)</f>
        <v>#N/A</v>
      </c>
    </row>
    <row r="4" spans="1:35" ht="15" customHeight="1" x14ac:dyDescent="0.2">
      <c r="A4" s="59">
        <v>3</v>
      </c>
      <c r="B4" s="65" t="s">
        <v>396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15795</v>
      </c>
      <c r="I4" s="68">
        <f>VLOOKUP(c_3[hwycov_id],flow0[],5,FALSE)</f>
        <v>15857</v>
      </c>
      <c r="J4" s="60">
        <f t="shared" si="0"/>
        <v>3.9252928141817467E-3</v>
      </c>
      <c r="K4" s="81">
        <f t="shared" si="1"/>
        <v>3844</v>
      </c>
      <c r="L4" s="427" t="e">
        <f>VLOOKUP(c_3[[#This Row],[hwycov_id]],count!$A$630:$E$652,5,FALSE)</f>
        <v>#N/A</v>
      </c>
    </row>
    <row r="5" spans="1:35" ht="15" customHeight="1" x14ac:dyDescent="0.2">
      <c r="A5" s="59">
        <v>3</v>
      </c>
      <c r="B5" s="65" t="s">
        <v>396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18139</v>
      </c>
      <c r="I5" s="68">
        <f>VLOOKUP(c_3[hwycov_id],flow0[],5,FALSE)</f>
        <v>17614</v>
      </c>
      <c r="J5" s="60">
        <f t="shared" si="0"/>
        <v>-2.8943161144495244E-2</v>
      </c>
      <c r="K5" s="81">
        <f t="shared" si="1"/>
        <v>275625</v>
      </c>
      <c r="L5" s="427" t="e">
        <f>VLOOKUP(c_3[[#This Row],[hwycov_id]],count!$A$630:$E$652,5,FALSE)</f>
        <v>#N/A</v>
      </c>
    </row>
    <row r="6" spans="1:35" ht="15" customHeight="1" x14ac:dyDescent="0.2">
      <c r="A6" s="59">
        <v>3</v>
      </c>
      <c r="B6" s="65" t="s">
        <v>396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13368</v>
      </c>
      <c r="I6" s="68">
        <f>VLOOKUP(c_3[hwycov_id],flow0[],5,FALSE)</f>
        <v>17032</v>
      </c>
      <c r="J6" s="60">
        <f t="shared" si="0"/>
        <v>0.27408737283064033</v>
      </c>
      <c r="K6" s="81">
        <f t="shared" si="1"/>
        <v>13424896</v>
      </c>
      <c r="L6" s="427" t="e">
        <f>VLOOKUP(c_3[[#This Row],[hwycov_id]],count!$A$630:$E$652,5,FALSE)</f>
        <v>#N/A</v>
      </c>
    </row>
    <row r="7" spans="1:35" ht="15" customHeight="1" x14ac:dyDescent="0.2">
      <c r="A7" s="59">
        <v>3</v>
      </c>
      <c r="B7" s="65" t="s">
        <v>396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21290</v>
      </c>
      <c r="I7" s="68">
        <f>VLOOKUP(c_3[hwycov_id],flow0[],5,FALSE)</f>
        <v>21241</v>
      </c>
      <c r="J7" s="60">
        <f t="shared" si="0"/>
        <v>-2.3015500234851993E-3</v>
      </c>
      <c r="K7" s="81">
        <f t="shared" si="1"/>
        <v>2401</v>
      </c>
      <c r="L7" s="427" t="e">
        <f>VLOOKUP(c_3[[#This Row],[hwycov_id]],count!$A$630:$E$652,5,FALSE)</f>
        <v>#N/A</v>
      </c>
    </row>
    <row r="8" spans="1:35" ht="15" customHeight="1" x14ac:dyDescent="0.2">
      <c r="A8" s="59">
        <v>3</v>
      </c>
      <c r="B8" s="65" t="s">
        <v>396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24359</v>
      </c>
      <c r="I8" s="68">
        <f>VLOOKUP(c_3[hwycov_id],flow0[],5,FALSE)</f>
        <v>22891</v>
      </c>
      <c r="J8" s="60">
        <f t="shared" si="0"/>
        <v>-6.0265199720842433E-2</v>
      </c>
      <c r="K8" s="81">
        <f t="shared" si="1"/>
        <v>2155024</v>
      </c>
      <c r="L8" s="427" t="e">
        <f>VLOOKUP(c_3[[#This Row],[hwycov_id]],count!$A$630:$E$652,5,FALSE)</f>
        <v>#N/A</v>
      </c>
    </row>
    <row r="9" spans="1:35" ht="15" customHeight="1" x14ac:dyDescent="0.2">
      <c r="A9" s="59">
        <v>3</v>
      </c>
      <c r="B9" s="65" t="s">
        <v>396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21655</v>
      </c>
      <c r="I9" s="68">
        <f>VLOOKUP(c_3[hwycov_id],flow0[],5,FALSE)</f>
        <v>23314</v>
      </c>
      <c r="J9" s="60">
        <f t="shared" si="0"/>
        <v>7.6610482567536442E-2</v>
      </c>
      <c r="K9" s="81">
        <f t="shared" si="1"/>
        <v>2752281</v>
      </c>
      <c r="L9" s="427" t="e">
        <f>VLOOKUP(c_3[[#This Row],[hwycov_id]],count!$A$630:$E$652,5,FALSE)</f>
        <v>#N/A</v>
      </c>
    </row>
    <row r="10" spans="1:35" ht="15" customHeight="1" x14ac:dyDescent="0.2">
      <c r="A10" s="59">
        <v>3</v>
      </c>
      <c r="B10" s="65" t="s">
        <v>396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17466</v>
      </c>
      <c r="I10" s="68">
        <f>VLOOKUP(c_3[hwycov_id],flow0[],5,FALSE)</f>
        <v>20660</v>
      </c>
      <c r="J10" s="60">
        <f t="shared" si="0"/>
        <v>0.18286957517462499</v>
      </c>
      <c r="K10" s="81">
        <f t="shared" si="1"/>
        <v>10201636</v>
      </c>
      <c r="L10" s="427" t="e">
        <f>VLOOKUP(c_3[[#This Row],[hwycov_id]],count!$A$630:$E$652,5,FALSE)</f>
        <v>#N/A</v>
      </c>
    </row>
    <row r="11" spans="1:35" ht="15" customHeight="1" x14ac:dyDescent="0.2">
      <c r="A11" s="59">
        <v>3</v>
      </c>
      <c r="B11" s="65" t="s">
        <v>396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23486</v>
      </c>
      <c r="I11" s="68">
        <f>VLOOKUP(c_3[hwycov_id],flow0[],5,FALSE)</f>
        <v>23023</v>
      </c>
      <c r="J11" s="60">
        <f t="shared" si="0"/>
        <v>-1.9713872094013429E-2</v>
      </c>
      <c r="K11" s="81">
        <f t="shared" si="1"/>
        <v>214369</v>
      </c>
      <c r="L11" s="427" t="e">
        <f>VLOOKUP(c_3[[#This Row],[hwycov_id]],count!$A$630:$E$652,5,FALSE)</f>
        <v>#N/A</v>
      </c>
    </row>
    <row r="12" spans="1:35" ht="15" customHeight="1" x14ac:dyDescent="0.2">
      <c r="A12" s="59">
        <v>3</v>
      </c>
      <c r="B12" s="65" t="s">
        <v>396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18293</v>
      </c>
      <c r="I12" s="68">
        <f>VLOOKUP(c_3[hwycov_id],flow0[],5,FALSE)</f>
        <v>22825</v>
      </c>
      <c r="J12" s="60">
        <f t="shared" si="0"/>
        <v>0.24774503908598922</v>
      </c>
      <c r="K12" s="81">
        <f t="shared" si="1"/>
        <v>20539024</v>
      </c>
      <c r="L12" s="427" t="e">
        <f>VLOOKUP(c_3[[#This Row],[hwycov_id]],count!$A$630:$E$652,5,FALSE)</f>
        <v>#N/A</v>
      </c>
    </row>
    <row r="13" spans="1:35" ht="15" customHeight="1" x14ac:dyDescent="0.2">
      <c r="A13" s="59">
        <v>3</v>
      </c>
      <c r="B13" s="65" t="s">
        <v>396</v>
      </c>
      <c r="C13" s="65">
        <v>728</v>
      </c>
      <c r="D13" s="74">
        <v>12.78</v>
      </c>
      <c r="E13" s="70">
        <v>0.203821</v>
      </c>
      <c r="F13" s="65" t="s">
        <v>329</v>
      </c>
      <c r="G13" s="65" t="s">
        <v>17</v>
      </c>
      <c r="H13" s="68">
        <v>22257</v>
      </c>
      <c r="I13" s="68">
        <f>VLOOKUP(c_3[hwycov_id],flow0[],5,FALSE)</f>
        <v>23517</v>
      </c>
      <c r="J13" s="60">
        <f t="shared" si="0"/>
        <v>5.6611403154063877E-2</v>
      </c>
      <c r="K13" s="81">
        <f t="shared" si="1"/>
        <v>1587600</v>
      </c>
      <c r="L13" s="427" t="e">
        <f>VLOOKUP(c_3[[#This Row],[hwycov_id]],count!$A$630:$E$652,5,FALSE)</f>
        <v>#N/A</v>
      </c>
    </row>
    <row r="14" spans="1:35" ht="15" customHeight="1" x14ac:dyDescent="0.2">
      <c r="A14" s="59">
        <v>3</v>
      </c>
      <c r="B14" s="65" t="s">
        <v>396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22742</v>
      </c>
      <c r="I14" s="68">
        <f>VLOOKUP(c_3[hwycov_id],flow0[],5,FALSE)</f>
        <v>24522</v>
      </c>
      <c r="J14" s="60">
        <f t="shared" si="0"/>
        <v>7.8269281505584321E-2</v>
      </c>
      <c r="K14" s="81">
        <f t="shared" si="1"/>
        <v>3168400</v>
      </c>
      <c r="L14" s="427" t="e">
        <f>VLOOKUP(c_3[[#This Row],[hwycov_id]],count!$A$630:$E$652,5,FALSE)</f>
        <v>#N/A</v>
      </c>
    </row>
    <row r="15" spans="1:35" ht="15" customHeight="1" x14ac:dyDescent="0.2">
      <c r="A15" s="59">
        <v>3</v>
      </c>
      <c r="B15" s="65" t="s">
        <v>396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13741</v>
      </c>
      <c r="I15" s="68">
        <f>VLOOKUP(c_3[hwycov_id],flow0[],5,FALSE)</f>
        <v>14162</v>
      </c>
      <c r="J15" s="60">
        <f t="shared" si="0"/>
        <v>3.0638235936249147E-2</v>
      </c>
      <c r="K15" s="81">
        <f t="shared" si="1"/>
        <v>177241</v>
      </c>
      <c r="L15" s="427" t="e">
        <f>VLOOKUP(c_3[[#This Row],[hwycov_id]],count!$A$630:$E$652,5,FALSE)</f>
        <v>#N/A</v>
      </c>
    </row>
    <row r="16" spans="1:35" ht="15" customHeight="1" x14ac:dyDescent="0.2">
      <c r="A16" s="59">
        <v>3</v>
      </c>
      <c r="B16" s="65" t="s">
        <v>396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15483</v>
      </c>
      <c r="I16" s="68">
        <f>VLOOKUP(c_3[hwycov_id],flow0[],5,FALSE)</f>
        <v>16947</v>
      </c>
      <c r="J16" s="60">
        <f t="shared" si="0"/>
        <v>9.4555318736678995E-2</v>
      </c>
      <c r="K16" s="81">
        <f t="shared" si="1"/>
        <v>2143296</v>
      </c>
      <c r="L16" s="427" t="e">
        <f>VLOOKUP(c_3[[#This Row],[hwycov_id]],count!$A$630:$E$652,5,FALSE)</f>
        <v>#N/A</v>
      </c>
    </row>
    <row r="17" spans="1:12" ht="15" customHeight="1" x14ac:dyDescent="0.2">
      <c r="A17" s="59">
        <v>3</v>
      </c>
      <c r="B17" s="65" t="s">
        <v>396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17656</v>
      </c>
      <c r="I17" s="68">
        <f>VLOOKUP(c_3[hwycov_id],flow0[],5,FALSE)</f>
        <v>18847</v>
      </c>
      <c r="J17" s="60">
        <f t="shared" si="0"/>
        <v>6.7455822383325703E-2</v>
      </c>
      <c r="K17" s="81">
        <f t="shared" si="1"/>
        <v>1418481</v>
      </c>
      <c r="L17" s="427" t="e">
        <f>VLOOKUP(c_3[[#This Row],[hwycov_id]],count!$A$630:$E$652,5,FALSE)</f>
        <v>#N/A</v>
      </c>
    </row>
    <row r="18" spans="1:12" ht="15" customHeight="1" x14ac:dyDescent="0.2">
      <c r="A18" s="59">
        <v>3</v>
      </c>
      <c r="B18" s="65" t="s">
        <v>396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15022</v>
      </c>
      <c r="I18" s="68">
        <f>VLOOKUP(c_3[hwycov_id],flow0[],5,FALSE)</f>
        <v>16088</v>
      </c>
      <c r="J18" s="354">
        <f t="shared" si="0"/>
        <v>7.0962588203967503E-2</v>
      </c>
      <c r="K18" s="81">
        <f t="shared" si="1"/>
        <v>1136356</v>
      </c>
      <c r="L18" s="427" t="e">
        <f>VLOOKUP(c_3[[#This Row],[hwycov_id]],count!$A$630:$E$652,5,FALSE)</f>
        <v>#N/A</v>
      </c>
    </row>
    <row r="19" spans="1:12" ht="15" customHeight="1" x14ac:dyDescent="0.2">
      <c r="A19" s="59">
        <v>3</v>
      </c>
      <c r="B19" s="65" t="s">
        <v>396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12056</v>
      </c>
      <c r="I19" s="68">
        <f>VLOOKUP(c_3[hwycov_id],flow0[],5,FALSE)</f>
        <v>14110</v>
      </c>
      <c r="J19" s="354">
        <f t="shared" si="0"/>
        <v>0.17037159920371603</v>
      </c>
      <c r="K19" s="81">
        <f t="shared" si="1"/>
        <v>4218916</v>
      </c>
      <c r="L19" s="427" t="e">
        <f>VLOOKUP(c_3[[#This Row],[hwycov_id]],count!$A$630:$E$652,5,FALSE)</f>
        <v>#N/A</v>
      </c>
    </row>
    <row r="20" spans="1:12" ht="15" customHeight="1" x14ac:dyDescent="0.2">
      <c r="A20" s="59">
        <v>3</v>
      </c>
      <c r="B20" s="65" t="s">
        <v>396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16786</v>
      </c>
      <c r="I20" s="68">
        <f>VLOOKUP(c_3[hwycov_id],flow0[],5,FALSE)</f>
        <v>22387</v>
      </c>
      <c r="J20" s="354">
        <f t="shared" si="0"/>
        <v>0.33367091623972356</v>
      </c>
      <c r="K20" s="81">
        <f t="shared" si="1"/>
        <v>31371201</v>
      </c>
      <c r="L20" s="427" t="e">
        <f>VLOOKUP(c_3[[#This Row],[hwycov_id]],count!$A$630:$E$652,5,FALSE)</f>
        <v>#N/A</v>
      </c>
    </row>
    <row r="21" spans="1:12" ht="15" customHeight="1" x14ac:dyDescent="0.2">
      <c r="A21" s="59">
        <v>3</v>
      </c>
      <c r="B21" s="65" t="s">
        <v>396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17540</v>
      </c>
      <c r="I21" s="68">
        <f>VLOOKUP(c_3[hwycov_id],flow0[],5,FALSE)</f>
        <v>21831</v>
      </c>
      <c r="J21" s="354">
        <f t="shared" si="0"/>
        <v>0.24464082098061568</v>
      </c>
      <c r="K21" s="81">
        <f t="shared" si="1"/>
        <v>18412681</v>
      </c>
      <c r="L21" s="427" t="e">
        <f>VLOOKUP(c_3[[#This Row],[hwycov_id]],count!$A$630:$E$652,5,FALSE)</f>
        <v>#N/A</v>
      </c>
    </row>
    <row r="22" spans="1:12" ht="15" customHeight="1" x14ac:dyDescent="0.2">
      <c r="A22" s="59">
        <v>3</v>
      </c>
      <c r="B22" s="65" t="s">
        <v>396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12465</v>
      </c>
      <c r="I22" s="68">
        <f>VLOOKUP(c_3[hwycov_id],flow0[],5,FALSE)</f>
        <v>15889</v>
      </c>
      <c r="J22" s="354">
        <f t="shared" si="0"/>
        <v>0.2746891295627758</v>
      </c>
      <c r="K22" s="81">
        <f t="shared" si="1"/>
        <v>11723776</v>
      </c>
      <c r="L22" s="427" t="e">
        <f>VLOOKUP(c_3[[#This Row],[hwycov_id]],count!$A$630:$E$652,5,FALSE)</f>
        <v>#N/A</v>
      </c>
    </row>
    <row r="23" spans="1:12" ht="15" customHeight="1" x14ac:dyDescent="0.2">
      <c r="A23" s="59">
        <v>3</v>
      </c>
      <c r="B23" s="65" t="s">
        <v>396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14120</v>
      </c>
      <c r="I23" s="68">
        <f>VLOOKUP(c_3[hwycov_id],flow0[],5,FALSE)</f>
        <v>20518</v>
      </c>
      <c r="J23" s="354">
        <f t="shared" si="0"/>
        <v>0.45311614730878191</v>
      </c>
      <c r="K23" s="81">
        <f t="shared" si="1"/>
        <v>40934404</v>
      </c>
      <c r="L23" s="427" t="e">
        <f>VLOOKUP(c_3[[#This Row],[hwycov_id]],count!$A$630:$E$652,5,FALSE)</f>
        <v>#N/A</v>
      </c>
    </row>
    <row r="24" spans="1:12" ht="15" customHeight="1" x14ac:dyDescent="0.2">
      <c r="A24" s="59">
        <v>3</v>
      </c>
      <c r="B24" s="65" t="s">
        <v>396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16603</v>
      </c>
      <c r="I24" s="68">
        <f>VLOOKUP(c_3[hwycov_id],flow0[],5,FALSE)</f>
        <v>23881</v>
      </c>
      <c r="J24" s="354">
        <f t="shared" si="0"/>
        <v>0.43835451424441363</v>
      </c>
      <c r="K24" s="81">
        <f t="shared" si="1"/>
        <v>52969284</v>
      </c>
      <c r="L24" s="427" t="e">
        <f>VLOOKUP(c_3[[#This Row],[hwycov_id]],count!$A$630:$E$652,5,FALSE)</f>
        <v>#N/A</v>
      </c>
    </row>
    <row r="25" spans="1:12" ht="15" customHeight="1" x14ac:dyDescent="0.2">
      <c r="A25" s="59">
        <v>3</v>
      </c>
      <c r="B25" s="65" t="s">
        <v>396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13405</v>
      </c>
      <c r="I25" s="68">
        <f>VLOOKUP(c_3[hwycov_id],flow0[],5,FALSE)</f>
        <v>21510</v>
      </c>
      <c r="J25" s="354">
        <f t="shared" si="0"/>
        <v>0.60462513987318167</v>
      </c>
      <c r="K25" s="81">
        <f t="shared" si="1"/>
        <v>65691025</v>
      </c>
      <c r="L25" s="427" t="e">
        <f>VLOOKUP(c_3[[#This Row],[hwycov_id]],count!$A$630:$E$652,5,FALSE)</f>
        <v>#N/A</v>
      </c>
    </row>
    <row r="26" spans="1:12" ht="15" customHeight="1" x14ac:dyDescent="0.2">
      <c r="A26" s="59">
        <v>3</v>
      </c>
      <c r="B26" s="65" t="s">
        <v>396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11943</v>
      </c>
      <c r="I26" s="68">
        <f>VLOOKUP(c_3[hwycov_id],flow0[],5,FALSE)</f>
        <v>18155</v>
      </c>
      <c r="J26" s="354">
        <f t="shared" si="0"/>
        <v>0.52013731893159165</v>
      </c>
      <c r="K26" s="81">
        <f t="shared" si="1"/>
        <v>38588944</v>
      </c>
      <c r="L26" s="427" t="e">
        <f>VLOOKUP(c_3[[#This Row],[hwycov_id]],count!$A$630:$E$652,5,FALSE)</f>
        <v>#N/A</v>
      </c>
    </row>
    <row r="27" spans="1:12" ht="15" customHeight="1" x14ac:dyDescent="0.2">
      <c r="A27" s="59">
        <v>3</v>
      </c>
      <c r="B27" s="65" t="s">
        <v>396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11626</v>
      </c>
      <c r="I27" s="68">
        <f>VLOOKUP(c_3[hwycov_id],flow0[],5,FALSE)</f>
        <v>19195</v>
      </c>
      <c r="J27" s="354">
        <f t="shared" si="0"/>
        <v>0.65104077068639254</v>
      </c>
      <c r="K27" s="81">
        <f t="shared" si="1"/>
        <v>57289761</v>
      </c>
      <c r="L27" s="427" t="e">
        <f>VLOOKUP(c_3[[#This Row],[hwycov_id]],count!$A$630:$E$652,5,FALSE)</f>
        <v>#N/A</v>
      </c>
    </row>
    <row r="28" spans="1:12" ht="15" customHeight="1" x14ac:dyDescent="0.2">
      <c r="A28" s="59">
        <v>3</v>
      </c>
      <c r="B28" s="65" t="s">
        <v>396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21359</v>
      </c>
      <c r="I28" s="68">
        <f>VLOOKUP(c_3[hwycov_id],flow0[],5,FALSE)</f>
        <v>23360</v>
      </c>
      <c r="J28" s="354">
        <f t="shared" si="0"/>
        <v>9.3684161243503983E-2</v>
      </c>
      <c r="K28" s="81">
        <f t="shared" si="1"/>
        <v>4004001</v>
      </c>
      <c r="L28" s="427" t="e">
        <f>VLOOKUP(c_3[[#This Row],[hwycov_id]],count!$A$630:$E$652,5,FALSE)</f>
        <v>#N/A</v>
      </c>
    </row>
    <row r="29" spans="1:12" ht="15" hidden="1" customHeight="1" x14ac:dyDescent="0.2">
      <c r="A29" s="421">
        <v>3</v>
      </c>
      <c r="B29" s="422" t="s">
        <v>396</v>
      </c>
      <c r="C29" s="422">
        <v>29761</v>
      </c>
      <c r="D29" s="423">
        <v>1.67</v>
      </c>
      <c r="E29" s="424">
        <v>0.17888399999999999</v>
      </c>
      <c r="F29" s="422" t="s">
        <v>53</v>
      </c>
      <c r="G29" s="422" t="s">
        <v>54</v>
      </c>
      <c r="H29" s="425">
        <v>10013</v>
      </c>
      <c r="I29" s="425" t="e">
        <f>VLOOKUP(c_3[hwycov_id],flow0[],5,FALSE)</f>
        <v>#VALUE!</v>
      </c>
      <c r="J29" s="426" t="e">
        <f t="shared" si="0"/>
        <v>#VALUE!</v>
      </c>
      <c r="K29" s="427" t="e">
        <f t="shared" si="1"/>
        <v>#VALUE!</v>
      </c>
      <c r="L29" s="427" t="e">
        <f>VLOOKUP(c_3[[#This Row],[hwycov_id]],count!$A$630:$E$652,5,FALSE)</f>
        <v>#VALUE!</v>
      </c>
    </row>
    <row r="30" spans="1:12" ht="15" hidden="1" customHeight="1" x14ac:dyDescent="0.2">
      <c r="A30" s="421">
        <v>3</v>
      </c>
      <c r="B30" s="422" t="s">
        <v>396</v>
      </c>
      <c r="C30" s="422">
        <v>748</v>
      </c>
      <c r="D30" s="423">
        <v>16.809999999999999</v>
      </c>
      <c r="E30" s="424">
        <v>0.40239200000000003</v>
      </c>
      <c r="F30" s="422" t="s">
        <v>21</v>
      </c>
      <c r="G30" s="422" t="s">
        <v>133</v>
      </c>
      <c r="H30" s="425">
        <v>11272</v>
      </c>
      <c r="I30" s="425" t="e">
        <f>VLOOKUP(c_3[hwycov_id],flow0[],5,FALSE)</f>
        <v>#VALUE!</v>
      </c>
      <c r="J30" s="426" t="e">
        <f t="shared" si="0"/>
        <v>#VALUE!</v>
      </c>
      <c r="K30" s="427" t="e">
        <f t="shared" si="1"/>
        <v>#VALUE!</v>
      </c>
      <c r="L30" s="427" t="e">
        <f>VLOOKUP(c_3[[#This Row],[hwycov_id]],count!$A$630:$E$652,5,FALSE)</f>
        <v>#VALUE!</v>
      </c>
    </row>
    <row r="37" spans="13:13" ht="15" customHeight="1" x14ac:dyDescent="0.2">
      <c r="M37" s="82"/>
    </row>
    <row r="38" spans="13:13" ht="15" customHeight="1" x14ac:dyDescent="0.2">
      <c r="M38" s="82"/>
    </row>
    <row r="39" spans="13:13" ht="15" customHeight="1" x14ac:dyDescent="0.2">
      <c r="M39" s="82"/>
    </row>
    <row r="40" spans="13:13" ht="15" customHeight="1" x14ac:dyDescent="0.2">
      <c r="M40" s="82"/>
    </row>
    <row r="41" spans="13:13" ht="15" customHeight="1" x14ac:dyDescent="0.2">
      <c r="M41" s="89"/>
    </row>
    <row r="50" spans="10:12" ht="15" customHeight="1" x14ac:dyDescent="0.2">
      <c r="J50" s="76"/>
      <c r="K50" s="82"/>
      <c r="L50" s="428"/>
    </row>
    <row r="51" spans="10:12" ht="15" customHeight="1" x14ac:dyDescent="0.2">
      <c r="J51" s="76"/>
      <c r="K51" s="82"/>
      <c r="L51" s="428"/>
    </row>
    <row r="52" spans="10:12" ht="15" customHeight="1" x14ac:dyDescent="0.2">
      <c r="J52" s="76"/>
      <c r="K52" s="82"/>
      <c r="L52" s="428"/>
    </row>
    <row r="53" spans="10:12" ht="15" customHeight="1" x14ac:dyDescent="0.2">
      <c r="J53" s="76"/>
      <c r="K53" s="82"/>
      <c r="L53" s="428"/>
    </row>
    <row r="54" spans="10:12" ht="15" customHeight="1" x14ac:dyDescent="0.2">
      <c r="K54" s="89"/>
    </row>
  </sheetData>
  <conditionalFormatting sqref="N2:N1048576 J2:J78">
    <cfRule type="cellIs" dxfId="599" priority="5" operator="lessThan">
      <formula>-0.2</formula>
    </cfRule>
    <cfRule type="cellIs" dxfId="598" priority="6" operator="greaterThan">
      <formula>0.2</formula>
    </cfRule>
  </conditionalFormatting>
  <conditionalFormatting sqref="N1">
    <cfRule type="cellIs" dxfId="597" priority="1" operator="lessThan">
      <formula>-0.2</formula>
    </cfRule>
    <cfRule type="cellIs" dxfId="59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39997558519241921"/>
  </sheetPr>
  <dimension ref="A1:AI53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7" width="18.28515625" bestFit="1" customWidth="1"/>
    <col min="8" max="8" width="9.28515625" style="5" bestFit="1" customWidth="1"/>
    <col min="9" max="9" width="9" style="93" bestFit="1" customWidth="1"/>
    <col min="10" max="10" width="8.85546875" style="60" bestFit="1" customWidth="1"/>
    <col min="11" max="12" width="12.28515625" style="81" hidden="1" customWidth="1"/>
    <col min="13" max="13" width="10.7109375" style="8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9" t="s">
        <v>500</v>
      </c>
      <c r="N1" s="122">
        <f>SQRT(AVERAGE(c_4[x2]))/AVERAGE(c_4[count])</f>
        <v>0.24709231860794886</v>
      </c>
      <c r="O1" s="136">
        <f>LINEST(c_4[flow],c_4[count],FALSE)</f>
        <v>1.2288637180604933</v>
      </c>
      <c r="P1" s="136">
        <f>RSQ(c_4[flow],c_4[count])</f>
        <v>0.90683735614442995</v>
      </c>
      <c r="Q1" s="43">
        <f>IFERROR(AVERAGEIF(c_4[gap],"&gt;=0",c_4[gap]),0)</f>
        <v>0.22471014638890363</v>
      </c>
      <c r="R1" s="44">
        <f>IFERROR(AVERAGEIF(c_4[gap],"&lt;0",c_4[gap]),0)</f>
        <v>0</v>
      </c>
      <c r="S1" s="14">
        <f>AVERAGE(c_4[gap])</f>
        <v>0.22471014638890363</v>
      </c>
      <c r="T1" s="42">
        <f>COUNTIFS(c_4[gap],"&lt;10%",c_4[gap],"&gt;=-10%")/COUNTA(c_4[gap])</f>
        <v>0</v>
      </c>
      <c r="U1" s="42">
        <f>COUNTIFS(c_4[gap],"&lt;20%",c_4[gap],"&gt;=-20%")/COUNTA(c_4[gap])</f>
        <v>0.44444444444444442</v>
      </c>
      <c r="V1" s="42">
        <f>COUNTIFS(c_4[gap],"&lt;30%",c_4[gap],"&gt;=-30%")/COUNTA(c_4[gap])</f>
        <v>0.88888888888888884</v>
      </c>
      <c r="W1" s="43">
        <f>COUNTIF(c_4[gap],"&gt;=0")/COUNTA(c_4[gap])</f>
        <v>1</v>
      </c>
      <c r="X1" s="45">
        <f>COUNTIF(c_4[gap],"&lt;0")/COUNTA(c_4[gap])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32" t="str">
        <f>"AvgGap(+)="&amp;TEXT(Q1,"0%")</f>
        <v>AvgGap(+)=22%</v>
      </c>
      <c r="AB1" t="str">
        <f>"AvgGap(-)="&amp;TEXT(R1,"0%")</f>
        <v>AvgGap(-)=0%</v>
      </c>
      <c r="AC1" t="str">
        <f>"AvgGap(±)="&amp;TEXT(S1,"0%")</f>
        <v>AvgGap(±)=22%</v>
      </c>
      <c r="AD1" t="str">
        <f>"GapIn(±10%)="&amp;TEXT(T1,"0%")</f>
        <v>GapIn(±10%)=0%</v>
      </c>
      <c r="AE1" t="str">
        <f>"GapIn(±20%)="&amp;TEXT(U1,"0%")</f>
        <v>GapIn(±20%)=44%</v>
      </c>
      <c r="AF1" t="str">
        <f>"GapIn(±30%)="&amp;TEXT(V1,"0%")</f>
        <v>GapIn(±30%)=89%</v>
      </c>
      <c r="AG1" t="str">
        <f>"Linear Slope="&amp;TEXT(O1,"#.###")</f>
        <v>Linear Slope=1.229</v>
      </c>
      <c r="AH1" t="str">
        <f>"RMSE="&amp;TEXT(N1,"0%")</f>
        <v>RMSE=25%</v>
      </c>
      <c r="AI1" s="46" t="str">
        <f>CONCATENATE(Y1," ",Z1," ",AA1,"  ",AB1,"  ",AC1,"  ",AD1,"  ",AE1,"  ",AF1,"  ",AG1," ",AH1)</f>
        <v>%Link(+)=100% %Link(-)=0% AvgGap(+)=22%  AvgGap(-)=0%  AvgGap(±)=22%  GapIn(±10%)=0%  GapIn(±20%)=44%  GapIn(±30%)=89%  Linear Slope=1.229 RMSE=25%</v>
      </c>
    </row>
    <row r="2" spans="1:35" x14ac:dyDescent="0.25">
      <c r="A2">
        <v>4</v>
      </c>
      <c r="B2" s="1" t="s">
        <v>399</v>
      </c>
      <c r="C2" s="1">
        <v>13438</v>
      </c>
      <c r="D2" s="8">
        <v>1.82</v>
      </c>
      <c r="E2" s="71">
        <v>0.208871</v>
      </c>
      <c r="F2" s="1" t="s">
        <v>331</v>
      </c>
      <c r="G2" s="1" t="s">
        <v>332</v>
      </c>
      <c r="H2" s="4">
        <v>11709</v>
      </c>
      <c r="I2" s="92">
        <f>VLOOKUP(c_4[[#This Row],[hwycov_id]],flow0[],5,FALSE)</f>
        <v>13904</v>
      </c>
      <c r="J2" s="60">
        <f t="shared" ref="J2:J11" si="0">I2/H2-1</f>
        <v>0.18746263557946885</v>
      </c>
      <c r="K2" s="81">
        <f t="shared" ref="K2:K11" si="1">POWER((I2-H2),2)</f>
        <v>4818025</v>
      </c>
      <c r="L2" s="81" t="e">
        <f>VLOOKUP(c_4[[#This Row],[hwycov_id]],count!$A$630:$E$652,5,FALSE)</f>
        <v>#N/A</v>
      </c>
    </row>
    <row r="3" spans="1:35" x14ac:dyDescent="0.25">
      <c r="A3">
        <v>4</v>
      </c>
      <c r="B3" s="1" t="s">
        <v>399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12748</v>
      </c>
      <c r="I3" s="92">
        <f>VLOOKUP(c_4[[#This Row],[hwycov_id]],flow0[],5,FALSE)</f>
        <v>15619</v>
      </c>
      <c r="J3" s="60">
        <f t="shared" si="0"/>
        <v>0.22521179792908685</v>
      </c>
      <c r="K3" s="81">
        <f t="shared" si="1"/>
        <v>8242641</v>
      </c>
      <c r="L3" s="81" t="e">
        <f>VLOOKUP(c_4[[#This Row],[hwycov_id]],count!$A$630:$E$652,5,FALSE)</f>
        <v>#N/A</v>
      </c>
    </row>
    <row r="4" spans="1:35" x14ac:dyDescent="0.25">
      <c r="A4">
        <v>4</v>
      </c>
      <c r="B4" s="1" t="s">
        <v>399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21608</v>
      </c>
      <c r="I4" s="92">
        <f>VLOOKUP(c_4[[#This Row],[hwycov_id]],flow0[],5,FALSE)</f>
        <v>24279</v>
      </c>
      <c r="J4" s="60">
        <f t="shared" si="0"/>
        <v>0.12361162532395409</v>
      </c>
      <c r="K4" s="81">
        <f t="shared" si="1"/>
        <v>7134241</v>
      </c>
      <c r="L4" s="81" t="e">
        <f>VLOOKUP(c_4[[#This Row],[hwycov_id]],count!$A$630:$E$652,5,FALSE)</f>
        <v>#N/A</v>
      </c>
    </row>
    <row r="5" spans="1:35" x14ac:dyDescent="0.25">
      <c r="A5">
        <v>4</v>
      </c>
      <c r="B5" s="1" t="s">
        <v>399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22349</v>
      </c>
      <c r="I5" s="92">
        <f>VLOOKUP(c_4[[#This Row],[hwycov_id]],flow0[],5,FALSE)</f>
        <v>29005</v>
      </c>
      <c r="J5" s="60">
        <f t="shared" si="0"/>
        <v>0.29782093158530576</v>
      </c>
      <c r="K5" s="81">
        <f t="shared" si="1"/>
        <v>44302336</v>
      </c>
      <c r="L5" s="81" t="e">
        <f>VLOOKUP(c_4[[#This Row],[hwycov_id]],count!$A$630:$E$652,5,FALSE)</f>
        <v>#N/A</v>
      </c>
    </row>
    <row r="6" spans="1:35" x14ac:dyDescent="0.25">
      <c r="A6">
        <v>4</v>
      </c>
      <c r="B6" s="1" t="s">
        <v>399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20109</v>
      </c>
      <c r="I6" s="92">
        <f>VLOOKUP(c_4[[#This Row],[hwycov_id]],flow0[],5,FALSE)</f>
        <v>27714</v>
      </c>
      <c r="J6" s="60">
        <f t="shared" si="0"/>
        <v>0.37818887065493056</v>
      </c>
      <c r="K6" s="81">
        <f t="shared" si="1"/>
        <v>57836025</v>
      </c>
      <c r="L6" s="81" t="e">
        <f>VLOOKUP(c_4[[#This Row],[hwycov_id]],count!$A$630:$E$652,5,FALSE)</f>
        <v>#N/A</v>
      </c>
    </row>
    <row r="7" spans="1:35" x14ac:dyDescent="0.25">
      <c r="A7">
        <v>4</v>
      </c>
      <c r="B7" s="1" t="s">
        <v>399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16142</v>
      </c>
      <c r="I7" s="92">
        <f>VLOOKUP(c_4[[#This Row],[hwycov_id]],flow0[],5,FALSE)</f>
        <v>19238</v>
      </c>
      <c r="J7" s="60">
        <f t="shared" si="0"/>
        <v>0.19179779457316326</v>
      </c>
      <c r="K7" s="81">
        <f t="shared" si="1"/>
        <v>9585216</v>
      </c>
      <c r="L7" s="81" t="e">
        <f>VLOOKUP(c_4[[#This Row],[hwycov_id]],count!$A$630:$E$652,5,FALSE)</f>
        <v>#N/A</v>
      </c>
    </row>
    <row r="8" spans="1:35" x14ac:dyDescent="0.25">
      <c r="A8">
        <v>4</v>
      </c>
      <c r="B8" s="1" t="s">
        <v>399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18967</v>
      </c>
      <c r="I8" s="92">
        <f>VLOOKUP(c_4[[#This Row],[hwycov_id]],flow0[],5,FALSE)</f>
        <v>23357</v>
      </c>
      <c r="J8" s="60">
        <f t="shared" si="0"/>
        <v>0.23145463172879222</v>
      </c>
      <c r="K8" s="81">
        <f t="shared" si="1"/>
        <v>19272100</v>
      </c>
      <c r="L8" s="81" t="e">
        <f>VLOOKUP(c_4[[#This Row],[hwycov_id]],count!$A$630:$E$652,5,FALSE)</f>
        <v>#N/A</v>
      </c>
    </row>
    <row r="9" spans="1:35" x14ac:dyDescent="0.25">
      <c r="A9">
        <v>4</v>
      </c>
      <c r="B9" s="1" t="s">
        <v>399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20700</v>
      </c>
      <c r="I9" s="92">
        <f>VLOOKUP(c_4[[#This Row],[hwycov_id]],flow0[],5,FALSE)</f>
        <v>23837</v>
      </c>
      <c r="J9" s="60">
        <f t="shared" si="0"/>
        <v>0.15154589371980687</v>
      </c>
      <c r="K9" s="81">
        <f t="shared" si="1"/>
        <v>9840769</v>
      </c>
      <c r="L9" s="81" t="e">
        <f>VLOOKUP(c_4[[#This Row],[hwycov_id]],count!$A$630:$E$652,5,FALSE)</f>
        <v>#N/A</v>
      </c>
    </row>
    <row r="10" spans="1:35" x14ac:dyDescent="0.25">
      <c r="A10">
        <v>4</v>
      </c>
      <c r="B10" s="1" t="s">
        <v>399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19486</v>
      </c>
      <c r="I10" s="92">
        <f>VLOOKUP(c_4[[#This Row],[hwycov_id]],flow0[],5,FALSE)</f>
        <v>24071</v>
      </c>
      <c r="J10" s="60">
        <f t="shared" si="0"/>
        <v>0.23529713640562444</v>
      </c>
      <c r="K10" s="81">
        <f t="shared" si="1"/>
        <v>21022225</v>
      </c>
      <c r="L10" s="81" t="e">
        <f>VLOOKUP(c_4[[#This Row],[hwycov_id]],count!$A$630:$E$652,5,FALSE)</f>
        <v>#N/A</v>
      </c>
    </row>
    <row r="11" spans="1:35" s="405" customFormat="1" hidden="1" x14ac:dyDescent="0.25">
      <c r="A11" s="405">
        <v>4</v>
      </c>
      <c r="B11" s="430" t="s">
        <v>399</v>
      </c>
      <c r="C11" s="430">
        <v>21822</v>
      </c>
      <c r="D11" s="431">
        <v>3.58</v>
      </c>
      <c r="E11" s="432">
        <v>0.13639899999999999</v>
      </c>
      <c r="F11" s="430" t="s">
        <v>38</v>
      </c>
      <c r="G11" s="430" t="s">
        <v>22</v>
      </c>
      <c r="H11" s="433">
        <v>20546</v>
      </c>
      <c r="I11" s="433" t="e">
        <f>VLOOKUP(c_4[[#This Row],[hwycov_id]],flow0[],5,FALSE)</f>
        <v>#VALUE!</v>
      </c>
      <c r="J11" s="426" t="e">
        <f t="shared" si="0"/>
        <v>#VALUE!</v>
      </c>
      <c r="K11" s="427" t="e">
        <f t="shared" si="1"/>
        <v>#VALUE!</v>
      </c>
      <c r="L11" s="427" t="e">
        <f>VLOOKUP(c_4[[#This Row],[hwycov_id]],count!$A$630:$E$652,5,FALSE)</f>
        <v>#VALUE!</v>
      </c>
      <c r="M11" s="427"/>
      <c r="N11" s="419"/>
      <c r="O11" s="420"/>
      <c r="P11" s="420"/>
    </row>
    <row r="45" spans="13:13" x14ac:dyDescent="0.25">
      <c r="M45" s="82"/>
    </row>
    <row r="46" spans="13:13" x14ac:dyDescent="0.25">
      <c r="M46" s="82"/>
    </row>
    <row r="47" spans="13:13" x14ac:dyDescent="0.25">
      <c r="M47" s="82"/>
    </row>
    <row r="48" spans="13:13" x14ac:dyDescent="0.25">
      <c r="M48" s="82"/>
    </row>
    <row r="49" spans="10:13" x14ac:dyDescent="0.25">
      <c r="J49" s="76"/>
      <c r="K49" s="82"/>
      <c r="L49" s="82"/>
      <c r="M49" s="89"/>
    </row>
    <row r="50" spans="10:13" x14ac:dyDescent="0.25">
      <c r="J50" s="76"/>
      <c r="K50" s="82"/>
      <c r="L50" s="82"/>
    </row>
    <row r="51" spans="10:13" x14ac:dyDescent="0.25">
      <c r="J51" s="76"/>
      <c r="K51" s="82"/>
      <c r="L51" s="82"/>
    </row>
    <row r="52" spans="10:13" x14ac:dyDescent="0.25">
      <c r="J52" s="76"/>
      <c r="K52" s="82"/>
      <c r="L52" s="82"/>
    </row>
    <row r="53" spans="10:13" x14ac:dyDescent="0.25">
      <c r="K53" s="89"/>
      <c r="L53" s="89"/>
    </row>
  </sheetData>
  <conditionalFormatting sqref="N2:N1048576 J2:J77">
    <cfRule type="cellIs" dxfId="581" priority="5" operator="lessThan">
      <formula>-0.2</formula>
    </cfRule>
    <cfRule type="cellIs" dxfId="580" priority="6" operator="greaterThan">
      <formula>0.2</formula>
    </cfRule>
  </conditionalFormatting>
  <conditionalFormatting sqref="N1">
    <cfRule type="cellIs" dxfId="579" priority="1" operator="lessThan">
      <formula>-0.2</formula>
    </cfRule>
    <cfRule type="cellIs" dxfId="57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39997558519241921"/>
  </sheetPr>
  <dimension ref="A1:AI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G27" sqref="G27"/>
    </sheetView>
  </sheetViews>
  <sheetFormatPr defaultRowHeight="15" customHeight="1" x14ac:dyDescent="0.2"/>
  <cols>
    <col min="1" max="1" width="9.140625" style="59"/>
    <col min="2" max="2" width="9.28515625" style="59" bestFit="1" customWidth="1"/>
    <col min="3" max="3" width="11.5703125" style="59" customWidth="1"/>
    <col min="4" max="4" width="8.85546875" style="61" bestFit="1" customWidth="1"/>
    <col min="5" max="5" width="8.42578125" style="69" hidden="1" customWidth="1"/>
    <col min="6" max="6" width="13.28515625" style="59" bestFit="1" customWidth="1"/>
    <col min="7" max="7" width="14.140625" style="59" bestFit="1" customWidth="1"/>
    <col min="8" max="8" width="11.28515625" style="61" customWidth="1"/>
    <col min="9" max="9" width="12.28515625" style="89" customWidth="1"/>
    <col min="10" max="10" width="8.42578125" style="60" customWidth="1"/>
    <col min="11" max="12" width="9" style="60" hidden="1" customWidth="1"/>
    <col min="13" max="13" width="10.7109375" style="60" customWidth="1"/>
    <col min="14" max="14" width="9" style="60" customWidth="1"/>
    <col min="15" max="16" width="9" style="66" customWidth="1"/>
    <col min="17" max="19" width="9.140625" style="59"/>
    <col min="20" max="20" width="10.42578125" style="59" customWidth="1"/>
    <col min="21" max="21" width="9.140625" style="59"/>
    <col min="22" max="22" width="9.5703125" style="59" customWidth="1"/>
    <col min="23" max="24" width="9.28515625" style="59" customWidth="1"/>
    <col min="25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SQRT(AVERAGE(c_5[x2]))/AVERAGE(c_5[count])</f>
        <v>0.16920918681603633</v>
      </c>
      <c r="O1" s="136">
        <f>LINEST(c_5[flow],c_5[count],FALSE)</f>
        <v>1.0534279387927492</v>
      </c>
      <c r="P1" s="136">
        <f>RSQ(c_5[flow],c_5[count])</f>
        <v>0.97226800926773493</v>
      </c>
      <c r="Q1" s="43">
        <f>IFERROR(AVERAGEIF(c_5[gap],"&gt;=0",c_5[gap]),0)</f>
        <v>0.1440025140152654</v>
      </c>
      <c r="R1" s="44">
        <f>IFERROR(AVERAGEIF(c_5[gap],"&lt;0",c_5[gap]),0)</f>
        <v>-0.30587192723727202</v>
      </c>
      <c r="S1" s="14">
        <f>AVERAGE(c_5[gap])</f>
        <v>-9.4166307824313233E-2</v>
      </c>
      <c r="T1" s="42">
        <f>COUNTIFS(c_5[gap],"&lt;10%",c_5[gap],"&gt;=-10%")/COUNTA(c_5[gap])</f>
        <v>0.47058823529411764</v>
      </c>
      <c r="U1" s="42">
        <f>COUNTIFS(c_5[gap],"&lt;20%",c_5[gap],"&gt;=-20%")/COUNTA(c_5[gap])</f>
        <v>0.58823529411764708</v>
      </c>
      <c r="V1" s="42">
        <f>COUNTIFS(c_5[gap],"&lt;30%",c_5[gap],"&gt;=-30%")/COUNTA(c_5[gap])</f>
        <v>0.6470588235294118</v>
      </c>
      <c r="W1" s="43">
        <f>COUNTIF(c_5[gap],"&gt;=0")/COUNTA(c_5[gap])</f>
        <v>0.47058823529411764</v>
      </c>
      <c r="X1" s="45">
        <f>COUNTIF(c_5[gap],"&lt;0")/COUNTA(c_5[gap])</f>
        <v>0.52941176470588236</v>
      </c>
      <c r="Y1" s="75" t="str">
        <f>"%Link(+)="&amp;TEXT(W1,"0%")</f>
        <v>%Link(+)=47%</v>
      </c>
      <c r="Z1" s="75" t="str">
        <f>"%Link(-)="&amp;TEXT(X1,"0%")</f>
        <v>%Link(-)=53%</v>
      </c>
      <c r="AA1" s="73" t="str">
        <f>"AvgGap(+)="&amp;TEXT(Q1,"0%")</f>
        <v>AvgGap(+)=14%</v>
      </c>
      <c r="AB1" s="59" t="str">
        <f>"AvgGap(-)="&amp;TEXT(R1,"0%")</f>
        <v>AvgGap(-)=-31%</v>
      </c>
      <c r="AC1" s="59" t="str">
        <f>"AvgGap(±)="&amp;TEXT(S1,"0%")</f>
        <v>AvgGap(±)=-9%</v>
      </c>
      <c r="AD1" s="59" t="str">
        <f>"GapIn(±10%)="&amp;TEXT(T1,"0%")</f>
        <v>GapIn(±10%)=47%</v>
      </c>
      <c r="AE1" s="59" t="str">
        <f>"GapIn(±20%)="&amp;TEXT(U1,"0%")</f>
        <v>GapIn(±20%)=59%</v>
      </c>
      <c r="AF1" s="59" t="str">
        <f>"GapIn(±30%)="&amp;TEXT(V1,"0%")</f>
        <v>GapIn(±30%)=65%</v>
      </c>
      <c r="AG1" s="59" t="str">
        <f>"Linear Slope="&amp;TEXT(O1,"#.###")</f>
        <v>Linear Slope=1.053</v>
      </c>
      <c r="AH1" s="59" t="str">
        <f>"RMSE="&amp;TEXT(N1,"0%")</f>
        <v>RMSE=17%</v>
      </c>
      <c r="AI1" s="77" t="str">
        <f>CONCATENATE(Y1," ",Z1," ",AA1,"  ",AB1,"  ",AC1,"  ",AD1,"  ",AE1,"  ",AF1,"  ",AG1," ",AH1)</f>
        <v>%Link(+)=47% %Link(-)=53% AvgGap(+)=14%  AvgGap(-)=-31%  AvgGap(±)=-9%  GapIn(±10%)=47%  GapIn(±20%)=59%  GapIn(±30%)=65%  Linear Slope=1.053 RMSE=17%</v>
      </c>
    </row>
    <row r="2" spans="1:35" ht="15" customHeight="1" x14ac:dyDescent="0.2">
      <c r="A2" s="96">
        <v>5</v>
      </c>
      <c r="B2" s="96" t="s">
        <v>400</v>
      </c>
      <c r="C2" s="443">
        <v>9483</v>
      </c>
      <c r="D2" s="444">
        <v>3.58</v>
      </c>
      <c r="E2" s="445">
        <v>0.32875900000000002</v>
      </c>
      <c r="F2" s="443" t="s">
        <v>502</v>
      </c>
      <c r="G2" s="443" t="s">
        <v>503</v>
      </c>
      <c r="H2" s="89">
        <v>1769</v>
      </c>
      <c r="I2" s="94">
        <f>VLOOKUP(c_5[[#This Row],[hwycov_id]],flow0[],5,FALSE)</f>
        <v>1295</v>
      </c>
      <c r="J2" s="88">
        <f t="shared" ref="J2:J13" si="0">I2/H2-1</f>
        <v>-0.26794799321650653</v>
      </c>
      <c r="K2" s="81">
        <f t="shared" ref="K2:K13" si="1">POWER((I2-H2),2)</f>
        <v>224676</v>
      </c>
      <c r="L2" s="61" t="e">
        <f>VLOOKUP(c_5[[#This Row],[hwycov_id]],count!$A$630:$E$652,5,FALSE)</f>
        <v>#N/A</v>
      </c>
      <c r="M2" s="81"/>
    </row>
    <row r="3" spans="1:35" ht="15" customHeight="1" x14ac:dyDescent="0.2">
      <c r="A3" s="96">
        <v>5</v>
      </c>
      <c r="B3" s="96" t="s">
        <v>400</v>
      </c>
      <c r="C3" s="443">
        <v>9509</v>
      </c>
      <c r="D3" s="444">
        <v>4.3899999999999997</v>
      </c>
      <c r="E3" s="445">
        <v>0.17663100000000001</v>
      </c>
      <c r="F3" s="443" t="s">
        <v>503</v>
      </c>
      <c r="G3" s="443" t="s">
        <v>504</v>
      </c>
      <c r="H3" s="89">
        <v>1877</v>
      </c>
      <c r="I3" s="94">
        <f>VLOOKUP(c_5[[#This Row],[hwycov_id]],flow0[],5,FALSE)</f>
        <v>990</v>
      </c>
      <c r="J3" s="88">
        <f t="shared" si="0"/>
        <v>-0.47256259989344696</v>
      </c>
      <c r="K3" s="81">
        <f t="shared" si="1"/>
        <v>786769</v>
      </c>
      <c r="L3" s="61" t="e">
        <f>VLOOKUP(c_5[[#This Row],[hwycov_id]],count!$A$630:$E$652,5,FALSE)</f>
        <v>#N/A</v>
      </c>
      <c r="M3" s="81"/>
    </row>
    <row r="4" spans="1:35" ht="15" customHeight="1" x14ac:dyDescent="0.2">
      <c r="A4" s="96">
        <v>5</v>
      </c>
      <c r="B4" s="96" t="s">
        <v>400</v>
      </c>
      <c r="C4" s="443">
        <v>9519</v>
      </c>
      <c r="D4" s="444">
        <v>5.36</v>
      </c>
      <c r="E4" s="445">
        <v>0.44139499999999998</v>
      </c>
      <c r="F4" s="443" t="s">
        <v>504</v>
      </c>
      <c r="G4" s="443" t="s">
        <v>505</v>
      </c>
      <c r="H4" s="89">
        <v>2321</v>
      </c>
      <c r="I4" s="94">
        <f>VLOOKUP(c_5[[#This Row],[hwycov_id]],flow0[],5,FALSE)</f>
        <v>1200</v>
      </c>
      <c r="J4" s="88">
        <f t="shared" si="0"/>
        <v>-0.48298147350280052</v>
      </c>
      <c r="K4" s="81">
        <f t="shared" si="1"/>
        <v>1256641</v>
      </c>
      <c r="L4" s="61" t="e">
        <f>VLOOKUP(c_5[[#This Row],[hwycov_id]],count!$A$630:$E$652,5,FALSE)</f>
        <v>#N/A</v>
      </c>
      <c r="M4" s="81"/>
    </row>
    <row r="5" spans="1:35" ht="15" customHeight="1" x14ac:dyDescent="0.2">
      <c r="A5" s="96">
        <v>5</v>
      </c>
      <c r="B5" s="96" t="s">
        <v>400</v>
      </c>
      <c r="C5" s="443">
        <v>9143</v>
      </c>
      <c r="D5" s="444">
        <v>6.25</v>
      </c>
      <c r="E5" s="445">
        <v>0.27534700000000001</v>
      </c>
      <c r="F5" s="443" t="s">
        <v>505</v>
      </c>
      <c r="G5" s="443" t="s">
        <v>506</v>
      </c>
      <c r="H5" s="89">
        <v>3009</v>
      </c>
      <c r="I5" s="94">
        <f>VLOOKUP(c_5[[#This Row],[hwycov_id]],flow0[],5,FALSE)</f>
        <v>1650</v>
      </c>
      <c r="J5" s="88">
        <f t="shared" si="0"/>
        <v>-0.4516450648055832</v>
      </c>
      <c r="K5" s="81">
        <f t="shared" si="1"/>
        <v>1846881</v>
      </c>
      <c r="L5" s="61" t="e">
        <f>VLOOKUP(c_5[[#This Row],[hwycov_id]],count!$A$630:$E$652,5,FALSE)</f>
        <v>#N/A</v>
      </c>
      <c r="M5" s="81"/>
    </row>
    <row r="6" spans="1:35" ht="15" customHeight="1" x14ac:dyDescent="0.2">
      <c r="A6" s="96">
        <v>5</v>
      </c>
      <c r="B6" s="96" t="s">
        <v>400</v>
      </c>
      <c r="C6" s="443">
        <v>10255</v>
      </c>
      <c r="D6" s="444">
        <v>7.56</v>
      </c>
      <c r="E6" s="445">
        <v>0.59050999999999998</v>
      </c>
      <c r="F6" s="443" t="s">
        <v>506</v>
      </c>
      <c r="G6" s="443" t="s">
        <v>507</v>
      </c>
      <c r="H6" s="89">
        <v>3276</v>
      </c>
      <c r="I6" s="94">
        <f>VLOOKUP(c_5[[#This Row],[hwycov_id]],flow0[],5,FALSE)</f>
        <v>1672</v>
      </c>
      <c r="J6" s="88">
        <f t="shared" si="0"/>
        <v>-0.48962148962148966</v>
      </c>
      <c r="K6" s="81">
        <f t="shared" si="1"/>
        <v>2572816</v>
      </c>
      <c r="L6" s="61" t="e">
        <f>VLOOKUP(c_5[[#This Row],[hwycov_id]],count!$A$630:$E$652,5,FALSE)</f>
        <v>#N/A</v>
      </c>
      <c r="M6" s="81"/>
    </row>
    <row r="7" spans="1:35" ht="15" customHeight="1" x14ac:dyDescent="0.2">
      <c r="A7" s="96">
        <v>5</v>
      </c>
      <c r="B7" s="96" t="s">
        <v>400</v>
      </c>
      <c r="C7" s="443">
        <v>10257</v>
      </c>
      <c r="D7" s="444">
        <v>10.37</v>
      </c>
      <c r="E7" s="445">
        <v>2.3958750000000002</v>
      </c>
      <c r="F7" s="443" t="s">
        <v>507</v>
      </c>
      <c r="G7" s="443" t="s">
        <v>508</v>
      </c>
      <c r="H7" s="89">
        <v>3565</v>
      </c>
      <c r="I7" s="94">
        <f>VLOOKUP(c_5[[#This Row],[hwycov_id]],flow0[],5,FALSE)</f>
        <v>1942</v>
      </c>
      <c r="J7" s="88">
        <f t="shared" si="0"/>
        <v>-0.45525946704067322</v>
      </c>
      <c r="K7" s="81">
        <f t="shared" si="1"/>
        <v>2634129</v>
      </c>
      <c r="L7" s="61" t="e">
        <f>VLOOKUP(c_5[[#This Row],[hwycov_id]],count!$A$630:$E$652,5,FALSE)</f>
        <v>#N/A</v>
      </c>
      <c r="M7" s="81"/>
    </row>
    <row r="8" spans="1:35" ht="15" customHeight="1" x14ac:dyDescent="0.2">
      <c r="A8" s="96">
        <v>5</v>
      </c>
      <c r="B8" s="96" t="s">
        <v>400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12679</v>
      </c>
      <c r="I8" s="94">
        <f>VLOOKUP(c_5[[#This Row],[hwycov_id]],flow0[],5,FALSE)</f>
        <v>13512</v>
      </c>
      <c r="J8" s="88">
        <f t="shared" si="0"/>
        <v>6.5699187633094125E-2</v>
      </c>
      <c r="K8" s="81">
        <f t="shared" si="1"/>
        <v>693889</v>
      </c>
      <c r="L8" s="61" t="e">
        <f>VLOOKUP(c_5[[#This Row],[hwycov_id]],count!$A$630:$E$652,5,FALSE)</f>
        <v>#N/A</v>
      </c>
      <c r="M8" s="81"/>
    </row>
    <row r="9" spans="1:35" ht="15" customHeight="1" x14ac:dyDescent="0.2">
      <c r="A9" s="96">
        <v>5</v>
      </c>
      <c r="B9" s="96" t="s">
        <v>400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10088</v>
      </c>
      <c r="I9" s="94">
        <f>VLOOKUP(c_5[[#This Row],[hwycov_id]],flow0[],5,FALSE)</f>
        <v>11412</v>
      </c>
      <c r="J9" s="88">
        <f t="shared" si="0"/>
        <v>0.13124504361617761</v>
      </c>
      <c r="K9" s="81">
        <f t="shared" si="1"/>
        <v>1752976</v>
      </c>
      <c r="L9" s="61" t="e">
        <f>VLOOKUP(c_5[[#This Row],[hwycov_id]],count!$A$630:$E$652,5,FALSE)</f>
        <v>#N/A</v>
      </c>
      <c r="M9" s="81"/>
    </row>
    <row r="10" spans="1:35" ht="15" customHeight="1" x14ac:dyDescent="0.2">
      <c r="A10" s="96">
        <v>5</v>
      </c>
      <c r="B10" s="96" t="s">
        <v>400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10030</v>
      </c>
      <c r="I10" s="94">
        <f>VLOOKUP(c_5[[#This Row],[hwycov_id]],flow0[],5,FALSE)</f>
        <v>10485</v>
      </c>
      <c r="J10" s="88">
        <f t="shared" si="0"/>
        <v>4.5363908275174447E-2</v>
      </c>
      <c r="K10" s="81">
        <f t="shared" si="1"/>
        <v>207025</v>
      </c>
      <c r="L10" s="61" t="e">
        <f>VLOOKUP(c_5[[#This Row],[hwycov_id]],count!$A$630:$E$652,5,FALSE)</f>
        <v>#N/A</v>
      </c>
      <c r="M10" s="81"/>
    </row>
    <row r="11" spans="1:35" ht="15" customHeight="1" x14ac:dyDescent="0.2">
      <c r="A11" s="96">
        <v>5</v>
      </c>
      <c r="B11" s="96" t="s">
        <v>400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13336</v>
      </c>
      <c r="I11" s="89">
        <f>VLOOKUP(c_5[[#This Row],[hwycov_id]],flow0[],5,FALSE)</f>
        <v>12669</v>
      </c>
      <c r="J11" s="88">
        <f t="shared" si="0"/>
        <v>-5.0014997000599859E-2</v>
      </c>
      <c r="K11" s="81">
        <f t="shared" si="1"/>
        <v>444889</v>
      </c>
      <c r="L11" s="61" t="e">
        <f>VLOOKUP(c_5[[#This Row],[hwycov_id]],count!$A$630:$E$652,5,FALSE)</f>
        <v>#N/A</v>
      </c>
      <c r="M11" s="81"/>
    </row>
    <row r="12" spans="1:35" ht="15" customHeight="1" x14ac:dyDescent="0.2">
      <c r="A12" s="96">
        <v>5</v>
      </c>
      <c r="B12" s="96" t="s">
        <v>400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20112</v>
      </c>
      <c r="I12" s="89">
        <f>VLOOKUP(c_5[[#This Row],[hwycov_id]],flow0[],5,FALSE)</f>
        <v>23420</v>
      </c>
      <c r="J12" s="88">
        <f t="shared" si="0"/>
        <v>0.16447891805887038</v>
      </c>
      <c r="K12" s="81">
        <f t="shared" si="1"/>
        <v>10942864</v>
      </c>
      <c r="L12" s="61" t="e">
        <f>VLOOKUP(c_5[[#This Row],[hwycov_id]],count!$A$630:$E$652,5,FALSE)</f>
        <v>#N/A</v>
      </c>
      <c r="M12" s="81"/>
    </row>
    <row r="13" spans="1:35" ht="15" customHeight="1" x14ac:dyDescent="0.2">
      <c r="A13" s="96">
        <v>5</v>
      </c>
      <c r="B13" s="96" t="s">
        <v>400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8079</v>
      </c>
      <c r="I13" s="89">
        <f>VLOOKUP(c_5[[#This Row],[hwycov_id]],flow0[],5,FALSE)</f>
        <v>8359</v>
      </c>
      <c r="J13" s="88">
        <f t="shared" si="0"/>
        <v>3.4657754672607899E-2</v>
      </c>
      <c r="K13" s="81">
        <f t="shared" si="1"/>
        <v>78400</v>
      </c>
      <c r="L13" s="61" t="e">
        <f>VLOOKUP(c_5[[#This Row],[hwycov_id]],count!$A$630:$E$652,5,FALSE)</f>
        <v>#N/A</v>
      </c>
      <c r="M13" s="81"/>
    </row>
    <row r="14" spans="1:35" ht="15" customHeight="1" x14ac:dyDescent="0.2">
      <c r="A14" s="96">
        <v>5</v>
      </c>
      <c r="B14" s="96" t="s">
        <v>400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8903</v>
      </c>
      <c r="I14" s="89">
        <f>VLOOKUP(c_5[[#This Row],[hwycov_id]],flow0[],5,FALSE)</f>
        <v>9570</v>
      </c>
      <c r="J14" s="88">
        <f t="shared" ref="J14:J18" si="2">I14/H14-1</f>
        <v>7.4918566775244333E-2</v>
      </c>
      <c r="K14" s="81">
        <f t="shared" ref="K14:K18" si="3">POWER((I14-H14),2)</f>
        <v>444889</v>
      </c>
      <c r="L14" s="61" t="e">
        <f>VLOOKUP(c_5[[#This Row],[hwycov_id]],count!$A$630:$E$652,5,FALSE)</f>
        <v>#N/A</v>
      </c>
    </row>
    <row r="15" spans="1:35" ht="15" customHeight="1" x14ac:dyDescent="0.2">
      <c r="A15" s="96">
        <v>5</v>
      </c>
      <c r="B15" s="96" t="s">
        <v>400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11341</v>
      </c>
      <c r="I15" s="89">
        <f>VLOOKUP(c_5[[#This Row],[hwycov_id]],flow0[],5,FALSE)</f>
        <v>10619</v>
      </c>
      <c r="J15" s="88">
        <f t="shared" si="2"/>
        <v>-6.3662816330129601E-2</v>
      </c>
      <c r="K15" s="81">
        <f t="shared" si="3"/>
        <v>521284</v>
      </c>
      <c r="L15" s="61" t="e">
        <f>VLOOKUP(c_5[[#This Row],[hwycov_id]],count!$A$630:$E$652,5,FALSE)</f>
        <v>#N/A</v>
      </c>
    </row>
    <row r="16" spans="1:35" ht="15" customHeight="1" x14ac:dyDescent="0.2">
      <c r="A16" s="96">
        <v>5</v>
      </c>
      <c r="B16" s="96" t="s">
        <v>400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6788</v>
      </c>
      <c r="I16" s="89">
        <f>VLOOKUP(c_5[[#This Row],[hwycov_id]],flow0[],5,FALSE)</f>
        <v>6658</v>
      </c>
      <c r="J16" s="88">
        <f t="shared" si="2"/>
        <v>-1.9151443724219175E-2</v>
      </c>
      <c r="K16" s="81">
        <f t="shared" si="3"/>
        <v>16900</v>
      </c>
      <c r="L16" s="61" t="e">
        <f>VLOOKUP(c_5[[#This Row],[hwycov_id]],count!$A$630:$E$652,5,FALSE)</f>
        <v>#N/A</v>
      </c>
    </row>
    <row r="17" spans="1:12" ht="15" customHeight="1" x14ac:dyDescent="0.2">
      <c r="A17" s="96">
        <v>5</v>
      </c>
      <c r="B17" s="96" t="s">
        <v>400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8862</v>
      </c>
      <c r="I17" s="89">
        <f>VLOOKUP(c_5[[#This Row],[hwycov_id]],flow0[],5,FALSE)</f>
        <v>9278</v>
      </c>
      <c r="J17" s="88">
        <f t="shared" si="2"/>
        <v>4.694199954863465E-2</v>
      </c>
      <c r="K17" s="81">
        <f t="shared" si="3"/>
        <v>173056</v>
      </c>
      <c r="L17" s="61" t="e">
        <f>VLOOKUP(c_5[[#This Row],[hwycov_id]],count!$A$630:$E$652,5,FALSE)</f>
        <v>#N/A</v>
      </c>
    </row>
    <row r="18" spans="1:12" ht="15" customHeight="1" x14ac:dyDescent="0.2">
      <c r="A18" s="96">
        <v>5</v>
      </c>
      <c r="B18" s="96" t="s">
        <v>400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357</v>
      </c>
      <c r="H18" s="89">
        <v>3190</v>
      </c>
      <c r="I18" s="89">
        <f>VLOOKUP(c_5[[#This Row],[hwycov_id]],flow0[],5,FALSE)</f>
        <v>5068</v>
      </c>
      <c r="J18" s="88">
        <f t="shared" si="2"/>
        <v>0.58871473354231973</v>
      </c>
      <c r="K18" s="81">
        <f t="shared" si="3"/>
        <v>3526884</v>
      </c>
      <c r="L18" s="61" t="e">
        <f>VLOOKUP(c_5[[#This Row],[hwycov_id]],count!$A$630:$E$652,5,FALSE)</f>
        <v>#N/A</v>
      </c>
    </row>
  </sheetData>
  <conditionalFormatting sqref="N2:N13 M14:N1048576 J19:L1048576">
    <cfRule type="cellIs" dxfId="565" priority="5" operator="lessThan">
      <formula>-0.2</formula>
    </cfRule>
    <cfRule type="cellIs" dxfId="564" priority="6" operator="greaterThan">
      <formula>0.2</formula>
    </cfRule>
  </conditionalFormatting>
  <conditionalFormatting sqref="J2:J12">
    <cfRule type="cellIs" dxfId="563" priority="3" operator="lessThan">
      <formula>-0.2</formula>
    </cfRule>
    <cfRule type="cellIs" dxfId="562" priority="4" operator="greaterThan">
      <formula>0.2</formula>
    </cfRule>
  </conditionalFormatting>
  <conditionalFormatting sqref="N1">
    <cfRule type="cellIs" dxfId="561" priority="1" operator="lessThan">
      <formula>-0.2</formula>
    </cfRule>
    <cfRule type="cellIs" dxfId="560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AI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1" bestFit="1" customWidth="1"/>
    <col min="7" max="7" width="17" bestFit="1" customWidth="1"/>
    <col min="8" max="8" width="12" style="5" customWidth="1"/>
    <col min="9" max="9" width="13.140625" style="93" customWidth="1"/>
    <col min="10" max="10" width="8.42578125" style="60" customWidth="1"/>
    <col min="11" max="11" width="10" style="60" hidden="1" customWidth="1"/>
    <col min="12" max="12" width="10.7109375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9" t="s">
        <v>500</v>
      </c>
      <c r="M1" s="429"/>
      <c r="N1" s="122">
        <f>SQRT(AVERAGE(c_6[x2]))/AVERAGE(c_6[count])</f>
        <v>0.1768122430958608</v>
      </c>
      <c r="O1" s="136">
        <f>LINEST(c_6[flow],c_6[count],FALSE)</f>
        <v>1.1105334744309596</v>
      </c>
      <c r="P1" s="136">
        <f>RSQ(c_6[flow],c_6[count])</f>
        <v>0.20816602496659173</v>
      </c>
      <c r="Q1" s="43">
        <f>IFERROR(AVERAGEIF(c_6[gap],"&gt;=0",c_6[gap]),0)</f>
        <v>0.18758950609669411</v>
      </c>
      <c r="R1" s="44">
        <f>IFERROR(AVERAGEIF(c_6[gap],"&lt;0",c_6[gap]),0)</f>
        <v>-1.9316265521999054E-2</v>
      </c>
      <c r="S1" s="14">
        <f>AVERAGE(c_6[gap])</f>
        <v>0.11862091555712972</v>
      </c>
      <c r="T1" s="42">
        <f>COUNTIFS(c_6[gap],"&lt;10%",c_6[gap],"&gt;=-10%")/COUNTA(c_6[gap])</f>
        <v>0.66666666666666663</v>
      </c>
      <c r="U1" s="42">
        <f>COUNTIFS(c_6[gap],"&lt;20%",c_6[gap],"&gt;=-20%")/COUNTA(c_6[gap])</f>
        <v>0.66666666666666663</v>
      </c>
      <c r="V1" s="42">
        <f>COUNTIFS(c_6[gap],"&lt;30%",c_6[gap],"&gt;=-30%")/COUNTA(c_6[gap])</f>
        <v>1</v>
      </c>
      <c r="W1" s="43">
        <f>COUNTIF(c_6[gap],"&gt;=0")/COUNTA(c_6[gap])</f>
        <v>0.66666666666666663</v>
      </c>
      <c r="X1" s="45">
        <f>COUNTIF(c_6[gap],"&lt;0")/COUNTA(c_6[gap])</f>
        <v>0.33333333333333331</v>
      </c>
      <c r="Y1" s="7" t="str">
        <f>"%Link(+)="&amp;TEXT(W1,"0%")</f>
        <v>%Link(+)=67%</v>
      </c>
      <c r="Z1" s="7" t="str">
        <f>"%Link(-)="&amp;TEXT(X1,"0%")</f>
        <v>%Link(-)=33%</v>
      </c>
      <c r="AA1" s="32" t="str">
        <f>"AvgGap(+)="&amp;TEXT(Q1,"0%")</f>
        <v>AvgGap(+)=19%</v>
      </c>
      <c r="AB1" t="str">
        <f>"AvgGap(-)="&amp;TEXT(R1,"0%")</f>
        <v>AvgGap(-)=-2%</v>
      </c>
      <c r="AC1" t="str">
        <f>"AvgGap(±)="&amp;TEXT(S1,"0%")</f>
        <v>AvgGap(±)=12%</v>
      </c>
      <c r="AD1" t="str">
        <f>"GapIn(±10%)="&amp;TEXT(T1,"0%")</f>
        <v>GapIn(±10%)=67%</v>
      </c>
      <c r="AE1" t="str">
        <f>"GapIn(±20%)="&amp;TEXT(U1,"0%")</f>
        <v>GapIn(±20%)=67%</v>
      </c>
      <c r="AF1" t="str">
        <f>"GapIn(±30%)="&amp;TEXT(V1,"0%")</f>
        <v>GapIn(±30%)=100%</v>
      </c>
      <c r="AG1" t="str">
        <f>"Linear Slope="&amp;TEXT(O1,"#.###")</f>
        <v>Linear Slope=1.111</v>
      </c>
      <c r="AH1" t="str">
        <f>"RMSE="&amp;TEXT(N1,"0%")</f>
        <v>RMSE=18%</v>
      </c>
      <c r="AI1" s="46" t="str">
        <f>CONCATENATE(Y1," ",Z1," ",AA1,"  ",AB1,"  ",AC1,"  ",AD1,"  ",AE1,"  ",AF1,"  ",AG1," ",AH1)</f>
        <v>%Link(+)=67% %Link(-)=33% AvgGap(+)=19%  AvgGap(-)=-2%  AvgGap(±)=12%  GapIn(±10%)=67%  GapIn(±20%)=67%  GapIn(±30%)=100%  Linear Slope=1.111 RMSE=18%</v>
      </c>
    </row>
    <row r="2" spans="1:35" x14ac:dyDescent="0.25">
      <c r="A2">
        <v>6</v>
      </c>
      <c r="B2" s="1" t="s">
        <v>401</v>
      </c>
      <c r="C2" s="1">
        <v>13046</v>
      </c>
      <c r="D2" s="8">
        <v>1.25</v>
      </c>
      <c r="E2" s="71">
        <v>0.387295</v>
      </c>
      <c r="F2" s="1" t="s">
        <v>336</v>
      </c>
      <c r="G2" s="1" t="s">
        <v>336</v>
      </c>
      <c r="H2" s="4">
        <v>13046</v>
      </c>
      <c r="I2" s="92">
        <f>VLOOKUP(c_6[[#This Row],[hwycov_id]],flow0[],5,FALSE)</f>
        <v>12794</v>
      </c>
      <c r="J2" s="60">
        <f t="shared" ref="J2:J4" si="0">I2/H2-1</f>
        <v>-1.9316265521999054E-2</v>
      </c>
      <c r="K2" s="81">
        <f t="shared" ref="K2:K4" si="1">POWER((I2-H2),2)</f>
        <v>63504</v>
      </c>
      <c r="L2" s="81" t="e">
        <f>VLOOKUP(c_6[[#This Row],[hwycov_id]],count!$A$630:$E$652,5,FALSE)</f>
        <v>#N/A</v>
      </c>
      <c r="M2" s="81"/>
    </row>
    <row r="3" spans="1:35" x14ac:dyDescent="0.25">
      <c r="A3">
        <v>6</v>
      </c>
      <c r="B3" s="355" t="s">
        <v>401</v>
      </c>
      <c r="C3" s="355">
        <v>13037</v>
      </c>
      <c r="D3" s="8">
        <v>1.7</v>
      </c>
      <c r="E3" s="356">
        <v>0.44995400000000002</v>
      </c>
      <c r="F3" s="355" t="s">
        <v>336</v>
      </c>
      <c r="G3" s="355" t="s">
        <v>36</v>
      </c>
      <c r="H3" s="357">
        <v>11690</v>
      </c>
      <c r="I3" s="358">
        <f>VLOOKUP(c_6[[#This Row],[hwycov_id]],flow0[],5,FALSE)</f>
        <v>15155</v>
      </c>
      <c r="J3" s="60">
        <f t="shared" si="0"/>
        <v>0.29640718562874246</v>
      </c>
      <c r="K3" s="81">
        <f t="shared" si="1"/>
        <v>12006225</v>
      </c>
      <c r="L3" s="81" t="e">
        <f>VLOOKUP(c_6[[#This Row],[hwycov_id]],count!$A$630:$E$652,5,FALSE)</f>
        <v>#N/A</v>
      </c>
      <c r="M3" s="81"/>
    </row>
    <row r="4" spans="1:35" x14ac:dyDescent="0.25">
      <c r="A4">
        <v>6</v>
      </c>
      <c r="B4" s="355" t="s">
        <v>401</v>
      </c>
      <c r="C4" s="355">
        <v>9036</v>
      </c>
      <c r="D4" s="8">
        <v>2.8</v>
      </c>
      <c r="E4" s="356">
        <v>0.52929800000000005</v>
      </c>
      <c r="F4" s="355" t="s">
        <v>37</v>
      </c>
      <c r="G4" s="355" t="s">
        <v>402</v>
      </c>
      <c r="H4" s="357">
        <v>10194</v>
      </c>
      <c r="I4" s="358">
        <f>VLOOKUP(c_6[[#This Row],[hwycov_id]],flow0[],5,FALSE)</f>
        <v>10997</v>
      </c>
      <c r="J4" s="60">
        <f t="shared" si="0"/>
        <v>7.8771826564645764E-2</v>
      </c>
      <c r="K4" s="81">
        <f t="shared" si="1"/>
        <v>644809</v>
      </c>
      <c r="L4" s="81" t="e">
        <f>VLOOKUP(c_6[[#This Row],[hwycov_id]],count!$A$630:$E$652,5,FALSE)</f>
        <v>#N/A</v>
      </c>
      <c r="M4" s="81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</sheetData>
  <conditionalFormatting sqref="N2 J16:M1048576 J2:J9">
    <cfRule type="cellIs" dxfId="545" priority="7" operator="lessThan">
      <formula>-0.2</formula>
    </cfRule>
    <cfRule type="cellIs" dxfId="544" priority="8" operator="greaterThan">
      <formula>0.2</formula>
    </cfRule>
  </conditionalFormatting>
  <conditionalFormatting sqref="J11:J15">
    <cfRule type="cellIs" dxfId="543" priority="3" operator="lessThan">
      <formula>-0.2</formula>
    </cfRule>
    <cfRule type="cellIs" dxfId="542" priority="4" operator="greaterThan">
      <formula>0.2</formula>
    </cfRule>
  </conditionalFormatting>
  <conditionalFormatting sqref="N1">
    <cfRule type="cellIs" dxfId="541" priority="1" operator="lessThan">
      <formula>-0.2</formula>
    </cfRule>
    <cfRule type="cellIs" dxfId="54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1:AX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K1" sqref="K1:L1048576"/>
    </sheetView>
  </sheetViews>
  <sheetFormatPr defaultRowHeight="15" x14ac:dyDescent="0.25"/>
  <cols>
    <col min="1" max="1" width="10.140625" customWidth="1"/>
    <col min="2" max="2" width="10.42578125" bestFit="1" customWidth="1"/>
    <col min="3" max="3" width="12.28515625" customWidth="1"/>
    <col min="4" max="4" width="10.140625" style="8" bestFit="1" customWidth="1"/>
    <col min="5" max="5" width="9.140625" style="15" hidden="1" customWidth="1"/>
    <col min="6" max="6" width="10" customWidth="1"/>
    <col min="7" max="7" width="10.5703125" bestFit="1" customWidth="1"/>
    <col min="8" max="8" width="12" style="5" customWidth="1"/>
    <col min="9" max="9" width="13.140625" style="5" customWidth="1"/>
    <col min="10" max="10" width="8.42578125" style="60" customWidth="1"/>
    <col min="11" max="12" width="10" style="60" hidden="1" customWidth="1"/>
    <col min="13" max="13" width="10.7109375" style="60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50" x14ac:dyDescent="0.25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429" t="s">
        <v>500</v>
      </c>
      <c r="M1" s="81"/>
      <c r="N1" s="138">
        <f>SQRT(AVERAGE(c_7[x2]))/AVERAGE(c_7[count])</f>
        <v>0.63033953997809422</v>
      </c>
      <c r="O1" s="136">
        <f>LINEST(c_7[flow],c_7[count],FALSE)</f>
        <v>1.6303395399780942</v>
      </c>
      <c r="P1" s="136" t="e">
        <f>RSQ(c_7[flow],c_7[count])</f>
        <v>#DIV/0!</v>
      </c>
      <c r="Q1" s="43">
        <f>IFERROR(AVERAGEIF(c_7[gap],"&gt;=0",c_7[gap]),0)</f>
        <v>0.63033953997809422</v>
      </c>
      <c r="R1" s="44">
        <f>IFERROR(AVERAGEIF(c_7[gap],"&lt;0",c_7[gap]),0)</f>
        <v>0</v>
      </c>
      <c r="S1" s="14">
        <f>AVERAGE(c_7[gap])</f>
        <v>0.63033953997809422</v>
      </c>
      <c r="T1" s="42">
        <f>COUNTIFS(c_7[gap],"&lt;10%",c_7[gap],"&gt;=-10%")/COUNTA(c_7[gap])</f>
        <v>0</v>
      </c>
      <c r="U1" s="42">
        <f>COUNTIFS(c_7[gap],"&lt;20%",c_7[gap],"&gt;=-20%")/COUNTA(c_7[gap])</f>
        <v>0</v>
      </c>
      <c r="V1" s="42">
        <f>COUNTIFS(c_7[gap],"&lt;30%",c_7[gap],"&gt;=-30%")/COUNTA(c_7[gap])</f>
        <v>0</v>
      </c>
      <c r="W1" s="43">
        <f>COUNTIF(c_7[gap],"&gt;=0")/COUNTA(c_7[gap])</f>
        <v>1</v>
      </c>
      <c r="X1" s="45">
        <f>COUNTIF(c_7[gap],"&lt;0")/COUNTA(c_7[gap])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129" t="str">
        <f>"AvgGap(+)="&amp;TEXT(Q1,"0%")</f>
        <v>AvgGap(+)=63%</v>
      </c>
      <c r="AB1" s="80" t="str">
        <f>"AvgGap(-)="&amp;TEXT(R1,"0%")</f>
        <v>AvgGap(-)=0%</v>
      </c>
      <c r="AC1" s="80" t="str">
        <f>"AvgGap(±)="&amp;TEXT(S1,"0%")</f>
        <v>AvgGap(±)=63%</v>
      </c>
      <c r="AD1" s="80" t="str">
        <f>"GapIn(±10%)="&amp;TEXT(T1,"0%")</f>
        <v>GapIn(±10%)=0%</v>
      </c>
      <c r="AE1" s="80" t="str">
        <f>"GapIn(±20%)="&amp;TEXT(U1,"0%")</f>
        <v>GapIn(±20%)=0%</v>
      </c>
      <c r="AF1" s="80" t="str">
        <f>"GapIn(±30%)="&amp;TEXT(V1,"0%")</f>
        <v>GapIn(±30%)=0%</v>
      </c>
      <c r="AG1" s="80" t="str">
        <f>"Linear Slope="&amp;TEXT(O1,"#.###")</f>
        <v>Linear Slope=1.63</v>
      </c>
      <c r="AH1" s="80" t="str">
        <f>"RMSE="&amp;TEXT(N1,"0%")</f>
        <v>RMSE=63%</v>
      </c>
      <c r="AI1" s="47" t="str">
        <f>CONCATENATE(Y1," ",Z1," ",AA1,"  ",AB1,"  ",AC1,"  ",AD1,"  ",AE1,"  ",AF1,"  ",AG1," ",AH1)</f>
        <v>%Link(+)=100% %Link(-)=0% AvgGap(+)=63%  AvgGap(-)=0%  AvgGap(±)=63%  GapIn(±10%)=0%  GapIn(±20%)=0%  GapIn(±30%)=0%  Linear Slope=1.63 RMSE=63%</v>
      </c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</row>
    <row r="2" spans="1:50" x14ac:dyDescent="0.25">
      <c r="A2">
        <v>7</v>
      </c>
      <c r="B2" s="5" t="s">
        <v>403</v>
      </c>
      <c r="C2" s="5">
        <v>14232</v>
      </c>
      <c r="D2" s="8">
        <v>1.97</v>
      </c>
      <c r="E2" s="71">
        <v>1.966372</v>
      </c>
      <c r="F2" s="1" t="s">
        <v>404</v>
      </c>
      <c r="G2" s="1" t="s">
        <v>338</v>
      </c>
      <c r="H2" s="5">
        <v>7304</v>
      </c>
      <c r="I2" s="5">
        <f>VLOOKUP(c_7[[#This Row],[hwycov_id]],flow0[],5,FALSE)</f>
        <v>11908</v>
      </c>
      <c r="J2" s="60">
        <f>I2/H2-1</f>
        <v>0.63033953997809422</v>
      </c>
      <c r="K2" s="81">
        <f>POWER((I2-H2),2)</f>
        <v>21196816</v>
      </c>
      <c r="L2" s="81" t="e">
        <f>VLOOKUP(c_7[[#This Row],[hwycov_id]],count!$A$630:$E$652,5,FALSE)</f>
        <v>#N/A</v>
      </c>
      <c r="M2" s="81"/>
    </row>
    <row r="3" spans="1:50" x14ac:dyDescent="0.25">
      <c r="B3" s="1"/>
      <c r="C3" s="1"/>
      <c r="E3" s="71"/>
      <c r="F3" s="1"/>
      <c r="G3" s="1"/>
      <c r="H3" s="4"/>
      <c r="I3" s="16"/>
      <c r="K3" s="81"/>
      <c r="L3" s="81"/>
      <c r="M3" s="81"/>
    </row>
    <row r="4" spans="1:50" x14ac:dyDescent="0.25">
      <c r="B4" s="1"/>
      <c r="C4" s="1"/>
      <c r="E4" s="71"/>
      <c r="F4" s="1"/>
      <c r="G4" s="1"/>
      <c r="H4" s="4"/>
      <c r="I4" s="16"/>
      <c r="K4" s="81"/>
      <c r="L4" s="81"/>
      <c r="M4" s="81"/>
    </row>
    <row r="5" spans="1:50" x14ac:dyDescent="0.25">
      <c r="B5" s="1"/>
      <c r="C5" s="1"/>
      <c r="E5" s="71"/>
      <c r="F5" s="1"/>
      <c r="G5" s="1"/>
      <c r="H5" s="4"/>
      <c r="I5" s="16"/>
      <c r="K5" s="81"/>
      <c r="L5" s="81"/>
      <c r="M5" s="81"/>
    </row>
    <row r="6" spans="1:50" x14ac:dyDescent="0.25">
      <c r="K6" s="81"/>
      <c r="L6" s="81"/>
      <c r="M6" s="81"/>
    </row>
    <row r="7" spans="1:50" x14ac:dyDescent="0.25">
      <c r="K7" s="81"/>
      <c r="L7" s="81"/>
      <c r="M7" s="81"/>
    </row>
    <row r="8" spans="1:50" x14ac:dyDescent="0.25">
      <c r="K8" s="81"/>
      <c r="L8" s="81"/>
      <c r="M8" s="81"/>
    </row>
    <row r="9" spans="1:50" x14ac:dyDescent="0.25">
      <c r="K9" s="81"/>
      <c r="L9" s="81"/>
      <c r="M9" s="81"/>
    </row>
    <row r="10" spans="1:50" x14ac:dyDescent="0.25">
      <c r="K10" s="81"/>
      <c r="L10" s="81"/>
      <c r="M10" s="81"/>
    </row>
    <row r="11" spans="1:50" x14ac:dyDescent="0.25">
      <c r="K11" s="81"/>
      <c r="L11" s="81"/>
      <c r="M11" s="81"/>
    </row>
    <row r="12" spans="1:50" x14ac:dyDescent="0.25">
      <c r="K12" s="81"/>
      <c r="L12" s="81"/>
      <c r="M12" s="81"/>
    </row>
    <row r="13" spans="1:50" x14ac:dyDescent="0.25">
      <c r="K13" s="81"/>
      <c r="L13" s="81"/>
      <c r="M13" s="81"/>
    </row>
    <row r="14" spans="1:50" x14ac:dyDescent="0.25">
      <c r="K14" s="81"/>
      <c r="L14" s="81"/>
      <c r="M14" s="81"/>
    </row>
    <row r="15" spans="1:50" x14ac:dyDescent="0.25">
      <c r="K15" s="81"/>
      <c r="L15" s="81"/>
      <c r="M15" s="81"/>
    </row>
    <row r="16" spans="1:50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</sheetData>
  <conditionalFormatting sqref="N2:N5 J19:M1048576">
    <cfRule type="cellIs" dxfId="527" priority="7" operator="lessThan">
      <formula>-0.2</formula>
    </cfRule>
    <cfRule type="cellIs" dxfId="526" priority="8" operator="greaterThan">
      <formula>0.2</formula>
    </cfRule>
  </conditionalFormatting>
  <conditionalFormatting sqref="J2:J12 J14:J18">
    <cfRule type="cellIs" dxfId="525" priority="3" operator="lessThan">
      <formula>-0.2</formula>
    </cfRule>
    <cfRule type="cellIs" dxfId="524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3" tint="0.39997558519241921"/>
  </sheetPr>
  <dimension ref="A1:AI23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x14ac:dyDescent="0.25"/>
  <cols>
    <col min="1" max="1" width="10.5703125" style="80" bestFit="1" customWidth="1"/>
    <col min="2" max="2" width="16.140625" style="80" bestFit="1" customWidth="1"/>
    <col min="3" max="3" width="12" style="96" bestFit="1" customWidth="1"/>
    <col min="4" max="4" width="7.85546875" style="89" bestFit="1" customWidth="1"/>
    <col min="5" max="5" width="8.85546875" style="117" hidden="1" customWidth="1"/>
    <col min="6" max="6" width="20.42578125" style="96" bestFit="1" customWidth="1"/>
    <col min="7" max="7" width="21.42578125" style="96" bestFit="1" customWidth="1"/>
    <col min="8" max="8" width="7.85546875" style="89" bestFit="1" customWidth="1"/>
    <col min="9" max="9" width="7.140625" style="89" bestFit="1" customWidth="1"/>
    <col min="10" max="10" width="6.42578125" style="88" bestFit="1" customWidth="1"/>
    <col min="11" max="12" width="14.42578125" style="81" hidden="1" customWidth="1"/>
    <col min="13" max="13" width="10.7109375" style="81" customWidth="1"/>
    <col min="14" max="14" width="9" style="90" customWidth="1"/>
    <col min="15" max="16" width="9" style="91" customWidth="1"/>
    <col min="17" max="19" width="9.140625" style="80"/>
    <col min="20" max="20" width="10.42578125" style="80" customWidth="1"/>
    <col min="21" max="21" width="9.140625" style="80"/>
    <col min="22" max="22" width="9.5703125" style="80" customWidth="1"/>
    <col min="23" max="24" width="9.28515625" style="80" customWidth="1"/>
    <col min="25" max="16384" width="9.140625" style="80"/>
  </cols>
  <sheetData>
    <row r="1" spans="1:35" x14ac:dyDescent="0.25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L1" s="438" t="s">
        <v>500</v>
      </c>
      <c r="N1" s="122">
        <f>SQRT(AVERAGE(c_29[x2]))/AVERAGE(c_29[count])</f>
        <v>0.16119287570240715</v>
      </c>
      <c r="O1" s="123">
        <f>LINEST(c_29[flow],c_29[count],FALSE)</f>
        <v>0.91808846373459407</v>
      </c>
      <c r="P1" s="91">
        <f>RSQ(c_29[flow],c_29[count])</f>
        <v>0.29433664962738093</v>
      </c>
      <c r="Q1" s="124">
        <f>IFERROR(AVERAGEIF(c_29[gap],"&gt;=0",c_29[gap]),0)</f>
        <v>0.17413034447274656</v>
      </c>
      <c r="R1" s="125">
        <f>IFERROR(AVERAGEIF(c_29[gap],"&lt;0",c_29[gap]),0)</f>
        <v>-0.14334365716825381</v>
      </c>
      <c r="S1" s="126">
        <f>AVERAGE(c_29[gap])</f>
        <v>-4.5659348971022924E-2</v>
      </c>
      <c r="T1" s="127">
        <f>COUNTIFS(c_29[gap],"&lt;10%",c_29[gap],"&gt;=-10%")/COUNTA(c_29[gap])</f>
        <v>0.23076923076923078</v>
      </c>
      <c r="U1" s="127">
        <f>COUNTIFS(c_29[gap],"&lt;20%",c_29[gap],"&gt;=-20%")/COUNTA(c_29[gap])</f>
        <v>0.69230769230769229</v>
      </c>
      <c r="V1" s="127">
        <f>COUNTIFS(c_29[gap],"&lt;30%",c_29[gap],"&gt;=-30%")/COUNTA(c_29[gap])</f>
        <v>1</v>
      </c>
      <c r="W1" s="124">
        <f>COUNTIF(c_29[gap],"&gt;=0")/COUNTA(c_29[gap])</f>
        <v>0.30769230769230771</v>
      </c>
      <c r="X1" s="128">
        <f>COUNTIF(c_29[gap],"&lt;0")/COUNTA(c_29[gap])</f>
        <v>0.69230769230769229</v>
      </c>
      <c r="Y1" s="90" t="str">
        <f>"%Link(+)="&amp;TEXT(W1,"0%")</f>
        <v>%Link(+)=31%</v>
      </c>
      <c r="Z1" s="90" t="str">
        <f>"%Link(-)="&amp;TEXT(X1,"0%")</f>
        <v>%Link(-)=69%</v>
      </c>
      <c r="AA1" s="129" t="str">
        <f>"AvgGap(+)="&amp;TEXT(Q1,"0%")</f>
        <v>AvgGap(+)=17%</v>
      </c>
      <c r="AB1" s="80" t="str">
        <f>"AvgGap(-)="&amp;TEXT(R1,"0%")</f>
        <v>AvgGap(-)=-14%</v>
      </c>
      <c r="AC1" s="80" t="str">
        <f>"AvgGap(±)="&amp;TEXT(S1,"0%")</f>
        <v>AvgGap(±)=-5%</v>
      </c>
      <c r="AD1" s="80" t="str">
        <f>"GapIn(±10%)="&amp;TEXT(T1,"0%")</f>
        <v>GapIn(±10%)=23%</v>
      </c>
      <c r="AE1" s="80" t="str">
        <f>"GapIn(±20%)="&amp;TEXT(U1,"0%")</f>
        <v>GapIn(±20%)=69%</v>
      </c>
      <c r="AF1" s="80" t="str">
        <f>"GapIn(±30%)="&amp;TEXT(V1,"0%")</f>
        <v>GapIn(±30%)=100%</v>
      </c>
      <c r="AG1" s="80" t="str">
        <f>"Linear Slope="&amp;TEXT(O1,"#.###")</f>
        <v>Linear Slope=.918</v>
      </c>
      <c r="AH1" s="80" t="str">
        <f>"RMSE="&amp;TEXT(N1,"0%")</f>
        <v>RMSE=16%</v>
      </c>
      <c r="AI1" s="47" t="str">
        <f>CONCATENATE(Y1," ",Z1," ",AA1,"  ",AB1,"  ",AC1,"  ",AD1," ",AE1,"  ",AF1,"  ",AG1," ",AH1)</f>
        <v>%Link(+)=31% %Link(-)=69% AvgGap(+)=17%  AvgGap(-)=-14%  AvgGap(±)=-5%  GapIn(±10%)=23% GapIn(±20%)=69%  GapIn(±30%)=100%  Linear Slope=.918 RMSE=16%</v>
      </c>
    </row>
    <row r="2" spans="1:35" x14ac:dyDescent="0.25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8440</v>
      </c>
      <c r="I2" s="95">
        <f>VLOOKUP(c_29[[#This Row],[hwycov_id]],flow0[],5,FALSE)</f>
        <v>9795</v>
      </c>
      <c r="J2" s="88">
        <f>I2/H2-1</f>
        <v>0.16054502369668255</v>
      </c>
      <c r="K2" s="81">
        <f t="shared" ref="K2:K13" si="0">POWER((I2-H2),2)</f>
        <v>1836025</v>
      </c>
      <c r="L2" s="438" t="e">
        <f>VLOOKUP(c_29[[#This Row],[hwycov_id]],count!$A$630:$E$652,5,FALSE)</f>
        <v>#N/A</v>
      </c>
    </row>
    <row r="3" spans="1:35" x14ac:dyDescent="0.25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8034</v>
      </c>
      <c r="I3" s="87">
        <f>VLOOKUP(c_29[[#This Row],[hwycov_id]],flow0[],5,FALSE)</f>
        <v>9795</v>
      </c>
      <c r="J3" s="88">
        <f t="shared" ref="J3:J13" si="1">I3/H3-1</f>
        <v>0.21919342793129193</v>
      </c>
      <c r="K3" s="81">
        <f t="shared" si="0"/>
        <v>3101121</v>
      </c>
      <c r="L3" s="438" t="e">
        <f>VLOOKUP(c_29[[#This Row],[hwycov_id]],count!$A$630:$E$652,5,FALSE)</f>
        <v>#N/A</v>
      </c>
    </row>
    <row r="4" spans="1:35" x14ac:dyDescent="0.25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11668</v>
      </c>
      <c r="I4" s="87">
        <f>VLOOKUP(c_29[[#This Row],[hwycov_id]],flow0[],5,FALSE)</f>
        <v>10258</v>
      </c>
      <c r="J4" s="88">
        <f t="shared" si="1"/>
        <v>-0.12084333219060683</v>
      </c>
      <c r="K4" s="81">
        <f t="shared" si="0"/>
        <v>1988100</v>
      </c>
      <c r="L4" s="438" t="e">
        <f>VLOOKUP(c_29[[#This Row],[hwycov_id]],count!$A$630:$E$652,5,FALSE)</f>
        <v>#N/A</v>
      </c>
    </row>
    <row r="5" spans="1:35" x14ac:dyDescent="0.25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11009</v>
      </c>
      <c r="I5" s="87">
        <f>VLOOKUP(c_29[[#This Row],[hwycov_id]],flow0[],5,FALSE)</f>
        <v>10524</v>
      </c>
      <c r="J5" s="88">
        <f t="shared" si="1"/>
        <v>-4.4054864202016542E-2</v>
      </c>
      <c r="K5" s="81">
        <f t="shared" si="0"/>
        <v>235225</v>
      </c>
      <c r="L5" s="438" t="e">
        <f>VLOOKUP(c_29[[#This Row],[hwycov_id]],count!$A$630:$E$652,5,FALSE)</f>
        <v>#N/A</v>
      </c>
    </row>
    <row r="6" spans="1:35" x14ac:dyDescent="0.25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12430</v>
      </c>
      <c r="I6" s="87">
        <f>VLOOKUP(c_29[[#This Row],[hwycov_id]],flow0[],5,FALSE)</f>
        <v>10524</v>
      </c>
      <c r="J6" s="88">
        <f t="shared" si="1"/>
        <v>-0.15333869670152855</v>
      </c>
      <c r="K6" s="81">
        <f t="shared" si="0"/>
        <v>3632836</v>
      </c>
      <c r="L6" s="438" t="e">
        <f>VLOOKUP(c_29[[#This Row],[hwycov_id]],count!$A$630:$E$652,5,FALSE)</f>
        <v>#N/A</v>
      </c>
    </row>
    <row r="7" spans="1:35" x14ac:dyDescent="0.25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10550</v>
      </c>
      <c r="I7" s="87">
        <f>VLOOKUP(c_29[[#This Row],[hwycov_id]],flow0[],5,FALSE)</f>
        <v>10080</v>
      </c>
      <c r="J7" s="88">
        <f t="shared" si="1"/>
        <v>-4.4549763033175371E-2</v>
      </c>
      <c r="K7" s="81">
        <f t="shared" si="0"/>
        <v>220900</v>
      </c>
      <c r="L7" s="438" t="e">
        <f>VLOOKUP(c_29[[#This Row],[hwycov_id]],count!$A$630:$E$652,5,FALSE)</f>
        <v>#N/A</v>
      </c>
    </row>
    <row r="8" spans="1:35" x14ac:dyDescent="0.25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7648</v>
      </c>
      <c r="I8" s="87">
        <f>VLOOKUP(c_29[[#This Row],[hwycov_id]],flow0[],5,FALSE)</f>
        <v>9716</v>
      </c>
      <c r="J8" s="88">
        <f t="shared" si="1"/>
        <v>0.27039748953974896</v>
      </c>
      <c r="K8" s="81">
        <f t="shared" si="0"/>
        <v>4276624</v>
      </c>
      <c r="L8" s="438" t="e">
        <f>VLOOKUP(c_29[[#This Row],[hwycov_id]],count!$A$630:$E$652,5,FALSE)</f>
        <v>#N/A</v>
      </c>
      <c r="N8" s="80"/>
    </row>
    <row r="9" spans="1:35" x14ac:dyDescent="0.25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11992</v>
      </c>
      <c r="I9" s="87">
        <f>VLOOKUP(c_29[[#This Row],[hwycov_id]],flow0[],5,FALSE)</f>
        <v>9198</v>
      </c>
      <c r="J9" s="88">
        <f t="shared" si="1"/>
        <v>-0.23298865910607069</v>
      </c>
      <c r="K9" s="81">
        <f t="shared" si="0"/>
        <v>7806436</v>
      </c>
      <c r="L9" s="438" t="e">
        <f>VLOOKUP(c_29[[#This Row],[hwycov_id]],count!$A$630:$E$652,5,FALSE)</f>
        <v>#N/A</v>
      </c>
      <c r="N9" s="80"/>
    </row>
    <row r="10" spans="1:35" x14ac:dyDescent="0.25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11426</v>
      </c>
      <c r="I10" s="87">
        <f>VLOOKUP(c_29[[#This Row],[hwycov_id]],flow0[],5,FALSE)</f>
        <v>11956</v>
      </c>
      <c r="J10" s="88">
        <f t="shared" si="1"/>
        <v>4.6385436723262785E-2</v>
      </c>
      <c r="K10" s="81">
        <f t="shared" si="0"/>
        <v>280900</v>
      </c>
      <c r="L10" s="438" t="e">
        <f>VLOOKUP(c_29[[#This Row],[hwycov_id]],count!$A$630:$E$652,5,FALSE)</f>
        <v>#N/A</v>
      </c>
      <c r="N10" s="80"/>
    </row>
    <row r="11" spans="1:35" x14ac:dyDescent="0.25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12796</v>
      </c>
      <c r="I11" s="87">
        <f>VLOOKUP(c_29[[#This Row],[hwycov_id]],flow0[],5,FALSE)</f>
        <v>10825</v>
      </c>
      <c r="J11" s="88">
        <f t="shared" si="1"/>
        <v>-0.15403251015942487</v>
      </c>
      <c r="K11" s="81">
        <f t="shared" si="0"/>
        <v>3884841</v>
      </c>
      <c r="L11" s="438" t="e">
        <f>VLOOKUP(c_29[[#This Row],[hwycov_id]],count!$A$630:$E$652,5,FALSE)</f>
        <v>#N/A</v>
      </c>
    </row>
    <row r="12" spans="1:35" x14ac:dyDescent="0.25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12880</v>
      </c>
      <c r="I12" s="87">
        <f>VLOOKUP(c_29[[#This Row],[hwycov_id]],flow0[],5,FALSE)</f>
        <v>10825</v>
      </c>
      <c r="J12" s="88">
        <f t="shared" si="1"/>
        <v>-0.15954968944099379</v>
      </c>
      <c r="K12" s="81">
        <f t="shared" si="0"/>
        <v>4223025</v>
      </c>
      <c r="L12" s="438" t="e">
        <f>VLOOKUP(c_29[[#This Row],[hwycov_id]],count!$A$630:$E$652,5,FALSE)</f>
        <v>#N/A</v>
      </c>
    </row>
    <row r="13" spans="1:35" x14ac:dyDescent="0.25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11289</v>
      </c>
      <c r="I13" s="87">
        <f>VLOOKUP(c_29[[#This Row],[hwycov_id]],flow0[],5,FALSE)</f>
        <v>9284</v>
      </c>
      <c r="J13" s="88">
        <f t="shared" si="1"/>
        <v>-0.17760651962086982</v>
      </c>
      <c r="K13" s="81">
        <f t="shared" si="0"/>
        <v>4020025</v>
      </c>
      <c r="L13" s="438" t="e">
        <f>VLOOKUP(c_29[[#This Row],[hwycov_id]],count!$A$630:$E$652,5,FALSE)</f>
        <v>#N/A</v>
      </c>
    </row>
    <row r="14" spans="1:35" x14ac:dyDescent="0.25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8054</v>
      </c>
      <c r="I14" s="87">
        <f>VLOOKUP(c_29[[#This Row],[hwycov_id]],flow0[],5,FALSE)</f>
        <v>6418</v>
      </c>
      <c r="J14" s="88">
        <f>I14/H14-1</f>
        <v>-0.20312888005959773</v>
      </c>
      <c r="K14" s="81">
        <f>POWER((I14-H14),2)</f>
        <v>2676496</v>
      </c>
      <c r="L14" s="438" t="e">
        <f>VLOOKUP(c_29[[#This Row],[hwycov_id]],count!$A$630:$E$652,5,FALSE)</f>
        <v>#N/A</v>
      </c>
    </row>
    <row r="17" spans="7:7" x14ac:dyDescent="0.25">
      <c r="G17" s="434"/>
    </row>
    <row r="18" spans="7:7" x14ac:dyDescent="0.25">
      <c r="G18" s="435"/>
    </row>
    <row r="19" spans="7:7" x14ac:dyDescent="0.25">
      <c r="G19" s="435"/>
    </row>
    <row r="20" spans="7:7" x14ac:dyDescent="0.25">
      <c r="G20" s="436"/>
    </row>
    <row r="21" spans="7:7" x14ac:dyDescent="0.25">
      <c r="G21" s="437"/>
    </row>
    <row r="22" spans="7:7" x14ac:dyDescent="0.25">
      <c r="G22" s="435"/>
    </row>
    <row r="23" spans="7:7" x14ac:dyDescent="0.25">
      <c r="G23" s="434"/>
    </row>
  </sheetData>
  <conditionalFormatting sqref="N2:N1048576">
    <cfRule type="cellIs" dxfId="511" priority="5" operator="lessThan">
      <formula>-0.2</formula>
    </cfRule>
    <cfRule type="cellIs" dxfId="510" priority="6" operator="greaterThan">
      <formula>0.2</formula>
    </cfRule>
  </conditionalFormatting>
  <conditionalFormatting sqref="J20:J1048576">
    <cfRule type="cellIs" dxfId="509" priority="3" operator="lessThan">
      <formula>-0.2</formula>
    </cfRule>
    <cfRule type="cellIs" dxfId="508" priority="4" operator="greaterThan">
      <formula>0.2</formula>
    </cfRule>
  </conditionalFormatting>
  <conditionalFormatting sqref="J2:J12 J15:J19">
    <cfRule type="cellIs" dxfId="507" priority="1" operator="lessThan">
      <formula>-0.2</formula>
    </cfRule>
    <cfRule type="cellIs" dxfId="5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3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x14ac:dyDescent="0.25"/>
  <cols>
    <col min="1" max="2" width="10.140625" customWidth="1"/>
    <col min="3" max="3" width="11.5703125" style="59" customWidth="1"/>
    <col min="4" max="4" width="11.140625" style="61" customWidth="1"/>
    <col min="5" max="5" width="8.140625" style="69" hidden="1" customWidth="1"/>
    <col min="6" max="6" width="18.7109375" style="59" bestFit="1" customWidth="1"/>
    <col min="7" max="7" width="17.28515625" style="59" bestFit="1" customWidth="1"/>
    <col min="8" max="8" width="10.28515625" style="61" customWidth="1"/>
    <col min="9" max="9" width="11.140625" style="61" customWidth="1"/>
    <col min="10" max="10" width="8.42578125" style="60" customWidth="1"/>
    <col min="11" max="11" width="14.42578125" style="61" hidden="1" customWidth="1"/>
    <col min="12" max="12" width="10.7109375" style="61" hidden="1" customWidth="1"/>
    <col min="13" max="13" width="10.7109375" style="61" customWidth="1"/>
    <col min="14" max="14" width="9" style="7" customWidth="1"/>
    <col min="15" max="16" width="9" style="3" customWidth="1"/>
    <col min="20" max="20" width="10.42578125" customWidth="1"/>
    <col min="22" max="22" width="9.5703125" customWidth="1"/>
    <col min="23" max="24" width="9.28515625" customWidth="1"/>
  </cols>
  <sheetData>
    <row r="1" spans="1:35" x14ac:dyDescent="0.25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 t="s">
        <v>500</v>
      </c>
      <c r="M1" s="81"/>
      <c r="N1" s="122">
        <f>SQRT(AVERAGE(c_31[x2]))/AVERAGE(c_31[count])</f>
        <v>1.301340629158273</v>
      </c>
      <c r="O1" s="123">
        <f>LINEST(c_31[flow],c_31[count],FALSE)</f>
        <v>2.2630185276130494</v>
      </c>
      <c r="P1" s="91" t="e">
        <f>RSQ(c_31[flow],c_31[count])</f>
        <v>#DIV/0!</v>
      </c>
      <c r="Q1" s="124">
        <f>IFERROR(AVERAGEIF(c_31[gap],"&gt;=0",c_31[gap]),0)</f>
        <v>1.330324530046229</v>
      </c>
      <c r="R1" s="125">
        <f>IFERROR(AVERAGEIF(c_31[gap],"&lt;0",c_31[gap]),0)</f>
        <v>0</v>
      </c>
      <c r="S1" s="126">
        <f>AVERAGE(c_31[gap])</f>
        <v>1.330324530046229</v>
      </c>
      <c r="T1" s="127">
        <f>COUNTIFS(c_31[gap],"&lt;10%",c_31[gap],"&gt;=-10%")/COUNTA(c_31[gap])</f>
        <v>0</v>
      </c>
      <c r="U1" s="127">
        <f>COUNTIFS(c_31[gap],"&lt;20%",c_31[gap],"&gt;=-20%")/COUNTA(c_31[gap])</f>
        <v>0</v>
      </c>
      <c r="V1" s="127">
        <f>COUNTIFS(c_31[gap],"&lt;30%",c_31[gap],"&gt;=-30%")/COUNTA(c_31[gap])</f>
        <v>0</v>
      </c>
      <c r="W1" s="124">
        <f>COUNTIF(c_31[gap],"&gt;=0")/COUNTA(c_31[gap])</f>
        <v>1</v>
      </c>
      <c r="X1" s="128">
        <f>COUNTIF(c_31[gap],"&lt;0")/COUNTA(c_31[gap])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32" t="str">
        <f>"AvgGap(+)="&amp;TEXT(Q1,"0%")</f>
        <v>AvgGap(+)=133%</v>
      </c>
      <c r="AB1" t="str">
        <f>"AvgGap(-)="&amp;TEXT(R1,"0%")</f>
        <v>AvgGap(-)=0%</v>
      </c>
      <c r="AC1" t="str">
        <f>"AvgGap(±)="&amp;TEXT(S1,"0%")</f>
        <v>AvgGap(±)=133%</v>
      </c>
      <c r="AD1" t="str">
        <f>"GapIn(±10%)="&amp;TEXT(T1,"0%")</f>
        <v>GapIn(±10%)=0%</v>
      </c>
      <c r="AE1" t="str">
        <f>"GapIn(±20%)="&amp;TEXT(U1,"0%")</f>
        <v>GapIn(±20%)=0%</v>
      </c>
      <c r="AF1" t="str">
        <f>"GapIn(±30%)="&amp;TEXT(V1,"0%")</f>
        <v>GapIn(±30%)=0%</v>
      </c>
      <c r="AG1" t="str">
        <f>"Linear Slope="&amp;TEXT(O1,"#.###")</f>
        <v>Linear Slope=2.263</v>
      </c>
      <c r="AH1" t="str">
        <f>"RMSE="&amp;TEXT(N1,"0%")</f>
        <v>RMSE=130%</v>
      </c>
      <c r="AI1" s="46" t="str">
        <f>CONCATENATE(Y1," ",Z1," ",AA1,"  ",AB1,"  ",AC1,"  ",AD1," ",AE1,"  ",AF1,"  ",AG1," ",AH1)</f>
        <v>%Link(+)=100% %Link(-)=0% AvgGap(+)=133%  AvgGap(-)=0%  AvgGap(±)=133%  GapIn(±10%)=0% GapIn(±20%)=0%  GapIn(±30%)=0%  Linear Slope=2.263 RMSE=130%</v>
      </c>
    </row>
    <row r="2" spans="1:35" x14ac:dyDescent="0.25">
      <c r="A2">
        <v>31</v>
      </c>
      <c r="B2" t="s">
        <v>397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3416</v>
      </c>
      <c r="I2" s="68">
        <f>VLOOKUP(c_31[[#This Row],[hwycov_id]],flow0[],5,FALSE)</f>
        <v>6872</v>
      </c>
      <c r="J2" s="60">
        <f>I2/H2-1</f>
        <v>1.0117096018735361</v>
      </c>
      <c r="K2" s="81">
        <f t="shared" ref="K2:K4" si="0">POWER((I2-H2),2)</f>
        <v>11943936</v>
      </c>
      <c r="L2" s="439" t="e">
        <f>VLOOKUP(c_31[[#This Row],[hwycov_id]],count!$A$630:$E$652,5,FALSE)</f>
        <v>#N/A</v>
      </c>
      <c r="M2" s="439"/>
    </row>
    <row r="3" spans="1:35" x14ac:dyDescent="0.25">
      <c r="A3">
        <v>31</v>
      </c>
      <c r="B3" t="s">
        <v>397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2536</v>
      </c>
      <c r="I3" s="68">
        <f>VLOOKUP(c_31[[#This Row],[hwycov_id]],flow0[],5,FALSE)</f>
        <v>6872</v>
      </c>
      <c r="J3" s="60">
        <f t="shared" ref="J3:J4" si="1">I3/H3-1</f>
        <v>1.7097791798107256</v>
      </c>
      <c r="K3" s="81">
        <f t="shared" si="0"/>
        <v>18800896</v>
      </c>
      <c r="L3" s="439" t="e">
        <f>VLOOKUP(c_31[[#This Row],[hwycov_id]],count!$A$630:$E$652,5,FALSE)</f>
        <v>#N/A</v>
      </c>
      <c r="M3" s="439"/>
    </row>
    <row r="4" spans="1:35" x14ac:dyDescent="0.25">
      <c r="A4">
        <v>31</v>
      </c>
      <c r="B4" t="s">
        <v>397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3028</v>
      </c>
      <c r="I4" s="68">
        <f>VLOOKUP(c_31[[#This Row],[hwycov_id]],flow0[],5,FALSE)</f>
        <v>6872</v>
      </c>
      <c r="J4" s="60">
        <f t="shared" si="1"/>
        <v>1.2694848084544255</v>
      </c>
      <c r="K4" s="81">
        <f t="shared" si="0"/>
        <v>14776336</v>
      </c>
      <c r="L4" s="439" t="e">
        <f>VLOOKUP(c_31[[#This Row],[hwycov_id]],count!$A$630:$E$652,5,FALSE)</f>
        <v>#N/A</v>
      </c>
      <c r="M4" s="439"/>
    </row>
    <row r="5" spans="1:35" x14ac:dyDescent="0.25">
      <c r="K5" s="81"/>
      <c r="L5" s="81"/>
      <c r="M5" s="81"/>
    </row>
    <row r="6" spans="1:35" x14ac:dyDescent="0.25">
      <c r="K6" s="81"/>
      <c r="L6" s="81"/>
      <c r="M6" s="81"/>
    </row>
    <row r="7" spans="1:35" x14ac:dyDescent="0.25">
      <c r="K7" s="81"/>
      <c r="L7" s="81"/>
      <c r="M7" s="81"/>
    </row>
    <row r="8" spans="1:35" x14ac:dyDescent="0.25">
      <c r="K8" s="81"/>
      <c r="L8" s="81"/>
      <c r="M8" s="81"/>
    </row>
    <row r="9" spans="1:35" x14ac:dyDescent="0.25">
      <c r="K9" s="81"/>
      <c r="L9" s="81"/>
      <c r="M9" s="81"/>
    </row>
    <row r="10" spans="1:35" x14ac:dyDescent="0.25">
      <c r="K10" s="81"/>
      <c r="L10" s="81"/>
      <c r="M10" s="81"/>
    </row>
    <row r="11" spans="1:35" x14ac:dyDescent="0.25">
      <c r="K11" s="81"/>
      <c r="L11" s="81"/>
      <c r="M11" s="81"/>
    </row>
    <row r="12" spans="1:35" x14ac:dyDescent="0.25">
      <c r="K12" s="81"/>
      <c r="L12" s="81"/>
      <c r="M12" s="81"/>
    </row>
    <row r="13" spans="1:35" x14ac:dyDescent="0.25">
      <c r="K13" s="81"/>
      <c r="L13" s="81"/>
      <c r="M13" s="81"/>
    </row>
    <row r="14" spans="1:35" x14ac:dyDescent="0.25">
      <c r="K14" s="81"/>
      <c r="L14" s="81"/>
      <c r="M14" s="81"/>
    </row>
    <row r="15" spans="1:35" x14ac:dyDescent="0.25">
      <c r="K15" s="81"/>
      <c r="L15" s="81"/>
      <c r="M15" s="81"/>
    </row>
    <row r="16" spans="1:35" x14ac:dyDescent="0.25">
      <c r="K16" s="81"/>
      <c r="L16" s="81"/>
      <c r="M16" s="81"/>
    </row>
    <row r="17" spans="11:13" x14ac:dyDescent="0.25">
      <c r="K17" s="81"/>
      <c r="L17" s="81"/>
      <c r="M17" s="81"/>
    </row>
    <row r="18" spans="11:13" x14ac:dyDescent="0.25">
      <c r="K18" s="81"/>
      <c r="L18" s="81"/>
      <c r="M18" s="81"/>
    </row>
    <row r="19" spans="11:13" x14ac:dyDescent="0.25">
      <c r="K19" s="81"/>
      <c r="L19" s="81"/>
      <c r="M19" s="81"/>
    </row>
    <row r="20" spans="11:13" x14ac:dyDescent="0.25">
      <c r="K20" s="81"/>
      <c r="L20" s="81"/>
      <c r="M20" s="81"/>
    </row>
    <row r="21" spans="11:13" x14ac:dyDescent="0.25">
      <c r="K21" s="81"/>
      <c r="L21" s="81"/>
      <c r="M21" s="81"/>
    </row>
    <row r="22" spans="11:13" x14ac:dyDescent="0.25">
      <c r="K22" s="81"/>
      <c r="L22" s="81"/>
      <c r="M22" s="81"/>
    </row>
    <row r="23" spans="11:13" x14ac:dyDescent="0.25">
      <c r="K23" s="81"/>
      <c r="L23" s="81"/>
      <c r="M23" s="81"/>
    </row>
    <row r="24" spans="11:13" x14ac:dyDescent="0.25">
      <c r="K24" s="81"/>
      <c r="L24" s="81"/>
      <c r="M24" s="81"/>
    </row>
    <row r="25" spans="11:13" x14ac:dyDescent="0.25">
      <c r="K25" s="81"/>
      <c r="L25" s="81"/>
      <c r="M25" s="81"/>
    </row>
    <row r="26" spans="11:13" x14ac:dyDescent="0.25">
      <c r="K26" s="81"/>
      <c r="L26" s="81"/>
      <c r="M26" s="81"/>
    </row>
    <row r="27" spans="11:13" x14ac:dyDescent="0.25">
      <c r="K27" s="81"/>
      <c r="L27" s="81"/>
      <c r="M27" s="81"/>
    </row>
    <row r="28" spans="11:13" x14ac:dyDescent="0.25">
      <c r="K28" s="81"/>
      <c r="L28" s="81"/>
      <c r="M28" s="81"/>
    </row>
    <row r="29" spans="11:13" x14ac:dyDescent="0.25">
      <c r="K29" s="81"/>
      <c r="L29" s="81"/>
      <c r="M29" s="81"/>
    </row>
    <row r="30" spans="11:13" x14ac:dyDescent="0.25">
      <c r="K30" s="81"/>
      <c r="L30" s="81"/>
      <c r="M30" s="81"/>
    </row>
    <row r="31" spans="11:13" x14ac:dyDescent="0.25">
      <c r="K31" s="81"/>
      <c r="L31" s="81"/>
      <c r="M31" s="81"/>
    </row>
    <row r="32" spans="11:13" x14ac:dyDescent="0.25">
      <c r="K32" s="81"/>
      <c r="L32" s="81"/>
      <c r="M32" s="81"/>
    </row>
    <row r="33" spans="11:13" x14ac:dyDescent="0.25">
      <c r="K33" s="81"/>
      <c r="L33" s="81"/>
      <c r="M33" s="81"/>
    </row>
    <row r="34" spans="11:13" x14ac:dyDescent="0.25">
      <c r="K34" s="81"/>
      <c r="L34" s="81"/>
      <c r="M34" s="81"/>
    </row>
    <row r="35" spans="11:13" x14ac:dyDescent="0.25">
      <c r="K35" s="81"/>
      <c r="L35" s="81"/>
      <c r="M35" s="81"/>
    </row>
    <row r="36" spans="11:13" x14ac:dyDescent="0.25">
      <c r="K36" s="81"/>
      <c r="L36" s="81"/>
      <c r="M36" s="81"/>
    </row>
    <row r="37" spans="11:13" x14ac:dyDescent="0.25">
      <c r="K37" s="81"/>
      <c r="L37" s="81"/>
      <c r="M37" s="81"/>
    </row>
    <row r="38" spans="11:13" x14ac:dyDescent="0.25">
      <c r="K38" s="81"/>
      <c r="L38" s="81"/>
      <c r="M38" s="81"/>
    </row>
    <row r="39" spans="11:13" x14ac:dyDescent="0.25">
      <c r="K39" s="81"/>
      <c r="L39" s="81"/>
      <c r="M39" s="81"/>
    </row>
    <row r="40" spans="11:13" x14ac:dyDescent="0.25">
      <c r="K40" s="81"/>
      <c r="L40" s="81"/>
      <c r="M40" s="81"/>
    </row>
    <row r="41" spans="11:13" x14ac:dyDescent="0.25">
      <c r="K41" s="81"/>
      <c r="L41" s="81"/>
      <c r="M41" s="81"/>
    </row>
    <row r="42" spans="11:13" x14ac:dyDescent="0.25">
      <c r="K42" s="81"/>
      <c r="L42" s="81"/>
      <c r="M42" s="81"/>
    </row>
    <row r="43" spans="11:13" x14ac:dyDescent="0.25">
      <c r="K43" s="81"/>
      <c r="L43" s="81"/>
      <c r="M43" s="81"/>
    </row>
    <row r="44" spans="11:13" x14ac:dyDescent="0.25">
      <c r="K44" s="81"/>
      <c r="L44" s="81"/>
      <c r="M44" s="81"/>
    </row>
    <row r="45" spans="11:13" x14ac:dyDescent="0.25">
      <c r="K45" s="81"/>
      <c r="L45" s="81"/>
      <c r="M45" s="81"/>
    </row>
    <row r="46" spans="11:13" x14ac:dyDescent="0.25">
      <c r="K46" s="81"/>
      <c r="L46" s="81"/>
      <c r="M46" s="81"/>
    </row>
    <row r="47" spans="11:13" x14ac:dyDescent="0.25">
      <c r="K47" s="81"/>
      <c r="L47" s="81"/>
      <c r="M47" s="81"/>
    </row>
    <row r="48" spans="11:13" x14ac:dyDescent="0.25">
      <c r="K48" s="81"/>
      <c r="L48" s="81"/>
      <c r="M48" s="81"/>
    </row>
    <row r="49" spans="11:13" x14ac:dyDescent="0.25">
      <c r="K49" s="81"/>
      <c r="L49" s="81"/>
      <c r="M49" s="81"/>
    </row>
    <row r="50" spans="11:13" x14ac:dyDescent="0.25">
      <c r="K50" s="81"/>
      <c r="L50" s="81"/>
      <c r="M50" s="81"/>
    </row>
    <row r="51" spans="11:13" x14ac:dyDescent="0.25">
      <c r="K51" s="81"/>
      <c r="L51" s="81"/>
      <c r="M51" s="81"/>
    </row>
    <row r="52" spans="11:13" x14ac:dyDescent="0.25">
      <c r="K52" s="81"/>
      <c r="L52" s="81"/>
      <c r="M52" s="81"/>
    </row>
    <row r="53" spans="11:13" x14ac:dyDescent="0.25">
      <c r="K53" s="81"/>
      <c r="L53" s="81"/>
      <c r="M53" s="81"/>
    </row>
    <row r="54" spans="11:13" x14ac:dyDescent="0.25">
      <c r="K54" s="81"/>
      <c r="L54" s="81"/>
      <c r="M54" s="81"/>
    </row>
    <row r="55" spans="11:13" x14ac:dyDescent="0.25">
      <c r="K55" s="81"/>
      <c r="L55" s="81"/>
      <c r="M55" s="81"/>
    </row>
    <row r="56" spans="11:13" x14ac:dyDescent="0.25">
      <c r="K56" s="81"/>
      <c r="L56" s="81"/>
      <c r="M56" s="81"/>
    </row>
    <row r="57" spans="11:13" x14ac:dyDescent="0.25">
      <c r="K57" s="81"/>
      <c r="L57" s="81"/>
      <c r="M57" s="81"/>
    </row>
    <row r="58" spans="11:13" x14ac:dyDescent="0.25">
      <c r="K58" s="81"/>
      <c r="L58" s="81"/>
      <c r="M58" s="81"/>
    </row>
    <row r="59" spans="11:13" x14ac:dyDescent="0.25">
      <c r="K59" s="81"/>
      <c r="L59" s="81"/>
      <c r="M59" s="81"/>
    </row>
    <row r="60" spans="11:13" x14ac:dyDescent="0.25">
      <c r="K60" s="81"/>
      <c r="L60" s="81"/>
      <c r="M60" s="81"/>
    </row>
    <row r="61" spans="11:13" x14ac:dyDescent="0.25">
      <c r="K61" s="81"/>
      <c r="L61" s="81"/>
      <c r="M61" s="81"/>
    </row>
    <row r="62" spans="11:13" x14ac:dyDescent="0.25">
      <c r="K62" s="81"/>
      <c r="L62" s="81"/>
      <c r="M62" s="81"/>
    </row>
    <row r="63" spans="11:13" x14ac:dyDescent="0.25">
      <c r="K63" s="81"/>
      <c r="L63" s="81"/>
      <c r="M63" s="81"/>
    </row>
    <row r="64" spans="11:13" x14ac:dyDescent="0.25">
      <c r="K64" s="81"/>
      <c r="L64" s="81"/>
      <c r="M64" s="81"/>
    </row>
    <row r="65" spans="11:13" x14ac:dyDescent="0.25">
      <c r="K65" s="81"/>
      <c r="L65" s="81"/>
      <c r="M65" s="81"/>
    </row>
    <row r="66" spans="11:13" x14ac:dyDescent="0.25">
      <c r="K66" s="81"/>
      <c r="L66" s="81"/>
      <c r="M66" s="81"/>
    </row>
    <row r="67" spans="11:13" x14ac:dyDescent="0.25">
      <c r="K67" s="81"/>
      <c r="L67" s="81"/>
      <c r="M67" s="81"/>
    </row>
    <row r="68" spans="11:13" x14ac:dyDescent="0.25">
      <c r="K68" s="81"/>
      <c r="L68" s="81"/>
      <c r="M68" s="81"/>
    </row>
    <row r="69" spans="11:13" x14ac:dyDescent="0.25">
      <c r="K69" s="81"/>
      <c r="L69" s="81"/>
      <c r="M69" s="81"/>
    </row>
    <row r="70" spans="11:13" x14ac:dyDescent="0.25">
      <c r="K70" s="81"/>
      <c r="L70" s="81"/>
      <c r="M70" s="81"/>
    </row>
    <row r="71" spans="11:13" x14ac:dyDescent="0.25">
      <c r="K71" s="81"/>
      <c r="L71" s="81"/>
      <c r="M71" s="81"/>
    </row>
    <row r="72" spans="11:13" x14ac:dyDescent="0.25">
      <c r="K72" s="81"/>
      <c r="L72" s="81"/>
      <c r="M72" s="81"/>
    </row>
    <row r="73" spans="11:13" x14ac:dyDescent="0.25">
      <c r="K73" s="81"/>
      <c r="L73" s="81"/>
      <c r="M73" s="81"/>
    </row>
    <row r="74" spans="11:13" x14ac:dyDescent="0.25">
      <c r="K74" s="81"/>
      <c r="L74" s="81"/>
      <c r="M74" s="81"/>
    </row>
    <row r="75" spans="11:13" x14ac:dyDescent="0.25">
      <c r="K75" s="81"/>
      <c r="L75" s="81"/>
      <c r="M75" s="81"/>
    </row>
    <row r="76" spans="11:13" x14ac:dyDescent="0.25">
      <c r="K76" s="81"/>
      <c r="L76" s="81"/>
      <c r="M76" s="81"/>
    </row>
    <row r="77" spans="11:13" x14ac:dyDescent="0.25">
      <c r="K77" s="81"/>
      <c r="L77" s="81"/>
      <c r="M77" s="81"/>
    </row>
  </sheetData>
  <conditionalFormatting sqref="N2:N1048576">
    <cfRule type="cellIs" dxfId="491" priority="7" operator="lessThan">
      <formula>-0.2</formula>
    </cfRule>
    <cfRule type="cellIs" dxfId="490" priority="8" operator="greaterThan">
      <formula>0.2</formula>
    </cfRule>
  </conditionalFormatting>
  <conditionalFormatting sqref="J19:J1048576">
    <cfRule type="cellIs" dxfId="489" priority="5" operator="lessThan">
      <formula>-0.2</formula>
    </cfRule>
    <cfRule type="cellIs" dxfId="488" priority="6" operator="greaterThan">
      <formula>0.2</formula>
    </cfRule>
  </conditionalFormatting>
  <conditionalFormatting sqref="J2:J12 J14:J18">
    <cfRule type="cellIs" dxfId="487" priority="3" operator="lessThan">
      <formula>-0.2</formula>
    </cfRule>
    <cfRule type="cellIs" dxfId="486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L5" sqref="L5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SQRT(AVERAGE(c_8[x2]))/AVERAGE(c_8[count])</f>
        <v>0.19959556846564916</v>
      </c>
      <c r="O1" s="136">
        <f>LINEST(c_8[flow],c_8[count],FALSE)</f>
        <v>1.0833720671697855</v>
      </c>
      <c r="P1" s="136">
        <f>RSQ(c_8[flow],c_8[count])</f>
        <v>0.52270406299888383</v>
      </c>
      <c r="Q1" s="43">
        <f>IFERROR(AVERAGEIF(c_8[gap],"&gt;=0",c_8[gap]),0)</f>
        <v>0.2179468403654973</v>
      </c>
      <c r="R1" s="44">
        <f>IFERROR(AVERAGEIF(c_8[gap],"&lt;0",c_8[gap]),0)</f>
        <v>-6.9287473531036259E-2</v>
      </c>
      <c r="S1" s="14">
        <f>AVERAGE(c_8[gap])</f>
        <v>8.5047381696951946E-2</v>
      </c>
      <c r="T1" s="42">
        <f>COUNTIFS(c_8[gap],"&lt;10%",c_8[gap],"&gt;=-10%")/COUNTA(c_8[gap])</f>
        <v>0.5074626865671642</v>
      </c>
      <c r="U1" s="42">
        <f>COUNTIFS(c_8[gap],"&lt;20%",c_8[gap],"&gt;=-20%")/COUNTA(c_8[gap])</f>
        <v>0.73134328358208955</v>
      </c>
      <c r="V1" s="42">
        <f>COUNTIFS(c_8[gap],"&lt;30%",c_8[gap],"&gt;=-30%")/COUNTA(c_8[gap])</f>
        <v>0.83582089552238803</v>
      </c>
      <c r="W1" s="43">
        <f>COUNTIF(c_8[gap],"&gt;=0")/COUNTA(c_8[gap])</f>
        <v>0.53731343283582089</v>
      </c>
      <c r="X1" s="45">
        <f>COUNTIF(c_8[gap],"&lt;0")/COUNTA(c_8[gap])</f>
        <v>0.46268656716417911</v>
      </c>
      <c r="Y1" s="76" t="str">
        <f>"%Link(+)="&amp;TEXT(W1,"0%")</f>
        <v>%Link(+)=54%</v>
      </c>
      <c r="Z1" s="76" t="str">
        <f>"%Link(-)="&amp;TEXT(X1,"0%")</f>
        <v>%Link(-)=46%</v>
      </c>
      <c r="AA1" s="73" t="str">
        <f>"AvgGap(+)="&amp;TEXT(Q1,"0%")</f>
        <v>AvgGap(+)=22%</v>
      </c>
      <c r="AB1" s="59" t="str">
        <f>"AvgGap(-)="&amp;TEXT(R1,"0%")</f>
        <v>AvgGap(-)=-7%</v>
      </c>
      <c r="AC1" s="59" t="str">
        <f>"AvgGap(±)="&amp;TEXT(S1,"0%")</f>
        <v>AvgGap(±)=9%</v>
      </c>
      <c r="AD1" s="59" t="str">
        <f>"GapIn(±10%)="&amp;TEXT(T1,"0%")</f>
        <v>GapIn(±10%)=51%</v>
      </c>
      <c r="AE1" s="59" t="str">
        <f>"GapIn(±20%)="&amp;TEXT(U1,"0%")</f>
        <v>GapIn(±20%)=73%</v>
      </c>
      <c r="AF1" s="59" t="str">
        <f>"GapIn(±30%)="&amp;TEXT(V1,"0%")</f>
        <v>GapIn(±30%)=84%</v>
      </c>
      <c r="AG1" s="59" t="str">
        <f>"Linear Slope="&amp;TEXT(O1,"#.###")</f>
        <v>Linear Slope=1.083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%Link(+)=54% %Link(-)=46% AvgGap(+)=22%  AvgGap(-)=-7%  AvgGap(±)=9%  GapIn(±10%)=51% GapIn(±20%)=73%  GapIn(±30%)=84%  Linear Slope=1.083 RMSE=20%</v>
      </c>
    </row>
    <row r="2" spans="1:35" ht="15" customHeight="1" x14ac:dyDescent="0.2">
      <c r="A2" s="59">
        <v>8</v>
      </c>
      <c r="B2" s="59" t="s">
        <v>405</v>
      </c>
      <c r="C2" s="65">
        <v>27598</v>
      </c>
      <c r="D2" s="61">
        <v>17.78</v>
      </c>
      <c r="E2" s="70">
        <v>7.0530939999999998</v>
      </c>
      <c r="F2" s="65" t="s">
        <v>327</v>
      </c>
      <c r="G2" s="65" t="s">
        <v>109</v>
      </c>
      <c r="H2" s="68">
        <v>14524</v>
      </c>
      <c r="I2" s="94">
        <f>VLOOKUP(c_8[[#This Row],[hwycov_id]],flow0[],5,FALSE)</f>
        <v>12883</v>
      </c>
      <c r="J2" s="60">
        <f t="shared" ref="J2:J33" si="0">I2/H2-1</f>
        <v>-0.11298540347011843</v>
      </c>
      <c r="K2" s="81">
        <f t="shared" ref="K2:K33" si="1">POWER((I2-H2),2)</f>
        <v>2692881</v>
      </c>
      <c r="L2" s="61" t="e">
        <f>VLOOKUP(c_8[[#This Row],[hwycov_id]],count!$A$630:$E$652,5,FALSE)</f>
        <v>#N/A</v>
      </c>
      <c r="M2" s="81"/>
    </row>
    <row r="3" spans="1:35" ht="15" customHeight="1" x14ac:dyDescent="0.2">
      <c r="A3" s="59">
        <v>8</v>
      </c>
      <c r="B3" s="59" t="s">
        <v>405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14490</v>
      </c>
      <c r="I3" s="94">
        <f>VLOOKUP(c_8[[#This Row],[hwycov_id]],flow0[],5,FALSE)</f>
        <v>12636</v>
      </c>
      <c r="J3" s="60">
        <f t="shared" si="0"/>
        <v>-0.12795031055900619</v>
      </c>
      <c r="K3" s="81">
        <f t="shared" si="1"/>
        <v>3437316</v>
      </c>
      <c r="L3" s="61" t="e">
        <f>VLOOKUP(c_8[[#This Row],[hwycov_id]],count!$A$630:$E$652,5,FALSE)</f>
        <v>#N/A</v>
      </c>
      <c r="M3" s="81"/>
    </row>
    <row r="4" spans="1:35" ht="15" customHeight="1" x14ac:dyDescent="0.2">
      <c r="A4" s="59">
        <v>8</v>
      </c>
      <c r="B4" s="59" t="s">
        <v>405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15863</v>
      </c>
      <c r="I4" s="94">
        <f>VLOOKUP(c_8[[#This Row],[hwycov_id]],flow0[],5,FALSE)</f>
        <v>14962</v>
      </c>
      <c r="J4" s="60">
        <f t="shared" si="0"/>
        <v>-5.6798840068083001E-2</v>
      </c>
      <c r="K4" s="81">
        <f t="shared" si="1"/>
        <v>811801</v>
      </c>
      <c r="L4" s="61" t="e">
        <f>VLOOKUP(c_8[[#This Row],[hwycov_id]],count!$A$630:$E$652,5,FALSE)</f>
        <v>#N/A</v>
      </c>
      <c r="M4" s="81"/>
    </row>
    <row r="5" spans="1:35" ht="15" customHeight="1" x14ac:dyDescent="0.2">
      <c r="A5" s="59">
        <v>8</v>
      </c>
      <c r="B5" s="59" t="s">
        <v>405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19293</v>
      </c>
      <c r="I5" s="94">
        <f>VLOOKUP(c_8[[#This Row],[hwycov_id]],flow0[],5,FALSE)</f>
        <v>17526</v>
      </c>
      <c r="J5" s="60">
        <f t="shared" si="0"/>
        <v>-9.1587622453739748E-2</v>
      </c>
      <c r="K5" s="81">
        <f t="shared" si="1"/>
        <v>3122289</v>
      </c>
      <c r="L5" s="61" t="e">
        <f>VLOOKUP(c_8[[#This Row],[hwycov_id]],count!$A$630:$E$652,5,FALSE)</f>
        <v>#N/A</v>
      </c>
      <c r="M5" s="81"/>
    </row>
    <row r="6" spans="1:35" ht="15" customHeight="1" x14ac:dyDescent="0.2">
      <c r="A6" s="59">
        <v>8</v>
      </c>
      <c r="B6" s="59" t="s">
        <v>405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17697</v>
      </c>
      <c r="I6" s="94">
        <f>VLOOKUP(c_8[[#This Row],[hwycov_id]],flow0[],5,FALSE)</f>
        <v>17017</v>
      </c>
      <c r="J6" s="60">
        <f t="shared" si="0"/>
        <v>-3.8424591738712821E-2</v>
      </c>
      <c r="K6" s="81">
        <f t="shared" si="1"/>
        <v>462400</v>
      </c>
      <c r="L6" s="61" t="e">
        <f>VLOOKUP(c_8[[#This Row],[hwycov_id]],count!$A$630:$E$652,5,FALSE)</f>
        <v>#N/A</v>
      </c>
      <c r="M6" s="81"/>
    </row>
    <row r="7" spans="1:35" ht="15" customHeight="1" x14ac:dyDescent="0.2">
      <c r="A7" s="59">
        <v>8</v>
      </c>
      <c r="B7" s="59" t="s">
        <v>405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18877</v>
      </c>
      <c r="I7" s="94">
        <f>VLOOKUP(c_8[[#This Row],[hwycov_id]],flow0[],5,FALSE)</f>
        <v>18128</v>
      </c>
      <c r="J7" s="60">
        <f t="shared" si="0"/>
        <v>-3.9677914922922053E-2</v>
      </c>
      <c r="K7" s="81">
        <f t="shared" si="1"/>
        <v>561001</v>
      </c>
      <c r="L7" s="61" t="e">
        <f>VLOOKUP(c_8[[#This Row],[hwycov_id]],count!$A$630:$E$652,5,FALSE)</f>
        <v>#N/A</v>
      </c>
      <c r="M7" s="81"/>
    </row>
    <row r="8" spans="1:35" ht="15" customHeight="1" x14ac:dyDescent="0.2">
      <c r="A8" s="59">
        <v>8</v>
      </c>
      <c r="B8" s="59" t="s">
        <v>405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20851</v>
      </c>
      <c r="I8" s="94">
        <f>VLOOKUP(c_8[[#This Row],[hwycov_id]],flow0[],5,FALSE)</f>
        <v>19047</v>
      </c>
      <c r="J8" s="60">
        <f t="shared" si="0"/>
        <v>-8.651863219989453E-2</v>
      </c>
      <c r="K8" s="81">
        <f t="shared" si="1"/>
        <v>3254416</v>
      </c>
      <c r="L8" s="61" t="e">
        <f>VLOOKUP(c_8[[#This Row],[hwycov_id]],count!$A$630:$E$652,5,FALSE)</f>
        <v>#N/A</v>
      </c>
      <c r="M8" s="81"/>
    </row>
    <row r="9" spans="1:35" ht="15" customHeight="1" x14ac:dyDescent="0.2">
      <c r="A9" s="59">
        <v>8</v>
      </c>
      <c r="B9" s="59" t="s">
        <v>405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21835</v>
      </c>
      <c r="I9" s="94">
        <f>VLOOKUP(c_8[[#This Row],[hwycov_id]],flow0[],5,FALSE)</f>
        <v>19762</v>
      </c>
      <c r="J9" s="60">
        <f t="shared" si="0"/>
        <v>-9.4939317609342821E-2</v>
      </c>
      <c r="K9" s="81">
        <f t="shared" si="1"/>
        <v>4297329</v>
      </c>
      <c r="L9" s="61" t="e">
        <f>VLOOKUP(c_8[[#This Row],[hwycov_id]],count!$A$630:$E$652,5,FALSE)</f>
        <v>#N/A</v>
      </c>
      <c r="M9" s="81"/>
    </row>
    <row r="10" spans="1:35" ht="15" customHeight="1" x14ac:dyDescent="0.2">
      <c r="A10" s="59">
        <v>8</v>
      </c>
      <c r="B10" s="59" t="s">
        <v>405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18348</v>
      </c>
      <c r="I10" s="94">
        <f>VLOOKUP(c_8[[#This Row],[hwycov_id]],flow0[],5,FALSE)</f>
        <v>17682</v>
      </c>
      <c r="J10" s="60">
        <f t="shared" si="0"/>
        <v>-3.6298234139960805E-2</v>
      </c>
      <c r="K10" s="81">
        <f t="shared" si="1"/>
        <v>443556</v>
      </c>
      <c r="L10" s="61" t="e">
        <f>VLOOKUP(c_8[[#This Row],[hwycov_id]],count!$A$630:$E$652,5,FALSE)</f>
        <v>#N/A</v>
      </c>
      <c r="M10" s="81"/>
    </row>
    <row r="11" spans="1:35" ht="15" customHeight="1" x14ac:dyDescent="0.2">
      <c r="A11" s="59">
        <v>8</v>
      </c>
      <c r="B11" s="59" t="s">
        <v>405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16794</v>
      </c>
      <c r="I11" s="94">
        <f>VLOOKUP(c_8[[#This Row],[hwycov_id]],flow0[],5,FALSE)</f>
        <v>17028</v>
      </c>
      <c r="J11" s="60">
        <f t="shared" si="0"/>
        <v>1.3933547695605508E-2</v>
      </c>
      <c r="K11" s="81">
        <f t="shared" si="1"/>
        <v>54756</v>
      </c>
      <c r="L11" s="61" t="e">
        <f>VLOOKUP(c_8[[#This Row],[hwycov_id]],count!$A$630:$E$652,5,FALSE)</f>
        <v>#N/A</v>
      </c>
      <c r="M11" s="81"/>
    </row>
    <row r="12" spans="1:35" ht="15" customHeight="1" x14ac:dyDescent="0.2">
      <c r="A12" s="59">
        <v>8</v>
      </c>
      <c r="B12" s="59" t="s">
        <v>405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17554</v>
      </c>
      <c r="I12" s="94">
        <f>VLOOKUP(c_8[[#This Row],[hwycov_id]],flow0[],5,FALSE)</f>
        <v>17354</v>
      </c>
      <c r="J12" s="60">
        <f t="shared" si="0"/>
        <v>-1.1393414606357566E-2</v>
      </c>
      <c r="K12" s="81">
        <f t="shared" si="1"/>
        <v>40000</v>
      </c>
      <c r="L12" s="61" t="e">
        <f>VLOOKUP(c_8[[#This Row],[hwycov_id]],count!$A$630:$E$652,5,FALSE)</f>
        <v>#N/A</v>
      </c>
      <c r="M12" s="81"/>
    </row>
    <row r="13" spans="1:35" ht="15" customHeight="1" x14ac:dyDescent="0.2">
      <c r="A13" s="59">
        <v>8</v>
      </c>
      <c r="B13" s="59" t="s">
        <v>405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18707</v>
      </c>
      <c r="I13" s="94">
        <f>VLOOKUP(c_8[[#This Row],[hwycov_id]],flow0[],5,FALSE)</f>
        <v>17354</v>
      </c>
      <c r="J13" s="60">
        <f t="shared" si="0"/>
        <v>-7.2325867322392656E-2</v>
      </c>
      <c r="K13" s="81">
        <f t="shared" si="1"/>
        <v>1830609</v>
      </c>
      <c r="L13" s="61" t="e">
        <f>VLOOKUP(c_8[[#This Row],[hwycov_id]],count!$A$630:$E$652,5,FALSE)</f>
        <v>#N/A</v>
      </c>
      <c r="M13" s="81"/>
    </row>
    <row r="14" spans="1:35" ht="15" customHeight="1" x14ac:dyDescent="0.2">
      <c r="A14" s="59">
        <v>8</v>
      </c>
      <c r="B14" s="59" t="s">
        <v>405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17333</v>
      </c>
      <c r="I14" s="94">
        <f>VLOOKUP(c_8[[#This Row],[hwycov_id]],flow0[],5,FALSE)</f>
        <v>16231</v>
      </c>
      <c r="J14" s="60">
        <f t="shared" si="0"/>
        <v>-6.3578145733571789E-2</v>
      </c>
      <c r="K14" s="81">
        <f t="shared" si="1"/>
        <v>1214404</v>
      </c>
      <c r="L14" s="61" t="e">
        <f>VLOOKUP(c_8[[#This Row],[hwycov_id]],count!$A$630:$E$652,5,FALSE)</f>
        <v>#N/A</v>
      </c>
      <c r="M14" s="81"/>
    </row>
    <row r="15" spans="1:35" ht="15" customHeight="1" x14ac:dyDescent="0.2">
      <c r="A15" s="59">
        <v>8</v>
      </c>
      <c r="B15" s="59" t="s">
        <v>405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16165</v>
      </c>
      <c r="I15" s="94">
        <f>VLOOKUP(c_8[[#This Row],[hwycov_id]],flow0[],5,FALSE)</f>
        <v>16283</v>
      </c>
      <c r="J15" s="60">
        <f t="shared" si="0"/>
        <v>7.2997216207857374E-3</v>
      </c>
      <c r="K15" s="81">
        <f t="shared" si="1"/>
        <v>13924</v>
      </c>
      <c r="L15" s="61" t="e">
        <f>VLOOKUP(c_8[[#This Row],[hwycov_id]],count!$A$630:$E$652,5,FALSE)</f>
        <v>#N/A</v>
      </c>
      <c r="M15" s="81"/>
    </row>
    <row r="16" spans="1:35" ht="15" customHeight="1" x14ac:dyDescent="0.2">
      <c r="A16" s="59">
        <v>8</v>
      </c>
      <c r="B16" s="59" t="s">
        <v>405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19650</v>
      </c>
      <c r="I16" s="94">
        <f>VLOOKUP(c_8[[#This Row],[hwycov_id]],flow0[],5,FALSE)</f>
        <v>19283</v>
      </c>
      <c r="J16" s="60">
        <f t="shared" si="0"/>
        <v>-1.8676844783715008E-2</v>
      </c>
      <c r="K16" s="81">
        <f t="shared" si="1"/>
        <v>134689</v>
      </c>
      <c r="L16" s="61" t="e">
        <f>VLOOKUP(c_8[[#This Row],[hwycov_id]],count!$A$630:$E$652,5,FALSE)</f>
        <v>#N/A</v>
      </c>
      <c r="M16" s="81"/>
    </row>
    <row r="17" spans="1:13" ht="15" customHeight="1" x14ac:dyDescent="0.2">
      <c r="A17" s="59">
        <v>8</v>
      </c>
      <c r="B17" s="59" t="s">
        <v>405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18615</v>
      </c>
      <c r="I17" s="94">
        <f>VLOOKUP(c_8[[#This Row],[hwycov_id]],flow0[],5,FALSE)</f>
        <v>18053</v>
      </c>
      <c r="J17" s="60">
        <f t="shared" si="0"/>
        <v>-3.0190706419554125E-2</v>
      </c>
      <c r="K17" s="81">
        <f t="shared" si="1"/>
        <v>315844</v>
      </c>
      <c r="L17" s="61" t="e">
        <f>VLOOKUP(c_8[[#This Row],[hwycov_id]],count!$A$630:$E$652,5,FALSE)</f>
        <v>#N/A</v>
      </c>
      <c r="M17" s="81"/>
    </row>
    <row r="18" spans="1:13" ht="15" customHeight="1" x14ac:dyDescent="0.2">
      <c r="A18" s="59">
        <v>8</v>
      </c>
      <c r="B18" s="59" t="s">
        <v>405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18441</v>
      </c>
      <c r="I18" s="94">
        <f>VLOOKUP(c_8[[#This Row],[hwycov_id]],flow0[],5,FALSE)</f>
        <v>20305</v>
      </c>
      <c r="J18" s="60">
        <f t="shared" si="0"/>
        <v>0.10107911718453444</v>
      </c>
      <c r="K18" s="81">
        <f t="shared" si="1"/>
        <v>3474496</v>
      </c>
      <c r="L18" s="61" t="e">
        <f>VLOOKUP(c_8[[#This Row],[hwycov_id]],count!$A$630:$E$652,5,FALSE)</f>
        <v>#N/A</v>
      </c>
      <c r="M18" s="81"/>
    </row>
    <row r="19" spans="1:13" ht="15" customHeight="1" x14ac:dyDescent="0.2">
      <c r="A19" s="59">
        <v>8</v>
      </c>
      <c r="B19" s="59" t="s">
        <v>405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18639</v>
      </c>
      <c r="I19" s="94">
        <f>VLOOKUP(c_8[[#This Row],[hwycov_id]],flow0[],5,FALSE)</f>
        <v>18540</v>
      </c>
      <c r="J19" s="60">
        <f t="shared" si="0"/>
        <v>-5.3114437469821141E-3</v>
      </c>
      <c r="K19" s="81">
        <f t="shared" si="1"/>
        <v>9801</v>
      </c>
      <c r="L19" s="61" t="e">
        <f>VLOOKUP(c_8[[#This Row],[hwycov_id]],count!$A$630:$E$652,5,FALSE)</f>
        <v>#N/A</v>
      </c>
      <c r="M19" s="81"/>
    </row>
    <row r="20" spans="1:13" ht="15" customHeight="1" x14ac:dyDescent="0.2">
      <c r="A20" s="59">
        <v>8</v>
      </c>
      <c r="B20" s="59" t="s">
        <v>405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16659</v>
      </c>
      <c r="I20" s="94">
        <f>VLOOKUP(c_8[[#This Row],[hwycov_id]],flow0[],5,FALSE)</f>
        <v>20110</v>
      </c>
      <c r="J20" s="60">
        <f t="shared" si="0"/>
        <v>0.20715529143405975</v>
      </c>
      <c r="K20" s="81">
        <f t="shared" si="1"/>
        <v>11909401</v>
      </c>
      <c r="L20" s="61" t="e">
        <f>VLOOKUP(c_8[[#This Row],[hwycov_id]],count!$A$630:$E$652,5,FALSE)</f>
        <v>#N/A</v>
      </c>
      <c r="M20" s="81"/>
    </row>
    <row r="21" spans="1:13" ht="15" customHeight="1" x14ac:dyDescent="0.2">
      <c r="A21" s="59">
        <v>8</v>
      </c>
      <c r="B21" s="59" t="s">
        <v>405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19833</v>
      </c>
      <c r="I21" s="94">
        <f>VLOOKUP(c_8[[#This Row],[hwycov_id]],flow0[],5,FALSE)</f>
        <v>19112</v>
      </c>
      <c r="J21" s="60">
        <f t="shared" si="0"/>
        <v>-3.6353552160540481E-2</v>
      </c>
      <c r="K21" s="81">
        <f t="shared" si="1"/>
        <v>519841</v>
      </c>
      <c r="L21" s="61" t="e">
        <f>VLOOKUP(c_8[[#This Row],[hwycov_id]],count!$A$630:$E$652,5,FALSE)</f>
        <v>#N/A</v>
      </c>
      <c r="M21" s="81"/>
    </row>
    <row r="22" spans="1:13" ht="15" customHeight="1" x14ac:dyDescent="0.2">
      <c r="A22" s="59">
        <v>8</v>
      </c>
      <c r="B22" s="59" t="s">
        <v>405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21969</v>
      </c>
      <c r="I22" s="94">
        <f>VLOOKUP(c_8[[#This Row],[hwycov_id]],flow0[],5,FALSE)</f>
        <v>20725</v>
      </c>
      <c r="J22" s="60">
        <f t="shared" si="0"/>
        <v>-5.6625244662934171E-2</v>
      </c>
      <c r="K22" s="81">
        <f t="shared" si="1"/>
        <v>1547536</v>
      </c>
      <c r="L22" s="61" t="e">
        <f>VLOOKUP(c_8[[#This Row],[hwycov_id]],count!$A$630:$E$652,5,FALSE)</f>
        <v>#N/A</v>
      </c>
      <c r="M22" s="81"/>
    </row>
    <row r="23" spans="1:13" ht="15" customHeight="1" x14ac:dyDescent="0.2">
      <c r="A23" s="59">
        <v>8</v>
      </c>
      <c r="B23" s="59" t="s">
        <v>405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19658</v>
      </c>
      <c r="I23" s="94">
        <f>VLOOKUP(c_8[[#This Row],[hwycov_id]],flow0[],5,FALSE)</f>
        <v>19090</v>
      </c>
      <c r="J23" s="60">
        <f t="shared" si="0"/>
        <v>-2.8894088920541239E-2</v>
      </c>
      <c r="K23" s="81">
        <f t="shared" si="1"/>
        <v>322624</v>
      </c>
      <c r="L23" s="61" t="e">
        <f>VLOOKUP(c_8[[#This Row],[hwycov_id]],count!$A$630:$E$652,5,FALSE)</f>
        <v>#N/A</v>
      </c>
      <c r="M23" s="81"/>
    </row>
    <row r="24" spans="1:13" ht="15" customHeight="1" x14ac:dyDescent="0.2">
      <c r="A24" s="59">
        <v>8</v>
      </c>
      <c r="B24" s="59" t="s">
        <v>405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21292</v>
      </c>
      <c r="I24" s="94">
        <f>VLOOKUP(c_8[[#This Row],[hwycov_id]],flow0[],5,FALSE)</f>
        <v>20423</v>
      </c>
      <c r="J24" s="60">
        <f t="shared" si="0"/>
        <v>-4.0813451061431527E-2</v>
      </c>
      <c r="K24" s="81">
        <f t="shared" si="1"/>
        <v>755161</v>
      </c>
      <c r="L24" s="61" t="e">
        <f>VLOOKUP(c_8[[#This Row],[hwycov_id]],count!$A$630:$E$652,5,FALSE)</f>
        <v>#N/A</v>
      </c>
      <c r="M24" s="81"/>
    </row>
    <row r="25" spans="1:13" ht="15" customHeight="1" x14ac:dyDescent="0.2">
      <c r="A25" s="59">
        <v>8</v>
      </c>
      <c r="B25" s="59" t="s">
        <v>405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20523</v>
      </c>
      <c r="I25" s="94">
        <f>VLOOKUP(c_8[[#This Row],[hwycov_id]],flow0[],5,FALSE)</f>
        <v>19406</v>
      </c>
      <c r="J25" s="60">
        <f t="shared" si="0"/>
        <v>-5.4426740729912826E-2</v>
      </c>
      <c r="K25" s="81">
        <f t="shared" si="1"/>
        <v>1247689</v>
      </c>
      <c r="L25" s="61" t="e">
        <f>VLOOKUP(c_8[[#This Row],[hwycov_id]],count!$A$630:$E$652,5,FALSE)</f>
        <v>#N/A</v>
      </c>
      <c r="M25" s="81"/>
    </row>
    <row r="26" spans="1:13" ht="15" customHeight="1" x14ac:dyDescent="0.2">
      <c r="A26" s="59">
        <v>8</v>
      </c>
      <c r="B26" s="59" t="s">
        <v>405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20460</v>
      </c>
      <c r="I26" s="94">
        <f>VLOOKUP(c_8[[#This Row],[hwycov_id]],flow0[],5,FALSE)</f>
        <v>19956</v>
      </c>
      <c r="J26" s="60">
        <f t="shared" si="0"/>
        <v>-2.4633431085044011E-2</v>
      </c>
      <c r="K26" s="81">
        <f t="shared" si="1"/>
        <v>254016</v>
      </c>
      <c r="L26" s="61" t="e">
        <f>VLOOKUP(c_8[[#This Row],[hwycov_id]],count!$A$630:$E$652,5,FALSE)</f>
        <v>#N/A</v>
      </c>
      <c r="M26" s="81"/>
    </row>
    <row r="27" spans="1:13" ht="15" customHeight="1" x14ac:dyDescent="0.2">
      <c r="A27" s="59">
        <v>8</v>
      </c>
      <c r="B27" s="59" t="s">
        <v>405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20869</v>
      </c>
      <c r="I27" s="94">
        <f>VLOOKUP(c_8[[#This Row],[hwycov_id]],flow0[],5,FALSE)</f>
        <v>21076</v>
      </c>
      <c r="J27" s="60">
        <f t="shared" si="0"/>
        <v>9.9190186400881508E-3</v>
      </c>
      <c r="K27" s="81">
        <f t="shared" si="1"/>
        <v>42849</v>
      </c>
      <c r="L27" s="61" t="e">
        <f>VLOOKUP(c_8[[#This Row],[hwycov_id]],count!$A$630:$E$652,5,FALSE)</f>
        <v>#N/A</v>
      </c>
      <c r="M27" s="81"/>
    </row>
    <row r="28" spans="1:13" ht="15" customHeight="1" x14ac:dyDescent="0.2">
      <c r="A28" s="59">
        <v>8</v>
      </c>
      <c r="B28" s="59" t="s">
        <v>405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20935</v>
      </c>
      <c r="I28" s="94">
        <f>VLOOKUP(c_8[[#This Row],[hwycov_id]],flow0[],5,FALSE)</f>
        <v>19055</v>
      </c>
      <c r="J28" s="60">
        <f t="shared" si="0"/>
        <v>-8.9801767375208952E-2</v>
      </c>
      <c r="K28" s="81">
        <f t="shared" si="1"/>
        <v>3534400</v>
      </c>
      <c r="L28" s="61" t="e">
        <f>VLOOKUP(c_8[[#This Row],[hwycov_id]],count!$A$630:$E$652,5,FALSE)</f>
        <v>#N/A</v>
      </c>
      <c r="M28" s="81"/>
    </row>
    <row r="29" spans="1:13" ht="15" customHeight="1" x14ac:dyDescent="0.2">
      <c r="A29" s="59">
        <v>8</v>
      </c>
      <c r="B29" s="59" t="s">
        <v>405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24283</v>
      </c>
      <c r="I29" s="94">
        <f>VLOOKUP(c_8[[#This Row],[hwycov_id]],flow0[],5,FALSE)</f>
        <v>20836</v>
      </c>
      <c r="J29" s="60">
        <f t="shared" si="0"/>
        <v>-0.14195115924721002</v>
      </c>
      <c r="K29" s="81">
        <f t="shared" si="1"/>
        <v>11881809</v>
      </c>
      <c r="L29" s="61" t="e">
        <f>VLOOKUP(c_8[[#This Row],[hwycov_id]],count!$A$630:$E$652,5,FALSE)</f>
        <v>#N/A</v>
      </c>
      <c r="M29" s="81"/>
    </row>
    <row r="30" spans="1:13" ht="15" customHeight="1" x14ac:dyDescent="0.2">
      <c r="A30" s="59">
        <v>8</v>
      </c>
      <c r="B30" s="59" t="s">
        <v>405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22523</v>
      </c>
      <c r="I30" s="94">
        <f>VLOOKUP(c_8[[#This Row],[hwycov_id]],flow0[],5,FALSE)</f>
        <v>23062</v>
      </c>
      <c r="J30" s="60">
        <f t="shared" si="0"/>
        <v>2.3931092660835596E-2</v>
      </c>
      <c r="K30" s="81">
        <f t="shared" si="1"/>
        <v>290521</v>
      </c>
      <c r="L30" s="61" t="e">
        <f>VLOOKUP(c_8[[#This Row],[hwycov_id]],count!$A$630:$E$652,5,FALSE)</f>
        <v>#N/A</v>
      </c>
      <c r="M30" s="81"/>
    </row>
    <row r="31" spans="1:13" ht="15" customHeight="1" x14ac:dyDescent="0.2">
      <c r="A31" s="59">
        <v>8</v>
      </c>
      <c r="B31" s="59" t="s">
        <v>405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20179</v>
      </c>
      <c r="I31" s="94">
        <f>VLOOKUP(c_8[[#This Row],[hwycov_id]],flow0[],5,FALSE)</f>
        <v>20306</v>
      </c>
      <c r="J31" s="60">
        <f t="shared" si="0"/>
        <v>6.2936716388324321E-3</v>
      </c>
      <c r="K31" s="81">
        <f t="shared" si="1"/>
        <v>16129</v>
      </c>
      <c r="L31" s="61" t="e">
        <f>VLOOKUP(c_8[[#This Row],[hwycov_id]],count!$A$630:$E$652,5,FALSE)</f>
        <v>#N/A</v>
      </c>
      <c r="M31" s="81"/>
    </row>
    <row r="32" spans="1:13" ht="15" customHeight="1" x14ac:dyDescent="0.2">
      <c r="A32" s="59">
        <v>8</v>
      </c>
      <c r="B32" s="59" t="s">
        <v>405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14208</v>
      </c>
      <c r="I32" s="94">
        <f>VLOOKUP(c_8[[#This Row],[hwycov_id]],flow0[],5,FALSE)</f>
        <v>20180</v>
      </c>
      <c r="J32" s="60">
        <f t="shared" si="0"/>
        <v>0.42032657657657668</v>
      </c>
      <c r="K32" s="81">
        <f t="shared" si="1"/>
        <v>35664784</v>
      </c>
      <c r="L32" s="61" t="e">
        <f>VLOOKUP(c_8[[#This Row],[hwycov_id]],count!$A$630:$E$652,5,FALSE)</f>
        <v>#N/A</v>
      </c>
      <c r="M32" s="81"/>
    </row>
    <row r="33" spans="1:14" ht="15" customHeight="1" x14ac:dyDescent="0.2">
      <c r="A33" s="59">
        <v>8</v>
      </c>
      <c r="B33" s="59" t="s">
        <v>405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18486</v>
      </c>
      <c r="I33" s="94">
        <f>VLOOKUP(c_8[[#This Row],[hwycov_id]],flow0[],5,FALSE)</f>
        <v>21928</v>
      </c>
      <c r="J33" s="60">
        <f t="shared" si="0"/>
        <v>0.18619495834685718</v>
      </c>
      <c r="K33" s="81">
        <f t="shared" si="1"/>
        <v>11847364</v>
      </c>
      <c r="L33" s="61" t="e">
        <f>VLOOKUP(c_8[[#This Row],[hwycov_id]],count!$A$630:$E$652,5,FALSE)</f>
        <v>#N/A</v>
      </c>
      <c r="M33" s="81"/>
    </row>
    <row r="34" spans="1:14" ht="15" customHeight="1" x14ac:dyDescent="0.2">
      <c r="A34" s="59">
        <v>8</v>
      </c>
      <c r="B34" s="59" t="s">
        <v>405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14198</v>
      </c>
      <c r="I34" s="94">
        <f>VLOOKUP(c_8[[#This Row],[hwycov_id]],flow0[],5,FALSE)</f>
        <v>13870</v>
      </c>
      <c r="J34" s="60">
        <f t="shared" ref="J34:J65" si="2">I34/H34-1</f>
        <v>-2.3101845330328219E-2</v>
      </c>
      <c r="K34" s="81">
        <f t="shared" ref="K34:K65" si="3">POWER((I34-H34),2)</f>
        <v>107584</v>
      </c>
      <c r="L34" s="61" t="e">
        <f>VLOOKUP(c_8[[#This Row],[hwycov_id]],count!$A$630:$E$652,5,FALSE)</f>
        <v>#N/A</v>
      </c>
      <c r="M34" s="81"/>
    </row>
    <row r="35" spans="1:14" ht="15" customHeight="1" x14ac:dyDescent="0.2">
      <c r="A35" s="59">
        <v>8</v>
      </c>
      <c r="B35" s="59" t="s">
        <v>405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17239</v>
      </c>
      <c r="I35" s="94">
        <f>VLOOKUP(c_8[[#This Row],[hwycov_id]],flow0[],5,FALSE)</f>
        <v>19697</v>
      </c>
      <c r="J35" s="60">
        <f t="shared" si="2"/>
        <v>0.14258367654736359</v>
      </c>
      <c r="K35" s="81">
        <f t="shared" si="3"/>
        <v>6041764</v>
      </c>
      <c r="L35" s="61" t="e">
        <f>VLOOKUP(c_8[[#This Row],[hwycov_id]],count!$A$630:$E$652,5,FALSE)</f>
        <v>#N/A</v>
      </c>
      <c r="M35" s="81"/>
    </row>
    <row r="36" spans="1:14" ht="15" customHeight="1" x14ac:dyDescent="0.2">
      <c r="A36" s="59">
        <v>8</v>
      </c>
      <c r="B36" s="59" t="s">
        <v>405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14109</v>
      </c>
      <c r="I36" s="94">
        <f>VLOOKUP(c_8[[#This Row],[hwycov_id]],flow0[],5,FALSE)</f>
        <v>18910</v>
      </c>
      <c r="J36" s="60">
        <f t="shared" si="2"/>
        <v>0.34027925437663908</v>
      </c>
      <c r="K36" s="81">
        <f t="shared" si="3"/>
        <v>23049601</v>
      </c>
      <c r="L36" s="61" t="e">
        <f>VLOOKUP(c_8[[#This Row],[hwycov_id]],count!$A$630:$E$652,5,FALSE)</f>
        <v>#N/A</v>
      </c>
      <c r="M36" s="81"/>
    </row>
    <row r="37" spans="1:14" ht="15" customHeight="1" x14ac:dyDescent="0.2">
      <c r="A37" s="59">
        <v>8</v>
      </c>
      <c r="B37" s="59" t="s">
        <v>405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18336</v>
      </c>
      <c r="I37" s="94">
        <f>VLOOKUP(c_8[[#This Row],[hwycov_id]],flow0[],5,FALSE)</f>
        <v>22711</v>
      </c>
      <c r="J37" s="60">
        <f t="shared" si="2"/>
        <v>0.23860165794066313</v>
      </c>
      <c r="K37" s="81">
        <f t="shared" si="3"/>
        <v>19140625</v>
      </c>
      <c r="L37" s="61" t="e">
        <f>VLOOKUP(c_8[[#This Row],[hwycov_id]],count!$A$630:$E$652,5,FALSE)</f>
        <v>#N/A</v>
      </c>
      <c r="M37" s="81"/>
    </row>
    <row r="38" spans="1:14" ht="15" customHeight="1" x14ac:dyDescent="0.2">
      <c r="A38" s="59">
        <v>8</v>
      </c>
      <c r="B38" s="59" t="s">
        <v>405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21235</v>
      </c>
      <c r="I38" s="94">
        <f>VLOOKUP(c_8[[#This Row],[hwycov_id]],flow0[],5,FALSE)</f>
        <v>24986</v>
      </c>
      <c r="J38" s="60">
        <f t="shared" si="2"/>
        <v>0.1766423357664233</v>
      </c>
      <c r="K38" s="81">
        <f t="shared" si="3"/>
        <v>14070001</v>
      </c>
      <c r="L38" s="61" t="e">
        <f>VLOOKUP(c_8[[#This Row],[hwycov_id]],count!$A$630:$E$652,5,FALSE)</f>
        <v>#N/A</v>
      </c>
      <c r="M38" s="81"/>
    </row>
    <row r="39" spans="1:14" ht="15" customHeight="1" x14ac:dyDescent="0.2">
      <c r="A39" s="59">
        <v>8</v>
      </c>
      <c r="B39" s="59" t="s">
        <v>405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27538</v>
      </c>
      <c r="I39" s="94">
        <f>VLOOKUP(c_8[[#This Row],[hwycov_id]],flow0[],5,FALSE)</f>
        <v>27492</v>
      </c>
      <c r="J39" s="60">
        <f t="shared" si="2"/>
        <v>-1.6704190573025857E-3</v>
      </c>
      <c r="K39" s="81">
        <f t="shared" si="3"/>
        <v>2116</v>
      </c>
      <c r="L39" s="61" t="e">
        <f>VLOOKUP(c_8[[#This Row],[hwycov_id]],count!$A$630:$E$652,5,FALSE)</f>
        <v>#N/A</v>
      </c>
      <c r="M39" s="81"/>
    </row>
    <row r="40" spans="1:14" ht="15" customHeight="1" x14ac:dyDescent="0.2">
      <c r="A40" s="59">
        <v>8</v>
      </c>
      <c r="B40" s="59" t="s">
        <v>405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21022</v>
      </c>
      <c r="I40" s="94">
        <f>VLOOKUP(c_8[[#This Row],[hwycov_id]],flow0[],5,FALSE)</f>
        <v>21651</v>
      </c>
      <c r="J40" s="60">
        <f t="shared" si="2"/>
        <v>2.9921035106079241E-2</v>
      </c>
      <c r="K40" s="81">
        <f t="shared" si="3"/>
        <v>395641</v>
      </c>
      <c r="L40" s="61" t="e">
        <f>VLOOKUP(c_8[[#This Row],[hwycov_id]],count!$A$630:$E$652,5,FALSE)</f>
        <v>#N/A</v>
      </c>
      <c r="M40" s="81"/>
    </row>
    <row r="41" spans="1:14" ht="15" customHeight="1" x14ac:dyDescent="0.2">
      <c r="A41" s="59">
        <v>8</v>
      </c>
      <c r="B41" s="59" t="s">
        <v>405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28451</v>
      </c>
      <c r="I41" s="94">
        <f>VLOOKUP(c_8[[#This Row],[hwycov_id]],flow0[],5,FALSE)</f>
        <v>25193</v>
      </c>
      <c r="J41" s="60">
        <f t="shared" si="2"/>
        <v>-0.11451267090787665</v>
      </c>
      <c r="K41" s="81">
        <f t="shared" si="3"/>
        <v>10614564</v>
      </c>
      <c r="L41" s="61" t="e">
        <f>VLOOKUP(c_8[[#This Row],[hwycov_id]],count!$A$630:$E$652,5,FALSE)</f>
        <v>#N/A</v>
      </c>
      <c r="M41" s="81"/>
    </row>
    <row r="42" spans="1:14" ht="15" customHeight="1" x14ac:dyDescent="0.2">
      <c r="A42" s="59">
        <v>8</v>
      </c>
      <c r="B42" s="59" t="s">
        <v>405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406</v>
      </c>
      <c r="H42" s="68">
        <v>29375</v>
      </c>
      <c r="I42" s="94">
        <f>VLOOKUP(c_8[[#This Row],[hwycov_id]],flow0[],5,FALSE)</f>
        <v>27562</v>
      </c>
      <c r="J42" s="60">
        <f t="shared" si="2"/>
        <v>-6.1719148936170254E-2</v>
      </c>
      <c r="K42" s="81">
        <f t="shared" si="3"/>
        <v>3286969</v>
      </c>
      <c r="L42" s="61" t="e">
        <f>VLOOKUP(c_8[[#This Row],[hwycov_id]],count!$A$630:$E$652,5,FALSE)</f>
        <v>#N/A</v>
      </c>
      <c r="M42" s="81"/>
    </row>
    <row r="43" spans="1:14" ht="15" customHeight="1" x14ac:dyDescent="0.2">
      <c r="A43" s="59">
        <v>8</v>
      </c>
      <c r="B43" s="59" t="s">
        <v>405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21538</v>
      </c>
      <c r="I43" s="94">
        <f>VLOOKUP(c_8[[#This Row],[hwycov_id]],flow0[],5,FALSE)</f>
        <v>22654</v>
      </c>
      <c r="J43" s="60">
        <f t="shared" si="2"/>
        <v>5.1815396044200934E-2</v>
      </c>
      <c r="K43" s="81">
        <f t="shared" si="3"/>
        <v>1245456</v>
      </c>
      <c r="L43" s="61" t="e">
        <f>VLOOKUP(c_8[[#This Row],[hwycov_id]],count!$A$630:$E$652,5,FALSE)</f>
        <v>#N/A</v>
      </c>
      <c r="M43" s="81"/>
    </row>
    <row r="44" spans="1:14" ht="15" customHeight="1" x14ac:dyDescent="0.2">
      <c r="A44" s="59">
        <v>8</v>
      </c>
      <c r="B44" s="59" t="s">
        <v>405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21111</v>
      </c>
      <c r="I44" s="94">
        <f>VLOOKUP(c_8[[#This Row],[hwycov_id]],flow0[],5,FALSE)</f>
        <v>22946</v>
      </c>
      <c r="J44" s="60">
        <f t="shared" si="2"/>
        <v>8.6921510113211031E-2</v>
      </c>
      <c r="K44" s="81">
        <f t="shared" si="3"/>
        <v>3367225</v>
      </c>
      <c r="L44" s="61" t="e">
        <f>VLOOKUP(c_8[[#This Row],[hwycov_id]],count!$A$630:$E$652,5,FALSE)</f>
        <v>#N/A</v>
      </c>
      <c r="M44" s="81"/>
    </row>
    <row r="45" spans="1:14" ht="15" customHeight="1" x14ac:dyDescent="0.2">
      <c r="A45" s="59">
        <v>8</v>
      </c>
      <c r="B45" s="59" t="s">
        <v>405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14021</v>
      </c>
      <c r="I45" s="94">
        <f>VLOOKUP(c_8[[#This Row],[hwycov_id]],flow0[],5,FALSE)</f>
        <v>19430</v>
      </c>
      <c r="J45" s="60">
        <f t="shared" si="2"/>
        <v>0.3857784751444262</v>
      </c>
      <c r="K45" s="81">
        <f t="shared" si="3"/>
        <v>29257281</v>
      </c>
      <c r="L45" s="61" t="e">
        <f>VLOOKUP(c_8[[#This Row],[hwycov_id]],count!$A$630:$E$652,5,FALSE)</f>
        <v>#N/A</v>
      </c>
      <c r="M45" s="81"/>
    </row>
    <row r="46" spans="1:14" ht="15" customHeight="1" x14ac:dyDescent="0.2">
      <c r="A46" s="59">
        <v>8</v>
      </c>
      <c r="B46" s="59" t="s">
        <v>405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16676</v>
      </c>
      <c r="I46" s="94">
        <f>VLOOKUP(c_8[[#This Row],[hwycov_id]],flow0[],5,FALSE)</f>
        <v>21001</v>
      </c>
      <c r="J46" s="60">
        <f t="shared" si="2"/>
        <v>0.25935476133365309</v>
      </c>
      <c r="K46" s="81">
        <f t="shared" si="3"/>
        <v>18705625</v>
      </c>
      <c r="L46" s="61" t="e">
        <f>VLOOKUP(c_8[[#This Row],[hwycov_id]],count!$A$630:$E$652,5,FALSE)</f>
        <v>#N/A</v>
      </c>
      <c r="M46" s="81"/>
    </row>
    <row r="47" spans="1:14" ht="15" customHeight="1" x14ac:dyDescent="0.2">
      <c r="A47" s="59">
        <v>8</v>
      </c>
      <c r="B47" s="59" t="s">
        <v>405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21652</v>
      </c>
      <c r="I47" s="94">
        <f>VLOOKUP(c_8[[#This Row],[hwycov_id]],flow0[],5,FALSE)</f>
        <v>27968</v>
      </c>
      <c r="J47" s="60">
        <f t="shared" si="2"/>
        <v>0.29170515425826715</v>
      </c>
      <c r="K47" s="81">
        <f t="shared" si="3"/>
        <v>39891856</v>
      </c>
      <c r="L47" s="61" t="e">
        <f>VLOOKUP(c_8[[#This Row],[hwycov_id]],count!$A$630:$E$652,5,FALSE)</f>
        <v>#N/A</v>
      </c>
      <c r="M47" s="81"/>
      <c r="N47" s="76" t="s">
        <v>124</v>
      </c>
    </row>
    <row r="48" spans="1:14" ht="15" customHeight="1" x14ac:dyDescent="0.2">
      <c r="A48" s="59">
        <v>8</v>
      </c>
      <c r="B48" s="59" t="s">
        <v>405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19386</v>
      </c>
      <c r="I48" s="94">
        <f>VLOOKUP(c_8[[#This Row],[hwycov_id]],flow0[],5,FALSE)</f>
        <v>25700</v>
      </c>
      <c r="J48" s="60">
        <f t="shared" si="2"/>
        <v>0.32569895801093574</v>
      </c>
      <c r="K48" s="81">
        <f t="shared" si="3"/>
        <v>39866596</v>
      </c>
      <c r="L48" s="61" t="e">
        <f>VLOOKUP(c_8[[#This Row],[hwycov_id]],count!$A$630:$E$652,5,FALSE)</f>
        <v>#N/A</v>
      </c>
      <c r="M48" s="81"/>
    </row>
    <row r="49" spans="1:13" ht="15" customHeight="1" x14ac:dyDescent="0.2">
      <c r="A49" s="59">
        <v>8</v>
      </c>
      <c r="B49" s="59" t="s">
        <v>405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25184</v>
      </c>
      <c r="I49" s="94">
        <f>VLOOKUP(c_8[[#This Row],[hwycov_id]],flow0[],5,FALSE)</f>
        <v>32269</v>
      </c>
      <c r="J49" s="60">
        <f t="shared" si="2"/>
        <v>0.28132941550190593</v>
      </c>
      <c r="K49" s="81">
        <f t="shared" si="3"/>
        <v>50197225</v>
      </c>
      <c r="L49" s="61" t="e">
        <f>VLOOKUP(c_8[[#This Row],[hwycov_id]],count!$A$630:$E$652,5,FALSE)</f>
        <v>#N/A</v>
      </c>
      <c r="M49" s="81"/>
    </row>
    <row r="50" spans="1:13" ht="15" customHeight="1" x14ac:dyDescent="0.2">
      <c r="A50" s="59">
        <v>8</v>
      </c>
      <c r="B50" s="59" t="s">
        <v>405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26000</v>
      </c>
      <c r="I50" s="94">
        <f>VLOOKUP(c_8[[#This Row],[hwycov_id]],flow0[],5,FALSE)</f>
        <v>30446</v>
      </c>
      <c r="J50" s="60">
        <f t="shared" si="2"/>
        <v>0.17100000000000004</v>
      </c>
      <c r="K50" s="81">
        <f t="shared" si="3"/>
        <v>19766916</v>
      </c>
      <c r="L50" s="61" t="e">
        <f>VLOOKUP(c_8[[#This Row],[hwycov_id]],count!$A$630:$E$652,5,FALSE)</f>
        <v>#N/A</v>
      </c>
      <c r="M50" s="81"/>
    </row>
    <row r="51" spans="1:13" ht="15" customHeight="1" x14ac:dyDescent="0.2">
      <c r="A51" s="59">
        <v>8</v>
      </c>
      <c r="B51" s="59" t="s">
        <v>405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20376</v>
      </c>
      <c r="I51" s="94">
        <f>VLOOKUP(c_8[[#This Row],[hwycov_id]],flow0[],5,FALSE)</f>
        <v>29122</v>
      </c>
      <c r="J51" s="60">
        <f t="shared" si="2"/>
        <v>0.42923046721633296</v>
      </c>
      <c r="K51" s="81">
        <f t="shared" si="3"/>
        <v>76492516</v>
      </c>
      <c r="L51" s="61" t="e">
        <f>VLOOKUP(c_8[[#This Row],[hwycov_id]],count!$A$630:$E$652,5,FALSE)</f>
        <v>#N/A</v>
      </c>
      <c r="M51" s="81"/>
    </row>
    <row r="52" spans="1:13" ht="15" customHeight="1" x14ac:dyDescent="0.2">
      <c r="A52" s="59">
        <v>8</v>
      </c>
      <c r="B52" s="59" t="s">
        <v>405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22374</v>
      </c>
      <c r="I52" s="94">
        <f>VLOOKUP(c_8[[#This Row],[hwycov_id]],flow0[],5,FALSE)</f>
        <v>30725</v>
      </c>
      <c r="J52" s="60">
        <f t="shared" si="2"/>
        <v>0.37324573165281127</v>
      </c>
      <c r="K52" s="81">
        <f t="shared" si="3"/>
        <v>69739201</v>
      </c>
      <c r="L52" s="61" t="e">
        <f>VLOOKUP(c_8[[#This Row],[hwycov_id]],count!$A$630:$E$652,5,FALSE)</f>
        <v>#N/A</v>
      </c>
      <c r="M52" s="81"/>
    </row>
    <row r="53" spans="1:13" ht="15" customHeight="1" x14ac:dyDescent="0.2">
      <c r="A53" s="59">
        <v>8</v>
      </c>
      <c r="B53" s="59" t="s">
        <v>405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18868</v>
      </c>
      <c r="I53" s="89">
        <f>VLOOKUP(c_8[[#This Row],[hwycov_id]],flow0[],5,FALSE)</f>
        <v>31339</v>
      </c>
      <c r="J53" s="60">
        <f t="shared" si="2"/>
        <v>0.66096035615857529</v>
      </c>
      <c r="K53" s="81">
        <f t="shared" si="3"/>
        <v>155525841</v>
      </c>
      <c r="L53" s="61" t="e">
        <f>VLOOKUP(c_8[[#This Row],[hwycov_id]],count!$A$630:$E$652,5,FALSE)</f>
        <v>#N/A</v>
      </c>
      <c r="M53" s="81"/>
    </row>
    <row r="54" spans="1:13" ht="15" customHeight="1" x14ac:dyDescent="0.2">
      <c r="A54" s="59">
        <v>8</v>
      </c>
      <c r="B54" s="59" t="s">
        <v>405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20899</v>
      </c>
      <c r="I54" s="89">
        <f>VLOOKUP(c_8[[#This Row],[hwycov_id]],flow0[],5,FALSE)</f>
        <v>28341</v>
      </c>
      <c r="J54" s="60">
        <f t="shared" si="2"/>
        <v>0.35609359299488008</v>
      </c>
      <c r="K54" s="81">
        <f t="shared" si="3"/>
        <v>55383364</v>
      </c>
      <c r="L54" s="61" t="e">
        <f>VLOOKUP(c_8[[#This Row],[hwycov_id]],count!$A$630:$E$652,5,FALSE)</f>
        <v>#N/A</v>
      </c>
      <c r="M54" s="81"/>
    </row>
    <row r="55" spans="1:13" ht="15" customHeight="1" x14ac:dyDescent="0.2">
      <c r="A55" s="59">
        <v>8</v>
      </c>
      <c r="B55" s="59" t="s">
        <v>405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22846</v>
      </c>
      <c r="I55" s="89">
        <f>VLOOKUP(c_8[[#This Row],[hwycov_id]],flow0[],5,FALSE)</f>
        <v>29373</v>
      </c>
      <c r="J55" s="60">
        <f t="shared" si="2"/>
        <v>0.2856955265692025</v>
      </c>
      <c r="K55" s="81">
        <f t="shared" si="3"/>
        <v>42601729</v>
      </c>
      <c r="L55" s="61" t="e">
        <f>VLOOKUP(c_8[[#This Row],[hwycov_id]],count!$A$630:$E$652,5,FALSE)</f>
        <v>#N/A</v>
      </c>
      <c r="M55" s="81"/>
    </row>
    <row r="56" spans="1:13" ht="15" customHeight="1" x14ac:dyDescent="0.2">
      <c r="A56" s="59">
        <v>8</v>
      </c>
      <c r="B56" s="59" t="s">
        <v>405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17359</v>
      </c>
      <c r="I56" s="89">
        <f>VLOOKUP(c_8[[#This Row],[hwycov_id]],flow0[],5,FALSE)</f>
        <v>23871</v>
      </c>
      <c r="J56" s="60">
        <f t="shared" si="2"/>
        <v>0.37513681663690313</v>
      </c>
      <c r="K56" s="61">
        <f t="shared" si="3"/>
        <v>42406144</v>
      </c>
      <c r="L56" s="61" t="e">
        <f>VLOOKUP(c_8[[#This Row],[hwycov_id]],count!$A$630:$E$652,5,FALSE)</f>
        <v>#N/A</v>
      </c>
      <c r="M56" s="81"/>
    </row>
    <row r="57" spans="1:13" ht="15" customHeight="1" x14ac:dyDescent="0.2">
      <c r="A57" s="59">
        <v>8</v>
      </c>
      <c r="B57" s="59" t="s">
        <v>405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21818</v>
      </c>
      <c r="I57" s="89">
        <f>VLOOKUP(c_8[[#This Row],[hwycov_id]],flow0[],5,FALSE)</f>
        <v>31415</v>
      </c>
      <c r="J57" s="60">
        <f t="shared" si="2"/>
        <v>0.43986616555137958</v>
      </c>
      <c r="K57" s="61">
        <f t="shared" si="3"/>
        <v>92102409</v>
      </c>
      <c r="L57" s="61" t="e">
        <f>VLOOKUP(c_8[[#This Row],[hwycov_id]],count!$A$630:$E$652,5,FALSE)</f>
        <v>#N/A</v>
      </c>
      <c r="M57" s="81"/>
    </row>
    <row r="58" spans="1:13" ht="15" customHeight="1" x14ac:dyDescent="0.2">
      <c r="A58" s="59">
        <v>8</v>
      </c>
      <c r="B58" s="59" t="s">
        <v>405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407</v>
      </c>
      <c r="H58" s="61">
        <v>28405</v>
      </c>
      <c r="I58" s="89">
        <f>VLOOKUP(c_8[[#This Row],[hwycov_id]],flow0[],5,FALSE)</f>
        <v>32660</v>
      </c>
      <c r="J58" s="60">
        <f t="shared" si="2"/>
        <v>0.1497975708502024</v>
      </c>
      <c r="K58" s="61">
        <f t="shared" si="3"/>
        <v>18105025</v>
      </c>
      <c r="L58" s="61" t="e">
        <f>VLOOKUP(c_8[[#This Row],[hwycov_id]],count!$A$630:$E$652,5,FALSE)</f>
        <v>#N/A</v>
      </c>
    </row>
    <row r="59" spans="1:13" ht="15" customHeight="1" x14ac:dyDescent="0.2">
      <c r="A59" s="59">
        <v>8</v>
      </c>
      <c r="B59" s="59" t="s">
        <v>405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25081</v>
      </c>
      <c r="I59" s="89">
        <f>VLOOKUP(c_8[[#This Row],[hwycov_id]],flow0[],5,FALSE)</f>
        <v>29607</v>
      </c>
      <c r="J59" s="60">
        <f t="shared" si="2"/>
        <v>0.18045532474781711</v>
      </c>
      <c r="K59" s="61">
        <f t="shared" si="3"/>
        <v>20484676</v>
      </c>
      <c r="L59" s="61" t="e">
        <f>VLOOKUP(c_8[[#This Row],[hwycov_id]],count!$A$630:$E$652,5,FALSE)</f>
        <v>#N/A</v>
      </c>
    </row>
    <row r="60" spans="1:13" ht="15" customHeight="1" x14ac:dyDescent="0.2">
      <c r="A60" s="59">
        <v>8</v>
      </c>
      <c r="B60" s="59" t="s">
        <v>405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22009</v>
      </c>
      <c r="I60" s="89">
        <f>VLOOKUP(c_8[[#This Row],[hwycov_id]],flow0[],5,FALSE)</f>
        <v>28558</v>
      </c>
      <c r="J60" s="60">
        <f t="shared" si="2"/>
        <v>0.29756008905447762</v>
      </c>
      <c r="K60" s="61">
        <f t="shared" si="3"/>
        <v>42889401</v>
      </c>
      <c r="L60" s="61" t="e">
        <f>VLOOKUP(c_8[[#This Row],[hwycov_id]],count!$A$630:$E$652,5,FALSE)</f>
        <v>#N/A</v>
      </c>
    </row>
    <row r="61" spans="1:13" ht="15" customHeight="1" x14ac:dyDescent="0.2">
      <c r="A61" s="59">
        <v>8</v>
      </c>
      <c r="B61" s="59" t="s">
        <v>405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18388</v>
      </c>
      <c r="I61" s="89">
        <f>VLOOKUP(c_8[[#This Row],[hwycov_id]],flow0[],5,FALSE)</f>
        <v>21680</v>
      </c>
      <c r="J61" s="60">
        <f t="shared" si="2"/>
        <v>0.17902980204481178</v>
      </c>
      <c r="K61" s="61">
        <f t="shared" si="3"/>
        <v>10837264</v>
      </c>
      <c r="L61" s="61" t="e">
        <f>VLOOKUP(c_8[[#This Row],[hwycov_id]],count!$A$630:$E$652,5,FALSE)</f>
        <v>#N/A</v>
      </c>
    </row>
    <row r="62" spans="1:13" ht="15" customHeight="1" x14ac:dyDescent="0.2">
      <c r="A62" s="59">
        <v>8</v>
      </c>
      <c r="B62" s="59" t="s">
        <v>405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22546</v>
      </c>
      <c r="I62" s="89">
        <f>VLOOKUP(c_8[[#This Row],[hwycov_id]],flow0[],5,FALSE)</f>
        <v>25748</v>
      </c>
      <c r="J62" s="60">
        <f t="shared" si="2"/>
        <v>0.14202075756231713</v>
      </c>
      <c r="K62" s="61">
        <f t="shared" si="3"/>
        <v>10252804</v>
      </c>
      <c r="L62" s="61" t="e">
        <f>VLOOKUP(c_8[[#This Row],[hwycov_id]],count!$A$630:$E$652,5,FALSE)</f>
        <v>#N/A</v>
      </c>
    </row>
    <row r="63" spans="1:13" ht="15" customHeight="1" x14ac:dyDescent="0.2">
      <c r="A63" s="59">
        <v>8</v>
      </c>
      <c r="B63" s="59" t="s">
        <v>405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22228</v>
      </c>
      <c r="I63" s="89">
        <f>VLOOKUP(c_8[[#This Row],[hwycov_id]],flow0[],5,FALSE)</f>
        <v>23828</v>
      </c>
      <c r="J63" s="60">
        <f t="shared" si="2"/>
        <v>7.1981284865934914E-2</v>
      </c>
      <c r="K63" s="61">
        <f t="shared" si="3"/>
        <v>2560000</v>
      </c>
      <c r="L63" s="61" t="e">
        <f>VLOOKUP(c_8[[#This Row],[hwycov_id]],count!$A$630:$E$652,5,FALSE)</f>
        <v>#N/A</v>
      </c>
    </row>
    <row r="64" spans="1:13" ht="15" customHeight="1" x14ac:dyDescent="0.2">
      <c r="A64" s="59">
        <v>8</v>
      </c>
      <c r="B64" s="59" t="s">
        <v>405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20041</v>
      </c>
      <c r="I64" s="89">
        <f>VLOOKUP(c_8[[#This Row],[hwycov_id]],flow0[],5,FALSE)</f>
        <v>22992</v>
      </c>
      <c r="J64" s="60">
        <f t="shared" si="2"/>
        <v>0.14724814131031394</v>
      </c>
      <c r="K64" s="61">
        <f t="shared" si="3"/>
        <v>8708401</v>
      </c>
      <c r="L64" s="61" t="e">
        <f>VLOOKUP(c_8[[#This Row],[hwycov_id]],count!$A$630:$E$652,5,FALSE)</f>
        <v>#N/A</v>
      </c>
    </row>
    <row r="65" spans="1:12" ht="15" customHeight="1" x14ac:dyDescent="0.2">
      <c r="A65" s="59">
        <v>8</v>
      </c>
      <c r="B65" s="59" t="s">
        <v>405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22829</v>
      </c>
      <c r="I65" s="89">
        <f>VLOOKUP(c_8[[#This Row],[hwycov_id]],flow0[],5,FALSE)</f>
        <v>22710</v>
      </c>
      <c r="J65" s="60">
        <f t="shared" si="2"/>
        <v>-5.2126680975951301E-3</v>
      </c>
      <c r="K65" s="61">
        <f t="shared" si="3"/>
        <v>14161</v>
      </c>
      <c r="L65" s="61" t="e">
        <f>VLOOKUP(c_8[[#This Row],[hwycov_id]],count!$A$630:$E$652,5,FALSE)</f>
        <v>#N/A</v>
      </c>
    </row>
    <row r="66" spans="1:12" ht="15" customHeight="1" x14ac:dyDescent="0.2">
      <c r="A66" s="59">
        <v>8</v>
      </c>
      <c r="B66" s="59" t="s">
        <v>405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24174</v>
      </c>
      <c r="I66" s="89">
        <f>VLOOKUP(c_8[[#This Row],[hwycov_id]],flow0[],5,FALSE)</f>
        <v>19608</v>
      </c>
      <c r="J66" s="60">
        <f t="shared" ref="J66:J73" si="4">I66/H66-1</f>
        <v>-0.18888061553735414</v>
      </c>
      <c r="K66" s="61">
        <f t="shared" ref="K66:K73" si="5">POWER((I66-H66),2)</f>
        <v>20848356</v>
      </c>
      <c r="L66" s="61" t="e">
        <f>VLOOKUP(c_8[[#This Row],[hwycov_id]],count!$A$630:$E$652,5,FALSE)</f>
        <v>#N/A</v>
      </c>
    </row>
    <row r="67" spans="1:12" ht="15" customHeight="1" x14ac:dyDescent="0.2">
      <c r="A67" s="59">
        <v>8</v>
      </c>
      <c r="B67" s="59" t="s">
        <v>405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16349</v>
      </c>
      <c r="I67" s="89">
        <f>VLOOKUP(c_8[[#This Row],[hwycov_id]],flow0[],5,FALSE)</f>
        <v>15291</v>
      </c>
      <c r="J67" s="60">
        <f t="shared" si="4"/>
        <v>-6.4713438130772571E-2</v>
      </c>
      <c r="K67" s="61">
        <f t="shared" si="5"/>
        <v>1119364</v>
      </c>
      <c r="L67" s="61" t="e">
        <f>VLOOKUP(c_8[[#This Row],[hwycov_id]],count!$A$630:$E$652,5,FALSE)</f>
        <v>#N/A</v>
      </c>
    </row>
    <row r="68" spans="1:12" ht="15" customHeight="1" x14ac:dyDescent="0.2">
      <c r="A68" s="59">
        <v>8</v>
      </c>
      <c r="B68" s="59" t="s">
        <v>405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10886</v>
      </c>
      <c r="I68" s="89">
        <f>VLOOKUP(c_8[[#This Row],[hwycov_id]],flow0[],5,FALSE)</f>
        <v>7316</v>
      </c>
      <c r="J68" s="60">
        <f t="shared" si="4"/>
        <v>-0.32794414844754727</v>
      </c>
      <c r="K68" s="61">
        <f t="shared" si="5"/>
        <v>12744900</v>
      </c>
      <c r="L68" s="61" t="e">
        <f>VLOOKUP(c_8[[#This Row],[hwycov_id]],count!$A$630:$E$652,5,FALSE)</f>
        <v>#N/A</v>
      </c>
    </row>
    <row r="69" spans="1:12" ht="15" hidden="1" customHeight="1" x14ac:dyDescent="0.2">
      <c r="A69" s="421">
        <v>8</v>
      </c>
      <c r="B69" s="421" t="s">
        <v>405</v>
      </c>
      <c r="C69" s="422">
        <v>20706</v>
      </c>
      <c r="D69" s="427">
        <v>57.41</v>
      </c>
      <c r="E69" s="424">
        <v>0.27687400000000001</v>
      </c>
      <c r="F69" s="422" t="s">
        <v>74</v>
      </c>
      <c r="G69" s="422" t="s">
        <v>73</v>
      </c>
      <c r="H69" s="425">
        <v>14205</v>
      </c>
      <c r="I69" s="425" t="e">
        <f>VLOOKUP(c_8[[#This Row],[hwycov_id]],flow0[],5,FALSE)</f>
        <v>#VALUE!</v>
      </c>
      <c r="J69" s="426" t="e">
        <f t="shared" si="4"/>
        <v>#VALUE!</v>
      </c>
      <c r="K69" s="427" t="e">
        <f t="shared" si="5"/>
        <v>#VALUE!</v>
      </c>
      <c r="L69" s="427" t="e">
        <f>VLOOKUP(c_8[[#This Row],[hwycov_id]],count!$A$630:$E$652,5,FALSE)</f>
        <v>#VALUE!</v>
      </c>
    </row>
    <row r="70" spans="1:12" ht="15" hidden="1" customHeight="1" x14ac:dyDescent="0.2">
      <c r="A70" s="421">
        <v>8</v>
      </c>
      <c r="B70" s="421" t="s">
        <v>405</v>
      </c>
      <c r="C70" s="421">
        <v>27791</v>
      </c>
      <c r="D70" s="427">
        <v>58.05</v>
      </c>
      <c r="E70" s="440">
        <v>0.120786</v>
      </c>
      <c r="F70" s="421" t="s">
        <v>27</v>
      </c>
      <c r="G70" s="421" t="s">
        <v>119</v>
      </c>
      <c r="H70" s="427">
        <v>16732</v>
      </c>
      <c r="I70" s="427" t="e">
        <f>VLOOKUP(c_8[[#This Row],[hwycov_id]],flow0[],5,FALSE)</f>
        <v>#VALUE!</v>
      </c>
      <c r="J70" s="426" t="e">
        <f t="shared" si="4"/>
        <v>#VALUE!</v>
      </c>
      <c r="K70" s="427" t="e">
        <f t="shared" si="5"/>
        <v>#VALUE!</v>
      </c>
      <c r="L70" s="427" t="e">
        <f>VLOOKUP(c_8[[#This Row],[hwycov_id]],count!$A$630:$E$652,5,FALSE)</f>
        <v>#VALUE!</v>
      </c>
    </row>
    <row r="71" spans="1:12" ht="15" hidden="1" customHeight="1" x14ac:dyDescent="0.2">
      <c r="A71" s="421">
        <v>8</v>
      </c>
      <c r="B71" s="421" t="s">
        <v>405</v>
      </c>
      <c r="C71" s="421">
        <v>27928</v>
      </c>
      <c r="D71" s="427">
        <v>65.959999999999994</v>
      </c>
      <c r="E71" s="440">
        <v>0.35037800000000002</v>
      </c>
      <c r="F71" s="421" t="s">
        <v>121</v>
      </c>
      <c r="G71" s="421" t="s">
        <v>121</v>
      </c>
      <c r="H71" s="427">
        <v>12167</v>
      </c>
      <c r="I71" s="427" t="e">
        <f>VLOOKUP(c_8[[#This Row],[hwycov_id]],flow0[],5,FALSE)</f>
        <v>#VALUE!</v>
      </c>
      <c r="J71" s="426" t="e">
        <f t="shared" si="4"/>
        <v>#VALUE!</v>
      </c>
      <c r="K71" s="427" t="e">
        <f t="shared" si="5"/>
        <v>#VALUE!</v>
      </c>
      <c r="L71" s="427" t="e">
        <f>VLOOKUP(c_8[[#This Row],[hwycov_id]],count!$A$630:$E$652,5,FALSE)</f>
        <v>#VALUE!</v>
      </c>
    </row>
    <row r="72" spans="1:12" ht="15" hidden="1" customHeight="1" x14ac:dyDescent="0.2">
      <c r="A72" s="421">
        <v>8</v>
      </c>
      <c r="B72" s="421" t="s">
        <v>405</v>
      </c>
      <c r="C72" s="421">
        <v>27887</v>
      </c>
      <c r="D72" s="427">
        <v>70.38</v>
      </c>
      <c r="E72" s="440">
        <v>0.43827500000000003</v>
      </c>
      <c r="F72" s="421" t="s">
        <v>123</v>
      </c>
      <c r="G72" s="421" t="s">
        <v>123</v>
      </c>
      <c r="H72" s="427">
        <v>8991</v>
      </c>
      <c r="I72" s="427" t="e">
        <f>VLOOKUP(c_8[[#This Row],[hwycov_id]],flow0[],5,FALSE)</f>
        <v>#VALUE!</v>
      </c>
      <c r="J72" s="426" t="e">
        <f t="shared" si="4"/>
        <v>#VALUE!</v>
      </c>
      <c r="K72" s="427" t="e">
        <f t="shared" si="5"/>
        <v>#VALUE!</v>
      </c>
      <c r="L72" s="427" t="e">
        <f>VLOOKUP(c_8[[#This Row],[hwycov_id]],count!$A$630:$E$652,5,FALSE)</f>
        <v>#VALUE!</v>
      </c>
    </row>
    <row r="73" spans="1:12" ht="15" hidden="1" customHeight="1" x14ac:dyDescent="0.2">
      <c r="A73" s="421">
        <v>8</v>
      </c>
      <c r="B73" s="421" t="s">
        <v>405</v>
      </c>
      <c r="C73" s="421">
        <v>27155</v>
      </c>
      <c r="D73" s="427">
        <v>71.45</v>
      </c>
      <c r="E73" s="440">
        <v>0.37691599999999997</v>
      </c>
      <c r="F73" s="421" t="s">
        <v>51</v>
      </c>
      <c r="G73" s="421" t="s">
        <v>408</v>
      </c>
      <c r="H73" s="427">
        <v>7807</v>
      </c>
      <c r="I73" s="427" t="e">
        <f>VLOOKUP(c_8[[#This Row],[hwycov_id]],flow0[],5,FALSE)</f>
        <v>#VALUE!</v>
      </c>
      <c r="J73" s="426" t="e">
        <f t="shared" si="4"/>
        <v>#VALUE!</v>
      </c>
      <c r="K73" s="427" t="e">
        <f t="shared" si="5"/>
        <v>#VALUE!</v>
      </c>
      <c r="L73" s="427" t="e">
        <f>VLOOKUP(c_8[[#This Row],[hwycov_id]],count!$A$630:$E$652,5,FALSE)</f>
        <v>#VALUE!</v>
      </c>
    </row>
  </sheetData>
  <conditionalFormatting sqref="N2:N1048576 J19:J1048576">
    <cfRule type="cellIs" dxfId="473" priority="9" operator="lessThan">
      <formula>-0.2</formula>
    </cfRule>
    <cfRule type="cellIs" dxfId="472" priority="10" operator="greaterThan">
      <formula>0.2</formula>
    </cfRule>
  </conditionalFormatting>
  <conditionalFormatting sqref="J2:J12 J14:J18">
    <cfRule type="cellIs" dxfId="471" priority="5" operator="lessThan">
      <formula>-0.2</formula>
    </cfRule>
    <cfRule type="cellIs" dxfId="470" priority="6" operator="greaterThan">
      <formula>0.2</formula>
    </cfRule>
  </conditionalFormatting>
  <conditionalFormatting sqref="N1">
    <cfRule type="cellIs" dxfId="469" priority="1" operator="lessThan">
      <formula>-0.2</formula>
    </cfRule>
    <cfRule type="cellIs" dxfId="46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0.39997558519241921"/>
  </sheetPr>
  <dimension ref="A1:AI79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SQRT(AVERAGE(c_9[x2]))/AVERAGE(c_9[count])</f>
        <v>0.17561554525286718</v>
      </c>
      <c r="O1" s="136">
        <f>LINEST(c_9[flow],c_9[count],FALSE)</f>
        <v>1.0343023699557952</v>
      </c>
      <c r="P1" s="136">
        <f>RSQ(c_9[flow],c_9[count])</f>
        <v>0.72471205919838877</v>
      </c>
      <c r="Q1" s="43">
        <f>IFERROR(AVERAGEIF(c_9[gap],"&gt;=0",c_9[gap]),0)</f>
        <v>0.17020810807884509</v>
      </c>
      <c r="R1" s="44">
        <f>IFERROR(AVERAGEIF(c_9[gap],"&lt;0",c_9[gap]),0)</f>
        <v>-9.667543961602737E-2</v>
      </c>
      <c r="S1" s="14">
        <f>AVERAGE(c_9[gap])</f>
        <v>7.6564758010468775E-2</v>
      </c>
      <c r="T1" s="42">
        <f>COUNTIFS(c_9[gap],"&lt;10%",c_9[gap],"&gt;=-10%")/COUNTA(c_9[gap])</f>
        <v>0.43859649122807015</v>
      </c>
      <c r="U1" s="42">
        <f>COUNTIFS(c_9[gap],"&lt;20%",c_9[gap],"&gt;=-20%")/COUNTA(c_9[gap])</f>
        <v>0.80701754385964908</v>
      </c>
      <c r="V1" s="42">
        <f>COUNTIFS(c_9[gap],"&lt;30%",c_9[gap],"&gt;=-30%")/COUNTA(c_9[gap])</f>
        <v>0.89473684210526316</v>
      </c>
      <c r="W1" s="43">
        <f>COUNTIF(c_9[gap],"&gt;=0")/COUNTA(c_9[gap])</f>
        <v>0.64912280701754388</v>
      </c>
      <c r="X1" s="45">
        <f>COUNTIF(c_9[gap],"&lt;0")/COUNTA(c_9[gap])</f>
        <v>0.35087719298245612</v>
      </c>
      <c r="Y1" s="76" t="str">
        <f>"%Link(+)="&amp;TEXT(W1,"0%")</f>
        <v>%Link(+)=65%</v>
      </c>
      <c r="Z1" s="76" t="str">
        <f>"%Link(-)="&amp;TEXT(X1,"0%")</f>
        <v>%Link(-)=35%</v>
      </c>
      <c r="AA1" s="73" t="str">
        <f>"AvgGap(+)="&amp;TEXT(Q1,"0%")</f>
        <v>AvgGap(+)=17%</v>
      </c>
      <c r="AB1" s="59" t="str">
        <f>"AvgGap(-)="&amp;TEXT(R1,"0%")</f>
        <v>AvgGap(-)=-10%</v>
      </c>
      <c r="AC1" s="59" t="str">
        <f>"AvgGap(±)="&amp;TEXT(S1,"0%")</f>
        <v>AvgGap(±)=8%</v>
      </c>
      <c r="AD1" s="59" t="str">
        <f>"GapIn(±10%)="&amp;TEXT(T1,"0%")</f>
        <v>GapIn(±10%)=44%</v>
      </c>
      <c r="AE1" s="59" t="str">
        <f>"GapIn(±20%)="&amp;TEXT(U1,"0%")</f>
        <v>GapIn(±20%)=81%</v>
      </c>
      <c r="AF1" s="59" t="str">
        <f>"GapIn(±30%)="&amp;TEXT(V1,"0%")</f>
        <v>GapIn(±30%)=89%</v>
      </c>
      <c r="AG1" s="59" t="str">
        <f>"Linear Slope="&amp;TEXT(O1,"#.###")</f>
        <v>Linear Slope=1.034</v>
      </c>
      <c r="AH1" s="59" t="str">
        <f>"RMSE="&amp;TEXT(N1,"0%")</f>
        <v>RMSE=18%</v>
      </c>
      <c r="AI1" s="59" t="str">
        <f>CONCATENATE(Y1," ",Z1," ",AA1,"  ",AB1,"  ",AC1,"  ",AD1," ",AE1,"  ",AF1,"  ",AG1," ",AH1)</f>
        <v>%Link(+)=65% %Link(-)=35% AvgGap(+)=17%  AvgGap(-)=-10%  AvgGap(±)=8%  GapIn(±10%)=44% GapIn(±20%)=81%  GapIn(±30%)=89%  Linear Slope=1.034 RMSE=18%</v>
      </c>
    </row>
    <row r="2" spans="1:35" ht="15" customHeight="1" x14ac:dyDescent="0.2">
      <c r="A2" s="59">
        <v>9</v>
      </c>
      <c r="B2" s="59" t="s">
        <v>409</v>
      </c>
      <c r="C2" s="65">
        <v>12768</v>
      </c>
      <c r="D2" s="61">
        <v>7.0000000000000007E-2</v>
      </c>
      <c r="E2" s="70">
        <v>6.5997E-2</v>
      </c>
      <c r="F2" s="65" t="s">
        <v>373</v>
      </c>
      <c r="G2" s="65" t="s">
        <v>372</v>
      </c>
      <c r="H2" s="68">
        <v>11896</v>
      </c>
      <c r="I2" s="94">
        <f>VLOOKUP(c_9[[#This Row],[hwycov_id]],flow0[],5,FALSE)</f>
        <v>14033</v>
      </c>
      <c r="J2" s="60">
        <f t="shared" ref="J2:J44" si="0">I2/H2-1</f>
        <v>0.17964021519838602</v>
      </c>
      <c r="K2" s="81">
        <f t="shared" ref="K2:K32" si="1">POWER((I2-H2),2)</f>
        <v>4566769</v>
      </c>
      <c r="L2" s="61" t="e">
        <f>VLOOKUP(c_9[[#This Row],[hwycov_id]],count!$A$630:$E$652,5,FALSE)</f>
        <v>#N/A</v>
      </c>
      <c r="M2" s="81"/>
    </row>
    <row r="3" spans="1:35" ht="15" customHeight="1" x14ac:dyDescent="0.2">
      <c r="A3" s="59">
        <v>9</v>
      </c>
      <c r="B3" s="59" t="s">
        <v>409</v>
      </c>
      <c r="C3" s="65">
        <v>27196</v>
      </c>
      <c r="D3" s="61">
        <v>3.5</v>
      </c>
      <c r="E3" s="70">
        <v>2.701883</v>
      </c>
      <c r="F3" s="65" t="s">
        <v>372</v>
      </c>
      <c r="G3" s="65" t="s">
        <v>41</v>
      </c>
      <c r="H3" s="68">
        <v>11871</v>
      </c>
      <c r="I3" s="94">
        <f>VLOOKUP(c_9[[#This Row],[hwycov_id]],flow0[],5,FALSE)</f>
        <v>13971</v>
      </c>
      <c r="J3" s="60">
        <f t="shared" si="0"/>
        <v>0.17690169320192073</v>
      </c>
      <c r="K3" s="81">
        <f t="shared" si="1"/>
        <v>4410000</v>
      </c>
      <c r="L3" s="61" t="e">
        <f>VLOOKUP(c_9[[#This Row],[hwycov_id]],count!$A$630:$E$652,5,FALSE)</f>
        <v>#N/A</v>
      </c>
      <c r="M3" s="81"/>
    </row>
    <row r="4" spans="1:35" ht="15" customHeight="1" x14ac:dyDescent="0.2">
      <c r="A4" s="59">
        <v>9</v>
      </c>
      <c r="B4" s="59" t="s">
        <v>409</v>
      </c>
      <c r="C4" s="65">
        <v>26675</v>
      </c>
      <c r="D4" s="61">
        <v>7.99</v>
      </c>
      <c r="E4" s="70">
        <v>0.50861999999999996</v>
      </c>
      <c r="F4" s="65" t="s">
        <v>370</v>
      </c>
      <c r="G4" s="65" t="s">
        <v>370</v>
      </c>
      <c r="H4" s="68">
        <v>10880</v>
      </c>
      <c r="I4" s="94">
        <f>VLOOKUP(c_9[[#This Row],[hwycov_id]],flow0[],5,FALSE)</f>
        <v>11709</v>
      </c>
      <c r="J4" s="60">
        <f t="shared" si="0"/>
        <v>7.619485294117645E-2</v>
      </c>
      <c r="K4" s="81">
        <f t="shared" si="1"/>
        <v>687241</v>
      </c>
      <c r="L4" s="61" t="e">
        <f>VLOOKUP(c_9[[#This Row],[hwycov_id]],count!$A$630:$E$652,5,FALSE)</f>
        <v>#N/A</v>
      </c>
      <c r="M4" s="81"/>
    </row>
    <row r="5" spans="1:35" ht="15" customHeight="1" x14ac:dyDescent="0.2">
      <c r="A5" s="59">
        <v>9</v>
      </c>
      <c r="B5" s="59" t="s">
        <v>409</v>
      </c>
      <c r="C5" s="65">
        <v>27172</v>
      </c>
      <c r="D5" s="61">
        <v>10.63</v>
      </c>
      <c r="E5" s="70">
        <v>2.326848</v>
      </c>
      <c r="F5" s="65" t="s">
        <v>370</v>
      </c>
      <c r="G5" s="65" t="s">
        <v>410</v>
      </c>
      <c r="H5" s="68">
        <v>10056</v>
      </c>
      <c r="I5" s="94">
        <f>VLOOKUP(c_9[[#This Row],[hwycov_id]],flow0[],5,FALSE)</f>
        <v>13219</v>
      </c>
      <c r="J5" s="60">
        <f t="shared" si="0"/>
        <v>0.31453858392999212</v>
      </c>
      <c r="K5" s="81">
        <f t="shared" si="1"/>
        <v>10004569</v>
      </c>
      <c r="L5" s="61" t="e">
        <f>VLOOKUP(c_9[[#This Row],[hwycov_id]],count!$A$630:$E$652,5,FALSE)</f>
        <v>#N/A</v>
      </c>
      <c r="M5" s="81"/>
    </row>
    <row r="6" spans="1:35" ht="15" customHeight="1" x14ac:dyDescent="0.2">
      <c r="A6" s="59">
        <v>9</v>
      </c>
      <c r="B6" s="59" t="s">
        <v>409</v>
      </c>
      <c r="C6" s="65">
        <v>27351</v>
      </c>
      <c r="D6" s="61">
        <v>17.46</v>
      </c>
      <c r="E6" s="70">
        <v>3.4501599999999999</v>
      </c>
      <c r="F6" s="65" t="s">
        <v>369</v>
      </c>
      <c r="G6" s="65" t="s">
        <v>32</v>
      </c>
      <c r="H6" s="68">
        <v>10396</v>
      </c>
      <c r="I6" s="94">
        <f>VLOOKUP(c_9[[#This Row],[hwycov_id]],flow0[],5,FALSE)</f>
        <v>13442</v>
      </c>
      <c r="J6" s="60">
        <f t="shared" si="0"/>
        <v>0.29299730665640622</v>
      </c>
      <c r="K6" s="81">
        <f t="shared" si="1"/>
        <v>9278116</v>
      </c>
      <c r="L6" s="61" t="e">
        <f>VLOOKUP(c_9[[#This Row],[hwycov_id]],count!$A$630:$E$652,5,FALSE)</f>
        <v>#N/A</v>
      </c>
      <c r="M6" s="81"/>
    </row>
    <row r="7" spans="1:35" ht="15" customHeight="1" x14ac:dyDescent="0.2">
      <c r="A7" s="59">
        <v>9</v>
      </c>
      <c r="B7" s="59" t="s">
        <v>409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11448</v>
      </c>
      <c r="I7" s="94">
        <f>VLOOKUP(c_9[[#This Row],[hwycov_id]],flow0[],5,FALSE)</f>
        <v>12751</v>
      </c>
      <c r="J7" s="60">
        <f t="shared" si="0"/>
        <v>0.11381900768693232</v>
      </c>
      <c r="K7" s="81">
        <f t="shared" si="1"/>
        <v>1697809</v>
      </c>
      <c r="L7" s="61" t="e">
        <f>VLOOKUP(c_9[[#This Row],[hwycov_id]],count!$A$630:$E$652,5,FALSE)</f>
        <v>#N/A</v>
      </c>
      <c r="M7" s="81"/>
    </row>
    <row r="8" spans="1:35" ht="15" customHeight="1" x14ac:dyDescent="0.2">
      <c r="A8" s="59">
        <v>9</v>
      </c>
      <c r="B8" s="59" t="s">
        <v>409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12520</v>
      </c>
      <c r="I8" s="94">
        <f>VLOOKUP(c_9[[#This Row],[hwycov_id]],flow0[],5,FALSE)</f>
        <v>10460</v>
      </c>
      <c r="J8" s="60">
        <f t="shared" si="0"/>
        <v>-0.16453674121405748</v>
      </c>
      <c r="K8" s="81">
        <f t="shared" si="1"/>
        <v>4243600</v>
      </c>
      <c r="L8" s="61" t="e">
        <f>VLOOKUP(c_9[[#This Row],[hwycov_id]],count!$A$630:$E$652,5,FALSE)</f>
        <v>#N/A</v>
      </c>
      <c r="M8" s="81"/>
    </row>
    <row r="9" spans="1:35" ht="15" customHeight="1" x14ac:dyDescent="0.2">
      <c r="A9" s="59">
        <v>9</v>
      </c>
      <c r="B9" s="59" t="s">
        <v>409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9864</v>
      </c>
      <c r="I9" s="94">
        <f>VLOOKUP(c_9[[#This Row],[hwycov_id]],flow0[],5,FALSE)</f>
        <v>10468</v>
      </c>
      <c r="J9" s="60">
        <f t="shared" si="0"/>
        <v>6.1232765612327711E-2</v>
      </c>
      <c r="K9" s="81">
        <f t="shared" si="1"/>
        <v>364816</v>
      </c>
      <c r="L9" s="61" t="e">
        <f>VLOOKUP(c_9[[#This Row],[hwycov_id]],count!$A$630:$E$652,5,FALSE)</f>
        <v>#N/A</v>
      </c>
      <c r="M9" s="81"/>
    </row>
    <row r="10" spans="1:35" ht="15" customHeight="1" x14ac:dyDescent="0.2">
      <c r="A10" s="59">
        <v>9</v>
      </c>
      <c r="B10" s="59" t="s">
        <v>409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12404</v>
      </c>
      <c r="I10" s="94">
        <f>VLOOKUP(c_9[[#This Row],[hwycov_id]],flow0[],5,FALSE)</f>
        <v>12705</v>
      </c>
      <c r="J10" s="60">
        <f t="shared" si="0"/>
        <v>2.4266365688487612E-2</v>
      </c>
      <c r="K10" s="81">
        <f t="shared" si="1"/>
        <v>90601</v>
      </c>
      <c r="L10" s="61" t="e">
        <f>VLOOKUP(c_9[[#This Row],[hwycov_id]],count!$A$630:$E$652,5,FALSE)</f>
        <v>#N/A</v>
      </c>
      <c r="M10" s="81"/>
    </row>
    <row r="11" spans="1:35" ht="15" customHeight="1" x14ac:dyDescent="0.2">
      <c r="A11" s="59">
        <v>9</v>
      </c>
      <c r="B11" s="59" t="s">
        <v>409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18732</v>
      </c>
      <c r="I11" s="94">
        <f>VLOOKUP(c_9[[#This Row],[hwycov_id]],flow0[],5,FALSE)</f>
        <v>21740</v>
      </c>
      <c r="J11" s="60">
        <f t="shared" si="0"/>
        <v>0.16058082425795428</v>
      </c>
      <c r="K11" s="81">
        <f t="shared" si="1"/>
        <v>9048064</v>
      </c>
      <c r="L11" s="61" t="e">
        <f>VLOOKUP(c_9[[#This Row],[hwycov_id]],count!$A$630:$E$652,5,FALSE)</f>
        <v>#N/A</v>
      </c>
      <c r="M11" s="81"/>
    </row>
    <row r="12" spans="1:35" ht="15" customHeight="1" x14ac:dyDescent="0.2">
      <c r="A12" s="59">
        <v>9</v>
      </c>
      <c r="B12" s="59" t="s">
        <v>409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18909</v>
      </c>
      <c r="I12" s="94">
        <f>VLOOKUP(c_9[[#This Row],[hwycov_id]],flow0[],5,FALSE)</f>
        <v>22543</v>
      </c>
      <c r="J12" s="60">
        <f t="shared" si="0"/>
        <v>0.192183616267386</v>
      </c>
      <c r="K12" s="81">
        <f t="shared" si="1"/>
        <v>13205956</v>
      </c>
      <c r="L12" s="61" t="e">
        <f>VLOOKUP(c_9[[#This Row],[hwycov_id]],count!$A$630:$E$652,5,FALSE)</f>
        <v>#N/A</v>
      </c>
      <c r="M12" s="81"/>
    </row>
    <row r="13" spans="1:35" ht="15" customHeight="1" x14ac:dyDescent="0.2">
      <c r="A13" s="59">
        <v>9</v>
      </c>
      <c r="B13" s="59" t="s">
        <v>409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16653</v>
      </c>
      <c r="I13" s="94">
        <f>VLOOKUP(c_9[[#This Row],[hwycov_id]],flow0[],5,FALSE)</f>
        <v>21479</v>
      </c>
      <c r="J13" s="60">
        <f t="shared" si="0"/>
        <v>0.28979763405992909</v>
      </c>
      <c r="K13" s="81">
        <f t="shared" si="1"/>
        <v>23290276</v>
      </c>
      <c r="L13" s="61" t="e">
        <f>VLOOKUP(c_9[[#This Row],[hwycov_id]],count!$A$630:$E$652,5,FALSE)</f>
        <v>#N/A</v>
      </c>
      <c r="M13" s="81"/>
    </row>
    <row r="14" spans="1:35" ht="15" customHeight="1" x14ac:dyDescent="0.2">
      <c r="A14" s="59">
        <v>9</v>
      </c>
      <c r="B14" s="59" t="s">
        <v>409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19215</v>
      </c>
      <c r="I14" s="94">
        <f>VLOOKUP(c_9[[#This Row],[hwycov_id]],flow0[],5,FALSE)</f>
        <v>21518</v>
      </c>
      <c r="J14" s="60">
        <f t="shared" si="0"/>
        <v>0.11985428051001823</v>
      </c>
      <c r="K14" s="81">
        <f t="shared" si="1"/>
        <v>5303809</v>
      </c>
      <c r="L14" s="61" t="e">
        <f>VLOOKUP(c_9[[#This Row],[hwycov_id]],count!$A$630:$E$652,5,FALSE)</f>
        <v>#N/A</v>
      </c>
      <c r="M14" s="81"/>
    </row>
    <row r="15" spans="1:35" ht="15" customHeight="1" x14ac:dyDescent="0.2">
      <c r="A15" s="59">
        <v>9</v>
      </c>
      <c r="B15" s="59" t="s">
        <v>409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19684</v>
      </c>
      <c r="I15" s="94">
        <f>VLOOKUP(c_9[[#This Row],[hwycov_id]],flow0[],5,FALSE)</f>
        <v>21925</v>
      </c>
      <c r="J15" s="60">
        <f t="shared" si="0"/>
        <v>0.11384881121723223</v>
      </c>
      <c r="K15" s="81">
        <f t="shared" si="1"/>
        <v>5022081</v>
      </c>
      <c r="L15" s="61" t="e">
        <f>VLOOKUP(c_9[[#This Row],[hwycov_id]],count!$A$630:$E$652,5,FALSE)</f>
        <v>#N/A</v>
      </c>
      <c r="M15" s="81"/>
    </row>
    <row r="16" spans="1:35" ht="15" customHeight="1" x14ac:dyDescent="0.2">
      <c r="A16" s="59">
        <v>9</v>
      </c>
      <c r="B16" s="59" t="s">
        <v>409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22029</v>
      </c>
      <c r="I16" s="94">
        <f>VLOOKUP(c_9[[#This Row],[hwycov_id]],flow0[],5,FALSE)</f>
        <v>25171</v>
      </c>
      <c r="J16" s="60">
        <f t="shared" si="0"/>
        <v>0.14263016932225692</v>
      </c>
      <c r="K16" s="81">
        <f t="shared" si="1"/>
        <v>9872164</v>
      </c>
      <c r="L16" s="61" t="e">
        <f>VLOOKUP(c_9[[#This Row],[hwycov_id]],count!$A$630:$E$652,5,FALSE)</f>
        <v>#N/A</v>
      </c>
      <c r="M16" s="81"/>
    </row>
    <row r="17" spans="1:13" ht="15" customHeight="1" x14ac:dyDescent="0.2">
      <c r="A17" s="59">
        <v>9</v>
      </c>
      <c r="B17" s="59" t="s">
        <v>409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19411</v>
      </c>
      <c r="I17" s="94">
        <f>VLOOKUP(c_9[[#This Row],[hwycov_id]],flow0[],5,FALSE)</f>
        <v>23465</v>
      </c>
      <c r="J17" s="60">
        <f t="shared" si="0"/>
        <v>0.20885065169233941</v>
      </c>
      <c r="K17" s="81">
        <f t="shared" si="1"/>
        <v>16434916</v>
      </c>
      <c r="L17" s="61" t="e">
        <f>VLOOKUP(c_9[[#This Row],[hwycov_id]],count!$A$630:$E$652,5,FALSE)</f>
        <v>#N/A</v>
      </c>
      <c r="M17" s="81"/>
    </row>
    <row r="18" spans="1:13" ht="15" customHeight="1" x14ac:dyDescent="0.2">
      <c r="A18" s="59">
        <v>9</v>
      </c>
      <c r="B18" s="59" t="s">
        <v>409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22876</v>
      </c>
      <c r="I18" s="94">
        <f>VLOOKUP(c_9[[#This Row],[hwycov_id]],flow0[],5,FALSE)</f>
        <v>26100</v>
      </c>
      <c r="J18" s="60">
        <f t="shared" si="0"/>
        <v>0.14093372967301976</v>
      </c>
      <c r="K18" s="81">
        <f t="shared" si="1"/>
        <v>10394176</v>
      </c>
      <c r="L18" s="61" t="e">
        <f>VLOOKUP(c_9[[#This Row],[hwycov_id]],count!$A$630:$E$652,5,FALSE)</f>
        <v>#N/A</v>
      </c>
      <c r="M18" s="81"/>
    </row>
    <row r="19" spans="1:13" ht="15" customHeight="1" x14ac:dyDescent="0.2">
      <c r="A19" s="59">
        <v>9</v>
      </c>
      <c r="B19" s="59" t="s">
        <v>409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20797</v>
      </c>
      <c r="I19" s="94">
        <f>VLOOKUP(c_9[[#This Row],[hwycov_id]],flow0[],5,FALSE)</f>
        <v>21348</v>
      </c>
      <c r="J19" s="60">
        <f t="shared" si="0"/>
        <v>2.6494205895081002E-2</v>
      </c>
      <c r="K19" s="81">
        <f t="shared" si="1"/>
        <v>303601</v>
      </c>
      <c r="L19" s="61" t="e">
        <f>VLOOKUP(c_9[[#This Row],[hwycov_id]],count!$A$630:$E$652,5,FALSE)</f>
        <v>#N/A</v>
      </c>
      <c r="M19" s="81"/>
    </row>
    <row r="20" spans="1:13" ht="15" customHeight="1" x14ac:dyDescent="0.2">
      <c r="A20" s="59">
        <v>9</v>
      </c>
      <c r="B20" s="59" t="s">
        <v>409</v>
      </c>
      <c r="C20" s="65">
        <v>31207</v>
      </c>
      <c r="D20" s="61">
        <v>30.07</v>
      </c>
      <c r="E20" s="70">
        <v>1.274532</v>
      </c>
      <c r="F20" s="65" t="s">
        <v>43</v>
      </c>
      <c r="G20" s="65" t="s">
        <v>6</v>
      </c>
      <c r="H20" s="68">
        <v>21278</v>
      </c>
      <c r="I20" s="94">
        <f>VLOOKUP(c_9[[#This Row],[hwycov_id]],flow0[],5,FALSE)</f>
        <v>21689</v>
      </c>
      <c r="J20" s="60">
        <f t="shared" si="0"/>
        <v>1.9315725162139197E-2</v>
      </c>
      <c r="K20" s="81">
        <f t="shared" si="1"/>
        <v>168921</v>
      </c>
      <c r="L20" s="61" t="e">
        <f>VLOOKUP(c_9[[#This Row],[hwycov_id]],count!$A$630:$E$652,5,FALSE)</f>
        <v>#N/A</v>
      </c>
      <c r="M20" s="81"/>
    </row>
    <row r="21" spans="1:13" ht="15" customHeight="1" x14ac:dyDescent="0.2">
      <c r="A21" s="59">
        <v>9</v>
      </c>
      <c r="B21" s="59" t="s">
        <v>409</v>
      </c>
      <c r="C21" s="65">
        <v>568</v>
      </c>
      <c r="D21" s="61">
        <v>30.9</v>
      </c>
      <c r="E21" s="70">
        <v>0.53279200000000004</v>
      </c>
      <c r="F21" s="65" t="s">
        <v>6</v>
      </c>
      <c r="G21" s="65" t="s">
        <v>6</v>
      </c>
      <c r="H21" s="68">
        <v>18620</v>
      </c>
      <c r="I21" s="94">
        <f>VLOOKUP(c_9[[#This Row],[hwycov_id]],flow0[],5,FALSE)</f>
        <v>19931</v>
      </c>
      <c r="J21" s="60">
        <f t="shared" si="0"/>
        <v>7.040816326530619E-2</v>
      </c>
      <c r="K21" s="81">
        <f t="shared" si="1"/>
        <v>1718721</v>
      </c>
      <c r="L21" s="61" t="e">
        <f>VLOOKUP(c_9[[#This Row],[hwycov_id]],count!$A$630:$E$652,5,FALSE)</f>
        <v>#N/A</v>
      </c>
      <c r="M21" s="81"/>
    </row>
    <row r="22" spans="1:13" ht="15" customHeight="1" x14ac:dyDescent="0.2">
      <c r="A22" s="59">
        <v>9</v>
      </c>
      <c r="B22" s="59" t="s">
        <v>409</v>
      </c>
      <c r="C22" s="65">
        <v>13646</v>
      </c>
      <c r="D22" s="61">
        <v>31.29</v>
      </c>
      <c r="E22" s="70">
        <v>0.38551400000000002</v>
      </c>
      <c r="F22" s="65" t="s">
        <v>6</v>
      </c>
      <c r="G22" s="65" t="s">
        <v>30</v>
      </c>
      <c r="H22" s="68">
        <v>22442</v>
      </c>
      <c r="I22" s="94">
        <f>VLOOKUP(c_9[[#This Row],[hwycov_id]],flow0[],5,FALSE)</f>
        <v>22170</v>
      </c>
      <c r="J22" s="60">
        <f t="shared" si="0"/>
        <v>-1.2120131895552944E-2</v>
      </c>
      <c r="K22" s="81">
        <f t="shared" si="1"/>
        <v>73984</v>
      </c>
      <c r="L22" s="61" t="e">
        <f>VLOOKUP(c_9[[#This Row],[hwycov_id]],count!$A$630:$E$652,5,FALSE)</f>
        <v>#N/A</v>
      </c>
      <c r="M22" s="81"/>
    </row>
    <row r="23" spans="1:13" ht="15" customHeight="1" x14ac:dyDescent="0.2">
      <c r="A23" s="59">
        <v>9</v>
      </c>
      <c r="B23" s="59" t="s">
        <v>409</v>
      </c>
      <c r="C23" s="65">
        <v>13649</v>
      </c>
      <c r="D23" s="61">
        <v>31.74</v>
      </c>
      <c r="E23" s="70">
        <v>0.45489400000000002</v>
      </c>
      <c r="F23" s="65" t="s">
        <v>30</v>
      </c>
      <c r="G23" s="65" t="s">
        <v>30</v>
      </c>
      <c r="H23" s="68">
        <v>20923</v>
      </c>
      <c r="I23" s="94">
        <f>VLOOKUP(c_9[[#This Row],[hwycov_id]],flow0[],5,FALSE)</f>
        <v>20307</v>
      </c>
      <c r="J23" s="60">
        <f t="shared" si="0"/>
        <v>-2.9441284710605586E-2</v>
      </c>
      <c r="K23" s="81">
        <f t="shared" si="1"/>
        <v>379456</v>
      </c>
      <c r="L23" s="61" t="e">
        <f>VLOOKUP(c_9[[#This Row],[hwycov_id]],count!$A$630:$E$652,5,FALSE)</f>
        <v>#N/A</v>
      </c>
      <c r="M23" s="81"/>
    </row>
    <row r="24" spans="1:13" ht="15" customHeight="1" x14ac:dyDescent="0.2">
      <c r="A24" s="59">
        <v>9</v>
      </c>
      <c r="B24" s="59" t="s">
        <v>409</v>
      </c>
      <c r="C24" s="65">
        <v>13653</v>
      </c>
      <c r="D24" s="61">
        <v>32.26</v>
      </c>
      <c r="E24" s="70">
        <v>0.51728399999999997</v>
      </c>
      <c r="F24" s="65" t="s">
        <v>30</v>
      </c>
      <c r="G24" s="65" t="s">
        <v>2</v>
      </c>
      <c r="H24" s="68">
        <v>24143</v>
      </c>
      <c r="I24" s="94">
        <f>VLOOKUP(c_9[[#This Row],[hwycov_id]],flow0[],5,FALSE)</f>
        <v>21593</v>
      </c>
      <c r="J24" s="60">
        <f t="shared" si="0"/>
        <v>-0.10562067680072895</v>
      </c>
      <c r="K24" s="81">
        <f t="shared" si="1"/>
        <v>6502500</v>
      </c>
      <c r="L24" s="61" t="e">
        <f>VLOOKUP(c_9[[#This Row],[hwycov_id]],count!$A$630:$E$652,5,FALSE)</f>
        <v>#N/A</v>
      </c>
      <c r="M24" s="81"/>
    </row>
    <row r="25" spans="1:13" ht="15" customHeight="1" x14ac:dyDescent="0.2">
      <c r="A25" s="59">
        <v>9</v>
      </c>
      <c r="B25" s="59" t="s">
        <v>409</v>
      </c>
      <c r="C25" s="65">
        <v>13661</v>
      </c>
      <c r="D25" s="61">
        <v>32.71</v>
      </c>
      <c r="E25" s="70">
        <v>0.13517899999999999</v>
      </c>
      <c r="F25" s="65" t="s">
        <v>2</v>
      </c>
      <c r="G25" s="65" t="s">
        <v>2</v>
      </c>
      <c r="H25" s="68">
        <v>21294</v>
      </c>
      <c r="I25" s="94">
        <f>VLOOKUP(c_9[[#This Row],[hwycov_id]],flow0[],5,FALSE)</f>
        <v>20564</v>
      </c>
      <c r="J25" s="60">
        <f t="shared" si="0"/>
        <v>-3.4281957358880399E-2</v>
      </c>
      <c r="K25" s="81">
        <f t="shared" si="1"/>
        <v>532900</v>
      </c>
      <c r="L25" s="61" t="e">
        <f>VLOOKUP(c_9[[#This Row],[hwycov_id]],count!$A$630:$E$652,5,FALSE)</f>
        <v>#N/A</v>
      </c>
      <c r="M25" s="81"/>
    </row>
    <row r="26" spans="1:13" ht="15" customHeight="1" x14ac:dyDescent="0.2">
      <c r="A26" s="59">
        <v>9</v>
      </c>
      <c r="B26" s="59" t="s">
        <v>409</v>
      </c>
      <c r="C26" s="65">
        <v>13664</v>
      </c>
      <c r="D26" s="61">
        <v>33.58</v>
      </c>
      <c r="E26" s="70">
        <v>0.78697099999999998</v>
      </c>
      <c r="F26" s="65" t="s">
        <v>2</v>
      </c>
      <c r="G26" s="65" t="s">
        <v>31</v>
      </c>
      <c r="H26" s="68">
        <v>26695</v>
      </c>
      <c r="I26" s="94">
        <f>VLOOKUP(c_9[[#This Row],[hwycov_id]],flow0[],5,FALSE)</f>
        <v>22837</v>
      </c>
      <c r="J26" s="60">
        <f t="shared" si="0"/>
        <v>-0.14452144596366356</v>
      </c>
      <c r="K26" s="81">
        <f t="shared" si="1"/>
        <v>14884164</v>
      </c>
      <c r="L26" s="61" t="e">
        <f>VLOOKUP(c_9[[#This Row],[hwycov_id]],count!$A$630:$E$652,5,FALSE)</f>
        <v>#N/A</v>
      </c>
      <c r="M26" s="81"/>
    </row>
    <row r="27" spans="1:13" ht="15" customHeight="1" x14ac:dyDescent="0.2">
      <c r="A27" s="59">
        <v>9</v>
      </c>
      <c r="B27" s="59" t="s">
        <v>409</v>
      </c>
      <c r="C27" s="65">
        <v>13673</v>
      </c>
      <c r="D27" s="61">
        <v>34.090000000000003</v>
      </c>
      <c r="E27" s="70">
        <v>0.50616399999999995</v>
      </c>
      <c r="F27" s="65" t="s">
        <v>31</v>
      </c>
      <c r="G27" s="65" t="s">
        <v>31</v>
      </c>
      <c r="H27" s="68">
        <v>23905</v>
      </c>
      <c r="I27" s="94">
        <f>VLOOKUP(c_9[[#This Row],[hwycov_id]],flow0[],5,FALSE)</f>
        <v>21143</v>
      </c>
      <c r="J27" s="60">
        <f t="shared" si="0"/>
        <v>-0.11554068186571842</v>
      </c>
      <c r="K27" s="81">
        <f t="shared" si="1"/>
        <v>7628644</v>
      </c>
      <c r="L27" s="61" t="e">
        <f>VLOOKUP(c_9[[#This Row],[hwycov_id]],count!$A$630:$E$652,5,FALSE)</f>
        <v>#N/A</v>
      </c>
      <c r="M27" s="81"/>
    </row>
    <row r="28" spans="1:13" ht="15" customHeight="1" x14ac:dyDescent="0.2">
      <c r="A28" s="59">
        <v>9</v>
      </c>
      <c r="B28" s="59" t="s">
        <v>409</v>
      </c>
      <c r="C28" s="65">
        <v>14644</v>
      </c>
      <c r="D28" s="61">
        <v>34.700000000000003</v>
      </c>
      <c r="E28" s="70">
        <v>0.61203200000000002</v>
      </c>
      <c r="F28" s="65" t="s">
        <v>31</v>
      </c>
      <c r="G28" s="65" t="s">
        <v>1</v>
      </c>
      <c r="H28" s="68">
        <v>35147</v>
      </c>
      <c r="I28" s="94">
        <f>VLOOKUP(c_9[[#This Row],[hwycov_id]],flow0[],5,FALSE)</f>
        <v>23653</v>
      </c>
      <c r="J28" s="60">
        <f t="shared" si="0"/>
        <v>-0.32702648874726148</v>
      </c>
      <c r="K28" s="81">
        <f t="shared" si="1"/>
        <v>132112036</v>
      </c>
      <c r="L28" s="61" t="e">
        <f>VLOOKUP(c_9[[#This Row],[hwycov_id]],count!$A$630:$E$652,5,FALSE)</f>
        <v>#N/A</v>
      </c>
      <c r="M28" s="81"/>
    </row>
    <row r="29" spans="1:13" ht="15" customHeight="1" x14ac:dyDescent="0.2">
      <c r="A29" s="59">
        <v>9</v>
      </c>
      <c r="B29" s="59" t="s">
        <v>409</v>
      </c>
      <c r="C29" s="65">
        <v>570</v>
      </c>
      <c r="D29" s="61">
        <v>35.74</v>
      </c>
      <c r="E29" s="70">
        <v>0.56377100000000002</v>
      </c>
      <c r="F29" s="65" t="s">
        <v>44</v>
      </c>
      <c r="G29" s="65" t="s">
        <v>0</v>
      </c>
      <c r="H29" s="68">
        <v>23156</v>
      </c>
      <c r="I29" s="94">
        <f>VLOOKUP(c_9[[#This Row],[hwycov_id]],flow0[],5,FALSE)</f>
        <v>20296</v>
      </c>
      <c r="J29" s="60">
        <f t="shared" si="0"/>
        <v>-0.12351010537225771</v>
      </c>
      <c r="K29" s="81">
        <f t="shared" si="1"/>
        <v>8179600</v>
      </c>
      <c r="L29" s="61" t="e">
        <f>VLOOKUP(c_9[[#This Row],[hwycov_id]],count!$A$630:$E$652,5,FALSE)</f>
        <v>#N/A</v>
      </c>
      <c r="M29" s="81"/>
    </row>
    <row r="30" spans="1:13" ht="15" customHeight="1" x14ac:dyDescent="0.2">
      <c r="A30" s="59">
        <v>9</v>
      </c>
      <c r="B30" s="59" t="s">
        <v>409</v>
      </c>
      <c r="C30" s="65">
        <v>14637</v>
      </c>
      <c r="D30" s="61">
        <v>35.96</v>
      </c>
      <c r="E30" s="70">
        <v>0.228827</v>
      </c>
      <c r="F30" s="65" t="s">
        <v>0</v>
      </c>
      <c r="G30" s="65" t="s">
        <v>45</v>
      </c>
      <c r="H30" s="68">
        <v>23205</v>
      </c>
      <c r="I30" s="94">
        <f>VLOOKUP(c_9[[#This Row],[hwycov_id]],flow0[],5,FALSE)</f>
        <v>21394</v>
      </c>
      <c r="J30" s="60">
        <f t="shared" si="0"/>
        <v>-7.8043525102348577E-2</v>
      </c>
      <c r="K30" s="81">
        <f t="shared" si="1"/>
        <v>3279721</v>
      </c>
      <c r="L30" s="61" t="e">
        <f>VLOOKUP(c_9[[#This Row],[hwycov_id]],count!$A$630:$E$652,5,FALSE)</f>
        <v>#N/A</v>
      </c>
      <c r="M30" s="81"/>
    </row>
    <row r="31" spans="1:13" ht="15" customHeight="1" x14ac:dyDescent="0.2">
      <c r="A31" s="59">
        <v>9</v>
      </c>
      <c r="B31" s="59" t="s">
        <v>409</v>
      </c>
      <c r="C31" s="65">
        <v>14660</v>
      </c>
      <c r="D31" s="61">
        <v>36.29</v>
      </c>
      <c r="E31" s="70">
        <v>0.32136599999999999</v>
      </c>
      <c r="F31" s="65" t="s">
        <v>45</v>
      </c>
      <c r="G31" s="65" t="s">
        <v>45</v>
      </c>
      <c r="H31" s="68">
        <v>22862</v>
      </c>
      <c r="I31" s="94">
        <f>VLOOKUP(c_9[[#This Row],[hwycov_id]],flow0[],5,FALSE)</f>
        <v>20797</v>
      </c>
      <c r="J31" s="60">
        <f t="shared" si="0"/>
        <v>-9.0324556031843195E-2</v>
      </c>
      <c r="K31" s="81">
        <f t="shared" si="1"/>
        <v>4264225</v>
      </c>
      <c r="L31" s="61" t="e">
        <f>VLOOKUP(c_9[[#This Row],[hwycov_id]],count!$A$630:$E$652,5,FALSE)</f>
        <v>#N/A</v>
      </c>
      <c r="M31" s="81"/>
    </row>
    <row r="32" spans="1:13" ht="15" customHeight="1" x14ac:dyDescent="0.2">
      <c r="A32" s="59">
        <v>9</v>
      </c>
      <c r="B32" s="59" t="s">
        <v>409</v>
      </c>
      <c r="C32" s="65">
        <v>789</v>
      </c>
      <c r="D32" s="61">
        <v>37.409999999999997</v>
      </c>
      <c r="E32" s="70">
        <v>0.21335899999999999</v>
      </c>
      <c r="F32" s="65" t="s">
        <v>15</v>
      </c>
      <c r="G32" s="65" t="s">
        <v>15</v>
      </c>
      <c r="H32" s="68">
        <v>26859</v>
      </c>
      <c r="I32" s="94">
        <f>VLOOKUP(c_9[[#This Row],[hwycov_id]],flow0[],5,FALSE)</f>
        <v>24077</v>
      </c>
      <c r="J32" s="60">
        <f t="shared" si="0"/>
        <v>-0.10357794407833498</v>
      </c>
      <c r="K32" s="81">
        <f t="shared" si="1"/>
        <v>7739524</v>
      </c>
      <c r="L32" s="61" t="e">
        <f>VLOOKUP(c_9[[#This Row],[hwycov_id]],count!$A$630:$E$652,5,FALSE)</f>
        <v>#N/A</v>
      </c>
      <c r="M32" s="81"/>
    </row>
    <row r="33" spans="1:13" ht="15" customHeight="1" x14ac:dyDescent="0.2">
      <c r="A33" s="59">
        <v>9</v>
      </c>
      <c r="B33" s="59" t="s">
        <v>409</v>
      </c>
      <c r="C33" s="65">
        <v>14383</v>
      </c>
      <c r="D33" s="61">
        <v>38.130000000000003</v>
      </c>
      <c r="E33" s="70">
        <v>0.71821100000000004</v>
      </c>
      <c r="F33" s="65" t="s">
        <v>15</v>
      </c>
      <c r="G33" s="65" t="s">
        <v>33</v>
      </c>
      <c r="H33" s="68">
        <v>31444</v>
      </c>
      <c r="I33" s="94">
        <f>VLOOKUP(c_9[[#This Row],[hwycov_id]],flow0[],5,FALSE)</f>
        <v>26498</v>
      </c>
      <c r="J33" s="60">
        <f t="shared" si="0"/>
        <v>-0.15729550947716575</v>
      </c>
      <c r="K33" s="81">
        <f t="shared" ref="K33:K44" si="2">POWER((I33-H33),2)</f>
        <v>24462916</v>
      </c>
      <c r="L33" s="61" t="e">
        <f>VLOOKUP(c_9[[#This Row],[hwycov_id]],count!$A$630:$E$652,5,FALSE)</f>
        <v>#N/A</v>
      </c>
      <c r="M33" s="81"/>
    </row>
    <row r="34" spans="1:13" ht="15" customHeight="1" x14ac:dyDescent="0.2">
      <c r="A34" s="59">
        <v>9</v>
      </c>
      <c r="B34" s="59" t="s">
        <v>409</v>
      </c>
      <c r="C34" s="65">
        <v>28809</v>
      </c>
      <c r="D34" s="61">
        <v>38.54</v>
      </c>
      <c r="E34" s="70">
        <v>0.29058800000000001</v>
      </c>
      <c r="F34" s="65" t="s">
        <v>33</v>
      </c>
      <c r="G34" s="65" t="s">
        <v>33</v>
      </c>
      <c r="H34" s="68">
        <v>23954</v>
      </c>
      <c r="I34" s="94">
        <f>VLOOKUP(c_9[[#This Row],[hwycov_id]],flow0[],5,FALSE)</f>
        <v>23847</v>
      </c>
      <c r="J34" s="60">
        <f t="shared" si="0"/>
        <v>-4.4668948818569199E-3</v>
      </c>
      <c r="K34" s="81">
        <f t="shared" si="2"/>
        <v>11449</v>
      </c>
      <c r="L34" s="61" t="e">
        <f>VLOOKUP(c_9[[#This Row],[hwycov_id]],count!$A$630:$E$652,5,FALSE)</f>
        <v>#N/A</v>
      </c>
      <c r="M34" s="81"/>
    </row>
    <row r="35" spans="1:13" ht="15" customHeight="1" x14ac:dyDescent="0.2">
      <c r="A35" s="59">
        <v>9</v>
      </c>
      <c r="B35" s="59" t="s">
        <v>409</v>
      </c>
      <c r="C35" s="65">
        <v>8814</v>
      </c>
      <c r="D35" s="61">
        <v>39.229999999999997</v>
      </c>
      <c r="E35" s="70">
        <v>0.44913599999999998</v>
      </c>
      <c r="F35" s="65" t="s">
        <v>33</v>
      </c>
      <c r="G35" s="65" t="s">
        <v>34</v>
      </c>
      <c r="H35" s="68">
        <v>29897</v>
      </c>
      <c r="I35" s="94">
        <f>VLOOKUP(c_9[[#This Row],[hwycov_id]],flow0[],5,FALSE)</f>
        <v>29575</v>
      </c>
      <c r="J35" s="60">
        <f t="shared" si="0"/>
        <v>-1.0770311402481858E-2</v>
      </c>
      <c r="K35" s="81">
        <f t="shared" si="2"/>
        <v>103684</v>
      </c>
      <c r="L35" s="61" t="e">
        <f>VLOOKUP(c_9[[#This Row],[hwycov_id]],count!$A$630:$E$652,5,FALSE)</f>
        <v>#N/A</v>
      </c>
      <c r="M35" s="81"/>
    </row>
    <row r="36" spans="1:13" ht="15" customHeight="1" x14ac:dyDescent="0.2">
      <c r="A36" s="59">
        <v>9</v>
      </c>
      <c r="B36" s="59" t="s">
        <v>409</v>
      </c>
      <c r="C36" s="65">
        <v>14400</v>
      </c>
      <c r="D36" s="61">
        <v>39.630000000000003</v>
      </c>
      <c r="E36" s="70">
        <v>0.40190700000000001</v>
      </c>
      <c r="F36" s="65" t="s">
        <v>34</v>
      </c>
      <c r="G36" s="65" t="s">
        <v>34</v>
      </c>
      <c r="H36" s="68">
        <v>28049</v>
      </c>
      <c r="I36" s="94">
        <f>VLOOKUP(c_9[[#This Row],[hwycov_id]],flow0[],5,FALSE)</f>
        <v>28197</v>
      </c>
      <c r="J36" s="60">
        <f t="shared" si="0"/>
        <v>5.2764804449356717E-3</v>
      </c>
      <c r="K36" s="81">
        <f t="shared" si="2"/>
        <v>21904</v>
      </c>
      <c r="L36" s="61" t="e">
        <f>VLOOKUP(c_9[[#This Row],[hwycov_id]],count!$A$630:$E$652,5,FALSE)</f>
        <v>#N/A</v>
      </c>
      <c r="M36" s="81"/>
    </row>
    <row r="37" spans="1:13" ht="15" customHeight="1" x14ac:dyDescent="0.2">
      <c r="A37" s="59">
        <v>9</v>
      </c>
      <c r="B37" s="59" t="s">
        <v>409</v>
      </c>
      <c r="C37" s="65">
        <v>14407</v>
      </c>
      <c r="D37" s="61">
        <v>40.19</v>
      </c>
      <c r="E37" s="70">
        <v>0.30479499999999998</v>
      </c>
      <c r="F37" s="65" t="s">
        <v>46</v>
      </c>
      <c r="G37" s="65" t="s">
        <v>46</v>
      </c>
      <c r="H37" s="68">
        <v>29715</v>
      </c>
      <c r="I37" s="94">
        <f>VLOOKUP(c_9[[#This Row],[hwycov_id]],flow0[],5,FALSE)</f>
        <v>28918</v>
      </c>
      <c r="J37" s="60">
        <f t="shared" si="0"/>
        <v>-2.6821470637725109E-2</v>
      </c>
      <c r="K37" s="81">
        <f t="shared" si="2"/>
        <v>635209</v>
      </c>
      <c r="L37" s="61" t="e">
        <f>VLOOKUP(c_9[[#This Row],[hwycov_id]],count!$A$630:$E$652,5,FALSE)</f>
        <v>#N/A</v>
      </c>
      <c r="M37" s="81"/>
    </row>
    <row r="38" spans="1:13" ht="15" customHeight="1" x14ac:dyDescent="0.2">
      <c r="A38" s="59">
        <v>9</v>
      </c>
      <c r="B38" s="59" t="s">
        <v>409</v>
      </c>
      <c r="C38" s="65">
        <v>14411</v>
      </c>
      <c r="D38" s="61">
        <v>40.409999999999997</v>
      </c>
      <c r="E38" s="70">
        <v>0.218697</v>
      </c>
      <c r="F38" s="65" t="s">
        <v>46</v>
      </c>
      <c r="G38" s="65" t="s">
        <v>46</v>
      </c>
      <c r="H38" s="68">
        <v>29666</v>
      </c>
      <c r="I38" s="94">
        <f>VLOOKUP(c_9[[#This Row],[hwycov_id]],flow0[],5,FALSE)</f>
        <v>31062</v>
      </c>
      <c r="J38" s="60">
        <f t="shared" si="0"/>
        <v>4.7057237241286298E-2</v>
      </c>
      <c r="K38" s="81">
        <f t="shared" si="2"/>
        <v>1948816</v>
      </c>
      <c r="L38" s="61" t="e">
        <f>VLOOKUP(c_9[[#This Row],[hwycov_id]],count!$A$630:$E$652,5,FALSE)</f>
        <v>#N/A</v>
      </c>
      <c r="M38" s="81"/>
    </row>
    <row r="39" spans="1:13" ht="15" customHeight="1" x14ac:dyDescent="0.2">
      <c r="A39" s="59">
        <v>9</v>
      </c>
      <c r="B39" s="59" t="s">
        <v>409</v>
      </c>
      <c r="C39" s="65">
        <v>14412</v>
      </c>
      <c r="D39" s="61">
        <v>40.78</v>
      </c>
      <c r="E39" s="70">
        <v>0.37073299999999998</v>
      </c>
      <c r="F39" s="65" t="s">
        <v>46</v>
      </c>
      <c r="G39" s="65" t="s">
        <v>12</v>
      </c>
      <c r="H39" s="68">
        <v>29449</v>
      </c>
      <c r="I39" s="94">
        <f>VLOOKUP(c_9[[#This Row],[hwycov_id]],flow0[],5,FALSE)</f>
        <v>32232</v>
      </c>
      <c r="J39" s="60">
        <f t="shared" si="0"/>
        <v>9.4502360012224562E-2</v>
      </c>
      <c r="K39" s="81">
        <f t="shared" si="2"/>
        <v>7745089</v>
      </c>
      <c r="L39" s="61" t="e">
        <f>VLOOKUP(c_9[[#This Row],[hwycov_id]],count!$A$630:$E$652,5,FALSE)</f>
        <v>#N/A</v>
      </c>
      <c r="M39" s="81"/>
    </row>
    <row r="40" spans="1:13" ht="15" customHeight="1" x14ac:dyDescent="0.2">
      <c r="A40" s="59">
        <v>9</v>
      </c>
      <c r="B40" s="59" t="s">
        <v>409</v>
      </c>
      <c r="C40" s="65">
        <v>14418</v>
      </c>
      <c r="D40" s="61">
        <v>41.44</v>
      </c>
      <c r="E40" s="70">
        <v>0.58227200000000001</v>
      </c>
      <c r="F40" s="65" t="s">
        <v>12</v>
      </c>
      <c r="G40" s="65" t="s">
        <v>12</v>
      </c>
      <c r="H40" s="68">
        <v>30667</v>
      </c>
      <c r="I40" s="94">
        <f>VLOOKUP(c_9[[#This Row],[hwycov_id]],flow0[],5,FALSE)</f>
        <v>33570</v>
      </c>
      <c r="J40" s="60">
        <f t="shared" si="0"/>
        <v>9.4662014543320128E-2</v>
      </c>
      <c r="K40" s="81">
        <f t="shared" si="2"/>
        <v>8427409</v>
      </c>
      <c r="L40" s="61" t="e">
        <f>VLOOKUP(c_9[[#This Row],[hwycov_id]],count!$A$630:$E$652,5,FALSE)</f>
        <v>#N/A</v>
      </c>
      <c r="M40" s="81"/>
    </row>
    <row r="41" spans="1:13" ht="15" customHeight="1" x14ac:dyDescent="0.2">
      <c r="A41" s="59">
        <v>9</v>
      </c>
      <c r="B41" s="59" t="s">
        <v>409</v>
      </c>
      <c r="C41" s="65">
        <v>14419</v>
      </c>
      <c r="D41" s="61">
        <v>42.07</v>
      </c>
      <c r="E41" s="70">
        <v>0.63197400000000004</v>
      </c>
      <c r="F41" s="65" t="s">
        <v>12</v>
      </c>
      <c r="G41" s="65" t="s">
        <v>47</v>
      </c>
      <c r="H41" s="68">
        <v>36393</v>
      </c>
      <c r="I41" s="94">
        <f>VLOOKUP(c_9[[#This Row],[hwycov_id]],flow0[],5,FALSE)</f>
        <v>33941</v>
      </c>
      <c r="J41" s="60">
        <f t="shared" si="0"/>
        <v>-6.7375594207677247E-2</v>
      </c>
      <c r="K41" s="81">
        <f t="shared" si="2"/>
        <v>6012304</v>
      </c>
      <c r="L41" s="61" t="e">
        <f>VLOOKUP(c_9[[#This Row],[hwycov_id]],count!$A$630:$E$652,5,FALSE)</f>
        <v>#N/A</v>
      </c>
      <c r="M41" s="81"/>
    </row>
    <row r="42" spans="1:13" ht="15" customHeight="1" x14ac:dyDescent="0.2">
      <c r="A42" s="59">
        <v>9</v>
      </c>
      <c r="B42" s="59" t="s">
        <v>409</v>
      </c>
      <c r="C42" s="65">
        <v>8816</v>
      </c>
      <c r="D42" s="61">
        <v>43.59</v>
      </c>
      <c r="E42" s="70">
        <v>0.610815</v>
      </c>
      <c r="F42" s="65" t="s">
        <v>44</v>
      </c>
      <c r="G42" s="65" t="s">
        <v>36</v>
      </c>
      <c r="H42" s="68">
        <v>12928</v>
      </c>
      <c r="I42" s="94">
        <f>VLOOKUP(c_9[[#This Row],[hwycov_id]],flow0[],5,FALSE)</f>
        <v>24382</v>
      </c>
      <c r="J42" s="60">
        <f t="shared" si="0"/>
        <v>0.88598391089108919</v>
      </c>
      <c r="K42" s="81">
        <f t="shared" si="2"/>
        <v>131194116</v>
      </c>
      <c r="L42" s="61" t="e">
        <f>VLOOKUP(c_9[[#This Row],[hwycov_id]],count!$A$630:$E$652,5,FALSE)</f>
        <v>#N/A</v>
      </c>
      <c r="M42" s="81"/>
    </row>
    <row r="43" spans="1:13" ht="15" customHeight="1" x14ac:dyDescent="0.2">
      <c r="A43" s="59">
        <v>9</v>
      </c>
      <c r="B43" s="59" t="s">
        <v>409</v>
      </c>
      <c r="C43" s="59">
        <v>15196</v>
      </c>
      <c r="D43" s="61">
        <v>44.76</v>
      </c>
      <c r="E43" s="69">
        <v>0.31640400000000002</v>
      </c>
      <c r="F43" s="59" t="s">
        <v>25</v>
      </c>
      <c r="G43" s="59" t="s">
        <v>25</v>
      </c>
      <c r="H43" s="68">
        <v>17034</v>
      </c>
      <c r="I43" s="94">
        <f>VLOOKUP(c_9[[#This Row],[hwycov_id]],flow0[],5,FALSE)</f>
        <v>24680</v>
      </c>
      <c r="J43" s="60">
        <f t="shared" si="0"/>
        <v>0.44886697193847591</v>
      </c>
      <c r="K43" s="81">
        <f t="shared" si="2"/>
        <v>58461316</v>
      </c>
      <c r="L43" s="61" t="e">
        <f>VLOOKUP(c_9[[#This Row],[hwycov_id]],count!$A$630:$E$652,5,FALSE)</f>
        <v>#N/A</v>
      </c>
      <c r="M43" s="81"/>
    </row>
    <row r="44" spans="1:13" ht="15" customHeight="1" x14ac:dyDescent="0.2">
      <c r="A44" s="59">
        <v>9</v>
      </c>
      <c r="B44" s="59" t="s">
        <v>409</v>
      </c>
      <c r="C44" s="65">
        <v>15191</v>
      </c>
      <c r="D44" s="61">
        <v>45.06</v>
      </c>
      <c r="E44" s="70">
        <v>0.29902699999999999</v>
      </c>
      <c r="F44" s="65" t="s">
        <v>25</v>
      </c>
      <c r="G44" s="65" t="s">
        <v>16</v>
      </c>
      <c r="H44" s="68">
        <v>20813</v>
      </c>
      <c r="I44" s="94">
        <f>VLOOKUP(c_9[[#This Row],[hwycov_id]],flow0[],5,FALSE)</f>
        <v>28131</v>
      </c>
      <c r="J44" s="60">
        <f t="shared" si="0"/>
        <v>0.35160716859655028</v>
      </c>
      <c r="K44" s="81">
        <f t="shared" si="2"/>
        <v>53553124</v>
      </c>
      <c r="L44" s="61" t="e">
        <f>VLOOKUP(c_9[[#This Row],[hwycov_id]],count!$A$630:$E$652,5,FALSE)</f>
        <v>#N/A</v>
      </c>
      <c r="M44" s="81"/>
    </row>
    <row r="45" spans="1:13" ht="15" customHeight="1" x14ac:dyDescent="0.2">
      <c r="A45" s="59">
        <v>9</v>
      </c>
      <c r="B45" s="59" t="s">
        <v>409</v>
      </c>
      <c r="C45" s="359">
        <v>9343</v>
      </c>
      <c r="D45" s="61">
        <v>45.22</v>
      </c>
      <c r="E45" s="360">
        <v>0.16425200000000001</v>
      </c>
      <c r="F45" s="359" t="s">
        <v>16</v>
      </c>
      <c r="G45" s="359" t="s">
        <v>16</v>
      </c>
      <c r="H45" s="68">
        <v>19933</v>
      </c>
      <c r="I45" s="94">
        <f>VLOOKUP(c_9[[#This Row],[hwycov_id]],flow0[],5,FALSE)</f>
        <v>26716</v>
      </c>
      <c r="J45" s="60">
        <f t="shared" ref="J45:J58" si="3">I45/H45-1</f>
        <v>0.34028997140420403</v>
      </c>
      <c r="K45" s="81">
        <f t="shared" ref="K45:K58" si="4">POWER((I45-H45),2)</f>
        <v>46009089</v>
      </c>
      <c r="L45" s="61" t="e">
        <f>VLOOKUP(c_9[[#This Row],[hwycov_id]],count!$A$630:$E$652,5,FALSE)</f>
        <v>#N/A</v>
      </c>
      <c r="M45" s="81"/>
    </row>
    <row r="46" spans="1:13" ht="15" customHeight="1" x14ac:dyDescent="0.2">
      <c r="A46" s="59">
        <v>9</v>
      </c>
      <c r="B46" s="59" t="s">
        <v>409</v>
      </c>
      <c r="C46" s="359">
        <v>9338</v>
      </c>
      <c r="D46" s="61">
        <v>45.92</v>
      </c>
      <c r="E46" s="360">
        <v>0.347999</v>
      </c>
      <c r="F46" s="359" t="s">
        <v>16</v>
      </c>
      <c r="G46" s="359" t="s">
        <v>24</v>
      </c>
      <c r="H46" s="68">
        <v>26056</v>
      </c>
      <c r="I46" s="94">
        <f>VLOOKUP(c_9[[#This Row],[hwycov_id]],flow0[],5,FALSE)</f>
        <v>32079</v>
      </c>
      <c r="J46" s="60">
        <f t="shared" si="3"/>
        <v>0.23115597175314706</v>
      </c>
      <c r="K46" s="81">
        <f t="shared" si="4"/>
        <v>36276529</v>
      </c>
      <c r="L46" s="61" t="e">
        <f>VLOOKUP(c_9[[#This Row],[hwycov_id]],count!$A$630:$E$652,5,FALSE)</f>
        <v>#N/A</v>
      </c>
      <c r="M46" s="81"/>
    </row>
    <row r="47" spans="1:13" ht="15" customHeight="1" x14ac:dyDescent="0.2">
      <c r="A47" s="59">
        <v>9</v>
      </c>
      <c r="B47" s="59" t="s">
        <v>409</v>
      </c>
      <c r="C47" s="359">
        <v>9335</v>
      </c>
      <c r="D47" s="61">
        <v>46.43</v>
      </c>
      <c r="E47" s="360">
        <v>0.50634100000000004</v>
      </c>
      <c r="F47" s="359" t="s">
        <v>24</v>
      </c>
      <c r="G47" s="359" t="s">
        <v>24</v>
      </c>
      <c r="H47" s="68">
        <v>25927</v>
      </c>
      <c r="I47" s="94">
        <f>VLOOKUP(c_9[[#This Row],[hwycov_id]],flow0[],5,FALSE)</f>
        <v>30074</v>
      </c>
      <c r="J47" s="60">
        <f t="shared" si="3"/>
        <v>0.15994908782350437</v>
      </c>
      <c r="K47" s="81">
        <f t="shared" si="4"/>
        <v>17197609</v>
      </c>
      <c r="L47" s="61" t="e">
        <f>VLOOKUP(c_9[[#This Row],[hwycov_id]],count!$A$630:$E$652,5,FALSE)</f>
        <v>#N/A</v>
      </c>
      <c r="M47" s="81"/>
    </row>
    <row r="48" spans="1:13" ht="15" customHeight="1" x14ac:dyDescent="0.2">
      <c r="A48" s="59">
        <v>9</v>
      </c>
      <c r="B48" s="59" t="s">
        <v>409</v>
      </c>
      <c r="C48" s="359">
        <v>15768</v>
      </c>
      <c r="D48" s="61">
        <v>47.74</v>
      </c>
      <c r="E48" s="360">
        <v>0.27239600000000003</v>
      </c>
      <c r="F48" s="359" t="s">
        <v>22</v>
      </c>
      <c r="G48" s="359" t="s">
        <v>22</v>
      </c>
      <c r="H48" s="68">
        <v>27488</v>
      </c>
      <c r="I48" s="94">
        <f>VLOOKUP(c_9[[#This Row],[hwycov_id]],flow0[],5,FALSE)</f>
        <v>30720</v>
      </c>
      <c r="J48" s="60">
        <f t="shared" si="3"/>
        <v>0.11757857974388819</v>
      </c>
      <c r="K48" s="81">
        <f t="shared" si="4"/>
        <v>10445824</v>
      </c>
      <c r="L48" s="61" t="e">
        <f>VLOOKUP(c_9[[#This Row],[hwycov_id]],count!$A$630:$E$652,5,FALSE)</f>
        <v>#N/A</v>
      </c>
      <c r="M48" s="81"/>
    </row>
    <row r="49" spans="1:13" ht="15" customHeight="1" x14ac:dyDescent="0.2">
      <c r="A49" s="59">
        <v>9</v>
      </c>
      <c r="B49" s="59" t="s">
        <v>409</v>
      </c>
      <c r="C49" s="359">
        <v>16570</v>
      </c>
      <c r="D49" s="61">
        <v>47.96</v>
      </c>
      <c r="E49" s="360">
        <v>0.21804999999999999</v>
      </c>
      <c r="F49" s="359" t="s">
        <v>22</v>
      </c>
      <c r="G49" s="359" t="s">
        <v>38</v>
      </c>
      <c r="H49" s="68">
        <v>30787</v>
      </c>
      <c r="I49" s="94">
        <f>VLOOKUP(c_9[[#This Row],[hwycov_id]],flow0[],5,FALSE)</f>
        <v>33362</v>
      </c>
      <c r="J49" s="60">
        <f t="shared" si="3"/>
        <v>8.3639198362945422E-2</v>
      </c>
      <c r="K49" s="81">
        <f t="shared" si="4"/>
        <v>6630625</v>
      </c>
      <c r="L49" s="61" t="e">
        <f>VLOOKUP(c_9[[#This Row],[hwycov_id]],count!$A$630:$E$652,5,FALSE)</f>
        <v>#N/A</v>
      </c>
      <c r="M49" s="81"/>
    </row>
    <row r="50" spans="1:13" ht="15" customHeight="1" x14ac:dyDescent="0.2">
      <c r="A50" s="59">
        <v>9</v>
      </c>
      <c r="B50" s="59" t="s">
        <v>409</v>
      </c>
      <c r="C50" s="359">
        <v>8933</v>
      </c>
      <c r="D50" s="61">
        <v>49.15</v>
      </c>
      <c r="E50" s="360">
        <v>0.55165200000000003</v>
      </c>
      <c r="F50" s="359" t="s">
        <v>5</v>
      </c>
      <c r="G50" s="359" t="s">
        <v>4</v>
      </c>
      <c r="H50" s="68">
        <v>25927</v>
      </c>
      <c r="I50" s="94">
        <f>VLOOKUP(c_9[[#This Row],[hwycov_id]],flow0[],5,FALSE)</f>
        <v>30283</v>
      </c>
      <c r="J50" s="60">
        <f t="shared" si="3"/>
        <v>0.16801018243529908</v>
      </c>
      <c r="K50" s="81">
        <f t="shared" si="4"/>
        <v>18974736</v>
      </c>
      <c r="L50" s="61" t="e">
        <f>VLOOKUP(c_9[[#This Row],[hwycov_id]],count!$A$630:$E$652,5,FALSE)</f>
        <v>#N/A</v>
      </c>
      <c r="M50" s="81"/>
    </row>
    <row r="51" spans="1:13" ht="15" customHeight="1" x14ac:dyDescent="0.2">
      <c r="A51" s="59">
        <v>9</v>
      </c>
      <c r="B51" s="59" t="s">
        <v>409</v>
      </c>
      <c r="C51" s="359">
        <v>8968</v>
      </c>
      <c r="D51" s="61">
        <v>49.67</v>
      </c>
      <c r="E51" s="360">
        <v>0.23144999999999999</v>
      </c>
      <c r="F51" s="359" t="s">
        <v>4</v>
      </c>
      <c r="G51" s="359" t="s">
        <v>4</v>
      </c>
      <c r="H51" s="68">
        <v>21325</v>
      </c>
      <c r="I51" s="94">
        <f>VLOOKUP(c_9[[#This Row],[hwycov_id]],flow0[],5,FALSE)</f>
        <v>25865</v>
      </c>
      <c r="J51" s="60">
        <f t="shared" si="3"/>
        <v>0.21289566236811264</v>
      </c>
      <c r="K51" s="81">
        <f t="shared" si="4"/>
        <v>20611600</v>
      </c>
      <c r="L51" s="61" t="e">
        <f>VLOOKUP(c_9[[#This Row],[hwycov_id]],count!$A$630:$E$652,5,FALSE)</f>
        <v>#N/A</v>
      </c>
      <c r="M51" s="81"/>
    </row>
    <row r="52" spans="1:13" ht="15" customHeight="1" x14ac:dyDescent="0.2">
      <c r="A52" s="59">
        <v>9</v>
      </c>
      <c r="B52" s="59" t="s">
        <v>409</v>
      </c>
      <c r="C52" s="359">
        <v>20463</v>
      </c>
      <c r="D52" s="61">
        <v>50.42</v>
      </c>
      <c r="E52" s="360">
        <v>0.34800900000000001</v>
      </c>
      <c r="F52" s="359" t="s">
        <v>21</v>
      </c>
      <c r="G52" s="359" t="s">
        <v>20</v>
      </c>
      <c r="H52" s="68">
        <v>19487</v>
      </c>
      <c r="I52" s="94">
        <f>VLOOKUP(c_9[[#This Row],[hwycov_id]],flow0[],5,FALSE)</f>
        <v>20781</v>
      </c>
      <c r="J52" s="60">
        <f t="shared" si="3"/>
        <v>6.6403243187766137E-2</v>
      </c>
      <c r="K52" s="81">
        <f t="shared" si="4"/>
        <v>1674436</v>
      </c>
      <c r="L52" s="61" t="e">
        <f>VLOOKUP(c_9[[#This Row],[hwycov_id]],count!$A$630:$E$652,5,FALSE)</f>
        <v>#N/A</v>
      </c>
      <c r="M52" s="81"/>
    </row>
    <row r="53" spans="1:13" ht="15" customHeight="1" x14ac:dyDescent="0.2">
      <c r="A53" s="59">
        <v>9</v>
      </c>
      <c r="B53" s="59" t="s">
        <v>409</v>
      </c>
      <c r="C53" s="359">
        <v>8938</v>
      </c>
      <c r="D53" s="61">
        <v>51.08</v>
      </c>
      <c r="E53" s="360">
        <v>0.306585</v>
      </c>
      <c r="F53" s="359" t="s">
        <v>368</v>
      </c>
      <c r="G53" s="359" t="s">
        <v>48</v>
      </c>
      <c r="H53" s="68">
        <v>20263</v>
      </c>
      <c r="I53" s="94">
        <f>VLOOKUP(c_9[[#This Row],[hwycov_id]],flow0[],5,FALSE)</f>
        <v>23270</v>
      </c>
      <c r="J53" s="60">
        <f t="shared" si="3"/>
        <v>0.14839855894981002</v>
      </c>
      <c r="K53" s="81">
        <f t="shared" si="4"/>
        <v>9042049</v>
      </c>
      <c r="L53" s="61" t="e">
        <f>VLOOKUP(c_9[[#This Row],[hwycov_id]],count!$A$630:$E$652,5,FALSE)</f>
        <v>#N/A</v>
      </c>
      <c r="M53" s="81"/>
    </row>
    <row r="54" spans="1:13" ht="15" customHeight="1" x14ac:dyDescent="0.2">
      <c r="A54" s="59">
        <v>9</v>
      </c>
      <c r="B54" s="59" t="s">
        <v>409</v>
      </c>
      <c r="C54" s="359">
        <v>22757</v>
      </c>
      <c r="D54" s="61">
        <v>51.64</v>
      </c>
      <c r="E54" s="360">
        <v>0.56356399999999995</v>
      </c>
      <c r="F54" s="359" t="s">
        <v>48</v>
      </c>
      <c r="G54" s="359" t="s">
        <v>48</v>
      </c>
      <c r="H54" s="68">
        <v>13021</v>
      </c>
      <c r="I54" s="94">
        <f>VLOOKUP(c_9[[#This Row],[hwycov_id]],flow0[],5,FALSE)</f>
        <v>10451</v>
      </c>
      <c r="J54" s="60">
        <f t="shared" si="3"/>
        <v>-0.19737347361953772</v>
      </c>
      <c r="K54" s="81">
        <f t="shared" si="4"/>
        <v>6604900</v>
      </c>
      <c r="L54" s="61" t="e">
        <f>VLOOKUP(c_9[[#This Row],[hwycov_id]],count!$A$630:$E$652,5,FALSE)</f>
        <v>#N/A</v>
      </c>
      <c r="M54" s="81"/>
    </row>
    <row r="55" spans="1:13" ht="15" customHeight="1" x14ac:dyDescent="0.2">
      <c r="A55" s="59">
        <v>9</v>
      </c>
      <c r="B55" s="59" t="s">
        <v>409</v>
      </c>
      <c r="C55" s="359">
        <v>15914</v>
      </c>
      <c r="D55" s="61">
        <v>52.71</v>
      </c>
      <c r="E55" s="360">
        <v>0.80573099999999998</v>
      </c>
      <c r="F55" s="359" t="s">
        <v>48</v>
      </c>
      <c r="G55" s="359" t="s">
        <v>17</v>
      </c>
      <c r="H55" s="68">
        <v>17423</v>
      </c>
      <c r="I55" s="94">
        <f>VLOOKUP(c_9[[#This Row],[hwycov_id]],flow0[],5,FALSE)</f>
        <v>16225</v>
      </c>
      <c r="J55" s="60">
        <f t="shared" si="3"/>
        <v>-6.8759685473225085E-2</v>
      </c>
      <c r="K55" s="81">
        <f t="shared" si="4"/>
        <v>1435204</v>
      </c>
      <c r="L55" s="61" t="e">
        <f>VLOOKUP(c_9[[#This Row],[hwycov_id]],count!$A$630:$E$652,5,FALSE)</f>
        <v>#N/A</v>
      </c>
      <c r="M55" s="81"/>
    </row>
    <row r="56" spans="1:13" ht="15" customHeight="1" x14ac:dyDescent="0.2">
      <c r="A56" s="59">
        <v>9</v>
      </c>
      <c r="B56" s="59" t="s">
        <v>409</v>
      </c>
      <c r="C56" s="359">
        <v>1173</v>
      </c>
      <c r="D56" s="61">
        <v>53.19</v>
      </c>
      <c r="E56" s="360">
        <v>0.12806699999999999</v>
      </c>
      <c r="F56" s="359" t="s">
        <v>18</v>
      </c>
      <c r="G56" s="359" t="s">
        <v>329</v>
      </c>
      <c r="H56" s="68">
        <v>17864</v>
      </c>
      <c r="I56" s="94">
        <f>VLOOKUP(c_9[[#This Row],[hwycov_id]],flow0[],5,FALSE)</f>
        <v>16576</v>
      </c>
      <c r="J56" s="60">
        <f t="shared" si="3"/>
        <v>-7.2100313479623868E-2</v>
      </c>
      <c r="K56" s="81">
        <f t="shared" si="4"/>
        <v>1658944</v>
      </c>
      <c r="L56" s="61" t="e">
        <f>VLOOKUP(c_9[[#This Row],[hwycov_id]],count!$A$630:$E$652,5,FALSE)</f>
        <v>#N/A</v>
      </c>
      <c r="M56" s="81"/>
    </row>
    <row r="57" spans="1:13" ht="15" customHeight="1" x14ac:dyDescent="0.2">
      <c r="A57" s="59">
        <v>9</v>
      </c>
      <c r="B57" s="59" t="s">
        <v>409</v>
      </c>
      <c r="C57" s="359">
        <v>28417</v>
      </c>
      <c r="D57" s="61">
        <v>53.75</v>
      </c>
      <c r="E57" s="360">
        <v>0.22706699999999999</v>
      </c>
      <c r="F57" s="359" t="s">
        <v>27</v>
      </c>
      <c r="G57" s="359" t="s">
        <v>27</v>
      </c>
      <c r="H57" s="68">
        <v>16187</v>
      </c>
      <c r="I57" s="94">
        <f>VLOOKUP(c_9[[#This Row],[hwycov_id]],flow0[],5,FALSE)</f>
        <v>16488</v>
      </c>
      <c r="J57" s="60">
        <f t="shared" si="3"/>
        <v>1.8595168962747932E-2</v>
      </c>
      <c r="K57" s="81">
        <f t="shared" si="4"/>
        <v>90601</v>
      </c>
      <c r="L57" s="61" t="e">
        <f>VLOOKUP(c_9[[#This Row],[hwycov_id]],count!$A$630:$E$652,5,FALSE)</f>
        <v>#N/A</v>
      </c>
      <c r="M57" s="81"/>
    </row>
    <row r="58" spans="1:13" ht="15" customHeight="1" x14ac:dyDescent="0.2">
      <c r="A58" s="59">
        <v>9</v>
      </c>
      <c r="B58" s="59" t="s">
        <v>409</v>
      </c>
      <c r="C58" s="359">
        <v>579</v>
      </c>
      <c r="D58" s="61">
        <v>54.21</v>
      </c>
      <c r="E58" s="360">
        <v>0.18564600000000001</v>
      </c>
      <c r="F58" s="359" t="s">
        <v>26</v>
      </c>
      <c r="G58" s="359" t="s">
        <v>49</v>
      </c>
      <c r="H58" s="68">
        <v>14033</v>
      </c>
      <c r="I58" s="94">
        <f>VLOOKUP(c_9[[#This Row],[hwycov_id]],flow0[],5,FALSE)</f>
        <v>15413</v>
      </c>
      <c r="J58" s="60">
        <f t="shared" si="3"/>
        <v>9.8339628019668002E-2</v>
      </c>
      <c r="K58" s="81">
        <f t="shared" si="4"/>
        <v>1904400</v>
      </c>
      <c r="L58" s="61" t="e">
        <f>VLOOKUP(c_9[[#This Row],[hwycov_id]],count!$A$630:$E$652,5,FALSE)</f>
        <v>#N/A</v>
      </c>
      <c r="M58" s="81"/>
    </row>
    <row r="59" spans="1:13" ht="15" customHeight="1" x14ac:dyDescent="0.2">
      <c r="K59" s="81"/>
      <c r="L59" s="81"/>
      <c r="M59" s="81"/>
    </row>
    <row r="60" spans="1:13" ht="15" customHeight="1" x14ac:dyDescent="0.2">
      <c r="K60" s="81"/>
      <c r="L60" s="81"/>
      <c r="M60" s="81"/>
    </row>
    <row r="61" spans="1:13" ht="15" customHeight="1" x14ac:dyDescent="0.2">
      <c r="K61" s="81"/>
      <c r="L61" s="81"/>
      <c r="M61" s="81"/>
    </row>
    <row r="62" spans="1:13" ht="15" customHeight="1" x14ac:dyDescent="0.2">
      <c r="K62" s="81"/>
      <c r="L62" s="81"/>
      <c r="M62" s="81"/>
    </row>
    <row r="63" spans="1:13" ht="15" customHeight="1" x14ac:dyDescent="0.2">
      <c r="K63" s="81"/>
      <c r="L63" s="81"/>
      <c r="M63" s="81"/>
    </row>
    <row r="64" spans="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</sheetData>
  <conditionalFormatting sqref="N2:N1048576">
    <cfRule type="cellIs" dxfId="453" priority="8" operator="lessThan">
      <formula>-0.3</formula>
    </cfRule>
    <cfRule type="cellIs" dxfId="452" priority="9" operator="greaterThan">
      <formula>0.3</formula>
    </cfRule>
  </conditionalFormatting>
  <conditionalFormatting sqref="J18:J1048576 J2:J11">
    <cfRule type="cellIs" dxfId="451" priority="5" operator="lessThan">
      <formula>-0.2</formula>
    </cfRule>
    <cfRule type="cellIs" dxfId="450" priority="6" operator="greaterThan">
      <formula>0.2</formula>
    </cfRule>
  </conditionalFormatting>
  <conditionalFormatting sqref="J13:J17">
    <cfRule type="cellIs" dxfId="449" priority="3" operator="lessThan">
      <formula>-0.2</formula>
    </cfRule>
    <cfRule type="cellIs" dxfId="448" priority="4" operator="greaterThan">
      <formula>0.2</formula>
    </cfRule>
  </conditionalFormatting>
  <conditionalFormatting sqref="N1">
    <cfRule type="cellIs" dxfId="447" priority="1" operator="lessThan">
      <formula>-0.2</formula>
    </cfRule>
    <cfRule type="cellIs" dxfId="44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855468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SQRT(AVERAGE(c_10[x2]))/AVERAGE(c_10[count])</f>
        <v>0.23983325457093024</v>
      </c>
      <c r="O1" s="136">
        <f>LINEST(c_10[flow],c_10[count],FALSE)</f>
        <v>1.1543439501857962</v>
      </c>
      <c r="P1" s="136">
        <f>RSQ(c_10[flow],c_10[count])</f>
        <v>0.78325814118229464</v>
      </c>
      <c r="Q1" s="43">
        <f>IFERROR(AVERAGEIF(c_10[gap],"&gt;=0",c_10[gap]),0)</f>
        <v>0.23279262802401399</v>
      </c>
      <c r="R1" s="44">
        <f>IFERROR(AVERAGEIF(c_10[gap],"&lt;0",c_10[gap]),0)</f>
        <v>-9.8043511525678848E-2</v>
      </c>
      <c r="S1" s="14">
        <f>AVERAGE(c_10[gap])</f>
        <v>0.16467930517554777</v>
      </c>
      <c r="T1" s="42">
        <f>COUNTIFS(c_10[gap],"&lt;10%",c_10[gap],"&gt;=-10%")/COUNTA(c_10[gap])</f>
        <v>0.26470588235294118</v>
      </c>
      <c r="U1" s="42">
        <f>COUNTIFS(c_10[gap],"&lt;20%",c_10[gap],"&gt;=-20%")/COUNTA(c_10[gap])</f>
        <v>0.55882352941176472</v>
      </c>
      <c r="V1" s="42">
        <f>COUNTIFS(c_10[gap],"&lt;30%",c_10[gap],"&gt;=-30%")/COUNTA(c_10[gap])</f>
        <v>0.73529411764705888</v>
      </c>
      <c r="W1" s="43">
        <f>COUNTIF(c_10[gap],"&gt;=0")/COUNTA(c_10[gap])</f>
        <v>0.79411764705882348</v>
      </c>
      <c r="X1" s="45">
        <f>COUNTIF(c_10[gap],"&lt;0")/COUNTA(c_10[gap])</f>
        <v>0.20588235294117646</v>
      </c>
      <c r="Y1" s="76" t="str">
        <f>"%Link(+)="&amp;TEXT(W1,"0%")</f>
        <v>%Link(+)=79%</v>
      </c>
      <c r="Z1" s="76" t="str">
        <f>"%Link(-)="&amp;TEXT(X1,"0%")</f>
        <v>%Link(-)=21%</v>
      </c>
      <c r="AA1" s="73" t="str">
        <f>"AvgGap(+)="&amp;TEXT(Q1,"0%")</f>
        <v>AvgGap(+)=23%</v>
      </c>
      <c r="AB1" s="59" t="str">
        <f>"AvgGap(-)="&amp;TEXT(R1,"0%")</f>
        <v>AvgGap(-)=-10%</v>
      </c>
      <c r="AC1" s="59" t="str">
        <f>"AvgGap(±)="&amp;TEXT(S1,"0%")</f>
        <v>AvgGap(±)=16%</v>
      </c>
      <c r="AD1" s="59" t="str">
        <f>"GapIn(±10%)="&amp;TEXT(T1,"0%")</f>
        <v>GapIn(±10%)=26%</v>
      </c>
      <c r="AE1" s="59" t="str">
        <f>"GapIn(±20%)="&amp;TEXT(U1,"0%")</f>
        <v>GapIn(±20%)=56%</v>
      </c>
      <c r="AF1" s="59" t="str">
        <f>"GapIn(±30%)="&amp;TEXT(V1,"0%")</f>
        <v>GapIn(±30%)=74%</v>
      </c>
      <c r="AG1" s="59" t="str">
        <f>"Linear Slope="&amp;TEXT(O1,"#.###")</f>
        <v>Linear Slope=1.154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%Link(+)=79% %Link(-)=21% AvgGap(+)=23%  AvgGap(-)=-10%  AvgGap(±)=16%  GapIn(±10%)=26% GapIn(±20%)=56%  GapIn(±30%)=74%  Linear Slope=1.154 RMSE=24%</v>
      </c>
    </row>
    <row r="2" spans="1:35" ht="15" customHeight="1" x14ac:dyDescent="0.2">
      <c r="A2" s="59">
        <v>10</v>
      </c>
      <c r="B2" s="59" t="s">
        <v>328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15531</v>
      </c>
      <c r="I2" s="94">
        <f>VLOOKUP(c_10[[#This Row],[hwycov_id]],flow0[],5,FALSE)</f>
        <v>16500</v>
      </c>
      <c r="J2" s="60">
        <f>I2/H2-1</f>
        <v>6.2391346339578879E-2</v>
      </c>
      <c r="K2" s="81">
        <f t="shared" ref="K2:K25" si="0">POWER((I2-H2),2)</f>
        <v>938961</v>
      </c>
      <c r="L2" s="61" t="e">
        <f>VLOOKUP(c_10[[#This Row],[hwycov_id]],count!$A$630:$E$652,5,FALSE)</f>
        <v>#N/A</v>
      </c>
      <c r="M2" s="81"/>
    </row>
    <row r="3" spans="1:35" ht="15" customHeight="1" x14ac:dyDescent="0.2">
      <c r="A3" s="59">
        <v>10</v>
      </c>
      <c r="B3" s="59" t="s">
        <v>328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15989</v>
      </c>
      <c r="I3" s="94">
        <f>VLOOKUP(c_10[[#This Row],[hwycov_id]],flow0[],5,FALSE)</f>
        <v>18903</v>
      </c>
      <c r="J3" s="60">
        <f t="shared" ref="J3:J25" si="1">I3/H3-1</f>
        <v>0.1822502970792419</v>
      </c>
      <c r="K3" s="81">
        <f t="shared" si="0"/>
        <v>8491396</v>
      </c>
      <c r="L3" s="61" t="e">
        <f>VLOOKUP(c_10[[#This Row],[hwycov_id]],count!$A$630:$E$652,5,FALSE)</f>
        <v>#N/A</v>
      </c>
      <c r="M3" s="81"/>
    </row>
    <row r="4" spans="1:35" ht="15" customHeight="1" x14ac:dyDescent="0.2">
      <c r="A4" s="59">
        <v>10</v>
      </c>
      <c r="B4" s="59" t="s">
        <v>328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14698</v>
      </c>
      <c r="I4" s="94">
        <f>VLOOKUP(c_10[[#This Row],[hwycov_id]],flow0[],5,FALSE)</f>
        <v>20828</v>
      </c>
      <c r="J4" s="60">
        <f t="shared" si="1"/>
        <v>0.41706354606068863</v>
      </c>
      <c r="K4" s="81">
        <f t="shared" si="0"/>
        <v>37576900</v>
      </c>
      <c r="L4" s="61" t="e">
        <f>VLOOKUP(c_10[[#This Row],[hwycov_id]],count!$A$630:$E$652,5,FALSE)</f>
        <v>#N/A</v>
      </c>
      <c r="M4" s="81"/>
    </row>
    <row r="5" spans="1:35" ht="15" customHeight="1" x14ac:dyDescent="0.2">
      <c r="A5" s="59">
        <v>10</v>
      </c>
      <c r="B5" s="59" t="s">
        <v>328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19459</v>
      </c>
      <c r="I5" s="94">
        <f>VLOOKUP(c_10[[#This Row],[hwycov_id]],flow0[],5,FALSE)</f>
        <v>26520</v>
      </c>
      <c r="J5" s="60">
        <f t="shared" si="1"/>
        <v>0.36286551210236917</v>
      </c>
      <c r="K5" s="81">
        <f t="shared" si="0"/>
        <v>49857721</v>
      </c>
      <c r="L5" s="61" t="e">
        <f>VLOOKUP(c_10[[#This Row],[hwycov_id]],count!$A$630:$E$652,5,FALSE)</f>
        <v>#N/A</v>
      </c>
      <c r="M5" s="81"/>
    </row>
    <row r="6" spans="1:35" ht="15" customHeight="1" x14ac:dyDescent="0.2">
      <c r="A6" s="59">
        <v>10</v>
      </c>
      <c r="B6" s="59" t="s">
        <v>328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20342</v>
      </c>
      <c r="I6" s="94">
        <f>VLOOKUP(c_10[[#This Row],[hwycov_id]],flow0[],5,FALSE)</f>
        <v>31284</v>
      </c>
      <c r="J6" s="60">
        <f t="shared" si="1"/>
        <v>0.53790187788811328</v>
      </c>
      <c r="K6" s="81">
        <f t="shared" si="0"/>
        <v>119727364</v>
      </c>
      <c r="L6" s="61" t="e">
        <f>VLOOKUP(c_10[[#This Row],[hwycov_id]],count!$A$630:$E$652,5,FALSE)</f>
        <v>#N/A</v>
      </c>
      <c r="M6" s="81"/>
    </row>
    <row r="7" spans="1:35" ht="15" customHeight="1" x14ac:dyDescent="0.2">
      <c r="A7" s="59">
        <v>10</v>
      </c>
      <c r="B7" s="59" t="s">
        <v>328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23081</v>
      </c>
      <c r="I7" s="94">
        <f>VLOOKUP(c_10[[#This Row],[hwycov_id]],flow0[],5,FALSE)</f>
        <v>30884</v>
      </c>
      <c r="J7" s="60">
        <f t="shared" si="1"/>
        <v>0.3380702742515489</v>
      </c>
      <c r="K7" s="81">
        <f t="shared" si="0"/>
        <v>60886809</v>
      </c>
      <c r="L7" s="61" t="e">
        <f>VLOOKUP(c_10[[#This Row],[hwycov_id]],count!$A$630:$E$652,5,FALSE)</f>
        <v>#N/A</v>
      </c>
      <c r="M7" s="81"/>
    </row>
    <row r="8" spans="1:35" ht="15" customHeight="1" x14ac:dyDescent="0.2">
      <c r="A8" s="59">
        <v>10</v>
      </c>
      <c r="B8" s="59" t="s">
        <v>328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20221</v>
      </c>
      <c r="I8" s="94">
        <f>VLOOKUP(c_10[[#This Row],[hwycov_id]],flow0[],5,FALSE)</f>
        <v>29307</v>
      </c>
      <c r="J8" s="60">
        <f t="shared" si="1"/>
        <v>0.44933484990851102</v>
      </c>
      <c r="K8" s="81">
        <f t="shared" si="0"/>
        <v>82555396</v>
      </c>
      <c r="L8" s="61" t="e">
        <f>VLOOKUP(c_10[[#This Row],[hwycov_id]],count!$A$630:$E$652,5,FALSE)</f>
        <v>#N/A</v>
      </c>
      <c r="M8" s="81"/>
    </row>
    <row r="9" spans="1:35" ht="15" customHeight="1" x14ac:dyDescent="0.2">
      <c r="A9" s="59">
        <v>10</v>
      </c>
      <c r="B9" s="59" t="s">
        <v>328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23171</v>
      </c>
      <c r="I9" s="94">
        <f>VLOOKUP(c_10[[#This Row],[hwycov_id]],flow0[],5,FALSE)</f>
        <v>31447</v>
      </c>
      <c r="J9" s="60">
        <f t="shared" si="1"/>
        <v>0.35717060118251265</v>
      </c>
      <c r="K9" s="81">
        <f t="shared" si="0"/>
        <v>68492176</v>
      </c>
      <c r="L9" s="61" t="e">
        <f>VLOOKUP(c_10[[#This Row],[hwycov_id]],count!$A$630:$E$652,5,FALSE)</f>
        <v>#N/A</v>
      </c>
      <c r="M9" s="81"/>
    </row>
    <row r="10" spans="1:35" ht="15" customHeight="1" x14ac:dyDescent="0.2">
      <c r="A10" s="59">
        <v>10</v>
      </c>
      <c r="B10" s="59" t="s">
        <v>328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17503</v>
      </c>
      <c r="I10" s="94">
        <f>VLOOKUP(c_10[[#This Row],[hwycov_id]],flow0[],5,FALSE)</f>
        <v>24689</v>
      </c>
      <c r="J10" s="60">
        <f t="shared" si="1"/>
        <v>0.41055819002456717</v>
      </c>
      <c r="K10" s="81">
        <f t="shared" si="0"/>
        <v>51638596</v>
      </c>
      <c r="L10" s="61" t="e">
        <f>VLOOKUP(c_10[[#This Row],[hwycov_id]],count!$A$630:$E$652,5,FALSE)</f>
        <v>#N/A</v>
      </c>
      <c r="M10" s="81"/>
    </row>
    <row r="11" spans="1:35" ht="15" customHeight="1" x14ac:dyDescent="0.2">
      <c r="A11" s="59">
        <v>10</v>
      </c>
      <c r="B11" s="59" t="s">
        <v>328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18153</v>
      </c>
      <c r="I11" s="94">
        <f>VLOOKUP(c_10[[#This Row],[hwycov_id]],flow0[],5,FALSE)</f>
        <v>24689</v>
      </c>
      <c r="J11" s="60">
        <f t="shared" si="1"/>
        <v>0.36005068032832033</v>
      </c>
      <c r="K11" s="81">
        <f t="shared" si="0"/>
        <v>42719296</v>
      </c>
      <c r="L11" s="61" t="e">
        <f>VLOOKUP(c_10[[#This Row],[hwycov_id]],count!$A$630:$E$652,5,FALSE)</f>
        <v>#N/A</v>
      </c>
      <c r="M11" s="81"/>
    </row>
    <row r="12" spans="1:35" ht="15" customHeight="1" x14ac:dyDescent="0.2">
      <c r="A12" s="59">
        <v>10</v>
      </c>
      <c r="B12" s="59" t="s">
        <v>328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29657</v>
      </c>
      <c r="I12" s="94">
        <f>VLOOKUP(c_10[[#This Row],[hwycov_id]],flow0[],5,FALSE)</f>
        <v>37778</v>
      </c>
      <c r="J12" s="60">
        <f t="shared" si="1"/>
        <v>0.27383079879960892</v>
      </c>
      <c r="K12" s="81">
        <f t="shared" si="0"/>
        <v>65950641</v>
      </c>
      <c r="L12" s="61" t="e">
        <f>VLOOKUP(c_10[[#This Row],[hwycov_id]],count!$A$630:$E$652,5,FALSE)</f>
        <v>#N/A</v>
      </c>
      <c r="M12" s="81"/>
    </row>
    <row r="13" spans="1:35" ht="15" customHeight="1" x14ac:dyDescent="0.2">
      <c r="A13" s="59">
        <v>10</v>
      </c>
      <c r="B13" s="59" t="s">
        <v>328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30448</v>
      </c>
      <c r="I13" s="94">
        <f>VLOOKUP(c_10[[#This Row],[hwycov_id]],flow0[],5,FALSE)</f>
        <v>37623</v>
      </c>
      <c r="J13" s="60">
        <f t="shared" si="1"/>
        <v>0.23564766158696804</v>
      </c>
      <c r="K13" s="81">
        <f t="shared" si="0"/>
        <v>51480625</v>
      </c>
      <c r="L13" s="61" t="e">
        <f>VLOOKUP(c_10[[#This Row],[hwycov_id]],count!$A$630:$E$652,5,FALSE)</f>
        <v>#N/A</v>
      </c>
      <c r="M13" s="81"/>
    </row>
    <row r="14" spans="1:35" ht="15" customHeight="1" x14ac:dyDescent="0.2">
      <c r="A14" s="59">
        <v>10</v>
      </c>
      <c r="B14" s="59" t="s">
        <v>328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21519</v>
      </c>
      <c r="I14" s="94">
        <f>VLOOKUP(c_10[[#This Row],[hwycov_id]],flow0[],5,FALSE)</f>
        <v>26238</v>
      </c>
      <c r="J14" s="60">
        <f t="shared" si="1"/>
        <v>0.21929457688554299</v>
      </c>
      <c r="K14" s="81">
        <f t="shared" si="0"/>
        <v>22268961</v>
      </c>
      <c r="L14" s="61" t="e">
        <f>VLOOKUP(c_10[[#This Row],[hwycov_id]],count!$A$630:$E$652,5,FALSE)</f>
        <v>#N/A</v>
      </c>
      <c r="M14" s="81"/>
    </row>
    <row r="15" spans="1:35" ht="15" customHeight="1" x14ac:dyDescent="0.2">
      <c r="A15" s="59">
        <v>10</v>
      </c>
      <c r="B15" s="59" t="s">
        <v>328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25337</v>
      </c>
      <c r="I15" s="94">
        <f>VLOOKUP(c_10[[#This Row],[hwycov_id]],flow0[],5,FALSE)</f>
        <v>30999</v>
      </c>
      <c r="J15" s="60">
        <f t="shared" si="1"/>
        <v>0.22346765599715823</v>
      </c>
      <c r="K15" s="81">
        <f t="shared" si="0"/>
        <v>32058244</v>
      </c>
      <c r="L15" s="61" t="e">
        <f>VLOOKUP(c_10[[#This Row],[hwycov_id]],count!$A$630:$E$652,5,FALSE)</f>
        <v>#N/A</v>
      </c>
      <c r="M15" s="81"/>
    </row>
    <row r="16" spans="1:35" ht="15" customHeight="1" x14ac:dyDescent="0.2">
      <c r="A16" s="59">
        <v>10</v>
      </c>
      <c r="B16" s="59" t="s">
        <v>328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28272</v>
      </c>
      <c r="I16" s="94">
        <f>VLOOKUP(c_10[[#This Row],[hwycov_id]],flow0[],5,FALSE)</f>
        <v>34264</v>
      </c>
      <c r="J16" s="60">
        <f t="shared" si="1"/>
        <v>0.21194114318053203</v>
      </c>
      <c r="K16" s="81">
        <f t="shared" si="0"/>
        <v>35904064</v>
      </c>
      <c r="L16" s="61" t="e">
        <f>VLOOKUP(c_10[[#This Row],[hwycov_id]],count!$A$630:$E$652,5,FALSE)</f>
        <v>#N/A</v>
      </c>
      <c r="M16" s="81"/>
    </row>
    <row r="17" spans="1:13" ht="15" customHeight="1" x14ac:dyDescent="0.2">
      <c r="A17" s="59">
        <v>10</v>
      </c>
      <c r="B17" s="59" t="s">
        <v>328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25480</v>
      </c>
      <c r="I17" s="94">
        <f>VLOOKUP(c_10[[#This Row],[hwycov_id]],flow0[],5,FALSE)</f>
        <v>30146</v>
      </c>
      <c r="J17" s="60">
        <f t="shared" si="1"/>
        <v>0.18312401883830454</v>
      </c>
      <c r="K17" s="81">
        <f t="shared" si="0"/>
        <v>21771556</v>
      </c>
      <c r="L17" s="61" t="e">
        <f>VLOOKUP(c_10[[#This Row],[hwycov_id]],count!$A$630:$E$652,5,FALSE)</f>
        <v>#N/A</v>
      </c>
      <c r="M17" s="81"/>
    </row>
    <row r="18" spans="1:13" ht="15" customHeight="1" x14ac:dyDescent="0.2">
      <c r="A18" s="59">
        <v>10</v>
      </c>
      <c r="B18" s="59" t="s">
        <v>328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32502</v>
      </c>
      <c r="I18" s="94">
        <f>VLOOKUP(c_10[[#This Row],[hwycov_id]],flow0[],5,FALSE)</f>
        <v>40048</v>
      </c>
      <c r="J18" s="60">
        <f t="shared" si="1"/>
        <v>0.23217032797981663</v>
      </c>
      <c r="K18" s="81">
        <f t="shared" si="0"/>
        <v>56942116</v>
      </c>
      <c r="L18" s="61" t="e">
        <f>VLOOKUP(c_10[[#This Row],[hwycov_id]],count!$A$630:$E$652,5,FALSE)</f>
        <v>#N/A</v>
      </c>
      <c r="M18" s="81"/>
    </row>
    <row r="19" spans="1:13" ht="15" customHeight="1" x14ac:dyDescent="0.2">
      <c r="A19" s="59">
        <v>10</v>
      </c>
      <c r="B19" s="59" t="s">
        <v>328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329</v>
      </c>
      <c r="H19" s="68">
        <v>32011</v>
      </c>
      <c r="I19" s="94">
        <f>VLOOKUP(c_10[[#This Row],[hwycov_id]],flow0[],5,FALSE)</f>
        <v>35761</v>
      </c>
      <c r="J19" s="60">
        <f t="shared" si="1"/>
        <v>0.11714723063946764</v>
      </c>
      <c r="K19" s="81">
        <f t="shared" si="0"/>
        <v>14062500</v>
      </c>
      <c r="L19" s="61" t="e">
        <f>VLOOKUP(c_10[[#This Row],[hwycov_id]],count!$A$630:$E$652,5,FALSE)</f>
        <v>#N/A</v>
      </c>
      <c r="M19" s="81"/>
    </row>
    <row r="20" spans="1:13" ht="15" customHeight="1" x14ac:dyDescent="0.2">
      <c r="A20" s="59">
        <v>10</v>
      </c>
      <c r="B20" s="59" t="s">
        <v>328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21083</v>
      </c>
      <c r="I20" s="94">
        <f>VLOOKUP(c_10[[#This Row],[hwycov_id]],flow0[],5,FALSE)</f>
        <v>30105</v>
      </c>
      <c r="J20" s="60">
        <f t="shared" si="1"/>
        <v>0.42792771427216247</v>
      </c>
      <c r="K20" s="81">
        <f t="shared" si="0"/>
        <v>81396484</v>
      </c>
      <c r="L20" s="61" t="e">
        <f>VLOOKUP(c_10[[#This Row],[hwycov_id]],count!$A$630:$E$652,5,FALSE)</f>
        <v>#N/A</v>
      </c>
      <c r="M20" s="81"/>
    </row>
    <row r="21" spans="1:13" ht="15" customHeight="1" x14ac:dyDescent="0.2">
      <c r="A21" s="59">
        <v>10</v>
      </c>
      <c r="B21" s="59" t="s">
        <v>328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26681</v>
      </c>
      <c r="I21" s="94">
        <f>VLOOKUP(c_10[[#This Row],[hwycov_id]],flow0[],5,FALSE)</f>
        <v>31145</v>
      </c>
      <c r="J21" s="60">
        <f t="shared" si="1"/>
        <v>0.16731007083692506</v>
      </c>
      <c r="K21" s="81">
        <f t="shared" si="0"/>
        <v>19927296</v>
      </c>
      <c r="L21" s="61" t="e">
        <f>VLOOKUP(c_10[[#This Row],[hwycov_id]],count!$A$630:$E$652,5,FALSE)</f>
        <v>#N/A</v>
      </c>
      <c r="M21" s="81"/>
    </row>
    <row r="22" spans="1:13" ht="15" customHeight="1" x14ac:dyDescent="0.2">
      <c r="A22" s="59">
        <v>10</v>
      </c>
      <c r="B22" s="59" t="s">
        <v>328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31203</v>
      </c>
      <c r="I22" s="94">
        <f>VLOOKUP(c_10[[#This Row],[hwycov_id]],flow0[],5,FALSE)</f>
        <v>32872</v>
      </c>
      <c r="J22" s="60">
        <f t="shared" si="1"/>
        <v>5.3488446623721986E-2</v>
      </c>
      <c r="K22" s="81">
        <f t="shared" si="0"/>
        <v>2785561</v>
      </c>
      <c r="L22" s="61" t="e">
        <f>VLOOKUP(c_10[[#This Row],[hwycov_id]],count!$A$630:$E$652,5,FALSE)</f>
        <v>#N/A</v>
      </c>
      <c r="M22" s="81"/>
    </row>
    <row r="23" spans="1:13" ht="15" customHeight="1" x14ac:dyDescent="0.2">
      <c r="A23" s="59">
        <v>10</v>
      </c>
      <c r="B23" s="59" t="s">
        <v>328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25737</v>
      </c>
      <c r="I23" s="94">
        <f>VLOOKUP(c_10[[#This Row],[hwycov_id]],flow0[],5,FALSE)</f>
        <v>28869</v>
      </c>
      <c r="J23" s="60">
        <f t="shared" si="1"/>
        <v>0.12169250495395745</v>
      </c>
      <c r="K23" s="81">
        <f t="shared" si="0"/>
        <v>9809424</v>
      </c>
      <c r="L23" s="61" t="e">
        <f>VLOOKUP(c_10[[#This Row],[hwycov_id]],count!$A$630:$E$652,5,FALSE)</f>
        <v>#N/A</v>
      </c>
      <c r="M23" s="81"/>
    </row>
    <row r="24" spans="1:13" ht="15" customHeight="1" x14ac:dyDescent="0.2">
      <c r="A24" s="59">
        <v>10</v>
      </c>
      <c r="B24" s="59" t="s">
        <v>328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30384</v>
      </c>
      <c r="I24" s="94">
        <f>VLOOKUP(c_10[[#This Row],[hwycov_id]],flow0[],5,FALSE)</f>
        <v>31161</v>
      </c>
      <c r="J24" s="60">
        <f t="shared" si="1"/>
        <v>2.5572669826224415E-2</v>
      </c>
      <c r="K24" s="81">
        <f t="shared" si="0"/>
        <v>603729</v>
      </c>
      <c r="L24" s="61" t="e">
        <f>VLOOKUP(c_10[[#This Row],[hwycov_id]],count!$A$630:$E$652,5,FALSE)</f>
        <v>#N/A</v>
      </c>
      <c r="M24" s="81"/>
    </row>
    <row r="25" spans="1:13" ht="15" customHeight="1" x14ac:dyDescent="0.2">
      <c r="A25" s="59">
        <v>10</v>
      </c>
      <c r="B25" s="59" t="s">
        <v>328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21753</v>
      </c>
      <c r="I25" s="94">
        <f>VLOOKUP(c_10[[#This Row],[hwycov_id]],flow0[],5,FALSE)</f>
        <v>25240</v>
      </c>
      <c r="J25" s="60">
        <f t="shared" si="1"/>
        <v>0.16029972877304277</v>
      </c>
      <c r="K25" s="81">
        <f t="shared" si="0"/>
        <v>12159169</v>
      </c>
      <c r="L25" s="61" t="e">
        <f>VLOOKUP(c_10[[#This Row],[hwycov_id]],count!$A$630:$E$652,5,FALSE)</f>
        <v>#N/A</v>
      </c>
      <c r="M25" s="81"/>
    </row>
    <row r="26" spans="1:13" ht="15" customHeight="1" x14ac:dyDescent="0.2">
      <c r="A26" s="59">
        <v>10</v>
      </c>
      <c r="B26" s="59" t="s">
        <v>328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35806</v>
      </c>
      <c r="I26" s="94">
        <f>VLOOKUP(c_10[[#This Row],[hwycov_id]],flow0[],5,FALSE)</f>
        <v>32237</v>
      </c>
      <c r="J26" s="60">
        <f t="shared" ref="J26:J35" si="2">I26/H26-1</f>
        <v>-9.9676031949952559E-2</v>
      </c>
      <c r="K26" s="81">
        <f t="shared" ref="K26:K35" si="3">POWER((I26-H26),2)</f>
        <v>12737761</v>
      </c>
      <c r="L26" s="61" t="e">
        <f>VLOOKUP(c_10[[#This Row],[hwycov_id]],count!$A$630:$E$652,5,FALSE)</f>
        <v>#N/A</v>
      </c>
      <c r="M26" s="81"/>
    </row>
    <row r="27" spans="1:13" ht="15" customHeight="1" x14ac:dyDescent="0.2">
      <c r="A27" s="59">
        <v>10</v>
      </c>
      <c r="B27" s="59" t="s">
        <v>328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29743</v>
      </c>
      <c r="I27" s="94">
        <f>VLOOKUP(c_10[[#This Row],[hwycov_id]],flow0[],5,FALSE)</f>
        <v>29444</v>
      </c>
      <c r="J27" s="60">
        <f t="shared" si="2"/>
        <v>-1.005278552936828E-2</v>
      </c>
      <c r="K27" s="81">
        <f t="shared" si="3"/>
        <v>89401</v>
      </c>
      <c r="L27" s="61" t="e">
        <f>VLOOKUP(c_10[[#This Row],[hwycov_id]],count!$A$630:$E$652,5,FALSE)</f>
        <v>#N/A</v>
      </c>
      <c r="M27" s="81"/>
    </row>
    <row r="28" spans="1:13" ht="15" customHeight="1" x14ac:dyDescent="0.2">
      <c r="A28" s="59">
        <v>10</v>
      </c>
      <c r="B28" s="59" t="s">
        <v>328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26386</v>
      </c>
      <c r="I28" s="94">
        <f>VLOOKUP(c_10[[#This Row],[hwycov_id]],flow0[],5,FALSE)</f>
        <v>24298</v>
      </c>
      <c r="J28" s="60">
        <f t="shared" si="2"/>
        <v>-7.9132873493519273E-2</v>
      </c>
      <c r="K28" s="81">
        <f t="shared" si="3"/>
        <v>4359744</v>
      </c>
      <c r="L28" s="61" t="e">
        <f>VLOOKUP(c_10[[#This Row],[hwycov_id]],count!$A$630:$E$652,5,FALSE)</f>
        <v>#N/A</v>
      </c>
      <c r="M28" s="81"/>
    </row>
    <row r="29" spans="1:13" ht="15" customHeight="1" x14ac:dyDescent="0.2">
      <c r="A29" s="59">
        <v>10</v>
      </c>
      <c r="B29" s="59" t="s">
        <v>328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25637</v>
      </c>
      <c r="I29" s="94">
        <f>VLOOKUP(c_10[[#This Row],[hwycov_id]],flow0[],5,FALSE)</f>
        <v>25933</v>
      </c>
      <c r="J29" s="60">
        <f t="shared" si="2"/>
        <v>1.1545812692592694E-2</v>
      </c>
      <c r="K29" s="81">
        <f t="shared" si="3"/>
        <v>87616</v>
      </c>
      <c r="L29" s="61" t="e">
        <f>VLOOKUP(c_10[[#This Row],[hwycov_id]],count!$A$630:$E$652,5,FALSE)</f>
        <v>#N/A</v>
      </c>
      <c r="M29" s="81"/>
    </row>
    <row r="30" spans="1:13" ht="15" customHeight="1" x14ac:dyDescent="0.2">
      <c r="A30" s="59">
        <v>10</v>
      </c>
      <c r="B30" s="59" t="s">
        <v>328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21886</v>
      </c>
      <c r="I30" s="94">
        <f>VLOOKUP(c_10[[#This Row],[hwycov_id]],flow0[],5,FALSE)</f>
        <v>17522</v>
      </c>
      <c r="J30" s="60">
        <f t="shared" si="2"/>
        <v>-0.19939687471442935</v>
      </c>
      <c r="K30" s="81">
        <f t="shared" si="3"/>
        <v>19044496</v>
      </c>
      <c r="L30" s="61" t="e">
        <f>VLOOKUP(c_10[[#This Row],[hwycov_id]],count!$A$630:$E$652,5,FALSE)</f>
        <v>#N/A</v>
      </c>
      <c r="M30" s="81"/>
    </row>
    <row r="31" spans="1:13" ht="15" customHeight="1" x14ac:dyDescent="0.2">
      <c r="A31" s="59">
        <v>10</v>
      </c>
      <c r="B31" s="59" t="s">
        <v>328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17688</v>
      </c>
      <c r="I31" s="94">
        <f>VLOOKUP(c_10[[#This Row],[hwycov_id]],flow0[],5,FALSE)</f>
        <v>17494</v>
      </c>
      <c r="J31" s="60">
        <f t="shared" si="2"/>
        <v>-1.0967887833559509E-2</v>
      </c>
      <c r="K31" s="81">
        <f t="shared" si="3"/>
        <v>37636</v>
      </c>
      <c r="L31" s="61" t="e">
        <f>VLOOKUP(c_10[[#This Row],[hwycov_id]],count!$A$630:$E$652,5,FALSE)</f>
        <v>#N/A</v>
      </c>
      <c r="M31" s="81"/>
    </row>
    <row r="32" spans="1:13" ht="15" customHeight="1" x14ac:dyDescent="0.2">
      <c r="A32" s="59">
        <v>10</v>
      </c>
      <c r="B32" s="59" t="s">
        <v>328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13506</v>
      </c>
      <c r="I32" s="94">
        <f>VLOOKUP(c_10[[#This Row],[hwycov_id]],flow0[],5,FALSE)</f>
        <v>15154</v>
      </c>
      <c r="J32" s="60">
        <f t="shared" si="2"/>
        <v>0.12201984303272617</v>
      </c>
      <c r="K32" s="81">
        <f t="shared" si="3"/>
        <v>2715904</v>
      </c>
      <c r="L32" s="61" t="e">
        <f>VLOOKUP(c_10[[#This Row],[hwycov_id]],count!$A$630:$E$652,5,FALSE)</f>
        <v>#N/A</v>
      </c>
      <c r="M32" s="81"/>
    </row>
    <row r="33" spans="1:13" ht="15" customHeight="1" x14ac:dyDescent="0.2">
      <c r="A33" s="59">
        <v>10</v>
      </c>
      <c r="B33" s="59" t="s">
        <v>328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8717</v>
      </c>
      <c r="I33" s="94">
        <f>VLOOKUP(c_10[[#This Row],[hwycov_id]],flow0[],5,FALSE)</f>
        <v>7397</v>
      </c>
      <c r="J33" s="60">
        <f t="shared" si="2"/>
        <v>-0.15142824366181029</v>
      </c>
      <c r="K33" s="81">
        <f t="shared" si="3"/>
        <v>1742400</v>
      </c>
      <c r="L33" s="61" t="e">
        <f>VLOOKUP(c_10[[#This Row],[hwycov_id]],count!$A$630:$E$652,5,FALSE)</f>
        <v>#N/A</v>
      </c>
      <c r="M33" s="81"/>
    </row>
    <row r="34" spans="1:13" ht="15" customHeight="1" x14ac:dyDescent="0.2">
      <c r="A34" s="59">
        <v>10</v>
      </c>
      <c r="B34" s="59" t="s">
        <v>328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9871</v>
      </c>
      <c r="I34" s="94">
        <f>VLOOKUP(c_10[[#This Row],[hwycov_id]],flow0[],5,FALSE)</f>
        <v>8532</v>
      </c>
      <c r="J34" s="60">
        <f t="shared" si="2"/>
        <v>-0.13564988349711271</v>
      </c>
      <c r="K34" s="81">
        <f t="shared" si="3"/>
        <v>1792921</v>
      </c>
      <c r="L34" s="61" t="e">
        <f>VLOOKUP(c_10[[#This Row],[hwycov_id]],count!$A$630:$E$652,5,FALSE)</f>
        <v>#N/A</v>
      </c>
      <c r="M34" s="81"/>
    </row>
    <row r="35" spans="1:13" ht="15" customHeight="1" x14ac:dyDescent="0.2">
      <c r="A35" s="59">
        <v>10</v>
      </c>
      <c r="B35" s="59" t="s">
        <v>328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6537</v>
      </c>
      <c r="I35" s="94">
        <f>VLOOKUP(c_10[[#This Row],[hwycov_id]],flow0[],5,FALSE)</f>
        <v>6676</v>
      </c>
      <c r="J35" s="60">
        <f t="shared" si="2"/>
        <v>2.1263576564173103E-2</v>
      </c>
      <c r="K35" s="81">
        <f t="shared" si="3"/>
        <v>19321</v>
      </c>
      <c r="L35" s="61" t="e">
        <f>VLOOKUP(c_10[[#This Row],[hwycov_id]],count!$A$630:$E$652,5,FALSE)</f>
        <v>#N/A</v>
      </c>
      <c r="M35" s="81"/>
    </row>
    <row r="36" spans="1:13" ht="15" customHeight="1" x14ac:dyDescent="0.2">
      <c r="K36" s="81"/>
      <c r="L36" s="81"/>
      <c r="M36" s="81"/>
    </row>
    <row r="37" spans="1:13" ht="15" customHeight="1" x14ac:dyDescent="0.2">
      <c r="K37" s="81"/>
      <c r="L37" s="81"/>
      <c r="M37" s="81"/>
    </row>
    <row r="38" spans="1:13" ht="15" customHeight="1" x14ac:dyDescent="0.2">
      <c r="K38" s="81"/>
      <c r="L38" s="81"/>
      <c r="M38" s="81"/>
    </row>
    <row r="39" spans="1:13" ht="15" customHeight="1" x14ac:dyDescent="0.2">
      <c r="K39" s="81"/>
      <c r="L39" s="81"/>
      <c r="M39" s="81"/>
    </row>
    <row r="40" spans="1:13" ht="15" customHeight="1" x14ac:dyDescent="0.2">
      <c r="K40" s="81"/>
      <c r="L40" s="81"/>
      <c r="M40" s="81"/>
    </row>
    <row r="41" spans="1:13" ht="15" customHeight="1" x14ac:dyDescent="0.2">
      <c r="K41" s="81"/>
      <c r="L41" s="81"/>
      <c r="M41" s="81"/>
    </row>
    <row r="42" spans="1:13" ht="15" customHeight="1" x14ac:dyDescent="0.2">
      <c r="K42" s="81"/>
      <c r="L42" s="81"/>
      <c r="M42" s="81"/>
    </row>
    <row r="43" spans="1:13" ht="15" customHeight="1" x14ac:dyDescent="0.2">
      <c r="K43" s="81"/>
      <c r="L43" s="81"/>
      <c r="M43" s="81"/>
    </row>
    <row r="44" spans="1:13" ht="15" customHeight="1" x14ac:dyDescent="0.2">
      <c r="K44" s="81"/>
      <c r="L44" s="81"/>
      <c r="M44" s="81"/>
    </row>
    <row r="45" spans="1:13" ht="15" customHeight="1" x14ac:dyDescent="0.2">
      <c r="K45" s="81"/>
      <c r="L45" s="81"/>
      <c r="M45" s="81"/>
    </row>
    <row r="46" spans="1:13" ht="15" customHeight="1" x14ac:dyDescent="0.2">
      <c r="K46" s="81"/>
      <c r="L46" s="81"/>
      <c r="M46" s="81"/>
    </row>
    <row r="47" spans="1:13" ht="15" customHeight="1" x14ac:dyDescent="0.2">
      <c r="K47" s="81"/>
      <c r="L47" s="81"/>
      <c r="M47" s="81"/>
    </row>
    <row r="48" spans="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048576 J19:J1048576">
    <cfRule type="cellIs" dxfId="431" priority="7" operator="lessThan">
      <formula>-0.2</formula>
    </cfRule>
    <cfRule type="cellIs" dxfId="430" priority="8" operator="greaterThan">
      <formula>0.2</formula>
    </cfRule>
  </conditionalFormatting>
  <conditionalFormatting sqref="J2:J12 J14:J18">
    <cfRule type="cellIs" dxfId="429" priority="3" operator="lessThan">
      <formula>-0.2</formula>
    </cfRule>
    <cfRule type="cellIs" dxfId="428" priority="4" operator="greaterThan">
      <formula>0.2</formula>
    </cfRule>
  </conditionalFormatting>
  <conditionalFormatting sqref="N1">
    <cfRule type="cellIs" dxfId="427" priority="1" operator="lessThan">
      <formula>-0.2</formula>
    </cfRule>
    <cfRule type="cellIs" dxfId="42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17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SQRT(AVERAGE(c_11[x2]))/AVERAGE(c_11[count])</f>
        <v>0.27149213657162097</v>
      </c>
      <c r="O1" s="136">
        <f>LINEST(c_11[flow],c_11[count],FALSE)</f>
        <v>0.91478985074593167</v>
      </c>
      <c r="P1" s="136">
        <f>RSQ(c_11[flow],c_11[count])</f>
        <v>0.16257253662564725</v>
      </c>
      <c r="Q1" s="43">
        <f>IFERROR(AVERAGEIF(c_11[gap],"&gt;=0",c_11[gap]),0)</f>
        <v>0.16043398840425024</v>
      </c>
      <c r="R1" s="44">
        <f>IFERROR(AVERAGEIF(c_11[gap],"&lt;0",c_11[gap]),0)</f>
        <v>-0.3058111626942483</v>
      </c>
      <c r="S1" s="14">
        <f>AVERAGE(c_11[gap])</f>
        <v>-2.6064072035149176E-2</v>
      </c>
      <c r="T1" s="42">
        <f>COUNTIFS(c_11[gap],"&lt;10%",c_11[gap],"&gt;=-10%")/COUNTA(c_11[gap])</f>
        <v>0.2</v>
      </c>
      <c r="U1" s="42">
        <f>COUNTIFS(c_11[gap],"&lt;20%",c_11[gap],"&gt;=-20%")/COUNTA(c_11[gap])</f>
        <v>0.5</v>
      </c>
      <c r="V1" s="42">
        <f>COUNTIFS(c_11[gap],"&lt;30%",c_11[gap],"&gt;=-30%")/COUNTA(c_11[gap])</f>
        <v>0.6</v>
      </c>
      <c r="W1" s="43">
        <f>COUNTIF(c_11[gap],"&gt;=0")/COUNTA(c_11[gap])</f>
        <v>0.6</v>
      </c>
      <c r="X1" s="45">
        <f>COUNTIF(c_11[gap],"&lt;0")/COUNTA(c_11[gap])</f>
        <v>0.4</v>
      </c>
      <c r="Y1" s="76" t="str">
        <f>"%Link(+)="&amp;TEXT(W1,"0%")</f>
        <v>%Link(+)=60%</v>
      </c>
      <c r="Z1" s="76" t="str">
        <f>"%Link(-)="&amp;TEXT(X1,"0%")</f>
        <v>%Link(-)=40%</v>
      </c>
      <c r="AA1" s="73" t="str">
        <f>"AvgGap(+)="&amp;TEXT(Q1,"0%")</f>
        <v>AvgGap(+)=16%</v>
      </c>
      <c r="AB1" s="59" t="str">
        <f>"AvgGap(-)="&amp;TEXT(R1,"0%")</f>
        <v>AvgGap(-)=-31%</v>
      </c>
      <c r="AC1" s="59" t="str">
        <f>"AvgGap(±)="&amp;TEXT(S1,"0%")</f>
        <v>AvgGap(±)=-3%</v>
      </c>
      <c r="AD1" s="59" t="str">
        <f>"GapIn(±10%)="&amp;TEXT(T1,"0%")</f>
        <v>GapIn(±10%)=20%</v>
      </c>
      <c r="AE1" s="59" t="str">
        <f>"GapIn(±20%)="&amp;TEXT(U1,"0%")</f>
        <v>GapIn(±20%)=50%</v>
      </c>
      <c r="AF1" s="59" t="str">
        <f>"GapIn(±30%)="&amp;TEXT(V1,"0%")</f>
        <v>GapIn(±30%)=60%</v>
      </c>
      <c r="AG1" s="59" t="str">
        <f>"Linear Slope="&amp;TEXT(O1,"#.###")</f>
        <v>Linear Slope=.915</v>
      </c>
      <c r="AH1" s="59" t="str">
        <f>"RMSE="&amp;TEXT(N1,"0%")</f>
        <v>RMSE=27%</v>
      </c>
      <c r="AI1" s="59" t="str">
        <f>CONCATENATE(Y1," ",Z1," ",AA1,"  ",AB1,"  ",AC1,"  ",AD1," ",AE1,"  ",AF1,"  ",AG1," ",AH1)</f>
        <v>%Link(+)=60% %Link(-)=40% AvgGap(+)=16%  AvgGap(-)=-31%  AvgGap(±)=-3%  GapIn(±10%)=20% GapIn(±20%)=50%  GapIn(±30%)=60%  Linear Slope=.915 RMSE=27%</v>
      </c>
    </row>
    <row r="2" spans="1:35" ht="15" customHeight="1" x14ac:dyDescent="0.2">
      <c r="A2" s="59">
        <v>11</v>
      </c>
      <c r="B2" s="59" t="s">
        <v>330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20502</v>
      </c>
      <c r="I2" s="94">
        <f>VLOOKUP(c_11[[#This Row],[hwycov_id]],flow0[],5,FALSE)</f>
        <v>13152</v>
      </c>
      <c r="J2" s="60">
        <f>I2/H2-1</f>
        <v>-0.35850160959906352</v>
      </c>
      <c r="K2" s="81">
        <f t="shared" ref="K2:K7" si="0">POWER((I2-H2),2)</f>
        <v>54022500</v>
      </c>
      <c r="L2" s="61" t="e">
        <f>VLOOKUP(c_11[[#This Row],[hwycov_id]],count!$A$630:$E$652,5,FALSE)</f>
        <v>#N/A</v>
      </c>
      <c r="M2" s="81"/>
    </row>
    <row r="3" spans="1:35" ht="15" customHeight="1" x14ac:dyDescent="0.2">
      <c r="A3" s="59">
        <v>11</v>
      </c>
      <c r="B3" s="59" t="s">
        <v>330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20096</v>
      </c>
      <c r="I3" s="94">
        <f>VLOOKUP(c_11[[#This Row],[hwycov_id]],flow0[],5,FALSE)</f>
        <v>13152</v>
      </c>
      <c r="J3" s="60">
        <f t="shared" ref="J3:J7" si="1">I3/H3-1</f>
        <v>-0.34554140127388533</v>
      </c>
      <c r="K3" s="81">
        <f t="shared" si="0"/>
        <v>48219136</v>
      </c>
      <c r="L3" s="61" t="e">
        <f>VLOOKUP(c_11[[#This Row],[hwycov_id]],count!$A$630:$E$652,5,FALSE)</f>
        <v>#N/A</v>
      </c>
      <c r="M3" s="81"/>
    </row>
    <row r="4" spans="1:35" ht="15" customHeight="1" x14ac:dyDescent="0.2">
      <c r="A4" s="59">
        <v>11</v>
      </c>
      <c r="B4" s="59" t="s">
        <v>330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24233</v>
      </c>
      <c r="I4" s="94">
        <f>VLOOKUP(c_11[[#This Row],[hwycov_id]],flow0[],5,FALSE)</f>
        <v>15329</v>
      </c>
      <c r="J4" s="60">
        <f t="shared" si="1"/>
        <v>-0.36743283951636196</v>
      </c>
      <c r="K4" s="81">
        <f t="shared" si="0"/>
        <v>79281216</v>
      </c>
      <c r="L4" s="61" t="e">
        <f>VLOOKUP(c_11[[#This Row],[hwycov_id]],count!$A$630:$E$652,5,FALSE)</f>
        <v>#N/A</v>
      </c>
      <c r="M4" s="81"/>
    </row>
    <row r="5" spans="1:35" ht="15" customHeight="1" x14ac:dyDescent="0.2">
      <c r="A5" s="59">
        <v>11</v>
      </c>
      <c r="B5" s="59" t="s">
        <v>330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22699</v>
      </c>
      <c r="I5" s="94">
        <f>VLOOKUP(c_11[[#This Row],[hwycov_id]],flow0[],5,FALSE)</f>
        <v>19254</v>
      </c>
      <c r="J5" s="60">
        <f t="shared" si="1"/>
        <v>-0.15176880038768226</v>
      </c>
      <c r="K5" s="81">
        <f t="shared" si="0"/>
        <v>11868025</v>
      </c>
      <c r="L5" s="61" t="e">
        <f>VLOOKUP(c_11[[#This Row],[hwycov_id]],count!$A$630:$E$652,5,FALSE)</f>
        <v>#N/A</v>
      </c>
      <c r="M5" s="81"/>
    </row>
    <row r="6" spans="1:35" ht="15" customHeight="1" x14ac:dyDescent="0.2">
      <c r="A6" s="59">
        <v>11</v>
      </c>
      <c r="B6" s="59" t="s">
        <v>330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20426</v>
      </c>
      <c r="I6" s="94">
        <f>VLOOKUP(c_11[[#This Row],[hwycov_id]],flow0[],5,FALSE)</f>
        <v>20488</v>
      </c>
      <c r="J6" s="60">
        <f t="shared" si="1"/>
        <v>3.035347106628894E-3</v>
      </c>
      <c r="K6" s="81">
        <f t="shared" si="0"/>
        <v>3844</v>
      </c>
      <c r="L6" s="61" t="e">
        <f>VLOOKUP(c_11[[#This Row],[hwycov_id]],count!$A$630:$E$652,5,FALSE)</f>
        <v>#N/A</v>
      </c>
      <c r="M6" s="81"/>
    </row>
    <row r="7" spans="1:35" ht="15" customHeight="1" x14ac:dyDescent="0.2">
      <c r="A7" s="59">
        <v>11</v>
      </c>
      <c r="B7" s="59" t="s">
        <v>330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16624</v>
      </c>
      <c r="I7" s="94">
        <f>VLOOKUP(c_11[[#This Row],[hwycov_id]],flow0[],5,FALSE)</f>
        <v>24337</v>
      </c>
      <c r="J7" s="60">
        <f t="shared" si="1"/>
        <v>0.46396775745909524</v>
      </c>
      <c r="K7" s="81">
        <f t="shared" si="0"/>
        <v>59490369</v>
      </c>
      <c r="L7" s="61" t="e">
        <f>VLOOKUP(c_11[[#This Row],[hwycov_id]],count!$A$630:$E$652,5,FALSE)</f>
        <v>#N/A</v>
      </c>
      <c r="M7" s="81"/>
    </row>
    <row r="8" spans="1:35" ht="15" customHeight="1" x14ac:dyDescent="0.2">
      <c r="A8" s="59">
        <v>11</v>
      </c>
      <c r="B8" s="59" t="s">
        <v>330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22351</v>
      </c>
      <c r="I8" s="94">
        <f>VLOOKUP(c_11[[#This Row],[hwycov_id]],flow0[],5,FALSE)</f>
        <v>25473</v>
      </c>
      <c r="J8" s="60">
        <f t="shared" ref="J8:J12" si="2">I8/H8-1</f>
        <v>0.13968055120576262</v>
      </c>
      <c r="K8" s="81">
        <f t="shared" ref="K8:K12" si="3">POWER((I8-H8),2)</f>
        <v>9746884</v>
      </c>
      <c r="L8" s="61" t="e">
        <f>VLOOKUP(c_11[[#This Row],[hwycov_id]],count!$A$630:$E$652,5,FALSE)</f>
        <v>#N/A</v>
      </c>
      <c r="M8" s="81"/>
    </row>
    <row r="9" spans="1:35" ht="15" customHeight="1" x14ac:dyDescent="0.2">
      <c r="A9" s="59">
        <v>11</v>
      </c>
      <c r="B9" s="59" t="s">
        <v>330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22081</v>
      </c>
      <c r="I9" s="94">
        <f>VLOOKUP(c_11[[#This Row],[hwycov_id]],flow0[],5,FALSE)</f>
        <v>22881</v>
      </c>
      <c r="J9" s="60">
        <f t="shared" si="2"/>
        <v>3.6230243195507494E-2</v>
      </c>
      <c r="K9" s="81">
        <f t="shared" si="3"/>
        <v>640000</v>
      </c>
      <c r="L9" s="61" t="e">
        <f>VLOOKUP(c_11[[#This Row],[hwycov_id]],count!$A$630:$E$652,5,FALSE)</f>
        <v>#N/A</v>
      </c>
      <c r="M9" s="81"/>
    </row>
    <row r="10" spans="1:35" ht="15" customHeight="1" x14ac:dyDescent="0.2">
      <c r="A10" s="59">
        <v>11</v>
      </c>
      <c r="B10" s="59" t="s">
        <v>330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10546</v>
      </c>
      <c r="I10" s="94">
        <f>VLOOKUP(c_11[[#This Row],[hwycov_id]],flow0[],5,FALSE)</f>
        <v>12797</v>
      </c>
      <c r="J10" s="60">
        <f t="shared" si="2"/>
        <v>0.21344585624881462</v>
      </c>
      <c r="K10" s="81">
        <f t="shared" si="3"/>
        <v>5067001</v>
      </c>
      <c r="L10" s="61" t="e">
        <f>VLOOKUP(c_11[[#This Row],[hwycov_id]],count!$A$630:$E$652,5,FALSE)</f>
        <v>#N/A</v>
      </c>
      <c r="M10" s="81"/>
    </row>
    <row r="11" spans="1:35" ht="15" customHeight="1" x14ac:dyDescent="0.2">
      <c r="A11" s="59">
        <v>11</v>
      </c>
      <c r="B11" s="59" t="s">
        <v>330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331</v>
      </c>
      <c r="H11" s="68">
        <v>11803</v>
      </c>
      <c r="I11" s="94">
        <f>VLOOKUP(c_11[[#This Row],[hwycov_id]],flow0[],5,FALSE)</f>
        <v>13057</v>
      </c>
      <c r="J11" s="60">
        <f t="shared" si="2"/>
        <v>0.10624417520969254</v>
      </c>
      <c r="K11" s="81">
        <f t="shared" si="3"/>
        <v>1572516</v>
      </c>
      <c r="L11" s="61" t="e">
        <f>VLOOKUP(c_11[[#This Row],[hwycov_id]],count!$A$630:$E$652,5,FALSE)</f>
        <v>#N/A</v>
      </c>
      <c r="M11" s="81"/>
    </row>
    <row r="12" spans="1:35" s="421" customFormat="1" ht="15" hidden="1" customHeight="1" x14ac:dyDescent="0.2">
      <c r="A12" s="421">
        <v>11</v>
      </c>
      <c r="B12" s="421" t="s">
        <v>330</v>
      </c>
      <c r="C12" s="422">
        <v>21850</v>
      </c>
      <c r="D12" s="423">
        <v>11.21</v>
      </c>
      <c r="E12" s="424">
        <v>0.65900199999999998</v>
      </c>
      <c r="F12" s="422" t="s">
        <v>39</v>
      </c>
      <c r="G12" s="422" t="s">
        <v>332</v>
      </c>
      <c r="H12" s="425">
        <v>3126</v>
      </c>
      <c r="I12" s="425" t="e">
        <f>VLOOKUP(c_11[[#This Row],[hwycov_id]],flow0[],5,FALSE)</f>
        <v>#VALUE!</v>
      </c>
      <c r="J12" s="426" t="e">
        <f t="shared" si="2"/>
        <v>#VALUE!</v>
      </c>
      <c r="K12" s="427" t="e">
        <f t="shared" si="3"/>
        <v>#VALUE!</v>
      </c>
      <c r="L12" s="427" t="e">
        <f>VLOOKUP(c_11[[#This Row],[hwycov_id]],count!$A$630:$E$652,5,FALSE)</f>
        <v>#VALUE!</v>
      </c>
      <c r="M12" s="427"/>
      <c r="N12" s="426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7 J2:J17">
    <cfRule type="cellIs" dxfId="411" priority="11" operator="lessThan">
      <formula>-0.2</formula>
    </cfRule>
    <cfRule type="cellIs" dxfId="410" priority="12" operator="greaterThan">
      <formula>0.2</formula>
    </cfRule>
  </conditionalFormatting>
  <conditionalFormatting sqref="J18:J1048576">
    <cfRule type="cellIs" dxfId="409" priority="5" operator="lessThan">
      <formula>-0.2</formula>
    </cfRule>
    <cfRule type="cellIs" dxfId="408" priority="6" operator="greaterThan">
      <formula>0.2</formula>
    </cfRule>
  </conditionalFormatting>
  <conditionalFormatting sqref="N1">
    <cfRule type="cellIs" dxfId="407" priority="1" operator="lessThan">
      <formula>-0.2</formula>
    </cfRule>
    <cfRule type="cellIs" dxfId="4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F22" sqref="F22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22.42578125" style="59" bestFit="1" customWidth="1"/>
    <col min="7" max="7" width="15.5703125" style="59" bestFit="1" customWidth="1"/>
    <col min="8" max="8" width="12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SQRT(AVERAGE(c_12[x2]))/AVERAGE(c_12[count])</f>
        <v>0.34790994562747091</v>
      </c>
      <c r="O1" s="136">
        <f>LINEST(c_12[flow],c_12[count],FALSE)</f>
        <v>1.0285709133017744</v>
      </c>
      <c r="P1" s="136">
        <f>RSQ(c_12[flow],c_12[count])</f>
        <v>0.80690176663416702</v>
      </c>
      <c r="Q1" s="43">
        <f>IFERROR(AVERAGEIF(c_12[gap],"&gt;=0",c_12[gap]),0)</f>
        <v>0.35901658091638777</v>
      </c>
      <c r="R1" s="44">
        <f>IFERROR(AVERAGEIF(c_12[gap],"&lt;0",c_12[gap]),0)</f>
        <v>-0.19172213565070653</v>
      </c>
      <c r="S1" s="14">
        <f>AVERAGE(c_12[gap])</f>
        <v>-2.9740160189796444E-2</v>
      </c>
      <c r="T1" s="42">
        <f>COUNTIFS(c_12[gap],"&lt;10%",c_12[gap],"&gt;=-10%")/COUNTA(c_12[gap])</f>
        <v>0.17647058823529413</v>
      </c>
      <c r="U1" s="42">
        <f>COUNTIFS(c_12[gap],"&lt;20%",c_12[gap],"&gt;=-20%")/COUNTA(c_12[gap])</f>
        <v>0.52941176470588236</v>
      </c>
      <c r="V1" s="42">
        <f>COUNTIFS(c_12[gap],"&lt;30%",c_12[gap],"&gt;=-30%")/COUNTA(c_12[gap])</f>
        <v>0.94117647058823528</v>
      </c>
      <c r="W1" s="43">
        <f>COUNTIF(c_12[gap],"&gt;=0")/COUNTA(c_12[gap])</f>
        <v>0.29411764705882354</v>
      </c>
      <c r="X1" s="45">
        <f>COUNTIF(c_12[gap],"&lt;0")/COUNTA(c_12[gap])</f>
        <v>0.70588235294117652</v>
      </c>
      <c r="Y1" s="76" t="str">
        <f>"%Link(+)="&amp;TEXT(W1,"0%")</f>
        <v>%Link(+)=29%</v>
      </c>
      <c r="Z1" s="76" t="str">
        <f>"%Link(-)="&amp;TEXT(X1,"0%")</f>
        <v>%Link(-)=71%</v>
      </c>
      <c r="AA1" s="73" t="str">
        <f>"AvgGap(+)="&amp;TEXT(Q1,"0%")</f>
        <v>AvgGap(+)=36%</v>
      </c>
      <c r="AB1" s="59" t="str">
        <f>"AvgGap(-)="&amp;TEXT(R1,"0%")</f>
        <v>AvgGap(-)=-19%</v>
      </c>
      <c r="AC1" s="59" t="str">
        <f>"AvgGap(±)="&amp;TEXT(S1,"0%")</f>
        <v>AvgGap(±)=-3%</v>
      </c>
      <c r="AD1" s="59" t="str">
        <f>"GapIn(±10%)="&amp;TEXT(T1,"0%")</f>
        <v>GapIn(±10%)=18%</v>
      </c>
      <c r="AE1" s="59" t="str">
        <f>"GapIn(±20%)="&amp;TEXT(U1,"0%")</f>
        <v>GapIn(±20%)=53%</v>
      </c>
      <c r="AF1" s="59" t="str">
        <f>"GapIn(±30%)="&amp;TEXT(V1,"0%")</f>
        <v>GapIn(±30%)=94%</v>
      </c>
      <c r="AG1" s="59" t="str">
        <f>"Linear Slope="&amp;TEXT(O1,"#.###")</f>
        <v>Linear Slope=1.029</v>
      </c>
      <c r="AH1" s="59" t="str">
        <f>"RMSE="&amp;TEXT(N1,"0%")</f>
        <v>RMSE=35%</v>
      </c>
      <c r="AI1" s="59" t="str">
        <f>CONCATENATE(Y1," ",Z1," ",AA1,"  ",AB1,"  ",AC1,"  ",AD1," ",AE1,"  ",AF1,"  ",AG1," ",AH1)</f>
        <v>%Link(+)=29% %Link(-)=71% AvgGap(+)=36%  AvgGap(-)=-19%  AvgGap(±)=-3%  GapIn(±10%)=18% GapIn(±20%)=53%  GapIn(±30%)=94%  Linear Slope=1.029 RMSE=35%</v>
      </c>
    </row>
    <row r="2" spans="1:35" ht="15" customHeight="1" x14ac:dyDescent="0.2">
      <c r="A2" s="59">
        <v>12</v>
      </c>
      <c r="B2" s="59" t="s">
        <v>333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5340</v>
      </c>
      <c r="I2" s="94">
        <f>VLOOKUP(c_12[[#This Row],[hwycov_id]],flow0[],5,FALSE)</f>
        <v>4880</v>
      </c>
      <c r="J2" s="60">
        <f t="shared" ref="J2:J14" si="0">I2/H2-1</f>
        <v>-8.6142322097378266E-2</v>
      </c>
      <c r="K2" s="81">
        <f t="shared" ref="K2:K14" si="1">POWER((I2-H2),2)</f>
        <v>211600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A3" s="59">
        <v>12</v>
      </c>
      <c r="B3" s="59" t="s">
        <v>333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10546</v>
      </c>
      <c r="I3" s="94">
        <f>VLOOKUP(c_12[[#This Row],[hwycov_id]],flow0[],5,FALSE)</f>
        <v>7928</v>
      </c>
      <c r="J3" s="60">
        <f t="shared" si="0"/>
        <v>-0.24824578039066947</v>
      </c>
      <c r="K3" s="81">
        <f t="shared" si="1"/>
        <v>6853924</v>
      </c>
      <c r="L3" s="61" t="e">
        <f>VLOOKUP(c_12[[#This Row],[hwycov_id]],count!$A$630:$E$652,5,FALSE)</f>
        <v>#N/A</v>
      </c>
      <c r="M3" s="81"/>
    </row>
    <row r="4" spans="1:35" ht="15" customHeight="1" x14ac:dyDescent="0.2">
      <c r="A4" s="59">
        <v>12</v>
      </c>
      <c r="B4" s="59" t="s">
        <v>333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7573</v>
      </c>
      <c r="I4" s="94">
        <f>VLOOKUP(c_12[[#This Row],[hwycov_id]],flow0[],5,FALSE)</f>
        <v>5336</v>
      </c>
      <c r="J4" s="60">
        <f t="shared" si="0"/>
        <v>-0.2953915225141952</v>
      </c>
      <c r="K4" s="81">
        <f t="shared" si="1"/>
        <v>5004169</v>
      </c>
      <c r="L4" s="61" t="e">
        <f>VLOOKUP(c_12[[#This Row],[hwycov_id]],count!$A$630:$E$652,5,FALSE)</f>
        <v>#N/A</v>
      </c>
      <c r="M4" s="81"/>
    </row>
    <row r="5" spans="1:35" ht="15" customHeight="1" x14ac:dyDescent="0.2">
      <c r="A5" s="59">
        <v>12</v>
      </c>
      <c r="B5" s="59" t="s">
        <v>333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9357</v>
      </c>
      <c r="I5" s="94">
        <f>VLOOKUP(c_12[[#This Row],[hwycov_id]],flow0[],5,FALSE)</f>
        <v>7726</v>
      </c>
      <c r="J5" s="60">
        <f t="shared" si="0"/>
        <v>-0.17430800470236185</v>
      </c>
      <c r="K5" s="81">
        <f t="shared" si="1"/>
        <v>2660161</v>
      </c>
      <c r="L5" s="61" t="e">
        <f>VLOOKUP(c_12[[#This Row],[hwycov_id]],count!$A$630:$E$652,5,FALSE)</f>
        <v>#N/A</v>
      </c>
      <c r="M5" s="81"/>
    </row>
    <row r="6" spans="1:35" ht="15" customHeight="1" x14ac:dyDescent="0.2">
      <c r="A6" s="59">
        <v>12</v>
      </c>
      <c r="B6" s="59" t="s">
        <v>333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13100</v>
      </c>
      <c r="I6" s="94">
        <f>VLOOKUP(c_12[[#This Row],[hwycov_id]],flow0[],5,FALSE)</f>
        <v>10970</v>
      </c>
      <c r="J6" s="60">
        <f t="shared" si="0"/>
        <v>-0.16259541984732828</v>
      </c>
      <c r="K6" s="81">
        <f t="shared" si="1"/>
        <v>4536900</v>
      </c>
      <c r="L6" s="61" t="e">
        <f>VLOOKUP(c_12[[#This Row],[hwycov_id]],count!$A$630:$E$652,5,FALSE)</f>
        <v>#N/A</v>
      </c>
      <c r="M6" s="81"/>
    </row>
    <row r="7" spans="1:35" ht="15" customHeight="1" x14ac:dyDescent="0.2">
      <c r="A7" s="59">
        <v>12</v>
      </c>
      <c r="B7" s="59" t="s">
        <v>333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10673</v>
      </c>
      <c r="I7" s="94">
        <f>VLOOKUP(c_12[[#This Row],[hwycov_id]],flow0[],5,FALSE)</f>
        <v>10119</v>
      </c>
      <c r="J7" s="60">
        <f t="shared" si="0"/>
        <v>-5.1906680408507433E-2</v>
      </c>
      <c r="K7" s="81">
        <f t="shared" si="1"/>
        <v>306916</v>
      </c>
      <c r="L7" s="61" t="e">
        <f>VLOOKUP(c_12[[#This Row],[hwycov_id]],count!$A$630:$E$652,5,FALSE)</f>
        <v>#N/A</v>
      </c>
      <c r="M7" s="81"/>
    </row>
    <row r="8" spans="1:35" ht="15" customHeight="1" x14ac:dyDescent="0.2">
      <c r="A8" s="59">
        <v>12</v>
      </c>
      <c r="B8" s="59" t="s">
        <v>333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6385</v>
      </c>
      <c r="I8" s="94">
        <f>VLOOKUP(c_12[[#This Row],[hwycov_id]],flow0[],5,FALSE)</f>
        <v>8158</v>
      </c>
      <c r="J8" s="60">
        <f t="shared" si="0"/>
        <v>0.27768206734534062</v>
      </c>
      <c r="K8" s="81">
        <f t="shared" si="1"/>
        <v>3143529</v>
      </c>
      <c r="L8" s="61" t="e">
        <f>VLOOKUP(c_12[[#This Row],[hwycov_id]],count!$A$630:$E$652,5,FALSE)</f>
        <v>#N/A</v>
      </c>
      <c r="M8" s="81"/>
    </row>
    <row r="9" spans="1:35" ht="15" customHeight="1" x14ac:dyDescent="0.2">
      <c r="A9" s="59">
        <v>12</v>
      </c>
      <c r="B9" s="59" t="s">
        <v>333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9706</v>
      </c>
      <c r="I9" s="94">
        <f>VLOOKUP(c_12[[#This Row],[hwycov_id]],flow0[],5,FALSE)</f>
        <v>19946</v>
      </c>
      <c r="J9" s="60">
        <f t="shared" si="0"/>
        <v>1.0550175149392129</v>
      </c>
      <c r="K9" s="81">
        <f t="shared" si="1"/>
        <v>104857600</v>
      </c>
      <c r="L9" s="61" t="e">
        <f>VLOOKUP(c_12[[#This Row],[hwycov_id]],count!$A$630:$E$652,5,FALSE)</f>
        <v>#N/A</v>
      </c>
      <c r="M9" s="81"/>
    </row>
    <row r="10" spans="1:35" ht="15" customHeight="1" x14ac:dyDescent="0.2">
      <c r="A10" s="59">
        <v>12</v>
      </c>
      <c r="B10" s="59" t="s">
        <v>333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18706</v>
      </c>
      <c r="I10" s="94">
        <f>VLOOKUP(c_12[[#This Row],[hwycov_id]],flow0[],5,FALSE)</f>
        <v>22236</v>
      </c>
      <c r="J10" s="60">
        <f t="shared" si="0"/>
        <v>0.18870950497166694</v>
      </c>
      <c r="K10" s="81">
        <f t="shared" si="1"/>
        <v>12460900</v>
      </c>
      <c r="L10" s="61" t="e">
        <f>VLOOKUP(c_12[[#This Row],[hwycov_id]],count!$A$630:$E$652,5,FALSE)</f>
        <v>#N/A</v>
      </c>
      <c r="M10" s="81"/>
    </row>
    <row r="11" spans="1:35" ht="15" customHeight="1" x14ac:dyDescent="0.2">
      <c r="A11" s="59">
        <v>12</v>
      </c>
      <c r="B11" s="59" t="s">
        <v>333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21376</v>
      </c>
      <c r="I11" s="94">
        <f>VLOOKUP(c_12[[#This Row],[hwycov_id]],flow0[],5,FALSE)</f>
        <v>23301</v>
      </c>
      <c r="J11" s="60">
        <f t="shared" si="0"/>
        <v>9.0054266467065824E-2</v>
      </c>
      <c r="K11" s="81">
        <f t="shared" si="1"/>
        <v>3705625</v>
      </c>
      <c r="L11" s="61" t="e">
        <f>VLOOKUP(c_12[[#This Row],[hwycov_id]],count!$A$630:$E$652,5,FALSE)</f>
        <v>#N/A</v>
      </c>
      <c r="M11" s="81"/>
    </row>
    <row r="12" spans="1:35" ht="15" customHeight="1" x14ac:dyDescent="0.2">
      <c r="A12" s="59">
        <v>12</v>
      </c>
      <c r="B12" s="59" t="s">
        <v>333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15658</v>
      </c>
      <c r="I12" s="94">
        <f>VLOOKUP(c_12[[#This Row],[hwycov_id]],flow0[],5,FALSE)</f>
        <v>12444</v>
      </c>
      <c r="J12" s="60">
        <f t="shared" si="0"/>
        <v>-0.20526248563034866</v>
      </c>
      <c r="K12" s="81">
        <f t="shared" si="1"/>
        <v>10329796</v>
      </c>
      <c r="L12" s="61" t="e">
        <f>VLOOKUP(c_12[[#This Row],[hwycov_id]],count!$A$630:$E$652,5,FALSE)</f>
        <v>#N/A</v>
      </c>
      <c r="M12" s="81"/>
    </row>
    <row r="13" spans="1:35" ht="15" customHeight="1" x14ac:dyDescent="0.2">
      <c r="A13" s="96">
        <v>12</v>
      </c>
      <c r="B13" s="96" t="s">
        <v>333</v>
      </c>
      <c r="C13" s="446">
        <v>9012</v>
      </c>
      <c r="D13" s="447">
        <v>13.26</v>
      </c>
      <c r="E13" s="448">
        <v>2.3394759999999999</v>
      </c>
      <c r="F13" s="446" t="s">
        <v>508</v>
      </c>
      <c r="G13" s="446" t="s">
        <v>507</v>
      </c>
      <c r="H13" s="89">
        <v>5914</v>
      </c>
      <c r="I13" s="94">
        <f>VLOOKUP(c_12[[#This Row],[hwycov_id]],flow0[],5,FALSE)</f>
        <v>4761</v>
      </c>
      <c r="J13" s="88">
        <f t="shared" si="0"/>
        <v>-0.19496110923233001</v>
      </c>
      <c r="K13" s="89">
        <f t="shared" si="1"/>
        <v>1329409</v>
      </c>
      <c r="L13" s="61" t="e">
        <f>VLOOKUP(c_12[[#This Row],[hwycov_id]],count!$A$630:$E$652,5,FALSE)</f>
        <v>#N/A</v>
      </c>
      <c r="M13" s="89"/>
    </row>
    <row r="14" spans="1:35" s="96" customFormat="1" ht="15" customHeight="1" x14ac:dyDescent="0.2">
      <c r="A14" s="96">
        <v>12</v>
      </c>
      <c r="B14" s="96" t="s">
        <v>333</v>
      </c>
      <c r="C14" s="449">
        <v>30782</v>
      </c>
      <c r="D14" s="450">
        <v>14.28</v>
      </c>
      <c r="E14" s="451">
        <v>0.54685700000000004</v>
      </c>
      <c r="F14" s="449" t="s">
        <v>507</v>
      </c>
      <c r="G14" s="449" t="s">
        <v>506</v>
      </c>
      <c r="H14" s="313">
        <v>5332</v>
      </c>
      <c r="I14" s="94">
        <f>VLOOKUP(c_12[[#This Row],[hwycov_id]],flow0[],5,FALSE)</f>
        <v>4391</v>
      </c>
      <c r="J14" s="88">
        <f t="shared" si="0"/>
        <v>-0.17648162040510129</v>
      </c>
      <c r="K14" s="89">
        <f t="shared" si="1"/>
        <v>885481</v>
      </c>
      <c r="L14" s="61" t="e">
        <f>VLOOKUP(c_12[[#This Row],[hwycov_id]],count!$A$630:$E$652,5,FALSE)</f>
        <v>#N/A</v>
      </c>
      <c r="M14" s="89"/>
      <c r="N14" s="98"/>
      <c r="O14" s="97"/>
    </row>
    <row r="15" spans="1:35" ht="15" customHeight="1" x14ac:dyDescent="0.2">
      <c r="A15" s="59">
        <v>12</v>
      </c>
      <c r="B15" s="59" t="s">
        <v>333</v>
      </c>
      <c r="C15" s="449">
        <v>9142</v>
      </c>
      <c r="D15" s="450">
        <v>15.32</v>
      </c>
      <c r="E15" s="451">
        <v>0.42446899999999999</v>
      </c>
      <c r="F15" s="449" t="s">
        <v>506</v>
      </c>
      <c r="G15" s="449" t="s">
        <v>505</v>
      </c>
      <c r="H15" s="361">
        <v>4233</v>
      </c>
      <c r="I15" s="362">
        <f>VLOOKUP(c_12[[#This Row],[hwycov_id]],flow0[],5,FALSE)</f>
        <v>3133</v>
      </c>
      <c r="J15" s="60">
        <f t="shared" ref="J15:J18" si="2">I15/H15-1</f>
        <v>-0.25986298133711316</v>
      </c>
      <c r="K15" s="81">
        <f t="shared" ref="K15:K18" si="3">POWER((I15-H15),2)</f>
        <v>1210000</v>
      </c>
      <c r="L15" s="61" t="e">
        <f>VLOOKUP(c_12[[#This Row],[hwycov_id]],count!$A$630:$E$652,5,FALSE)</f>
        <v>#N/A</v>
      </c>
      <c r="M15" s="81"/>
    </row>
    <row r="16" spans="1:35" ht="15" customHeight="1" x14ac:dyDescent="0.2">
      <c r="A16" s="59">
        <v>12</v>
      </c>
      <c r="B16" s="59" t="s">
        <v>333</v>
      </c>
      <c r="C16" s="449">
        <v>9516</v>
      </c>
      <c r="D16" s="450">
        <v>16.260000000000002</v>
      </c>
      <c r="E16" s="451">
        <v>0.30054199999999998</v>
      </c>
      <c r="F16" s="449" t="s">
        <v>505</v>
      </c>
      <c r="G16" s="449" t="s">
        <v>504</v>
      </c>
      <c r="H16" s="361">
        <v>2769</v>
      </c>
      <c r="I16" s="362">
        <f>VLOOKUP(c_12[[#This Row],[hwycov_id]],flow0[],5,FALSE)</f>
        <v>2142</v>
      </c>
      <c r="J16" s="60">
        <f t="shared" si="2"/>
        <v>-0.22643553629469126</v>
      </c>
      <c r="K16" s="81">
        <f t="shared" si="3"/>
        <v>393129</v>
      </c>
      <c r="L16" s="61" t="e">
        <f>VLOOKUP(c_12[[#This Row],[hwycov_id]],count!$A$630:$E$652,5,FALSE)</f>
        <v>#N/A</v>
      </c>
      <c r="M16" s="81"/>
    </row>
    <row r="17" spans="1:13" ht="15" customHeight="1" x14ac:dyDescent="0.2">
      <c r="A17" s="59">
        <v>12</v>
      </c>
      <c r="B17" s="59" t="s">
        <v>333</v>
      </c>
      <c r="C17" s="449">
        <v>9510</v>
      </c>
      <c r="D17" s="450">
        <v>17.079999999999998</v>
      </c>
      <c r="E17" s="451">
        <v>0.28976400000000002</v>
      </c>
      <c r="F17" s="449" t="s">
        <v>504</v>
      </c>
      <c r="G17" s="449" t="s">
        <v>503</v>
      </c>
      <c r="H17" s="361">
        <v>1552</v>
      </c>
      <c r="I17" s="362">
        <f>VLOOKUP(c_12[[#This Row],[hwycov_id]],flow0[],5,FALSE)</f>
        <v>1212</v>
      </c>
      <c r="J17" s="60">
        <f t="shared" si="2"/>
        <v>-0.21907216494845361</v>
      </c>
      <c r="K17" s="81">
        <f t="shared" si="3"/>
        <v>115600</v>
      </c>
      <c r="L17" s="61" t="e">
        <f>VLOOKUP(c_12[[#This Row],[hwycov_id]],count!$A$630:$E$652,5,FALSE)</f>
        <v>#N/A</v>
      </c>
      <c r="M17" s="81"/>
    </row>
    <row r="18" spans="1:13" ht="15" customHeight="1" x14ac:dyDescent="0.2">
      <c r="A18" s="59">
        <v>12</v>
      </c>
      <c r="B18" s="59" t="s">
        <v>333</v>
      </c>
      <c r="C18" s="449">
        <v>9488</v>
      </c>
      <c r="D18" s="450">
        <v>18</v>
      </c>
      <c r="E18" s="451">
        <v>0.30573299999999998</v>
      </c>
      <c r="F18" s="449" t="s">
        <v>503</v>
      </c>
      <c r="G18" s="449" t="s">
        <v>502</v>
      </c>
      <c r="H18" s="361">
        <v>757</v>
      </c>
      <c r="I18" s="362">
        <f>VLOOKUP(c_12[[#This Row],[hwycov_id]],flow0[],5,FALSE)</f>
        <v>896</v>
      </c>
      <c r="J18" s="60">
        <f t="shared" si="2"/>
        <v>0.18361955085865267</v>
      </c>
      <c r="K18" s="81">
        <f t="shared" si="3"/>
        <v>19321</v>
      </c>
      <c r="L18" s="61" t="e">
        <f>VLOOKUP(c_12[[#This Row],[hwycov_id]],count!$A$630:$E$652,5,FALSE)</f>
        <v>#N/A</v>
      </c>
      <c r="M18" s="81"/>
    </row>
    <row r="19" spans="1:13" ht="15" customHeight="1" x14ac:dyDescent="0.2">
      <c r="K19" s="81"/>
      <c r="L19" s="81"/>
      <c r="M19" s="81"/>
    </row>
    <row r="20" spans="1:13" ht="15" customHeight="1" x14ac:dyDescent="0.2">
      <c r="K20" s="81"/>
      <c r="L20" s="81"/>
      <c r="M20" s="81"/>
    </row>
    <row r="21" spans="1:13" ht="15" customHeight="1" x14ac:dyDescent="0.2">
      <c r="K21" s="81"/>
      <c r="L21" s="81"/>
      <c r="M21" s="81"/>
    </row>
    <row r="22" spans="1:13" ht="15" customHeight="1" x14ac:dyDescent="0.2">
      <c r="K22" s="81"/>
      <c r="L22" s="81"/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5:J18">
    <cfRule type="cellIs" dxfId="391" priority="9" operator="lessThan">
      <formula>-0.2</formula>
    </cfRule>
    <cfRule type="cellIs" dxfId="390" priority="10" operator="greaterThan">
      <formula>0.2</formula>
    </cfRule>
  </conditionalFormatting>
  <conditionalFormatting sqref="J19:J1048576">
    <cfRule type="cellIs" dxfId="389" priority="5" operator="lessThan">
      <formula>-0.2</formula>
    </cfRule>
    <cfRule type="cellIs" dxfId="388" priority="6" operator="greaterThan">
      <formula>0.2</formula>
    </cfRule>
  </conditionalFormatting>
  <conditionalFormatting sqref="J2:J12 J14">
    <cfRule type="cellIs" dxfId="387" priority="3" operator="lessThan">
      <formula>-0.2</formula>
    </cfRule>
    <cfRule type="cellIs" dxfId="386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9.28515625" style="59" bestFit="1" customWidth="1"/>
    <col min="7" max="7" width="16" style="59" bestFit="1" customWidth="1"/>
    <col min="8" max="8" width="11.28515625" style="6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SQRT(AVERAGE(c_13[x2]))/AVERAGE(c_13[count])</f>
        <v>0.24330766962775438</v>
      </c>
      <c r="O1" s="136">
        <f>LINEST(c_13[flow],c_13[count],FALSE)</f>
        <v>1.1976768210626556</v>
      </c>
      <c r="P1" s="136">
        <f>RSQ(c_13[flow],c_13[count])</f>
        <v>0.99999999999999978</v>
      </c>
      <c r="Q1" s="43">
        <f>IFERROR(AVERAGEIF(c_13[gap],"&gt;=0",c_13[gap]),0)</f>
        <v>0.27798232695139902</v>
      </c>
      <c r="R1" s="44">
        <f>IFERROR(AVERAGEIF(c_13[gap],"&lt;0",c_13[gap]),0)</f>
        <v>-1.361681796464409E-2</v>
      </c>
      <c r="S1" s="14">
        <f>AVERAGE(c_13[gap])</f>
        <v>0.13218275449337746</v>
      </c>
      <c r="T1" s="42">
        <f>COUNTIFS(c_13[gap],"&lt;10%",c_13[gap],"&gt;=-10%")/COUNTA(c_13[gap])</f>
        <v>0.5</v>
      </c>
      <c r="U1" s="42">
        <f>COUNTIFS(c_13[gap],"&lt;20%",c_13[gap],"&gt;=-20%")/COUNTA(c_13[gap])</f>
        <v>0.5</v>
      </c>
      <c r="V1" s="42">
        <f>COUNTIFS(c_13[gap],"&lt;30%",c_13[gap],"&gt;=-30%")/COUNTA(c_13[gap])</f>
        <v>1</v>
      </c>
      <c r="W1" s="43">
        <f>COUNTIF(c_13[gap],"&gt;=0")/COUNTA(c_13[gap])</f>
        <v>0.5</v>
      </c>
      <c r="X1" s="45">
        <f>COUNTIF(c_13[gap],"&lt;0")/COUNTA(c_13[gap])</f>
        <v>0.5</v>
      </c>
      <c r="Y1" s="76" t="str">
        <f>"%Link(+)="&amp;TEXT(W1,"0%")</f>
        <v>%Link(+)=50%</v>
      </c>
      <c r="Z1" s="76" t="str">
        <f>"%Link(-)="&amp;TEXT(X1,"0%")</f>
        <v>%Link(-)=50%</v>
      </c>
      <c r="AA1" s="73" t="str">
        <f>"AvgGap(+)="&amp;TEXT(Q1,"0%")</f>
        <v>AvgGap(+)=28%</v>
      </c>
      <c r="AB1" s="59" t="str">
        <f>"AvgGap(-)="&amp;TEXT(R1,"0%")</f>
        <v>AvgGap(-)=-1%</v>
      </c>
      <c r="AC1" s="59" t="str">
        <f>"AvgGap(±)="&amp;TEXT(S1,"0%")</f>
        <v>AvgGap(±)=13%</v>
      </c>
      <c r="AD1" s="59" t="str">
        <f>"GapIn(±10%)="&amp;TEXT(T1,"0%")</f>
        <v>GapIn(±10%)=50%</v>
      </c>
      <c r="AE1" s="59" t="str">
        <f>"GapIn(±20%)="&amp;TEXT(U1,"0%")</f>
        <v>GapIn(±20%)=50%</v>
      </c>
      <c r="AF1" s="59" t="str">
        <f>"GapIn(±30%)="&amp;TEXT(V1,"0%")</f>
        <v>GapIn(±30%)=100%</v>
      </c>
      <c r="AG1" s="59" t="str">
        <f>"Linear Slope="&amp;TEXT(O1,"#.###")</f>
        <v>Linear Slope=1.198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%Link(+)=50% %Link(-)=50% AvgGap(+)=28%  AvgGap(-)=-1%  AvgGap(±)=13%  GapIn(±10%)=50% GapIn(±20%)=50%  GapIn(±30%)=100%  Linear Slope=1.198 RMSE=24%</v>
      </c>
    </row>
    <row r="2" spans="1:35" ht="15" customHeight="1" x14ac:dyDescent="0.2">
      <c r="A2" s="59">
        <v>13</v>
      </c>
      <c r="B2" s="59" t="s">
        <v>334</v>
      </c>
      <c r="C2" s="65">
        <v>9033</v>
      </c>
      <c r="D2" s="74">
        <v>3.17</v>
      </c>
      <c r="E2" s="70">
        <v>0.56292900000000001</v>
      </c>
      <c r="F2" s="65" t="s">
        <v>335</v>
      </c>
      <c r="G2" s="65" t="s">
        <v>36</v>
      </c>
      <c r="H2" s="68">
        <v>8372</v>
      </c>
      <c r="I2" s="94">
        <f>VLOOKUP(c_13[[#This Row],[hwycov_id]],flow0[],5,FALSE)</f>
        <v>8258</v>
      </c>
      <c r="J2" s="60">
        <f t="shared" ref="J2:J3" si="0">I2/H2-1</f>
        <v>-1.361681796464409E-2</v>
      </c>
      <c r="K2" s="81">
        <f t="shared" ref="K2:K3" si="1">POWER((I2-H2),2)</f>
        <v>12996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A3" s="59">
        <v>13</v>
      </c>
      <c r="B3" s="59" t="s">
        <v>334</v>
      </c>
      <c r="C3" s="363">
        <v>13035</v>
      </c>
      <c r="D3" s="74">
        <v>4.18</v>
      </c>
      <c r="E3" s="364">
        <v>0.48090899999999998</v>
      </c>
      <c r="F3" s="363" t="s">
        <v>37</v>
      </c>
      <c r="G3" s="363" t="s">
        <v>336</v>
      </c>
      <c r="H3" s="365">
        <v>13580</v>
      </c>
      <c r="I3" s="352">
        <f>VLOOKUP(c_13[[#This Row],[hwycov_id]],flow0[],5,FALSE)</f>
        <v>17355</v>
      </c>
      <c r="J3" s="60">
        <f t="shared" si="0"/>
        <v>0.27798232695139902</v>
      </c>
      <c r="K3" s="81">
        <f t="shared" si="1"/>
        <v>14250625</v>
      </c>
      <c r="L3" s="61" t="e">
        <f>VLOOKUP(c_12[[#This Row],[hwycov_id]],count!$A$630:$E$652,5,FALSE)</f>
        <v>#N/A</v>
      </c>
      <c r="M3" s="81"/>
    </row>
    <row r="4" spans="1:35" ht="15" customHeight="1" x14ac:dyDescent="0.2">
      <c r="K4" s="81"/>
      <c r="L4" s="81"/>
      <c r="M4" s="81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</sheetData>
  <conditionalFormatting sqref="N2 J2:J9">
    <cfRule type="cellIs" dxfId="371" priority="9" operator="lessThan">
      <formula>-0.2</formula>
    </cfRule>
    <cfRule type="cellIs" dxfId="370" priority="10" operator="greaterThan">
      <formula>0.2</formula>
    </cfRule>
  </conditionalFormatting>
  <conditionalFormatting sqref="J16:J1048576">
    <cfRule type="cellIs" dxfId="369" priority="5" operator="lessThan">
      <formula>-0.2</formula>
    </cfRule>
    <cfRule type="cellIs" dxfId="368" priority="6" operator="greaterThan">
      <formula>0.2</formula>
    </cfRule>
  </conditionalFormatting>
  <conditionalFormatting sqref="J11:J15">
    <cfRule type="cellIs" dxfId="367" priority="3" operator="lessThan">
      <formula>-0.2</formula>
    </cfRule>
    <cfRule type="cellIs" dxfId="366" priority="4" operator="greaterThan">
      <formula>0.2</formula>
    </cfRule>
  </conditionalFormatting>
  <conditionalFormatting sqref="N1">
    <cfRule type="cellIs" dxfId="365" priority="1" operator="lessThan">
      <formula>-0.2</formula>
    </cfRule>
    <cfRule type="cellIs" dxfId="36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2.5703125" style="59" bestFit="1" customWidth="1"/>
    <col min="7" max="7" width="15.5703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60" t="s">
        <v>500</v>
      </c>
      <c r="M1" s="81"/>
      <c r="N1" s="138">
        <f>SQRT(AVERAGE(c_14[x2]))/AVERAGE(c_14[count])</f>
        <v>7.5621456607064985E-2</v>
      </c>
      <c r="O1" s="136">
        <f>LINEST(c_14[flow],c_14[count],FALSE)</f>
        <v>0.92437854339293501</v>
      </c>
      <c r="P1" s="136" t="e">
        <f>RSQ(c_14[flow],c_14[count])</f>
        <v>#DIV/0!</v>
      </c>
      <c r="Q1" s="43">
        <f>IFERROR(AVERAGEIF(c_14[gap],"&gt;=0",c_14[gap]),0)</f>
        <v>0</v>
      </c>
      <c r="R1" s="44">
        <f>IFERROR(AVERAGEIF(c_14[gap],"&lt;0",c_14[gap]),0)</f>
        <v>-7.5621456607064985E-2</v>
      </c>
      <c r="S1" s="14">
        <f>AVERAGE(c_14[gap])</f>
        <v>-7.5621456607064985E-2</v>
      </c>
      <c r="T1" s="42">
        <f>COUNTIFS(c_14[gap],"&lt;10%",c_14[gap],"&gt;=-10%")/COUNTA(c_14[gap])</f>
        <v>1</v>
      </c>
      <c r="U1" s="42">
        <f>COUNTIFS(c_14[gap],"&lt;20%",c_14[gap],"&gt;=-20%")/COUNTA(c_14[gap])</f>
        <v>1</v>
      </c>
      <c r="V1" s="42">
        <f>COUNTIFS(c_14[gap],"&lt;30%",c_14[gap],"&gt;=-30%")/COUNTA(c_14[gap])</f>
        <v>1</v>
      </c>
      <c r="W1" s="43">
        <f>COUNTIF(c_14[gap],"&gt;=0")/COUNTA(c_14[gap])</f>
        <v>0</v>
      </c>
      <c r="X1" s="45">
        <f>COUNTIF(c_14[gap],"&lt;0")/COUNTA(c_14[gap])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AvgGap(-)=-8%</v>
      </c>
      <c r="AC1" s="59" t="str">
        <f>"AvgGap(±)="&amp;TEXT(S1,"0%")</f>
        <v>AvgGap(±)=-8%</v>
      </c>
      <c r="AD1" s="59" t="str">
        <f>"GapIn(±10%)="&amp;TEXT(T1,"0%")</f>
        <v>GapIn(±10%)=100%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Slope=.924</v>
      </c>
      <c r="AH1" s="59" t="str">
        <f>"RMSE="&amp;TEXT(N1,"0%")</f>
        <v>RMSE=8%</v>
      </c>
      <c r="AI1" s="59" t="str">
        <f>CONCATENATE(Y1," ",Z1," ",AA1,"  ",AB1,"  ",AC1,"  ",AD1," ",AE1,"  ",AF1,"  ",AG1," ",AH1)</f>
        <v>%Link(+)=0% %Link(-)=100% AvgGap(+)=0%  AvgGap(-)=-8%  AvgGap(±)=-8%  GapIn(±10%)=100% GapIn(±20%)=100%  GapIn(±30%)=100%  Linear Slope=.924 RMSE=8%</v>
      </c>
    </row>
    <row r="2" spans="1:35" ht="15" customHeight="1" x14ac:dyDescent="0.2">
      <c r="A2" s="59">
        <v>14</v>
      </c>
      <c r="B2" s="59" t="s">
        <v>337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338</v>
      </c>
      <c r="H2" s="68">
        <v>11465</v>
      </c>
      <c r="I2" s="94">
        <f>VLOOKUP(c_14[[#This Row],[hwycov_id]],flow0[],5,FALSE)</f>
        <v>10598</v>
      </c>
      <c r="J2" s="60">
        <f>I2/H2-1</f>
        <v>-7.5621456607064985E-2</v>
      </c>
      <c r="K2" s="81">
        <f>POWER((I2-H2),2)</f>
        <v>751689</v>
      </c>
      <c r="L2" s="61" t="e">
        <f>VLOOKUP(c_12[[#This Row],[hwycov_id]],count!$A$630:$E$652,5,FALSE)</f>
        <v>#N/A</v>
      </c>
      <c r="M2" s="81"/>
    </row>
    <row r="3" spans="1:35" ht="15" customHeight="1" x14ac:dyDescent="0.2">
      <c r="C3" s="65"/>
      <c r="E3" s="70"/>
      <c r="F3" s="65"/>
      <c r="G3" s="65"/>
      <c r="H3" s="68"/>
      <c r="I3" s="94"/>
      <c r="K3" s="81"/>
      <c r="L3" s="81"/>
      <c r="M3" s="81"/>
    </row>
    <row r="4" spans="1:35" ht="15" customHeight="1" x14ac:dyDescent="0.2">
      <c r="C4" s="65"/>
      <c r="E4" s="70"/>
      <c r="F4" s="65"/>
      <c r="G4" s="65"/>
      <c r="H4" s="68"/>
      <c r="I4" s="94"/>
      <c r="K4" s="81"/>
      <c r="L4" s="81"/>
      <c r="M4" s="81"/>
    </row>
    <row r="5" spans="1:35" ht="15" customHeight="1" x14ac:dyDescent="0.2">
      <c r="C5" s="65"/>
      <c r="E5" s="70"/>
      <c r="F5" s="65"/>
      <c r="G5" s="65"/>
      <c r="H5" s="68"/>
      <c r="I5" s="94"/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D8" s="61"/>
      <c r="K8" s="81"/>
      <c r="L8" s="81"/>
      <c r="M8" s="81"/>
    </row>
    <row r="9" spans="1:35" ht="15" customHeight="1" x14ac:dyDescent="0.2">
      <c r="D9" s="61"/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59"/>
      <c r="L17" s="81"/>
      <c r="M17" s="81"/>
    </row>
    <row r="18" spans="11:13" ht="15" customHeight="1" x14ac:dyDescent="0.2">
      <c r="K18" s="59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5">
    <cfRule type="cellIs" dxfId="349" priority="9" operator="lessThan">
      <formula>-0.2</formula>
    </cfRule>
    <cfRule type="cellIs" dxfId="348" priority="10" operator="greaterThan">
      <formula>0.2</formula>
    </cfRule>
  </conditionalFormatting>
  <conditionalFormatting sqref="J19:J1048576">
    <cfRule type="cellIs" dxfId="347" priority="5" operator="lessThan">
      <formula>-0.2</formula>
    </cfRule>
    <cfRule type="cellIs" dxfId="346" priority="6" operator="greaterThan">
      <formula>0.2</formula>
    </cfRule>
  </conditionalFormatting>
  <conditionalFormatting sqref="J2:J12 J14:J18">
    <cfRule type="cellIs" dxfId="345" priority="3" operator="lessThan">
      <formula>-0.2</formula>
    </cfRule>
    <cfRule type="cellIs" dxfId="34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customHeight="1" x14ac:dyDescent="0.2"/>
  <cols>
    <col min="1" max="1" width="9.140625" style="59"/>
    <col min="2" max="2" width="15.42578125" style="59" bestFit="1" customWidth="1"/>
    <col min="3" max="3" width="11.5703125" style="59" customWidth="1"/>
    <col min="4" max="4" width="10" style="61" bestFit="1" customWidth="1"/>
    <col min="5" max="5" width="8.42578125" style="69" hidden="1" customWidth="1"/>
    <col min="6" max="6" width="21" style="59" bestFit="1" customWidth="1"/>
    <col min="7" max="7" width="20.42578125" style="59" bestFit="1" customWidth="1"/>
    <col min="8" max="8" width="9.140625" style="61"/>
    <col min="9" max="9" width="10" style="89" customWidth="1"/>
    <col min="10" max="10" width="8.42578125" style="60" customWidth="1"/>
    <col min="11" max="12" width="10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SQRT(AVERAGE(c_30[x2]))/AVERAGE(c_30[count])</f>
        <v>0.59246319483984011</v>
      </c>
      <c r="O1" s="123">
        <f>LINEST(c_30[flow],c_30[count],FALSE)</f>
        <v>0.51145137524252249</v>
      </c>
      <c r="P1" s="91">
        <f>RSQ(c_30[flow],c_30[count])</f>
        <v>0.29381732055409543</v>
      </c>
      <c r="Q1" s="124">
        <f>IFERROR(AVERAGEIF(c_30[gap],"&gt;=0",c_30[gap]),0)</f>
        <v>0</v>
      </c>
      <c r="R1" s="125">
        <f>IFERROR(AVERAGEIF(c_30[gap],"&lt;0",c_30[gap]),0)</f>
        <v>-0.35026657089615687</v>
      </c>
      <c r="S1" s="126">
        <f>AVERAGE(c_30[gap])</f>
        <v>-0.35026657089615687</v>
      </c>
      <c r="T1" s="127">
        <f>COUNTIFS(c_30[gap],"&lt;10%",c_30[gap],"&gt;=-10%")/COUNTA(c_30[gap])</f>
        <v>0</v>
      </c>
      <c r="U1" s="127">
        <f>COUNTIFS(c_30[gap],"&lt;20%",c_30[gap],"&gt;=-20%")/COUNTA(c_30[gap])</f>
        <v>0.3</v>
      </c>
      <c r="V1" s="127">
        <f>COUNTIFS(c_30[gap],"&lt;30%",c_30[gap],"&gt;=-30%")/COUNTA(c_30[gap])</f>
        <v>0.4</v>
      </c>
      <c r="W1" s="124">
        <f>COUNTIF(c_30[gap],"&gt;=0")/COUNTA(c_30[gap])</f>
        <v>0</v>
      </c>
      <c r="X1" s="128">
        <f>COUNTIF(c_30[gap],"&lt;0")/COUNTA(c_30[gap])</f>
        <v>1</v>
      </c>
      <c r="Y1" s="90" t="str">
        <f>"%Link(+)="&amp;TEXT(W1,"0%")</f>
        <v>%Link(+)=0%</v>
      </c>
      <c r="Z1" s="90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AvgGap(-)=-35%</v>
      </c>
      <c r="AC1" s="59" t="str">
        <f>"AvgGap(±)="&amp;TEXT(S1,"0%")</f>
        <v>AvgGap(±)=-35%</v>
      </c>
      <c r="AD1" s="59" t="str">
        <f>"GapIn(±10%)="&amp;TEXT(T1,"0%")</f>
        <v>GapIn(±10%)=0%</v>
      </c>
      <c r="AE1" s="59" t="str">
        <f>"GapIn(±20%)="&amp;TEXT(U1,"0%")</f>
        <v>GapIn(±20%)=30%</v>
      </c>
      <c r="AF1" s="59" t="str">
        <f>"GapIn(±30%)="&amp;TEXT(V1,"0%")</f>
        <v>GapIn(±30%)=40%</v>
      </c>
      <c r="AG1" s="59" t="str">
        <f>"Linear Slope="&amp;TEXT(O1,"#.###")</f>
        <v>Linear Slope=.511</v>
      </c>
      <c r="AH1" s="59" t="str">
        <f>"RMSE="&amp;TEXT(N1,"0%")</f>
        <v>RMSE=59%</v>
      </c>
      <c r="AI1" s="59" t="str">
        <f>CONCATENATE(Y1," ",Z1," ",AA1,"  ",AB1,"  ",AC1,"  ",AD1," ",AE1,"  ",AF1,"  ",AG1," ",AH1)</f>
        <v>%Link(+)=0% %Link(-)=100% AvgGap(+)=0%  AvgGap(-)=-35%  AvgGap(±)=-35%  GapIn(±10%)=0% GapIn(±20%)=30%  GapIn(±30%)=40%  Linear Slope=.511 RMSE=59%</v>
      </c>
    </row>
    <row r="2" spans="1:35" ht="15" customHeight="1" x14ac:dyDescent="0.2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3117</v>
      </c>
      <c r="I2" s="94">
        <f>VLOOKUP(c_30[[#This Row],[hwycov_id]],flow0[],5,FALSE)</f>
        <v>2504</v>
      </c>
      <c r="J2" s="60">
        <f>I2/H2-1</f>
        <v>-0.1966634584536413</v>
      </c>
      <c r="K2" s="81">
        <f t="shared" ref="K2:K11" si="0">POWER((I2-H2),2)</f>
        <v>375769</v>
      </c>
      <c r="L2" s="61" t="e">
        <f>VLOOKUP(c_30[[#This Row],[hwycov_id]],count!$A$630:$E$652,5,FALSE)</f>
        <v>#N/A</v>
      </c>
      <c r="M2" s="81"/>
    </row>
    <row r="3" spans="1:35" ht="15" customHeight="1" x14ac:dyDescent="0.2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4028</v>
      </c>
      <c r="I3" s="94">
        <f>VLOOKUP(c_30[[#This Row],[hwycov_id]],flow0[],5,FALSE)</f>
        <v>2358</v>
      </c>
      <c r="J3" s="60">
        <f t="shared" ref="J3:J11" si="1">I3/H3-1</f>
        <v>-0.41459781529294937</v>
      </c>
      <c r="K3" s="81">
        <f t="shared" si="0"/>
        <v>2788900</v>
      </c>
      <c r="L3" s="61" t="e">
        <f>VLOOKUP(c_30[[#This Row],[hwycov_id]],count!$A$630:$E$652,5,FALSE)</f>
        <v>#N/A</v>
      </c>
      <c r="M3" s="81"/>
    </row>
    <row r="4" spans="1:35" ht="15" customHeight="1" x14ac:dyDescent="0.2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3426</v>
      </c>
      <c r="I4" s="94">
        <f>VLOOKUP(c_30[[#This Row],[hwycov_id]],flow0[],5,FALSE)</f>
        <v>2019</v>
      </c>
      <c r="J4" s="60">
        <f t="shared" si="1"/>
        <v>-0.41068301225919435</v>
      </c>
      <c r="K4" s="81">
        <f t="shared" si="0"/>
        <v>1979649</v>
      </c>
      <c r="L4" s="61" t="e">
        <f>VLOOKUP(c_30[[#This Row],[hwycov_id]],count!$A$630:$E$652,5,FALSE)</f>
        <v>#N/A</v>
      </c>
      <c r="M4" s="81"/>
    </row>
    <row r="5" spans="1:35" ht="15" customHeight="1" x14ac:dyDescent="0.2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4267</v>
      </c>
      <c r="I5" s="94">
        <f>VLOOKUP(c_30[[#This Row],[hwycov_id]],flow0[],5,FALSE)</f>
        <v>3721</v>
      </c>
      <c r="J5" s="60">
        <f t="shared" si="1"/>
        <v>-0.12795875322240446</v>
      </c>
      <c r="K5" s="81">
        <f t="shared" si="0"/>
        <v>298116</v>
      </c>
      <c r="L5" s="61" t="e">
        <f>VLOOKUP(c_30[[#This Row],[hwycov_id]],count!$A$630:$E$652,5,FALSE)</f>
        <v>#N/A</v>
      </c>
      <c r="M5" s="81"/>
    </row>
    <row r="6" spans="1:35" ht="15" customHeight="1" x14ac:dyDescent="0.2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3786</v>
      </c>
      <c r="I6" s="94">
        <f>VLOOKUP(c_30[[#This Row],[hwycov_id]],flow0[],5,FALSE)</f>
        <v>2687</v>
      </c>
      <c r="J6" s="60">
        <f t="shared" si="1"/>
        <v>-0.29027997886951928</v>
      </c>
      <c r="K6" s="81">
        <f t="shared" si="0"/>
        <v>1207801</v>
      </c>
      <c r="L6" s="61" t="e">
        <f>VLOOKUP(c_30[[#This Row],[hwycov_id]],count!$A$630:$E$652,5,FALSE)</f>
        <v>#N/A</v>
      </c>
      <c r="M6" s="81"/>
    </row>
    <row r="7" spans="1:35" ht="15" customHeight="1" x14ac:dyDescent="0.2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4503</v>
      </c>
      <c r="I7" s="94">
        <f>VLOOKUP(c_30[[#This Row],[hwycov_id]],flow0[],5,FALSE)</f>
        <v>2869</v>
      </c>
      <c r="J7" s="60">
        <f t="shared" si="1"/>
        <v>-0.3628691983122363</v>
      </c>
      <c r="K7" s="81">
        <f t="shared" si="0"/>
        <v>2669956</v>
      </c>
      <c r="L7" s="61" t="e">
        <f>VLOOKUP(c_30[[#This Row],[hwycov_id]],count!$A$630:$E$652,5,FALSE)</f>
        <v>#N/A</v>
      </c>
      <c r="M7" s="81"/>
    </row>
    <row r="8" spans="1:35" ht="15" customHeight="1" x14ac:dyDescent="0.2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8794</v>
      </c>
      <c r="I8" s="94">
        <f>VLOOKUP(c_30[[#This Row],[hwycov_id]],flow0[],5,FALSE)</f>
        <v>4674</v>
      </c>
      <c r="J8" s="60">
        <f t="shared" si="1"/>
        <v>-0.46850125085285421</v>
      </c>
      <c r="K8" s="81">
        <f t="shared" si="0"/>
        <v>16974400</v>
      </c>
      <c r="L8" s="61" t="e">
        <f>VLOOKUP(c_30[[#This Row],[hwycov_id]],count!$A$630:$E$652,5,FALSE)</f>
        <v>#N/A</v>
      </c>
      <c r="M8" s="81"/>
    </row>
    <row r="9" spans="1:35" ht="15" customHeight="1" x14ac:dyDescent="0.2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6103</v>
      </c>
      <c r="I9" s="94">
        <f>VLOOKUP(c_30[[#This Row],[hwycov_id]],flow0[],5,FALSE)</f>
        <v>4012</v>
      </c>
      <c r="J9" s="60">
        <f t="shared" si="1"/>
        <v>-0.34261838440111425</v>
      </c>
      <c r="K9" s="81">
        <f t="shared" si="0"/>
        <v>4372281</v>
      </c>
      <c r="L9" s="61" t="e">
        <f>VLOOKUP(c_30[[#This Row],[hwycov_id]],count!$A$630:$E$652,5,FALSE)</f>
        <v>#N/A</v>
      </c>
      <c r="M9" s="81"/>
    </row>
    <row r="10" spans="1:35" ht="15" customHeight="1" x14ac:dyDescent="0.2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6298</v>
      </c>
      <c r="I10" s="94">
        <f>VLOOKUP(c_30[[#This Row],[hwycov_id]],flow0[],5,FALSE)</f>
        <v>5212</v>
      </c>
      <c r="J10" s="60">
        <f t="shared" si="1"/>
        <v>-0.17243569387107016</v>
      </c>
      <c r="K10" s="81">
        <f t="shared" si="0"/>
        <v>1179396</v>
      </c>
      <c r="L10" s="61" t="e">
        <f>VLOOKUP(c_30[[#This Row],[hwycov_id]],count!$A$630:$E$652,5,FALSE)</f>
        <v>#N/A</v>
      </c>
      <c r="M10" s="81"/>
    </row>
    <row r="11" spans="1:35" ht="15" customHeight="1" x14ac:dyDescent="0.2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12654</v>
      </c>
      <c r="I11" s="94">
        <f>VLOOKUP(c_30[[#This Row],[hwycov_id]],flow0[],5,FALSE)</f>
        <v>3593</v>
      </c>
      <c r="J11" s="60">
        <f t="shared" si="1"/>
        <v>-0.71605816342658446</v>
      </c>
      <c r="K11" s="81">
        <f t="shared" si="0"/>
        <v>82101721</v>
      </c>
      <c r="L11" s="61" t="e">
        <f>VLOOKUP(c_30[[#This Row],[hwycov_id]],count!$A$630:$E$652,5,FALSE)</f>
        <v>#N/A</v>
      </c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329" priority="7" operator="lessThan">
      <formula>-0.2</formula>
    </cfRule>
    <cfRule type="cellIs" dxfId="328" priority="8" operator="greaterThan">
      <formula>0.2</formula>
    </cfRule>
  </conditionalFormatting>
  <conditionalFormatting sqref="J19:J1048576">
    <cfRule type="cellIs" dxfId="327" priority="5" operator="lessThan">
      <formula>-0.2</formula>
    </cfRule>
    <cfRule type="cellIs" dxfId="326" priority="6" operator="greaterThan">
      <formula>0.2</formula>
    </cfRule>
  </conditionalFormatting>
  <conditionalFormatting sqref="J2:J12 J14:J18">
    <cfRule type="cellIs" dxfId="325" priority="3" operator="lessThan">
      <formula>-0.2</formula>
    </cfRule>
    <cfRule type="cellIs" dxfId="32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5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J40" sqref="J40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6.8554687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SQRT(AVERAGE(c_32[x2]))/AVERAGE(c_32[count])</f>
        <v>0.90312876052948254</v>
      </c>
      <c r="O1" s="123">
        <f>LINEST(c_32[flow],c_32[count],FALSE)</f>
        <v>1.9031287605294827</v>
      </c>
      <c r="P1" s="91" t="e">
        <f>RSQ(c_32[flow],c_32[count])</f>
        <v>#DIV/0!</v>
      </c>
      <c r="Q1" s="124">
        <f>IFERROR(AVERAGEIF(c_32[gap],"&gt;=0",c_32[gap]),0)</f>
        <v>0.90312876052948265</v>
      </c>
      <c r="R1" s="125">
        <f>IFERROR(AVERAGEIF(c_32[gap],"&lt;0",c_32[gap]),0)</f>
        <v>0</v>
      </c>
      <c r="S1" s="126">
        <f>AVERAGE(c_32[gap])</f>
        <v>0.90312876052948265</v>
      </c>
      <c r="T1" s="127">
        <f>COUNTIFS(c_32[gap],"&lt;10%",c_32[gap],"&gt;=-10%")/COUNTA(c_32[gap])</f>
        <v>0</v>
      </c>
      <c r="U1" s="127">
        <f>COUNTIFS(c_32[gap],"&lt;20%",c_32[gap],"&gt;=-20%")/COUNTA(c_32[gap])</f>
        <v>0</v>
      </c>
      <c r="V1" s="127">
        <f>COUNTIFS(c_32[gap],"&lt;30%",c_32[gap],"&gt;=-30%")/COUNTA(c_32[gap])</f>
        <v>0</v>
      </c>
      <c r="W1" s="124">
        <f>COUNTIF(c_32[gap],"&gt;=0")/COUNTA(c_32[gap])</f>
        <v>1</v>
      </c>
      <c r="X1" s="128">
        <f>COUNTIF(c_32[gap],"&lt;0")/COUNTA(c_32[gap])</f>
        <v>0</v>
      </c>
      <c r="Y1" s="90" t="str">
        <f>"%Link(+)="&amp;TEXT(W1,"0%")</f>
        <v>%Link(+)=100%</v>
      </c>
      <c r="Z1" s="90" t="str">
        <f>"%Link(-)="&amp;TEXT(X1,"0%")</f>
        <v>%Link(-)=0%</v>
      </c>
      <c r="AA1" s="73" t="str">
        <f>"AvgGap(+)="&amp;TEXT(Q1,"0%")</f>
        <v>AvgGap(+)=90%</v>
      </c>
      <c r="AB1" s="59" t="str">
        <f>"AvgGap(-)="&amp;TEXT(R1,"0%")</f>
        <v>AvgGap(-)=0%</v>
      </c>
      <c r="AC1" s="59" t="str">
        <f>"AvgGap(±)="&amp;TEXT(S1,"0%")</f>
        <v>AvgGap(±)=90%</v>
      </c>
      <c r="AD1" s="59" t="str">
        <f>"GapIn(±10%)="&amp;TEXT(T1,"0%")</f>
        <v>GapIn(±10%)=0%</v>
      </c>
      <c r="AE1" s="59" t="str">
        <f>"GapIn(±20%)="&amp;TEXT(U1,"0%")</f>
        <v>GapIn(±20%)=0%</v>
      </c>
      <c r="AF1" s="59" t="str">
        <f>"GapIn(±30%)="&amp;TEXT(V1,"0%")</f>
        <v>GapIn(±30%)=0%</v>
      </c>
      <c r="AG1" s="59" t="str">
        <f>"Linear Slope="&amp;TEXT(O1,"#.###")</f>
        <v>Linear Slope=1.903</v>
      </c>
      <c r="AH1" s="59" t="str">
        <f>"RMSE="&amp;TEXT(N1,"0%")</f>
        <v>RMSE=90%</v>
      </c>
      <c r="AI1" s="59" t="str">
        <f>CONCATENATE(Y1," ",Z1," ",AA1,"  ",AB1,"  ",AC1,"  ",AD1," ",AE1,"  ",AF1,"  ",AG1," ",AH1)</f>
        <v>%Link(+)=100% %Link(-)=0% AvgGap(+)=90%  AvgGap(-)=0%  AvgGap(±)=90%  GapIn(±10%)=0% GapIn(±20%)=0%  GapIn(±30%)=0%  Linear Slope=1.903 RMSE=90%</v>
      </c>
    </row>
    <row r="2" spans="1:35" ht="15" customHeight="1" x14ac:dyDescent="0.2">
      <c r="A2" s="59">
        <v>32</v>
      </c>
      <c r="B2" s="59" t="s">
        <v>398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1662</v>
      </c>
      <c r="I2" s="94">
        <f>VLOOKUP(c_32[[#This Row],[hwycov_id]],flow0[],5,FALSE)</f>
        <v>3163</v>
      </c>
      <c r="J2" s="60">
        <f>I2/H2-1</f>
        <v>0.90312876052948265</v>
      </c>
      <c r="K2" s="81">
        <f>POWER((I2-H2),2)</f>
        <v>2253001</v>
      </c>
      <c r="L2" s="61" t="e">
        <f>VLOOKUP(c_32[[#This Row],[hwycov_id]],count!$A$630:$E$652,5,FALSE)</f>
        <v>#N/A</v>
      </c>
      <c r="M2" s="81"/>
    </row>
    <row r="3" spans="1:35" s="421" customFormat="1" ht="15" hidden="1" customHeight="1" x14ac:dyDescent="0.2">
      <c r="A3" s="421">
        <v>32</v>
      </c>
      <c r="B3" s="421" t="s">
        <v>398</v>
      </c>
      <c r="C3" s="422">
        <v>29577</v>
      </c>
      <c r="D3" s="427">
        <v>3.71</v>
      </c>
      <c r="E3" s="424">
        <v>0.62116199999999999</v>
      </c>
      <c r="F3" s="422" t="s">
        <v>92</v>
      </c>
      <c r="G3" s="422" t="s">
        <v>92</v>
      </c>
      <c r="H3" s="425">
        <v>2213</v>
      </c>
      <c r="I3" s="425" t="e">
        <f>VLOOKUP(c_32[[#This Row],[hwycov_id]],flow0[],5,FALSE)</f>
        <v>#VALUE!</v>
      </c>
      <c r="J3" s="426" t="e">
        <f>I3/H3-1</f>
        <v>#VALUE!</v>
      </c>
      <c r="K3" s="427" t="e">
        <f>POWER((I3-H3),2)</f>
        <v>#VALUE!</v>
      </c>
      <c r="L3" s="427" t="e">
        <f>VLOOKUP(c_32[[#This Row],[hwycov_id]],count!$A$630:$E$652,5,FALSE)</f>
        <v>#VALUE!</v>
      </c>
      <c r="M3" s="427"/>
      <c r="N3" s="426"/>
    </row>
    <row r="4" spans="1:35" s="421" customFormat="1" ht="15" hidden="1" customHeight="1" x14ac:dyDescent="0.2">
      <c r="A4" s="421">
        <v>32</v>
      </c>
      <c r="B4" s="421" t="s">
        <v>398</v>
      </c>
      <c r="C4" s="422">
        <v>29573</v>
      </c>
      <c r="D4" s="427">
        <v>4.3099999999999996</v>
      </c>
      <c r="E4" s="424">
        <v>0.60030899999999998</v>
      </c>
      <c r="F4" s="422" t="s">
        <v>90</v>
      </c>
      <c r="G4" s="422" t="s">
        <v>90</v>
      </c>
      <c r="H4" s="425">
        <v>2559</v>
      </c>
      <c r="I4" s="425" t="e">
        <f>VLOOKUP(c_32[[#This Row],[hwycov_id]],flow0[],5,FALSE)</f>
        <v>#VALUE!</v>
      </c>
      <c r="J4" s="426" t="e">
        <f>I4/H4-1</f>
        <v>#VALUE!</v>
      </c>
      <c r="K4" s="427" t="e">
        <f>POWER((I4-H4),2)</f>
        <v>#VALUE!</v>
      </c>
      <c r="L4" s="427" t="e">
        <f>VLOOKUP(c_32[[#This Row],[hwycov_id]],count!$A$630:$E$652,5,FALSE)</f>
        <v>#VALUE!</v>
      </c>
      <c r="M4" s="427"/>
      <c r="N4" s="426"/>
    </row>
    <row r="5" spans="1:35" ht="15" customHeight="1" x14ac:dyDescent="0.2">
      <c r="K5" s="81"/>
      <c r="L5" s="81"/>
      <c r="M5" s="81"/>
    </row>
    <row r="6" spans="1:35" ht="15" customHeight="1" x14ac:dyDescent="0.2">
      <c r="K6" s="81"/>
      <c r="L6" s="81"/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  <c r="M74" s="81"/>
    </row>
    <row r="75" spans="11:13" ht="15" customHeight="1" x14ac:dyDescent="0.2">
      <c r="K75" s="81"/>
      <c r="L75" s="81"/>
      <c r="M75" s="81"/>
    </row>
    <row r="76" spans="11:13" ht="15" customHeight="1" x14ac:dyDescent="0.2">
      <c r="K76" s="81"/>
      <c r="L76" s="81"/>
      <c r="M76" s="81"/>
    </row>
    <row r="77" spans="11:13" ht="15" customHeight="1" x14ac:dyDescent="0.2">
      <c r="K77" s="81"/>
      <c r="L77" s="81"/>
      <c r="M77" s="81"/>
    </row>
  </sheetData>
  <conditionalFormatting sqref="N2:N1048576">
    <cfRule type="cellIs" dxfId="309" priority="8" operator="lessThan">
      <formula>-0.3</formula>
    </cfRule>
    <cfRule type="cellIs" dxfId="308" priority="9" operator="greaterThan">
      <formula>0.3</formula>
    </cfRule>
  </conditionalFormatting>
  <conditionalFormatting sqref="J19:J1048576">
    <cfRule type="cellIs" dxfId="307" priority="5" operator="lessThan">
      <formula>-0.2</formula>
    </cfRule>
    <cfRule type="cellIs" dxfId="306" priority="6" operator="greaterThan">
      <formula>0.2</formula>
    </cfRule>
  </conditionalFormatting>
  <conditionalFormatting sqref="J2:J12 J14:J18">
    <cfRule type="cellIs" dxfId="305" priority="3" operator="lessThan">
      <formula>-0.2</formula>
    </cfRule>
    <cfRule type="cellIs" dxfId="30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H23" sqref="H23"/>
      <selection pane="bottomLeft" activeCell="K1" sqref="K1:L1048576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61" bestFit="1" customWidth="1"/>
    <col min="5" max="5" width="8.85546875" style="69" hidden="1" customWidth="1"/>
    <col min="6" max="7" width="19.85546875" style="59" bestFit="1" customWidth="1"/>
    <col min="8" max="8" width="7.85546875" style="61" bestFit="1" customWidth="1"/>
    <col min="9" max="9" width="7.140625" style="61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441" t="s">
        <v>500</v>
      </c>
      <c r="M1" s="81"/>
      <c r="N1" s="72">
        <f>SQRT(AVERAGE(c_15[x2]))/AVERAGE(c_15[count])</f>
        <v>8.8663355611034861E-2</v>
      </c>
      <c r="O1" s="136">
        <f>LINEST(c_15[flow],c_15[count],FALSE)</f>
        <v>0.98436753712730629</v>
      </c>
      <c r="P1" s="136">
        <f>RSQ(c_15[flow],c_15[count])</f>
        <v>0.9688430178891968</v>
      </c>
      <c r="Q1" s="43">
        <f>IFERROR(AVERAGEIF(c_15[gap],"&gt;=0",c_15[gap]),0)</f>
        <v>6.1567155685797806E-2</v>
      </c>
      <c r="R1" s="44">
        <f>IFERROR(AVERAGEIF(c_15[gap],"&lt;0",c_15[gap]),0)</f>
        <v>-0.12443463504442841</v>
      </c>
      <c r="S1" s="14">
        <f>AVERAGE(c_15[gap])</f>
        <v>-6.6862652199358399E-2</v>
      </c>
      <c r="T1" s="42">
        <f>COUNTIFS(c_15[gap],"&lt;10%",c_15[gap],"&gt;=-10%")/COUNTA(c_15[gap])</f>
        <v>0.6428571428571429</v>
      </c>
      <c r="U1" s="42">
        <f>COUNTIFS(c_15[gap],"&lt;20%",c_15[gap],"&gt;=-20%")/COUNTA(c_15[gap])</f>
        <v>0.9285714285714286</v>
      </c>
      <c r="V1" s="42">
        <f>COUNTIFS(c_15[gap],"&lt;30%",c_15[gap],"&gt;=-30%")/COUNTA(c_15[gap])</f>
        <v>0.9285714285714286</v>
      </c>
      <c r="W1" s="43">
        <f>COUNTIF(c_15[gap],"&gt;=0")/COUNTA(c_15[gap])</f>
        <v>0.30952380952380953</v>
      </c>
      <c r="X1" s="45">
        <f>COUNTIF(c_15[gap],"&lt;0")/COUNTA(c_15[gap])</f>
        <v>0.69047619047619047</v>
      </c>
      <c r="Y1" s="76" t="str">
        <f>"%Link(+)="&amp;TEXT(W1,"0%")</f>
        <v>%Link(+)=31%</v>
      </c>
      <c r="Z1" s="76" t="str">
        <f>"%Link(-)="&amp;TEXT(X1,"0%")</f>
        <v>%Link(-)=69%</v>
      </c>
      <c r="AA1" s="73" t="str">
        <f>"AvgGap(+)="&amp;TEXT(Q1,"0%")</f>
        <v>AvgGap(+)=6%</v>
      </c>
      <c r="AB1" s="59" t="str">
        <f>"AvgGap(-)="&amp;TEXT(R1,"0%")</f>
        <v>AvgGap(-)=-12%</v>
      </c>
      <c r="AC1" s="59" t="str">
        <f>"AvgGap(±)="&amp;TEXT(S1,"0%")</f>
        <v>AvgGap(±)=-7%</v>
      </c>
      <c r="AD1" s="59" t="str">
        <f>"GapIn(±10%)="&amp;TEXT(T1,"0%")</f>
        <v>GapIn(±10%)=64%</v>
      </c>
      <c r="AE1" s="59" t="str">
        <f>"GapIn(±20%)="&amp;TEXT(U1,"0%")</f>
        <v>GapIn(±20%)=93%</v>
      </c>
      <c r="AF1" s="59" t="str">
        <f>"GapIn(±30%)="&amp;TEXT(V1,"0%")</f>
        <v>GapIn(±30%)=93%</v>
      </c>
      <c r="AG1" s="59" t="str">
        <f>"Linear Slope="&amp;TEXT(O1,"#.###")</f>
        <v>Linear Slope=.984</v>
      </c>
      <c r="AH1" s="59" t="str">
        <f>"RMSE="&amp;TEXT(N1,"0%")</f>
        <v>RMSE=9%</v>
      </c>
      <c r="AI1" s="59" t="str">
        <f>CONCATENATE(Y1," ",Z1," ",AA1,"  ",AB1,"  ",AC1,"  ",AD1," ",AE1,"  ",AF1,"  ",AG1," ",AH1)</f>
        <v>%Link(+)=31% %Link(-)=69% AvgGap(+)=6%  AvgGap(-)=-12%  AvgGap(±)=-7%  GapIn(±10%)=64% GapIn(±20%)=93%  GapIn(±30%)=93%  Linear Slope=.984 RMSE=9%</v>
      </c>
    </row>
    <row r="2" spans="1:35" ht="15" customHeight="1" x14ac:dyDescent="0.2">
      <c r="A2" s="96">
        <v>15</v>
      </c>
      <c r="B2" s="96" t="s">
        <v>339</v>
      </c>
      <c r="C2" s="99">
        <v>27540</v>
      </c>
      <c r="D2" s="89">
        <v>11.59</v>
      </c>
      <c r="E2" s="100">
        <v>7.598293</v>
      </c>
      <c r="F2" s="99" t="s">
        <v>340</v>
      </c>
      <c r="G2" s="99" t="s">
        <v>341</v>
      </c>
      <c r="H2" s="94">
        <v>1614</v>
      </c>
      <c r="I2" s="94">
        <f>VLOOKUP(c_15[[#This Row],[hwycov_id]],flow0[],5,FALSE)</f>
        <v>688</v>
      </c>
      <c r="J2" s="60">
        <f>I2/H2-1</f>
        <v>-0.57372986369268897</v>
      </c>
      <c r="K2" s="81">
        <f t="shared" ref="K2:K28" si="0">POWER((I2-H2),2)</f>
        <v>857476</v>
      </c>
      <c r="L2" s="89" t="e">
        <f>VLOOKUP(c_15[[#This Row],[hwycov_id]],count!$A$630:$E$652,5,FALSE)</f>
        <v>#N/A</v>
      </c>
      <c r="M2" s="81"/>
    </row>
    <row r="3" spans="1:35" ht="15" customHeight="1" x14ac:dyDescent="0.2">
      <c r="A3" s="96">
        <v>15</v>
      </c>
      <c r="B3" s="96" t="s">
        <v>339</v>
      </c>
      <c r="C3" s="99">
        <v>28270</v>
      </c>
      <c r="D3" s="89">
        <v>26.32</v>
      </c>
      <c r="E3" s="100">
        <v>2.591011</v>
      </c>
      <c r="F3" s="99" t="s">
        <v>342</v>
      </c>
      <c r="G3" s="99" t="s">
        <v>343</v>
      </c>
      <c r="H3" s="94">
        <v>1811</v>
      </c>
      <c r="I3" s="94">
        <f>VLOOKUP(c_15[[#This Row],[hwycov_id]],flow0[],5,FALSE)</f>
        <v>933</v>
      </c>
      <c r="J3" s="60">
        <f t="shared" ref="J3:J28" si="1">I3/H3-1</f>
        <v>-0.48481501932633908</v>
      </c>
      <c r="K3" s="81">
        <f t="shared" si="0"/>
        <v>770884</v>
      </c>
      <c r="L3" s="89" t="e">
        <f>VLOOKUP(c_15[[#This Row],[hwycov_id]],count!$A$630:$E$652,5,FALSE)</f>
        <v>#N/A</v>
      </c>
      <c r="M3" s="81"/>
    </row>
    <row r="4" spans="1:35" ht="15" customHeight="1" x14ac:dyDescent="0.2">
      <c r="A4" s="96">
        <v>15</v>
      </c>
      <c r="B4" s="96" t="s">
        <v>339</v>
      </c>
      <c r="C4" s="99">
        <v>28254</v>
      </c>
      <c r="D4" s="89">
        <v>37.26</v>
      </c>
      <c r="E4" s="100">
        <v>5.0062850000000001</v>
      </c>
      <c r="F4" s="99" t="s">
        <v>344</v>
      </c>
      <c r="G4" s="99" t="s">
        <v>345</v>
      </c>
      <c r="H4" s="94">
        <v>2191</v>
      </c>
      <c r="I4" s="94">
        <f>VLOOKUP(c_15[[#This Row],[hwycov_id]],flow0[],5,FALSE)</f>
        <v>1320</v>
      </c>
      <c r="J4" s="60">
        <f t="shared" si="1"/>
        <v>-0.39753537197626654</v>
      </c>
      <c r="K4" s="81">
        <f t="shared" si="0"/>
        <v>758641</v>
      </c>
      <c r="L4" s="89" t="e">
        <f>VLOOKUP(c_15[[#This Row],[hwycov_id]],count!$A$630:$E$652,5,FALSE)</f>
        <v>#N/A</v>
      </c>
      <c r="M4" s="81"/>
    </row>
    <row r="5" spans="1:35" ht="15" customHeight="1" x14ac:dyDescent="0.2">
      <c r="A5" s="96">
        <v>15</v>
      </c>
      <c r="B5" s="96" t="s">
        <v>339</v>
      </c>
      <c r="C5" s="99">
        <v>28215</v>
      </c>
      <c r="D5" s="89">
        <v>53.33</v>
      </c>
      <c r="E5" s="100">
        <v>3.3773019999999998</v>
      </c>
      <c r="F5" s="99" t="s">
        <v>346</v>
      </c>
      <c r="G5" s="99" t="s">
        <v>174</v>
      </c>
      <c r="H5" s="94">
        <v>5692</v>
      </c>
      <c r="I5" s="94">
        <f>VLOOKUP(c_15[[#This Row],[hwycov_id]],flow0[],5,FALSE)</f>
        <v>5323</v>
      </c>
      <c r="J5" s="60">
        <f t="shared" si="1"/>
        <v>-6.4827828531272003E-2</v>
      </c>
      <c r="K5" s="81">
        <f t="shared" si="0"/>
        <v>136161</v>
      </c>
      <c r="L5" s="89" t="e">
        <f>VLOOKUP(c_15[[#This Row],[hwycov_id]],count!$A$630:$E$652,5,FALSE)</f>
        <v>#N/A</v>
      </c>
      <c r="M5" s="81"/>
    </row>
    <row r="6" spans="1:35" ht="15" customHeight="1" x14ac:dyDescent="0.2">
      <c r="A6" s="96">
        <v>15</v>
      </c>
      <c r="B6" s="96" t="s">
        <v>339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4977</v>
      </c>
      <c r="I6" s="94">
        <f>VLOOKUP(c_15[[#This Row],[hwycov_id]],flow0[],5,FALSE)</f>
        <v>4396</v>
      </c>
      <c r="J6" s="60">
        <f t="shared" si="1"/>
        <v>-0.11673699015471173</v>
      </c>
      <c r="K6" s="81">
        <f t="shared" si="0"/>
        <v>337561</v>
      </c>
      <c r="L6" s="89" t="e">
        <f>VLOOKUP(c_15[[#This Row],[hwycov_id]],count!$A$630:$E$652,5,FALSE)</f>
        <v>#N/A</v>
      </c>
      <c r="M6" s="81"/>
    </row>
    <row r="7" spans="1:35" ht="15" customHeight="1" x14ac:dyDescent="0.2">
      <c r="A7" s="96">
        <v>15</v>
      </c>
      <c r="B7" s="96" t="s">
        <v>339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6666</v>
      </c>
      <c r="I7" s="94">
        <f>VLOOKUP(c_15[[#This Row],[hwycov_id]],flow0[],5,FALSE)</f>
        <v>5684</v>
      </c>
      <c r="J7" s="60">
        <f t="shared" si="1"/>
        <v>-0.14731473147314733</v>
      </c>
      <c r="K7" s="81">
        <f t="shared" si="0"/>
        <v>964324</v>
      </c>
      <c r="L7" s="89" t="e">
        <f>VLOOKUP(c_15[[#This Row],[hwycov_id]],count!$A$630:$E$652,5,FALSE)</f>
        <v>#N/A</v>
      </c>
      <c r="M7" s="81"/>
    </row>
    <row r="8" spans="1:35" ht="15" customHeight="1" x14ac:dyDescent="0.2">
      <c r="A8" s="96">
        <v>15</v>
      </c>
      <c r="B8" s="96" t="s">
        <v>339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8666</v>
      </c>
      <c r="I8" s="94">
        <f>VLOOKUP(c_15[[#This Row],[hwycov_id]],flow0[],5,FALSE)</f>
        <v>7496</v>
      </c>
      <c r="J8" s="60">
        <f t="shared" si="1"/>
        <v>-0.13501038541426269</v>
      </c>
      <c r="K8" s="81">
        <f t="shared" si="0"/>
        <v>1368900</v>
      </c>
      <c r="L8" s="89" t="e">
        <f>VLOOKUP(c_15[[#This Row],[hwycov_id]],count!$A$630:$E$652,5,FALSE)</f>
        <v>#N/A</v>
      </c>
      <c r="M8" s="81"/>
    </row>
    <row r="9" spans="1:35" ht="15" customHeight="1" x14ac:dyDescent="0.2">
      <c r="A9" s="96">
        <v>15</v>
      </c>
      <c r="B9" s="96" t="s">
        <v>339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7643</v>
      </c>
      <c r="I9" s="94">
        <f>VLOOKUP(c_15[[#This Row],[hwycov_id]],flow0[],5,FALSE)</f>
        <v>7211</v>
      </c>
      <c r="J9" s="60">
        <f t="shared" si="1"/>
        <v>-5.6522307994243071E-2</v>
      </c>
      <c r="K9" s="81">
        <f t="shared" si="0"/>
        <v>186624</v>
      </c>
      <c r="L9" s="89" t="e">
        <f>VLOOKUP(c_15[[#This Row],[hwycov_id]],count!$A$630:$E$652,5,FALSE)</f>
        <v>#N/A</v>
      </c>
      <c r="M9" s="81"/>
    </row>
    <row r="10" spans="1:35" ht="15" customHeight="1" x14ac:dyDescent="0.2">
      <c r="A10" s="96">
        <v>15</v>
      </c>
      <c r="B10" s="96" t="s">
        <v>339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9752</v>
      </c>
      <c r="I10" s="94">
        <f>VLOOKUP(c_15[[#This Row],[hwycov_id]],flow0[],5,FALSE)</f>
        <v>9112</v>
      </c>
      <c r="J10" s="60">
        <f t="shared" si="1"/>
        <v>-6.5627563576702186E-2</v>
      </c>
      <c r="K10" s="81">
        <f t="shared" si="0"/>
        <v>409600</v>
      </c>
      <c r="L10" s="89" t="e">
        <f>VLOOKUP(c_15[[#This Row],[hwycov_id]],count!$A$630:$E$652,5,FALSE)</f>
        <v>#N/A</v>
      </c>
      <c r="M10" s="81"/>
    </row>
    <row r="11" spans="1:35" ht="15" customHeight="1" x14ac:dyDescent="0.2">
      <c r="A11" s="96">
        <v>15</v>
      </c>
      <c r="B11" s="96" t="s">
        <v>339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9806</v>
      </c>
      <c r="I11" s="94">
        <f>VLOOKUP(c_15[[#This Row],[hwycov_id]],flow0[],5,FALSE)</f>
        <v>9112</v>
      </c>
      <c r="J11" s="60">
        <f t="shared" si="1"/>
        <v>-7.0772996124821574E-2</v>
      </c>
      <c r="K11" s="81">
        <f t="shared" si="0"/>
        <v>481636</v>
      </c>
      <c r="L11" s="89" t="e">
        <f>VLOOKUP(c_15[[#This Row],[hwycov_id]],count!$A$630:$E$652,5,FALSE)</f>
        <v>#N/A</v>
      </c>
      <c r="M11" s="81"/>
    </row>
    <row r="12" spans="1:35" ht="15" customHeight="1" x14ac:dyDescent="0.2">
      <c r="A12" s="96">
        <v>15</v>
      </c>
      <c r="B12" s="96" t="s">
        <v>339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8828</v>
      </c>
      <c r="I12" s="94">
        <f>VLOOKUP(c_15[[#This Row],[hwycov_id]],flow0[],5,FALSE)</f>
        <v>8177</v>
      </c>
      <c r="J12" s="60">
        <f t="shared" si="1"/>
        <v>-7.3742637063887617E-2</v>
      </c>
      <c r="K12" s="81">
        <f t="shared" si="0"/>
        <v>423801</v>
      </c>
      <c r="L12" s="89" t="e">
        <f>VLOOKUP(c_15[[#This Row],[hwycov_id]],count!$A$630:$E$652,5,FALSE)</f>
        <v>#N/A</v>
      </c>
      <c r="M12" s="81"/>
    </row>
    <row r="13" spans="1:35" ht="15" customHeight="1" x14ac:dyDescent="0.2">
      <c r="A13" s="96">
        <v>15</v>
      </c>
      <c r="B13" s="96" t="s">
        <v>339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12759</v>
      </c>
      <c r="I13" s="94">
        <f>VLOOKUP(c_15[[#This Row],[hwycov_id]],flow0[],5,FALSE)</f>
        <v>10480</v>
      </c>
      <c r="J13" s="60">
        <f t="shared" si="1"/>
        <v>-0.17861901402931268</v>
      </c>
      <c r="K13" s="81">
        <f t="shared" si="0"/>
        <v>5193841</v>
      </c>
      <c r="L13" s="89" t="e">
        <f>VLOOKUP(c_15[[#This Row],[hwycov_id]],count!$A$630:$E$652,5,FALSE)</f>
        <v>#N/A</v>
      </c>
      <c r="M13" s="81"/>
    </row>
    <row r="14" spans="1:35" ht="15" customHeight="1" x14ac:dyDescent="0.2">
      <c r="A14" s="96">
        <v>15</v>
      </c>
      <c r="B14" s="96" t="s">
        <v>339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12095</v>
      </c>
      <c r="I14" s="94">
        <f>VLOOKUP(c_15[[#This Row],[hwycov_id]],flow0[],5,FALSE)</f>
        <v>9956</v>
      </c>
      <c r="J14" s="60">
        <f t="shared" si="1"/>
        <v>-0.17684993799090531</v>
      </c>
      <c r="K14" s="81">
        <f t="shared" si="0"/>
        <v>4575321</v>
      </c>
      <c r="L14" s="89" t="e">
        <f>VLOOKUP(c_15[[#This Row],[hwycov_id]],count!$A$630:$E$652,5,FALSE)</f>
        <v>#N/A</v>
      </c>
      <c r="M14" s="81"/>
    </row>
    <row r="15" spans="1:35" ht="15" customHeight="1" x14ac:dyDescent="0.2">
      <c r="A15" s="96">
        <v>15</v>
      </c>
      <c r="B15" s="96" t="s">
        <v>339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10007</v>
      </c>
      <c r="I15" s="94">
        <f>VLOOKUP(c_15[[#This Row],[hwycov_id]],flow0[],5,FALSE)</f>
        <v>11979</v>
      </c>
      <c r="J15" s="60">
        <f t="shared" si="1"/>
        <v>0.19706205656040776</v>
      </c>
      <c r="K15" s="81">
        <f t="shared" si="0"/>
        <v>3888784</v>
      </c>
      <c r="L15" s="89" t="e">
        <f>VLOOKUP(c_15[[#This Row],[hwycov_id]],count!$A$630:$E$652,5,FALSE)</f>
        <v>#N/A</v>
      </c>
      <c r="M15" s="81"/>
    </row>
    <row r="16" spans="1:35" ht="15" customHeight="1" x14ac:dyDescent="0.2">
      <c r="A16" s="96">
        <v>15</v>
      </c>
      <c r="B16" s="96" t="s">
        <v>339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10067</v>
      </c>
      <c r="I16" s="94">
        <f>VLOOKUP(c_15[[#This Row],[hwycov_id]],flow0[],5,FALSE)</f>
        <v>8404</v>
      </c>
      <c r="J16" s="60">
        <f t="shared" si="1"/>
        <v>-0.16519320552299588</v>
      </c>
      <c r="K16" s="81">
        <f t="shared" si="0"/>
        <v>2765569</v>
      </c>
      <c r="L16" s="89" t="e">
        <f>VLOOKUP(c_15[[#This Row],[hwycov_id]],count!$A$630:$E$652,5,FALSE)</f>
        <v>#N/A</v>
      </c>
      <c r="M16" s="81"/>
    </row>
    <row r="17" spans="1:13" ht="15" customHeight="1" x14ac:dyDescent="0.2">
      <c r="A17" s="96">
        <v>15</v>
      </c>
      <c r="B17" s="96" t="s">
        <v>339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18238</v>
      </c>
      <c r="I17" s="94">
        <f>VLOOKUP(c_15[[#This Row],[hwycov_id]],flow0[],5,FALSE)</f>
        <v>17464</v>
      </c>
      <c r="J17" s="60">
        <f t="shared" si="1"/>
        <v>-4.2438863910516544E-2</v>
      </c>
      <c r="K17" s="81">
        <f t="shared" si="0"/>
        <v>599076</v>
      </c>
      <c r="L17" s="89" t="e">
        <f>VLOOKUP(c_15[[#This Row],[hwycov_id]],count!$A$630:$E$652,5,FALSE)</f>
        <v>#N/A</v>
      </c>
      <c r="M17" s="81"/>
    </row>
    <row r="18" spans="1:13" ht="15" customHeight="1" x14ac:dyDescent="0.2">
      <c r="A18" s="96">
        <v>15</v>
      </c>
      <c r="B18" s="96" t="s">
        <v>339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19030</v>
      </c>
      <c r="I18" s="94">
        <f>VLOOKUP(c_15[[#This Row],[hwycov_id]],flow0[],5,FALSE)</f>
        <v>19152</v>
      </c>
      <c r="J18" s="60">
        <f t="shared" si="1"/>
        <v>6.4109301103520977E-3</v>
      </c>
      <c r="K18" s="81">
        <f t="shared" si="0"/>
        <v>14884</v>
      </c>
      <c r="L18" s="89" t="e">
        <f>VLOOKUP(c_15[[#This Row],[hwycov_id]],count!$A$630:$E$652,5,FALSE)</f>
        <v>#N/A</v>
      </c>
      <c r="M18" s="81"/>
    </row>
    <row r="19" spans="1:13" ht="15" customHeight="1" x14ac:dyDescent="0.2">
      <c r="A19" s="96">
        <v>15</v>
      </c>
      <c r="B19" s="96" t="s">
        <v>339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20551</v>
      </c>
      <c r="I19" s="94">
        <f>VLOOKUP(c_15[[#This Row],[hwycov_id]],flow0[],5,FALSE)</f>
        <v>20852</v>
      </c>
      <c r="J19" s="60">
        <f t="shared" si="1"/>
        <v>1.4646489221935566E-2</v>
      </c>
      <c r="K19" s="81">
        <f t="shared" si="0"/>
        <v>90601</v>
      </c>
      <c r="L19" s="89" t="e">
        <f>VLOOKUP(c_15[[#This Row],[hwycov_id]],count!$A$630:$E$652,5,FALSE)</f>
        <v>#N/A</v>
      </c>
      <c r="M19" s="81"/>
    </row>
    <row r="20" spans="1:13" ht="15" customHeight="1" x14ac:dyDescent="0.2">
      <c r="A20" s="96">
        <v>15</v>
      </c>
      <c r="B20" s="96" t="s">
        <v>339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347</v>
      </c>
      <c r="H20" s="94">
        <v>26051</v>
      </c>
      <c r="I20" s="94">
        <f>VLOOKUP(c_15[[#This Row],[hwycov_id]],flow0[],5,FALSE)</f>
        <v>23582</v>
      </c>
      <c r="J20" s="60">
        <f t="shared" si="1"/>
        <v>-9.4775632413343081E-2</v>
      </c>
      <c r="K20" s="81">
        <f t="shared" si="0"/>
        <v>6095961</v>
      </c>
      <c r="L20" s="89" t="e">
        <f>VLOOKUP(c_15[[#This Row],[hwycov_id]],count!$A$630:$E$652,5,FALSE)</f>
        <v>#N/A</v>
      </c>
      <c r="M20" s="81"/>
    </row>
    <row r="21" spans="1:13" ht="15" customHeight="1" x14ac:dyDescent="0.2">
      <c r="A21" s="96">
        <v>15</v>
      </c>
      <c r="B21" s="96" t="s">
        <v>339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18726</v>
      </c>
      <c r="I21" s="94">
        <f>VLOOKUP(c_15[[#This Row],[hwycov_id]],flow0[],5,FALSE)</f>
        <v>15777</v>
      </c>
      <c r="J21" s="60">
        <f t="shared" si="1"/>
        <v>-0.15748157641781479</v>
      </c>
      <c r="K21" s="81">
        <f t="shared" si="0"/>
        <v>8696601</v>
      </c>
      <c r="L21" s="89" t="e">
        <f>VLOOKUP(c_15[[#This Row],[hwycov_id]],count!$A$630:$E$652,5,FALSE)</f>
        <v>#N/A</v>
      </c>
      <c r="M21" s="81"/>
    </row>
    <row r="22" spans="1:13" ht="15" customHeight="1" x14ac:dyDescent="0.2">
      <c r="A22" s="96">
        <v>15</v>
      </c>
      <c r="B22" s="96" t="s">
        <v>339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20572</v>
      </c>
      <c r="I22" s="94">
        <f>VLOOKUP(c_15[[#This Row],[hwycov_id]],flow0[],5,FALSE)</f>
        <v>17506</v>
      </c>
      <c r="J22" s="60">
        <f t="shared" si="1"/>
        <v>-0.14903752673536841</v>
      </c>
      <c r="K22" s="81">
        <f t="shared" si="0"/>
        <v>9400356</v>
      </c>
      <c r="L22" s="89" t="e">
        <f>VLOOKUP(c_15[[#This Row],[hwycov_id]],count!$A$630:$E$652,5,FALSE)</f>
        <v>#N/A</v>
      </c>
      <c r="M22" s="81"/>
    </row>
    <row r="23" spans="1:13" ht="15" customHeight="1" x14ac:dyDescent="0.2">
      <c r="A23" s="96">
        <v>15</v>
      </c>
      <c r="B23" s="96" t="s">
        <v>339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16177</v>
      </c>
      <c r="I23" s="94">
        <f>VLOOKUP(c_15[[#This Row],[hwycov_id]],flow0[],5,FALSE)</f>
        <v>15464</v>
      </c>
      <c r="J23" s="60">
        <f t="shared" si="1"/>
        <v>-4.4074921184397597E-2</v>
      </c>
      <c r="K23" s="81">
        <f t="shared" si="0"/>
        <v>508369</v>
      </c>
      <c r="L23" s="89" t="e">
        <f>VLOOKUP(c_15[[#This Row],[hwycov_id]],count!$A$630:$E$652,5,FALSE)</f>
        <v>#N/A</v>
      </c>
      <c r="M23" s="81"/>
    </row>
    <row r="24" spans="1:13" ht="15" customHeight="1" x14ac:dyDescent="0.2">
      <c r="A24" s="96">
        <v>15</v>
      </c>
      <c r="B24" s="96" t="s">
        <v>339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16615</v>
      </c>
      <c r="I24" s="94">
        <f>VLOOKUP(c_15[[#This Row],[hwycov_id]],flow0[],5,FALSE)</f>
        <v>17153</v>
      </c>
      <c r="J24" s="60">
        <f t="shared" si="1"/>
        <v>3.2380379175443785E-2</v>
      </c>
      <c r="K24" s="81">
        <f t="shared" si="0"/>
        <v>289444</v>
      </c>
      <c r="L24" s="89" t="e">
        <f>VLOOKUP(c_15[[#This Row],[hwycov_id]],count!$A$630:$E$652,5,FALSE)</f>
        <v>#N/A</v>
      </c>
      <c r="M24" s="81"/>
    </row>
    <row r="25" spans="1:13" ht="15" customHeight="1" x14ac:dyDescent="0.2">
      <c r="A25" s="96">
        <v>15</v>
      </c>
      <c r="B25" s="96" t="s">
        <v>339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18896</v>
      </c>
      <c r="I25" s="94">
        <f>VLOOKUP(c_15[[#This Row],[hwycov_id]],flow0[],5,FALSE)</f>
        <v>18623</v>
      </c>
      <c r="J25" s="60">
        <f t="shared" si="1"/>
        <v>-1.4447502116850086E-2</v>
      </c>
      <c r="K25" s="81">
        <f t="shared" si="0"/>
        <v>74529</v>
      </c>
      <c r="L25" s="89" t="e">
        <f>VLOOKUP(c_15[[#This Row],[hwycov_id]],count!$A$630:$E$652,5,FALSE)</f>
        <v>#N/A</v>
      </c>
      <c r="M25" s="81"/>
    </row>
    <row r="26" spans="1:13" ht="15" customHeight="1" x14ac:dyDescent="0.2">
      <c r="A26" s="96">
        <v>15</v>
      </c>
      <c r="B26" s="96" t="s">
        <v>339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17225</v>
      </c>
      <c r="I26" s="94">
        <f>VLOOKUP(c_15[[#This Row],[hwycov_id]],flow0[],5,FALSE)</f>
        <v>17132</v>
      </c>
      <c r="J26" s="60">
        <f t="shared" si="1"/>
        <v>-5.3991291727141233E-3</v>
      </c>
      <c r="K26" s="81">
        <f t="shared" si="0"/>
        <v>8649</v>
      </c>
      <c r="L26" s="89" t="e">
        <f>VLOOKUP(c_15[[#This Row],[hwycov_id]],count!$A$630:$E$652,5,FALSE)</f>
        <v>#N/A</v>
      </c>
      <c r="M26" s="81"/>
    </row>
    <row r="27" spans="1:13" ht="15" customHeight="1" x14ac:dyDescent="0.2">
      <c r="A27" s="96">
        <v>15</v>
      </c>
      <c r="B27" s="96" t="s">
        <v>339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18996</v>
      </c>
      <c r="I27" s="94">
        <f>VLOOKUP(c_15[[#This Row],[hwycov_id]],flow0[],5,FALSE)</f>
        <v>21106</v>
      </c>
      <c r="J27" s="60">
        <f t="shared" si="1"/>
        <v>0.11107601600336903</v>
      </c>
      <c r="K27" s="81">
        <f t="shared" si="0"/>
        <v>4452100</v>
      </c>
      <c r="L27" s="89" t="e">
        <f>VLOOKUP(c_15[[#This Row],[hwycov_id]],count!$A$630:$E$652,5,FALSE)</f>
        <v>#N/A</v>
      </c>
      <c r="M27" s="81"/>
    </row>
    <row r="28" spans="1:13" ht="15" customHeight="1" x14ac:dyDescent="0.2">
      <c r="A28" s="96">
        <v>15</v>
      </c>
      <c r="B28" s="96" t="s">
        <v>339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18202</v>
      </c>
      <c r="I28" s="94">
        <f>VLOOKUP(c_15[[#This Row],[hwycov_id]],flow0[],5,FALSE)</f>
        <v>18780</v>
      </c>
      <c r="J28" s="60">
        <f t="shared" si="1"/>
        <v>3.1754752225030325E-2</v>
      </c>
      <c r="K28" s="81">
        <f t="shared" si="0"/>
        <v>334084</v>
      </c>
      <c r="L28" s="89" t="e">
        <f>VLOOKUP(c_15[[#This Row],[hwycov_id]],count!$A$630:$E$652,5,FALSE)</f>
        <v>#N/A</v>
      </c>
      <c r="M28" s="81"/>
    </row>
    <row r="29" spans="1:13" ht="15" customHeight="1" x14ac:dyDescent="0.2">
      <c r="A29" s="96">
        <v>15</v>
      </c>
      <c r="B29" s="96" t="s">
        <v>339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22776</v>
      </c>
      <c r="I29" s="94">
        <f>VLOOKUP(c_15[[#This Row],[hwycov_id]],flow0[],5,FALSE)</f>
        <v>22639</v>
      </c>
      <c r="J29" s="88">
        <f t="shared" ref="J29:J44" si="2">I29/H29-1</f>
        <v>-6.0151036178432982E-3</v>
      </c>
      <c r="K29" s="81">
        <f t="shared" ref="K29:K44" si="3">POWER((I29-H29),2)</f>
        <v>18769</v>
      </c>
      <c r="L29" s="89" t="e">
        <f>VLOOKUP(c_15[[#This Row],[hwycov_id]],count!$A$630:$E$652,5,FALSE)</f>
        <v>#N/A</v>
      </c>
      <c r="M29" s="81"/>
    </row>
    <row r="30" spans="1:13" ht="15" customHeight="1" x14ac:dyDescent="0.2">
      <c r="A30" s="96">
        <v>15</v>
      </c>
      <c r="B30" s="96" t="s">
        <v>339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22010</v>
      </c>
      <c r="I30" s="94">
        <f>VLOOKUP(c_15[[#This Row],[hwycov_id]],flow0[],5,FALSE)</f>
        <v>21500</v>
      </c>
      <c r="J30" s="88">
        <f t="shared" si="2"/>
        <v>-2.3171285779191253E-2</v>
      </c>
      <c r="K30" s="81">
        <f t="shared" si="3"/>
        <v>260100</v>
      </c>
      <c r="L30" s="89" t="e">
        <f>VLOOKUP(c_15[[#This Row],[hwycov_id]],count!$A$630:$E$652,5,FALSE)</f>
        <v>#N/A</v>
      </c>
      <c r="M30" s="81"/>
    </row>
    <row r="31" spans="1:13" ht="15" customHeight="1" x14ac:dyDescent="0.2">
      <c r="A31" s="96">
        <v>15</v>
      </c>
      <c r="B31" s="96" t="s">
        <v>339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24002</v>
      </c>
      <c r="I31" s="94">
        <f>VLOOKUP(c_15[[#This Row],[hwycov_id]],flow0[],5,FALSE)</f>
        <v>23395</v>
      </c>
      <c r="J31" s="88">
        <f t="shared" si="2"/>
        <v>-2.5289559203399703E-2</v>
      </c>
      <c r="K31" s="81">
        <f t="shared" si="3"/>
        <v>368449</v>
      </c>
      <c r="L31" s="89" t="e">
        <f>VLOOKUP(c_15[[#This Row],[hwycov_id]],count!$A$630:$E$652,5,FALSE)</f>
        <v>#N/A</v>
      </c>
      <c r="M31" s="81"/>
    </row>
    <row r="32" spans="1:13" ht="15" customHeight="1" x14ac:dyDescent="0.2">
      <c r="A32" s="96">
        <v>15</v>
      </c>
      <c r="B32" s="96" t="s">
        <v>339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14904</v>
      </c>
      <c r="I32" s="94">
        <f>VLOOKUP(c_15[[#This Row],[hwycov_id]],flow0[],5,FALSE)</f>
        <v>14137</v>
      </c>
      <c r="J32" s="88">
        <f t="shared" si="2"/>
        <v>-5.1462694578636614E-2</v>
      </c>
      <c r="K32" s="81">
        <f t="shared" si="3"/>
        <v>588289</v>
      </c>
      <c r="L32" s="89" t="e">
        <f>VLOOKUP(c_15[[#This Row],[hwycov_id]],count!$A$630:$E$652,5,FALSE)</f>
        <v>#N/A</v>
      </c>
      <c r="M32" s="81"/>
    </row>
    <row r="33" spans="1:16" ht="15" customHeight="1" x14ac:dyDescent="0.2">
      <c r="A33" s="96">
        <v>15</v>
      </c>
      <c r="B33" s="96" t="s">
        <v>339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26003</v>
      </c>
      <c r="I33" s="94">
        <f>VLOOKUP(c_15[[#This Row],[hwycov_id]],flow0[],5,FALSE)</f>
        <v>26621</v>
      </c>
      <c r="J33" s="88">
        <f t="shared" si="2"/>
        <v>2.376648848209828E-2</v>
      </c>
      <c r="K33" s="81">
        <f t="shared" si="3"/>
        <v>381924</v>
      </c>
      <c r="L33" s="89" t="e">
        <f>VLOOKUP(c_15[[#This Row],[hwycov_id]],count!$A$630:$E$652,5,FALSE)</f>
        <v>#N/A</v>
      </c>
      <c r="M33" s="81"/>
    </row>
    <row r="34" spans="1:16" ht="15" customHeight="1" x14ac:dyDescent="0.2">
      <c r="A34" s="96">
        <v>15</v>
      </c>
      <c r="B34" s="96" t="s">
        <v>339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17300</v>
      </c>
      <c r="I34" s="94">
        <f>VLOOKUP(c_15[[#This Row],[hwycov_id]],flow0[],5,FALSE)</f>
        <v>15808</v>
      </c>
      <c r="J34" s="88">
        <f t="shared" si="2"/>
        <v>-8.6242774566474001E-2</v>
      </c>
      <c r="K34" s="81">
        <f t="shared" si="3"/>
        <v>2226064</v>
      </c>
      <c r="L34" s="89" t="e">
        <f>VLOOKUP(c_15[[#This Row],[hwycov_id]],count!$A$630:$E$652,5,FALSE)</f>
        <v>#N/A</v>
      </c>
      <c r="M34" s="81"/>
    </row>
    <row r="35" spans="1:16" ht="15" customHeight="1" x14ac:dyDescent="0.2">
      <c r="A35" s="96">
        <v>15</v>
      </c>
      <c r="B35" s="96" t="s">
        <v>339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15322</v>
      </c>
      <c r="I35" s="94">
        <f>VLOOKUP(c_15[[#This Row],[hwycov_id]],flow0[],5,FALSE)</f>
        <v>13322</v>
      </c>
      <c r="J35" s="88">
        <f t="shared" si="2"/>
        <v>-0.13053126223730582</v>
      </c>
      <c r="K35" s="81">
        <f t="shared" si="3"/>
        <v>4000000</v>
      </c>
      <c r="L35" s="89" t="e">
        <f>VLOOKUP(c_15[[#This Row],[hwycov_id]],count!$A$630:$E$652,5,FALSE)</f>
        <v>#N/A</v>
      </c>
      <c r="M35" s="81"/>
    </row>
    <row r="36" spans="1:16" ht="15" customHeight="1" x14ac:dyDescent="0.2">
      <c r="A36" s="96">
        <v>15</v>
      </c>
      <c r="B36" s="96" t="s">
        <v>339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25461</v>
      </c>
      <c r="I36" s="94">
        <f>VLOOKUP(c_15[[#This Row],[hwycov_id]],flow0[],5,FALSE)</f>
        <v>23911</v>
      </c>
      <c r="J36" s="88">
        <f t="shared" si="2"/>
        <v>-6.0877420368406598E-2</v>
      </c>
      <c r="K36" s="81">
        <f t="shared" si="3"/>
        <v>2402500</v>
      </c>
      <c r="L36" s="89" t="e">
        <f>VLOOKUP(c_15[[#This Row],[hwycov_id]],count!$A$630:$E$652,5,FALSE)</f>
        <v>#N/A</v>
      </c>
      <c r="M36" s="81"/>
    </row>
    <row r="37" spans="1:16" ht="15" customHeight="1" x14ac:dyDescent="0.2">
      <c r="A37" s="96">
        <v>15</v>
      </c>
      <c r="B37" s="96" t="s">
        <v>339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23960</v>
      </c>
      <c r="I37" s="94">
        <f>VLOOKUP(c_15[[#This Row],[hwycov_id]],flow0[],5,FALSE)</f>
        <v>24316</v>
      </c>
      <c r="J37" s="88">
        <f t="shared" si="2"/>
        <v>1.485809682804673E-2</v>
      </c>
      <c r="K37" s="81">
        <f t="shared" si="3"/>
        <v>126736</v>
      </c>
      <c r="L37" s="89" t="e">
        <f>VLOOKUP(c_15[[#This Row],[hwycov_id]],count!$A$630:$E$652,5,FALSE)</f>
        <v>#N/A</v>
      </c>
      <c r="M37" s="81"/>
    </row>
    <row r="38" spans="1:16" ht="15" customHeight="1" x14ac:dyDescent="0.2">
      <c r="A38" s="96">
        <v>15</v>
      </c>
      <c r="B38" s="96" t="s">
        <v>339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21479</v>
      </c>
      <c r="I38" s="94">
        <f>VLOOKUP(c_15[[#This Row],[hwycov_id]],flow0[],5,FALSE)</f>
        <v>21737</v>
      </c>
      <c r="J38" s="88">
        <f t="shared" si="2"/>
        <v>1.2011732389776153E-2</v>
      </c>
      <c r="K38" s="81">
        <f t="shared" si="3"/>
        <v>66564</v>
      </c>
      <c r="L38" s="89" t="e">
        <f>VLOOKUP(c_15[[#This Row],[hwycov_id]],count!$A$630:$E$652,5,FALSE)</f>
        <v>#N/A</v>
      </c>
      <c r="M38" s="81"/>
    </row>
    <row r="39" spans="1:16" ht="15" customHeight="1" x14ac:dyDescent="0.2">
      <c r="A39" s="96">
        <v>15</v>
      </c>
      <c r="B39" s="96" t="s">
        <v>339</v>
      </c>
      <c r="C39" s="99">
        <v>29090</v>
      </c>
      <c r="D39" s="89">
        <v>73.989999999999995</v>
      </c>
      <c r="E39" s="100">
        <v>0.43728</v>
      </c>
      <c r="F39" s="99" t="s">
        <v>348</v>
      </c>
      <c r="G39" s="99" t="s">
        <v>190</v>
      </c>
      <c r="H39" s="94">
        <v>22331</v>
      </c>
      <c r="I39" s="94">
        <f>VLOOKUP(c_15[[#This Row],[hwycov_id]],flow0[],5,FALSE)</f>
        <v>25100</v>
      </c>
      <c r="J39" s="88">
        <f t="shared" si="2"/>
        <v>0.12399802964488837</v>
      </c>
      <c r="K39" s="81">
        <f t="shared" si="3"/>
        <v>7667361</v>
      </c>
      <c r="L39" s="89" t="e">
        <f>VLOOKUP(c_15[[#This Row],[hwycov_id]],count!$A$630:$E$652,5,FALSE)</f>
        <v>#N/A</v>
      </c>
      <c r="M39" s="81"/>
    </row>
    <row r="40" spans="1:16" ht="15" customHeight="1" x14ac:dyDescent="0.2">
      <c r="A40" s="96">
        <v>15</v>
      </c>
      <c r="B40" s="96" t="s">
        <v>339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21767</v>
      </c>
      <c r="I40" s="94">
        <f>VLOOKUP(c_15[[#This Row],[hwycov_id]],flow0[],5,FALSE)</f>
        <v>23059</v>
      </c>
      <c r="J40" s="88">
        <f t="shared" si="2"/>
        <v>5.9355905728855518E-2</v>
      </c>
      <c r="K40" s="81">
        <f t="shared" si="3"/>
        <v>1669264</v>
      </c>
      <c r="L40" s="89" t="e">
        <f>VLOOKUP(c_15[[#This Row],[hwycov_id]],count!$A$630:$E$652,5,FALSE)</f>
        <v>#N/A</v>
      </c>
      <c r="M40" s="81"/>
    </row>
    <row r="41" spans="1:16" ht="15" customHeight="1" x14ac:dyDescent="0.2">
      <c r="A41" s="96">
        <v>15</v>
      </c>
      <c r="B41" s="96" t="s">
        <v>339</v>
      </c>
      <c r="C41" s="99">
        <v>29082</v>
      </c>
      <c r="D41" s="89">
        <v>74.72</v>
      </c>
      <c r="E41" s="100">
        <v>0.22877500000000001</v>
      </c>
      <c r="F41" s="99" t="s">
        <v>349</v>
      </c>
      <c r="G41" s="99" t="s">
        <v>191</v>
      </c>
      <c r="H41" s="94">
        <v>21819</v>
      </c>
      <c r="I41" s="94">
        <f>VLOOKUP(c_15[[#This Row],[hwycov_id]],flow0[],5,FALSE)</f>
        <v>23511</v>
      </c>
      <c r="J41" s="88">
        <f t="shared" si="2"/>
        <v>7.7547091984050631E-2</v>
      </c>
      <c r="K41" s="81">
        <f t="shared" si="3"/>
        <v>2862864</v>
      </c>
      <c r="L41" s="89" t="e">
        <f>VLOOKUP(c_15[[#This Row],[hwycov_id]],count!$A$630:$E$652,5,FALSE)</f>
        <v>#N/A</v>
      </c>
      <c r="M41" s="81"/>
    </row>
    <row r="42" spans="1:16" ht="15" customHeight="1" x14ac:dyDescent="0.2">
      <c r="A42" s="96">
        <v>15</v>
      </c>
      <c r="B42" s="96" t="s">
        <v>339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19978</v>
      </c>
      <c r="I42" s="94">
        <f>VLOOKUP(c_15[[#This Row],[hwycov_id]],flow0[],5,FALSE)</f>
        <v>21886</v>
      </c>
      <c r="J42" s="88">
        <f t="shared" si="2"/>
        <v>9.5505055561117214E-2</v>
      </c>
      <c r="K42" s="81">
        <f t="shared" si="3"/>
        <v>3640464</v>
      </c>
      <c r="L42" s="89" t="e">
        <f>VLOOKUP(c_15[[#This Row],[hwycov_id]],count!$A$630:$E$652,5,FALSE)</f>
        <v>#N/A</v>
      </c>
      <c r="M42" s="81"/>
    </row>
    <row r="43" spans="1:16" ht="15" customHeight="1" x14ac:dyDescent="0.2">
      <c r="A43" s="96">
        <v>15</v>
      </c>
      <c r="B43" s="96" t="s">
        <v>339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350</v>
      </c>
      <c r="H43" s="94">
        <v>12722</v>
      </c>
      <c r="I43" s="94">
        <f>VLOOKUP(c_15[[#This Row],[hwycov_id]],flow0[],5,FALSE)</f>
        <v>12594</v>
      </c>
      <c r="J43" s="88">
        <f t="shared" si="2"/>
        <v>-1.0061311114604621E-2</v>
      </c>
      <c r="K43" s="81">
        <f t="shared" si="3"/>
        <v>16384</v>
      </c>
      <c r="L43" s="89" t="e">
        <f>VLOOKUP(c_15[[#This Row],[hwycov_id]],count!$A$630:$E$652,5,FALSE)</f>
        <v>#N/A</v>
      </c>
      <c r="M43" s="81"/>
    </row>
    <row r="44" spans="1:16" s="421" customFormat="1" ht="15" hidden="1" customHeight="1" x14ac:dyDescent="0.2">
      <c r="A44" s="421">
        <v>15</v>
      </c>
      <c r="B44" s="421" t="s">
        <v>339</v>
      </c>
      <c r="C44" s="422">
        <v>28453</v>
      </c>
      <c r="D44" s="427">
        <v>77.23</v>
      </c>
      <c r="E44" s="424">
        <v>1.1466590000000001</v>
      </c>
      <c r="F44" s="422" t="s">
        <v>350</v>
      </c>
      <c r="G44" s="422" t="s">
        <v>351</v>
      </c>
      <c r="H44" s="425">
        <v>5940</v>
      </c>
      <c r="I44" s="425" t="e">
        <f>VLOOKUP(c_15[[#This Row],[hwycov_id]],flow0[],5,FALSE)</f>
        <v>#VALUE!</v>
      </c>
      <c r="J44" s="426" t="e">
        <f t="shared" si="2"/>
        <v>#VALUE!</v>
      </c>
      <c r="K44" s="427" t="e">
        <f t="shared" si="3"/>
        <v>#VALUE!</v>
      </c>
      <c r="L44" s="427" t="e">
        <f>VLOOKUP(c_15[[#This Row],[hwycov_id]],count!$A$630:$E$652,5,FALSE)</f>
        <v>#VALUE!</v>
      </c>
      <c r="M44" s="427"/>
      <c r="N44" s="426"/>
      <c r="O44" s="442"/>
      <c r="P44" s="442"/>
    </row>
    <row r="45" spans="1:16" ht="15" customHeight="1" x14ac:dyDescent="0.2">
      <c r="K45" s="81"/>
      <c r="L45" s="81"/>
      <c r="M45" s="81"/>
    </row>
    <row r="46" spans="1:16" ht="15" customHeight="1" x14ac:dyDescent="0.2">
      <c r="K46" s="81"/>
      <c r="L46" s="81"/>
      <c r="M46" s="81"/>
    </row>
    <row r="47" spans="1:16" ht="15" customHeight="1" x14ac:dyDescent="0.2">
      <c r="K47" s="81"/>
      <c r="L47" s="81"/>
      <c r="M47" s="81"/>
    </row>
    <row r="48" spans="1:16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  <row r="76" spans="11:12" ht="15" customHeight="1" x14ac:dyDescent="0.2">
      <c r="K76" s="81"/>
      <c r="L76" s="81"/>
    </row>
    <row r="77" spans="11:12" ht="15" customHeight="1" x14ac:dyDescent="0.2">
      <c r="K77" s="81"/>
      <c r="L77" s="81"/>
    </row>
  </sheetData>
  <conditionalFormatting sqref="N1:N1048576 J19:J1048576">
    <cfRule type="cellIs" dxfId="289" priority="5" operator="lessThan">
      <formula>-0.2</formula>
    </cfRule>
    <cfRule type="cellIs" dxfId="288" priority="6" operator="greaterThan">
      <formula>0.2</formula>
    </cfRule>
  </conditionalFormatting>
  <conditionalFormatting sqref="J2:J12 J14:J18">
    <cfRule type="cellIs" dxfId="287" priority="1" operator="lessThan">
      <formula>-0.2</formula>
    </cfRule>
    <cfRule type="cellIs" dxfId="28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AI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1" width="9.85546875" style="59" bestFit="1" customWidth="1"/>
    <col min="2" max="2" width="9.5703125" style="59" customWidth="1"/>
    <col min="3" max="3" width="12.140625" style="59" bestFit="1" customWidth="1"/>
    <col min="4" max="4" width="8" style="74" bestFit="1" customWidth="1"/>
    <col min="5" max="5" width="8.85546875" style="69" hidden="1" customWidth="1"/>
    <col min="6" max="7" width="18.710937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SQRT(AVERAGE(c_16[x2]))/AVERAGE(c_16[count])</f>
        <v>0.19863467693117134</v>
      </c>
      <c r="O1" s="136">
        <f>LINEST(c_16[flow],c_16[count],FALSE)</f>
        <v>1.108406150327131</v>
      </c>
      <c r="P1" s="136">
        <f>RSQ(c_16[flow],c_16[count])</f>
        <v>0.65401914911804426</v>
      </c>
      <c r="Q1" s="43">
        <f>IFERROR(AVERAGEIF(c_16[gap],"&gt;=0",c_16[gap]),0)</f>
        <v>0.18915871838203846</v>
      </c>
      <c r="R1" s="44">
        <f>IFERROR(AVERAGEIF(c_16[gap],"&lt;0",c_16[gap]),0)</f>
        <v>-6.2977072383388566E-2</v>
      </c>
      <c r="S1" s="14">
        <f>AVERAGE(c_16[gap])</f>
        <v>0.11561911274212226</v>
      </c>
      <c r="T1" s="42">
        <f>COUNTIFS(c_16[gap],"&lt;10%",c_16[gap],"&gt;=-10%")/COUNTA(c_16[gap])</f>
        <v>0.45833333333333331</v>
      </c>
      <c r="U1" s="42">
        <f>COUNTIFS(c_16[gap],"&lt;20%",c_16[gap],"&gt;=-20%")/COUNTA(c_16[gap])</f>
        <v>0.66666666666666663</v>
      </c>
      <c r="V1" s="42">
        <f>COUNTIFS(c_16[gap],"&lt;30%",c_16[gap],"&gt;=-30%")/COUNTA(c_16[gap])</f>
        <v>0.875</v>
      </c>
      <c r="W1" s="43">
        <f>COUNTIF(c_16[gap],"&gt;=0")/COUNTA(c_16[gap])</f>
        <v>0.70833333333333337</v>
      </c>
      <c r="X1" s="45">
        <f>COUNTIF(c_16[gap],"&lt;0")/COUNTA(c_16[gap])</f>
        <v>0.29166666666666669</v>
      </c>
      <c r="Y1" s="76" t="str">
        <f>"%Link(+)="&amp;TEXT(W1,"0%")</f>
        <v>%Link(+)=71%</v>
      </c>
      <c r="Z1" s="76" t="str">
        <f>"%Link(-)="&amp;TEXT(X1,"0%")</f>
        <v>%Link(-)=29%</v>
      </c>
      <c r="AA1" s="73" t="str">
        <f>"AvgGap(+)="&amp;TEXT(Q1,"0%")</f>
        <v>AvgGap(+)=19%</v>
      </c>
      <c r="AB1" s="59" t="str">
        <f>"AvgGap(-)="&amp;TEXT(R1,"0%")</f>
        <v>AvgGap(-)=-6%</v>
      </c>
      <c r="AC1" s="59" t="str">
        <f>"AvgGap(±)="&amp;TEXT(S1,"0%")</f>
        <v>AvgGap(±)=12%</v>
      </c>
      <c r="AD1" s="59" t="str">
        <f>"GapIn(±10%)="&amp;TEXT(T1,"0%")</f>
        <v>GapIn(±10%)=46%</v>
      </c>
      <c r="AE1" s="59" t="str">
        <f>"GapIn(±20%)="&amp;TEXT(U1,"0%")</f>
        <v>GapIn(±20%)=67%</v>
      </c>
      <c r="AF1" s="59" t="str">
        <f>"GapIn(±30%)="&amp;TEXT(V1,"0%")</f>
        <v>GapIn(±30%)=88%</v>
      </c>
      <c r="AG1" s="59" t="str">
        <f>"Linear Slope="&amp;TEXT(O1,"#.###")</f>
        <v>Linear Slope=1.108</v>
      </c>
      <c r="AH1" s="59" t="str">
        <f>"RMSE="&amp;TEXT(N1,"0%")</f>
        <v>RMSE=20%</v>
      </c>
      <c r="AI1" s="59" t="str">
        <f>CONCATENATE(Y1," ",Z1," ",AA1,"  ",AB1,"  ",AC1,"  ",AD1," ",AE1,"  ",AF1,"  ",AG1," ",AH1)</f>
        <v>%Link(+)=71% %Link(-)=29% AvgGap(+)=19%  AvgGap(-)=-6%  AvgGap(±)=12%  GapIn(±10%)=46% GapIn(±20%)=67%  GapIn(±30%)=88%  Linear Slope=1.108 RMSE=20%</v>
      </c>
    </row>
    <row r="2" spans="1:35" ht="15" customHeight="1" x14ac:dyDescent="0.2">
      <c r="A2" s="59">
        <v>16</v>
      </c>
      <c r="B2" s="59" t="s">
        <v>352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5770</v>
      </c>
      <c r="I2" s="94">
        <f>VLOOKUP(c_16[[#This Row],[hwycov_id]],flow0[],5,FALSE)</f>
        <v>8019</v>
      </c>
      <c r="J2" s="60">
        <f t="shared" ref="J2:J26" si="0">I2/H2-1</f>
        <v>0.38977469670710563</v>
      </c>
      <c r="K2" s="81">
        <f t="shared" ref="K2:K26" si="1">POWER((I2-H2),2)</f>
        <v>5058001</v>
      </c>
      <c r="L2" s="61" t="e">
        <f>VLOOKUP(c_16[[#This Row],[hwycov_id]],count!$A$630:$E$652,5,FALSE)</f>
        <v>#N/A</v>
      </c>
      <c r="M2" s="81"/>
    </row>
    <row r="3" spans="1:35" ht="15" customHeight="1" x14ac:dyDescent="0.2">
      <c r="A3" s="59">
        <v>16</v>
      </c>
      <c r="B3" s="59" t="s">
        <v>352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8307</v>
      </c>
      <c r="I3" s="94">
        <f>VLOOKUP(c_16[[#This Row],[hwycov_id]],flow0[],5,FALSE)</f>
        <v>9563</v>
      </c>
      <c r="J3" s="60">
        <f t="shared" si="0"/>
        <v>0.15119778500060188</v>
      </c>
      <c r="K3" s="81">
        <f t="shared" si="1"/>
        <v>1577536</v>
      </c>
      <c r="L3" s="61" t="e">
        <f>VLOOKUP(c_16[[#This Row],[hwycov_id]],count!$A$630:$E$652,5,FALSE)</f>
        <v>#N/A</v>
      </c>
      <c r="M3" s="81"/>
    </row>
    <row r="4" spans="1:35" ht="15" customHeight="1" x14ac:dyDescent="0.2">
      <c r="A4" s="59">
        <v>16</v>
      </c>
      <c r="B4" s="59" t="s">
        <v>352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17543</v>
      </c>
      <c r="I4" s="94">
        <f>VLOOKUP(c_16[[#This Row],[hwycov_id]],flow0[],5,FALSE)</f>
        <v>19582</v>
      </c>
      <c r="J4" s="60">
        <f t="shared" si="0"/>
        <v>0.11622869520606516</v>
      </c>
      <c r="K4" s="81">
        <f t="shared" si="1"/>
        <v>4157521</v>
      </c>
      <c r="L4" s="61" t="e">
        <f>VLOOKUP(c_16[[#This Row],[hwycov_id]],count!$A$630:$E$652,5,FALSE)</f>
        <v>#N/A</v>
      </c>
      <c r="M4" s="81"/>
    </row>
    <row r="5" spans="1:35" ht="15" customHeight="1" x14ac:dyDescent="0.2">
      <c r="A5" s="59">
        <v>16</v>
      </c>
      <c r="B5" s="59" t="s">
        <v>352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14740</v>
      </c>
      <c r="I5" s="94">
        <f>VLOOKUP(c_16[[#This Row],[hwycov_id]],flow0[],5,FALSE)</f>
        <v>22332</v>
      </c>
      <c r="J5" s="60">
        <f t="shared" si="0"/>
        <v>0.51506105834464044</v>
      </c>
      <c r="K5" s="81">
        <f t="shared" si="1"/>
        <v>57638464</v>
      </c>
      <c r="L5" s="61" t="e">
        <f>VLOOKUP(c_16[[#This Row],[hwycov_id]],count!$A$630:$E$652,5,FALSE)</f>
        <v>#N/A</v>
      </c>
      <c r="M5" s="81"/>
    </row>
    <row r="6" spans="1:35" ht="15" customHeight="1" x14ac:dyDescent="0.2">
      <c r="A6" s="59">
        <v>16</v>
      </c>
      <c r="B6" s="59" t="s">
        <v>352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17481</v>
      </c>
      <c r="I6" s="94">
        <f>VLOOKUP(c_16[[#This Row],[hwycov_id]],flow0[],5,FALSE)</f>
        <v>20987</v>
      </c>
      <c r="J6" s="60">
        <f t="shared" si="0"/>
        <v>0.20056060866083181</v>
      </c>
      <c r="K6" s="81">
        <f t="shared" si="1"/>
        <v>12292036</v>
      </c>
      <c r="L6" s="61" t="e">
        <f>VLOOKUP(c_16[[#This Row],[hwycov_id]],count!$A$630:$E$652,5,FALSE)</f>
        <v>#N/A</v>
      </c>
      <c r="M6" s="81"/>
    </row>
    <row r="7" spans="1:35" ht="15" customHeight="1" x14ac:dyDescent="0.2">
      <c r="A7" s="59">
        <v>16</v>
      </c>
      <c r="B7" s="59" t="s">
        <v>352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16023</v>
      </c>
      <c r="I7" s="94">
        <f>VLOOKUP(c_16[[#This Row],[hwycov_id]],flow0[],5,FALSE)</f>
        <v>19845</v>
      </c>
      <c r="J7" s="60">
        <f t="shared" si="0"/>
        <v>0.23853211009174302</v>
      </c>
      <c r="K7" s="81">
        <f t="shared" si="1"/>
        <v>14607684</v>
      </c>
      <c r="L7" s="61" t="e">
        <f>VLOOKUP(c_16[[#This Row],[hwycov_id]],count!$A$630:$E$652,5,FALSE)</f>
        <v>#N/A</v>
      </c>
      <c r="M7" s="81"/>
    </row>
    <row r="8" spans="1:35" ht="15" customHeight="1" x14ac:dyDescent="0.2">
      <c r="A8" s="59">
        <v>16</v>
      </c>
      <c r="B8" s="59" t="s">
        <v>352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15535</v>
      </c>
      <c r="I8" s="94">
        <f>VLOOKUP(c_16[[#This Row],[hwycov_id]],flow0[],5,FALSE)</f>
        <v>19274</v>
      </c>
      <c r="J8" s="60">
        <f t="shared" si="0"/>
        <v>0.24068233022207908</v>
      </c>
      <c r="K8" s="81">
        <f t="shared" si="1"/>
        <v>13980121</v>
      </c>
      <c r="L8" s="61" t="e">
        <f>VLOOKUP(c_16[[#This Row],[hwycov_id]],count!$A$630:$E$652,5,FALSE)</f>
        <v>#N/A</v>
      </c>
      <c r="M8" s="81"/>
    </row>
    <row r="9" spans="1:35" ht="15" customHeight="1" x14ac:dyDescent="0.2">
      <c r="A9" s="59">
        <v>16</v>
      </c>
      <c r="B9" s="59" t="s">
        <v>352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15927</v>
      </c>
      <c r="I9" s="94">
        <f>VLOOKUP(c_16[[#This Row],[hwycov_id]],flow0[],5,FALSE)</f>
        <v>20114</v>
      </c>
      <c r="J9" s="60">
        <f t="shared" si="0"/>
        <v>0.26288692157970739</v>
      </c>
      <c r="K9" s="81">
        <f t="shared" si="1"/>
        <v>17530969</v>
      </c>
      <c r="L9" s="61" t="e">
        <f>VLOOKUP(c_16[[#This Row],[hwycov_id]],count!$A$630:$E$652,5,FALSE)</f>
        <v>#N/A</v>
      </c>
      <c r="M9" s="81"/>
    </row>
    <row r="10" spans="1:35" ht="15" customHeight="1" x14ac:dyDescent="0.2">
      <c r="A10" s="59">
        <v>16</v>
      </c>
      <c r="B10" s="59" t="s">
        <v>352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13288</v>
      </c>
      <c r="I10" s="94">
        <f>VLOOKUP(c_16[[#This Row],[hwycov_id]],flow0[],5,FALSE)</f>
        <v>16053</v>
      </c>
      <c r="J10" s="60">
        <f t="shared" si="0"/>
        <v>0.20808248043347377</v>
      </c>
      <c r="K10" s="81">
        <f t="shared" si="1"/>
        <v>7645225</v>
      </c>
      <c r="L10" s="61" t="e">
        <f>VLOOKUP(c_16[[#This Row],[hwycov_id]],count!$A$630:$E$652,5,FALSE)</f>
        <v>#N/A</v>
      </c>
      <c r="M10" s="81"/>
    </row>
    <row r="11" spans="1:35" ht="15" customHeight="1" x14ac:dyDescent="0.2">
      <c r="A11" s="59">
        <v>16</v>
      </c>
      <c r="B11" s="59" t="s">
        <v>352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353</v>
      </c>
      <c r="H11" s="68">
        <v>18053</v>
      </c>
      <c r="I11" s="94">
        <f>VLOOKUP(c_16[[#This Row],[hwycov_id]],flow0[],5,FALSE)</f>
        <v>16053</v>
      </c>
      <c r="J11" s="60">
        <f t="shared" si="0"/>
        <v>-0.1107849110951088</v>
      </c>
      <c r="K11" s="81">
        <f t="shared" si="1"/>
        <v>4000000</v>
      </c>
      <c r="L11" s="61" t="e">
        <f>VLOOKUP(c_16[[#This Row],[hwycov_id]],count!$A$630:$E$652,5,FALSE)</f>
        <v>#N/A</v>
      </c>
      <c r="M11" s="81"/>
    </row>
    <row r="12" spans="1:35" ht="15" customHeight="1" x14ac:dyDescent="0.2">
      <c r="A12" s="59">
        <v>16</v>
      </c>
      <c r="B12" s="59" t="s">
        <v>352</v>
      </c>
      <c r="C12" s="65">
        <v>29183</v>
      </c>
      <c r="D12" s="74">
        <v>7.23</v>
      </c>
      <c r="E12" s="70">
        <v>0.32194400000000001</v>
      </c>
      <c r="F12" s="65" t="s">
        <v>353</v>
      </c>
      <c r="G12" s="65" t="s">
        <v>353</v>
      </c>
      <c r="H12" s="68">
        <v>13126</v>
      </c>
      <c r="I12" s="94">
        <f>VLOOKUP(c_16[[#This Row],[hwycov_id]],flow0[],5,FALSE)</f>
        <v>18377</v>
      </c>
      <c r="J12" s="60">
        <f t="shared" si="0"/>
        <v>0.40004571080298645</v>
      </c>
      <c r="K12" s="81">
        <f t="shared" si="1"/>
        <v>27573001</v>
      </c>
      <c r="L12" s="61" t="e">
        <f>VLOOKUP(c_16[[#This Row],[hwycov_id]],count!$A$630:$E$652,5,FALSE)</f>
        <v>#N/A</v>
      </c>
      <c r="M12" s="81"/>
    </row>
    <row r="13" spans="1:35" ht="15" customHeight="1" x14ac:dyDescent="0.2">
      <c r="A13" s="59">
        <v>16</v>
      </c>
      <c r="B13" s="59" t="s">
        <v>352</v>
      </c>
      <c r="C13" s="65">
        <v>3207</v>
      </c>
      <c r="D13" s="74">
        <v>7.5</v>
      </c>
      <c r="E13" s="70">
        <v>0.275729</v>
      </c>
      <c r="F13" s="65" t="s">
        <v>353</v>
      </c>
      <c r="G13" s="65" t="s">
        <v>160</v>
      </c>
      <c r="H13" s="68">
        <v>17701</v>
      </c>
      <c r="I13" s="94">
        <f>VLOOKUP(c_16[[#This Row],[hwycov_id]],flow0[],5,FALSE)</f>
        <v>20291</v>
      </c>
      <c r="J13" s="60">
        <f t="shared" si="0"/>
        <v>0.14631941698209139</v>
      </c>
      <c r="K13" s="81">
        <f t="shared" si="1"/>
        <v>6708100</v>
      </c>
      <c r="L13" s="61" t="e">
        <f>VLOOKUP(c_16[[#This Row],[hwycov_id]],count!$A$630:$E$652,5,FALSE)</f>
        <v>#N/A</v>
      </c>
      <c r="M13" s="81"/>
    </row>
    <row r="14" spans="1:35" ht="15" customHeight="1" x14ac:dyDescent="0.2">
      <c r="A14" s="59">
        <v>16</v>
      </c>
      <c r="B14" s="59" t="s">
        <v>352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14609</v>
      </c>
      <c r="I14" s="94">
        <f>VLOOKUP(c_16[[#This Row],[hwycov_id]],flow0[],5,FALSE)</f>
        <v>17239</v>
      </c>
      <c r="J14" s="60">
        <f t="shared" si="0"/>
        <v>0.18002601136285845</v>
      </c>
      <c r="K14" s="81">
        <f t="shared" si="1"/>
        <v>6916900</v>
      </c>
      <c r="L14" s="61" t="e">
        <f>VLOOKUP(c_16[[#This Row],[hwycov_id]],count!$A$630:$E$652,5,FALSE)</f>
        <v>#N/A</v>
      </c>
      <c r="M14" s="81"/>
    </row>
    <row r="15" spans="1:35" ht="15" customHeight="1" x14ac:dyDescent="0.2">
      <c r="A15" s="59">
        <v>16</v>
      </c>
      <c r="B15" s="59" t="s">
        <v>352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17400</v>
      </c>
      <c r="I15" s="94">
        <f>VLOOKUP(c_16[[#This Row],[hwycov_id]],flow0[],5,FALSE)</f>
        <v>17439</v>
      </c>
      <c r="J15" s="60">
        <f t="shared" si="0"/>
        <v>2.2413793103448487E-3</v>
      </c>
      <c r="K15" s="81">
        <f t="shared" si="1"/>
        <v>1521</v>
      </c>
      <c r="L15" s="61" t="e">
        <f>VLOOKUP(c_16[[#This Row],[hwycov_id]],count!$A$630:$E$652,5,FALSE)</f>
        <v>#N/A</v>
      </c>
      <c r="M15" s="81"/>
    </row>
    <row r="16" spans="1:35" ht="15" customHeight="1" x14ac:dyDescent="0.2">
      <c r="A16" s="59">
        <v>16</v>
      </c>
      <c r="B16" s="59" t="s">
        <v>352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15494</v>
      </c>
      <c r="I16" s="94">
        <f>VLOOKUP(c_16[[#This Row],[hwycov_id]],flow0[],5,FALSE)</f>
        <v>15109</v>
      </c>
      <c r="J16" s="60">
        <f t="shared" si="0"/>
        <v>-2.4848328385181362E-2</v>
      </c>
      <c r="K16" s="81">
        <f t="shared" si="1"/>
        <v>148225</v>
      </c>
      <c r="L16" s="61" t="e">
        <f>VLOOKUP(c_16[[#This Row],[hwycov_id]],count!$A$630:$E$652,5,FALSE)</f>
        <v>#N/A</v>
      </c>
      <c r="M16" s="81"/>
    </row>
    <row r="17" spans="1:16" ht="15" customHeight="1" x14ac:dyDescent="0.2">
      <c r="A17" s="59">
        <v>16</v>
      </c>
      <c r="B17" s="59" t="s">
        <v>352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12296</v>
      </c>
      <c r="I17" s="94">
        <f>VLOOKUP(c_16[[#This Row],[hwycov_id]],flow0[],5,FALSE)</f>
        <v>13370</v>
      </c>
      <c r="J17" s="60">
        <f t="shared" si="0"/>
        <v>8.7345478204294169E-2</v>
      </c>
      <c r="K17" s="81">
        <f t="shared" si="1"/>
        <v>1153476</v>
      </c>
      <c r="L17" s="61" t="e">
        <f>VLOOKUP(c_16[[#This Row],[hwycov_id]],count!$A$630:$E$652,5,FALSE)</f>
        <v>#N/A</v>
      </c>
      <c r="M17" s="81"/>
    </row>
    <row r="18" spans="1:16" ht="15" customHeight="1" x14ac:dyDescent="0.2">
      <c r="A18" s="59">
        <v>16</v>
      </c>
      <c r="B18" s="59" t="s">
        <v>352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14271</v>
      </c>
      <c r="I18" s="94">
        <f>VLOOKUP(c_16[[#This Row],[hwycov_id]],flow0[],5,FALSE)</f>
        <v>14548</v>
      </c>
      <c r="J18" s="60">
        <f t="shared" si="0"/>
        <v>1.9409992292060751E-2</v>
      </c>
      <c r="K18" s="81">
        <f t="shared" si="1"/>
        <v>76729</v>
      </c>
      <c r="L18" s="61" t="e">
        <f>VLOOKUP(c_16[[#This Row],[hwycov_id]],count!$A$630:$E$652,5,FALSE)</f>
        <v>#N/A</v>
      </c>
      <c r="M18" s="81"/>
    </row>
    <row r="19" spans="1:16" ht="15" customHeight="1" x14ac:dyDescent="0.2">
      <c r="A19" s="59">
        <v>16</v>
      </c>
      <c r="B19" s="59" t="s">
        <v>352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11619</v>
      </c>
      <c r="I19" s="94">
        <f>VLOOKUP(c_16[[#This Row],[hwycov_id]],flow0[],5,FALSE)</f>
        <v>11273</v>
      </c>
      <c r="J19" s="60">
        <f t="shared" si="0"/>
        <v>-2.9778810568895753E-2</v>
      </c>
      <c r="K19" s="81">
        <f t="shared" si="1"/>
        <v>119716</v>
      </c>
      <c r="L19" s="61" t="e">
        <f>VLOOKUP(c_16[[#This Row],[hwycov_id]],count!$A$630:$E$652,5,FALSE)</f>
        <v>#N/A</v>
      </c>
      <c r="M19" s="81"/>
    </row>
    <row r="20" spans="1:16" ht="15" customHeight="1" x14ac:dyDescent="0.2">
      <c r="A20" s="59">
        <v>16</v>
      </c>
      <c r="B20" s="59" t="s">
        <v>352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13550</v>
      </c>
      <c r="I20" s="94">
        <f>VLOOKUP(c_16[[#This Row],[hwycov_id]],flow0[],5,FALSE)</f>
        <v>12740</v>
      </c>
      <c r="J20" s="60">
        <f t="shared" si="0"/>
        <v>-5.9778597785977827E-2</v>
      </c>
      <c r="K20" s="81">
        <f t="shared" si="1"/>
        <v>656100</v>
      </c>
      <c r="L20" s="61" t="e">
        <f>VLOOKUP(c_16[[#This Row],[hwycov_id]],count!$A$630:$E$652,5,FALSE)</f>
        <v>#N/A</v>
      </c>
      <c r="M20" s="81"/>
    </row>
    <row r="21" spans="1:16" ht="15" customHeight="1" x14ac:dyDescent="0.2">
      <c r="A21" s="59">
        <v>16</v>
      </c>
      <c r="B21" s="59" t="s">
        <v>352</v>
      </c>
      <c r="C21" s="65">
        <v>12571</v>
      </c>
      <c r="D21" s="74">
        <v>15.9</v>
      </c>
      <c r="E21" s="70">
        <v>0.62539900000000004</v>
      </c>
      <c r="F21" s="65" t="s">
        <v>354</v>
      </c>
      <c r="G21" s="65" t="s">
        <v>154</v>
      </c>
      <c r="H21" s="68">
        <v>15506</v>
      </c>
      <c r="I21" s="94">
        <f>VLOOKUP(c_16[[#This Row],[hwycov_id]],flow0[],5,FALSE)</f>
        <v>14175</v>
      </c>
      <c r="J21" s="60">
        <f t="shared" si="0"/>
        <v>-8.5837740229588566E-2</v>
      </c>
      <c r="K21" s="81">
        <f t="shared" si="1"/>
        <v>1771561</v>
      </c>
      <c r="L21" s="61" t="e">
        <f>VLOOKUP(c_16[[#This Row],[hwycov_id]],count!$A$630:$E$652,5,FALSE)</f>
        <v>#N/A</v>
      </c>
      <c r="M21" s="81"/>
    </row>
    <row r="22" spans="1:16" ht="15" customHeight="1" x14ac:dyDescent="0.2">
      <c r="A22" s="59">
        <v>16</v>
      </c>
      <c r="B22" s="59" t="s">
        <v>352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11378</v>
      </c>
      <c r="I22" s="94">
        <f>VLOOKUP(c_16[[#This Row],[hwycov_id]],flow0[],5,FALSE)</f>
        <v>11398</v>
      </c>
      <c r="J22" s="60">
        <f t="shared" si="0"/>
        <v>1.7577781683950633E-3</v>
      </c>
      <c r="K22" s="81">
        <f t="shared" si="1"/>
        <v>400</v>
      </c>
      <c r="L22" s="61" t="e">
        <f>VLOOKUP(c_16[[#This Row],[hwycov_id]],count!$A$630:$E$652,5,FALSE)</f>
        <v>#N/A</v>
      </c>
      <c r="M22" s="81"/>
    </row>
    <row r="23" spans="1:16" ht="15" customHeight="1" x14ac:dyDescent="0.2">
      <c r="A23" s="59">
        <v>16</v>
      </c>
      <c r="B23" s="59" t="s">
        <v>352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13713</v>
      </c>
      <c r="I23" s="94">
        <f>VLOOKUP(c_16[[#This Row],[hwycov_id]],flow0[],5,FALSE)</f>
        <v>12449</v>
      </c>
      <c r="J23" s="60">
        <f t="shared" si="0"/>
        <v>-9.217530810180119E-2</v>
      </c>
      <c r="K23" s="81">
        <f t="shared" si="1"/>
        <v>1597696</v>
      </c>
      <c r="L23" s="61" t="e">
        <f>VLOOKUP(c_16[[#This Row],[hwycov_id]],count!$A$630:$E$652,5,FALSE)</f>
        <v>#N/A</v>
      </c>
      <c r="M23" s="81"/>
    </row>
    <row r="24" spans="1:16" ht="15" customHeight="1" x14ac:dyDescent="0.2">
      <c r="A24" s="59">
        <v>16</v>
      </c>
      <c r="B24" s="59" t="s">
        <v>352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11505</v>
      </c>
      <c r="I24" s="94">
        <f>VLOOKUP(c_16[[#This Row],[hwycov_id]],flow0[],5,FALSE)</f>
        <v>11072</v>
      </c>
      <c r="J24" s="60">
        <f t="shared" si="0"/>
        <v>-3.7635810517166468E-2</v>
      </c>
      <c r="K24" s="81">
        <f t="shared" si="1"/>
        <v>187489</v>
      </c>
      <c r="L24" s="61" t="e">
        <f>VLOOKUP(c_16[[#This Row],[hwycov_id]],count!$A$630:$E$652,5,FALSE)</f>
        <v>#N/A</v>
      </c>
      <c r="M24" s="81"/>
    </row>
    <row r="25" spans="1:16" ht="15" customHeight="1" x14ac:dyDescent="0.2">
      <c r="A25" s="59">
        <v>16</v>
      </c>
      <c r="B25" s="59" t="s">
        <v>352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11342</v>
      </c>
      <c r="I25" s="94">
        <f>VLOOKUP(c_16[[#This Row],[hwycov_id]],flow0[],5,FALSE)</f>
        <v>11972</v>
      </c>
      <c r="J25" s="60">
        <f t="shared" si="0"/>
        <v>5.5545759125374738E-2</v>
      </c>
      <c r="K25" s="81">
        <f t="shared" si="1"/>
        <v>396900</v>
      </c>
      <c r="L25" s="61" t="e">
        <f>VLOOKUP(c_16[[#This Row],[hwycov_id]],count!$A$630:$E$652,5,FALSE)</f>
        <v>#N/A</v>
      </c>
      <c r="M25" s="81"/>
    </row>
    <row r="26" spans="1:16" s="421" customFormat="1" ht="15" hidden="1" customHeight="1" x14ac:dyDescent="0.2">
      <c r="A26" s="421">
        <v>16</v>
      </c>
      <c r="B26" s="421" t="s">
        <v>352</v>
      </c>
      <c r="C26" s="422">
        <v>16564</v>
      </c>
      <c r="D26" s="423">
        <v>13.44</v>
      </c>
      <c r="E26" s="424">
        <v>0.52047200000000005</v>
      </c>
      <c r="F26" s="422" t="s">
        <v>156</v>
      </c>
      <c r="G26" s="422" t="s">
        <v>156</v>
      </c>
      <c r="H26" s="425">
        <v>16037</v>
      </c>
      <c r="I26" s="425" t="e">
        <f>VLOOKUP(c_16[[#This Row],[hwycov_id]],flow0[],5,FALSE)</f>
        <v>#VALUE!</v>
      </c>
      <c r="J26" s="426" t="e">
        <f t="shared" si="0"/>
        <v>#VALUE!</v>
      </c>
      <c r="K26" s="427" t="e">
        <f t="shared" si="1"/>
        <v>#VALUE!</v>
      </c>
      <c r="L26" s="427" t="e">
        <f>VLOOKUP(c_16[[#This Row],[hwycov_id]],count!$A$630:$E$652,5,FALSE)</f>
        <v>#VALUE!</v>
      </c>
      <c r="M26" s="427"/>
      <c r="N26" s="426"/>
      <c r="O26" s="442"/>
      <c r="P26" s="442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  <row r="79" spans="11:13" ht="15" customHeight="1" x14ac:dyDescent="0.2">
      <c r="K79" s="81"/>
      <c r="L79" s="81"/>
    </row>
    <row r="80" spans="11:13" ht="15" customHeight="1" x14ac:dyDescent="0.2">
      <c r="K80" s="81"/>
      <c r="L80" s="81"/>
    </row>
    <row r="81" spans="11:12" ht="15" customHeight="1" x14ac:dyDescent="0.2">
      <c r="K81" s="81"/>
      <c r="L81" s="81"/>
    </row>
  </sheetData>
  <conditionalFormatting sqref="N2:N20 J19:J1048576">
    <cfRule type="cellIs" dxfId="271" priority="9" operator="lessThan">
      <formula>-0.2</formula>
    </cfRule>
    <cfRule type="cellIs" dxfId="270" priority="10" operator="greaterThan">
      <formula>0.2</formula>
    </cfRule>
  </conditionalFormatting>
  <conditionalFormatting sqref="J2:J12 J14:J18">
    <cfRule type="cellIs" dxfId="269" priority="5" operator="lessThan">
      <formula>-0.2</formula>
    </cfRule>
    <cfRule type="cellIs" dxfId="268" priority="6" operator="greaterThan">
      <formula>0.2</formula>
    </cfRule>
  </conditionalFormatting>
  <conditionalFormatting sqref="N1">
    <cfRule type="cellIs" dxfId="267" priority="1" operator="lessThan">
      <formula>-0.2</formula>
    </cfRule>
    <cfRule type="cellIs" dxfId="26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M31" sqref="M31"/>
    </sheetView>
  </sheetViews>
  <sheetFormatPr defaultRowHeight="15" customHeight="1" x14ac:dyDescent="0.2"/>
  <cols>
    <col min="1" max="1" width="9.85546875" style="59" bestFit="1" customWidth="1"/>
    <col min="2" max="2" width="9.28515625" style="59" customWidth="1"/>
    <col min="3" max="3" width="12.140625" style="59" bestFit="1" customWidth="1"/>
    <col min="4" max="4" width="8" style="61" bestFit="1" customWidth="1"/>
    <col min="5" max="5" width="8.85546875" style="69" hidden="1" customWidth="1"/>
    <col min="6" max="6" width="21" style="59" bestFit="1" customWidth="1"/>
    <col min="7" max="7" width="18.28515625" style="59" bestFit="1" customWidth="1"/>
    <col min="8" max="8" width="8" style="61" bestFit="1" customWidth="1"/>
    <col min="9" max="9" width="7.85546875" style="89" bestFit="1" customWidth="1"/>
    <col min="10" max="10" width="7.8554687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SQRT(AVERAGE(c_17[x2]))/AVERAGE(c_17[count])</f>
        <v>0.42529887507568226</v>
      </c>
      <c r="O1" s="136">
        <f>LINEST(c_17[flow],c_17[count],FALSE)</f>
        <v>1.2950561248142922</v>
      </c>
      <c r="P1" s="136">
        <f>RSQ(c_17[flow],c_17[count])</f>
        <v>0.11040659288359453</v>
      </c>
      <c r="Q1" s="43">
        <f>IFERROR(AVERAGEIF(c_17[gap],"&gt;=0",c_17[gap]),0)</f>
        <v>0.38656841458520586</v>
      </c>
      <c r="R1" s="44">
        <f>IFERROR(AVERAGEIF(c_17[gap],"&lt;0",c_17[gap]),0)</f>
        <v>-7.3076044759077363E-2</v>
      </c>
      <c r="S1" s="14">
        <f>AVERAGE(c_17[gap])</f>
        <v>0.35784063587618808</v>
      </c>
      <c r="T1" s="42">
        <f>COUNTIFS(c_17[gap],"&lt;10%",c_17[gap],"&gt;=-10%")/COUNTA(c_17[gap])</f>
        <v>0.375</v>
      </c>
      <c r="U1" s="42">
        <f>COUNTIFS(c_17[gap],"&lt;20%",c_17[gap],"&gt;=-20%")/COUNTA(c_17[gap])</f>
        <v>0.5</v>
      </c>
      <c r="V1" s="42">
        <f>COUNTIFS(c_17[gap],"&lt;30%",c_17[gap],"&gt;=-30%")/COUNTA(c_17[gap])</f>
        <v>0.5625</v>
      </c>
      <c r="W1" s="43">
        <f>COUNTIF(c_17[gap],"&gt;=0")/COUNTA(c_17[gap])</f>
        <v>0.9375</v>
      </c>
      <c r="X1" s="45">
        <f>COUNTIF(c_17[gap],"&lt;0")/COUNTA(c_17[gap])</f>
        <v>6.25E-2</v>
      </c>
      <c r="Y1" s="76" t="str">
        <f>"%Link(+)="&amp;TEXT(W1,"0%")</f>
        <v>%Link(+)=94%</v>
      </c>
      <c r="Z1" s="76" t="str">
        <f>"%Link(-)="&amp;TEXT(X1,"0%")</f>
        <v>%Link(-)=6%</v>
      </c>
      <c r="AA1" s="73" t="str">
        <f>"AvgGap(+)="&amp;TEXT(Q1,"0%")</f>
        <v>AvgGap(+)=39%</v>
      </c>
      <c r="AB1" s="59" t="str">
        <f>"AvgGap(-)="&amp;TEXT(R1,"0%")</f>
        <v>AvgGap(-)=-7%</v>
      </c>
      <c r="AC1" s="59" t="str">
        <f>"AvgGap(±)="&amp;TEXT(S1,"0%")</f>
        <v>AvgGap(±)=36%</v>
      </c>
      <c r="AD1" s="59" t="str">
        <f>"GapIn(±10%)="&amp;TEXT(T1,"0%")</f>
        <v>GapIn(±10%)=38%</v>
      </c>
      <c r="AE1" s="59" t="str">
        <f>"GapIn(±20%)="&amp;TEXT(U1,"0%")</f>
        <v>GapIn(±20%)=50%</v>
      </c>
      <c r="AF1" s="59" t="str">
        <f>"GapIn(±30%)="&amp;TEXT(V1,"0%")</f>
        <v>GapIn(±30%)=56%</v>
      </c>
      <c r="AG1" s="59" t="str">
        <f>"Linear Slope="&amp;TEXT(O1,"#.###")</f>
        <v>Linear Slope=1.295</v>
      </c>
      <c r="AH1" s="59" t="str">
        <f>"RMSE="&amp;TEXT(N1,"0%")</f>
        <v>RMSE=43%</v>
      </c>
      <c r="AI1" s="59" t="str">
        <f>CONCATENATE(Y1," ",Z1," ",AA1,"  ",AB1,"  ",AC1,"  ",AD1," ",AE1,"  ",AF1,"  ",AG1," ",AH1)</f>
        <v>%Link(+)=94% %Link(-)=6% AvgGap(+)=39%  AvgGap(-)=-7%  AvgGap(±)=36%  GapIn(±10%)=38% GapIn(±20%)=50%  GapIn(±30%)=56%  Linear Slope=1.295 RMSE=43%</v>
      </c>
    </row>
    <row r="2" spans="1:35" ht="15" customHeight="1" x14ac:dyDescent="0.2">
      <c r="A2" s="59">
        <v>17</v>
      </c>
      <c r="B2" s="59" t="s">
        <v>355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356</v>
      </c>
      <c r="H2" s="68">
        <v>8170</v>
      </c>
      <c r="I2" s="94">
        <f>VLOOKUP(c_17[[#This Row],[hwycov_id]],flow0[],5,FALSE)</f>
        <v>8977</v>
      </c>
      <c r="J2" s="60">
        <f t="shared" ref="J2:J18" si="0">I2/H2-1</f>
        <v>9.8776009791921693E-2</v>
      </c>
      <c r="K2" s="81">
        <f t="shared" ref="K2:K18" si="1">POWER((I2-H2),2)</f>
        <v>651249</v>
      </c>
      <c r="L2" s="61" t="e">
        <f>VLOOKUP(c_17[[#This Row],[hwycov_id]],count!$A$630:$E$652,5,FALSE)</f>
        <v>#N/A</v>
      </c>
      <c r="M2" s="81"/>
    </row>
    <row r="3" spans="1:35" ht="15" customHeight="1" x14ac:dyDescent="0.2">
      <c r="A3" s="59">
        <v>17</v>
      </c>
      <c r="B3" s="59" t="s">
        <v>355</v>
      </c>
      <c r="C3" s="65">
        <v>27241</v>
      </c>
      <c r="D3" s="61">
        <v>1.84</v>
      </c>
      <c r="E3" s="70">
        <v>0.51246700000000001</v>
      </c>
      <c r="F3" s="65" t="s">
        <v>356</v>
      </c>
      <c r="G3" s="65" t="s">
        <v>357</v>
      </c>
      <c r="H3" s="68">
        <v>8710</v>
      </c>
      <c r="I3" s="94">
        <f>VLOOKUP(c_17[[#This Row],[hwycov_id]],flow0[],5,FALSE)</f>
        <v>9371</v>
      </c>
      <c r="J3" s="60">
        <f t="shared" si="0"/>
        <v>7.5889781859931116E-2</v>
      </c>
      <c r="K3" s="81">
        <f t="shared" si="1"/>
        <v>436921</v>
      </c>
      <c r="L3" s="61" t="e">
        <f>VLOOKUP(c_17[[#This Row],[hwycov_id]],count!$A$630:$E$652,5,FALSE)</f>
        <v>#N/A</v>
      </c>
      <c r="M3" s="81"/>
    </row>
    <row r="4" spans="1:35" ht="15" customHeight="1" x14ac:dyDescent="0.2">
      <c r="A4" s="59">
        <v>17</v>
      </c>
      <c r="B4" s="59" t="s">
        <v>355</v>
      </c>
      <c r="C4" s="65">
        <v>15277</v>
      </c>
      <c r="D4" s="61">
        <v>3.23</v>
      </c>
      <c r="E4" s="70">
        <v>0.50083900000000003</v>
      </c>
      <c r="F4" s="65" t="s">
        <v>358</v>
      </c>
      <c r="G4" s="65" t="s">
        <v>359</v>
      </c>
      <c r="H4" s="68">
        <v>7448</v>
      </c>
      <c r="I4" s="94">
        <f>VLOOKUP(c_17[[#This Row],[hwycov_id]],flow0[],5,FALSE)</f>
        <v>11226</v>
      </c>
      <c r="J4" s="60">
        <f t="shared" si="0"/>
        <v>0.50725026852846411</v>
      </c>
      <c r="K4" s="81">
        <f t="shared" si="1"/>
        <v>14273284</v>
      </c>
      <c r="L4" s="61" t="e">
        <f>VLOOKUP(c_17[[#This Row],[hwycov_id]],count!$A$630:$E$652,5,FALSE)</f>
        <v>#N/A</v>
      </c>
      <c r="M4" s="81"/>
    </row>
    <row r="5" spans="1:35" ht="15" customHeight="1" x14ac:dyDescent="0.2">
      <c r="A5" s="59">
        <v>17</v>
      </c>
      <c r="B5" s="59" t="s">
        <v>355</v>
      </c>
      <c r="C5" s="65">
        <v>11123</v>
      </c>
      <c r="D5" s="61">
        <v>3.7</v>
      </c>
      <c r="E5" s="70">
        <v>0.469912</v>
      </c>
      <c r="F5" s="65" t="s">
        <v>359</v>
      </c>
      <c r="G5" s="65" t="s">
        <v>197</v>
      </c>
      <c r="H5" s="68">
        <v>7477</v>
      </c>
      <c r="I5" s="94">
        <f>VLOOKUP(c_17[[#This Row],[hwycov_id]],flow0[],5,FALSE)</f>
        <v>11226</v>
      </c>
      <c r="J5" s="60">
        <f t="shared" si="0"/>
        <v>0.50140430654005619</v>
      </c>
      <c r="K5" s="81">
        <f t="shared" si="1"/>
        <v>14055001</v>
      </c>
      <c r="L5" s="61" t="e">
        <f>VLOOKUP(c_17[[#This Row],[hwycov_id]],count!$A$630:$E$652,5,FALSE)</f>
        <v>#N/A</v>
      </c>
      <c r="M5" s="81"/>
    </row>
    <row r="6" spans="1:35" ht="15" customHeight="1" x14ac:dyDescent="0.2">
      <c r="A6" s="59">
        <v>17</v>
      </c>
      <c r="B6" s="59" t="s">
        <v>355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6319</v>
      </c>
      <c r="I6" s="94">
        <f>VLOOKUP(c_17[[#This Row],[hwycov_id]],flow0[],5,FALSE)</f>
        <v>10821</v>
      </c>
      <c r="J6" s="60">
        <f t="shared" si="0"/>
        <v>0.71245450229466689</v>
      </c>
      <c r="K6" s="81">
        <f t="shared" si="1"/>
        <v>20268004</v>
      </c>
      <c r="L6" s="61" t="e">
        <f>VLOOKUP(c_17[[#This Row],[hwycov_id]],count!$A$630:$E$652,5,FALSE)</f>
        <v>#N/A</v>
      </c>
      <c r="M6" s="81"/>
    </row>
    <row r="7" spans="1:35" ht="15" customHeight="1" x14ac:dyDescent="0.2">
      <c r="A7" s="59">
        <v>17</v>
      </c>
      <c r="B7" s="59" t="s">
        <v>355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7702</v>
      </c>
      <c r="I7" s="94">
        <f>VLOOKUP(c_17[[#This Row],[hwycov_id]],flow0[],5,FALSE)</f>
        <v>13450</v>
      </c>
      <c r="J7" s="60">
        <f t="shared" si="0"/>
        <v>0.74629966242534396</v>
      </c>
      <c r="K7" s="81">
        <f t="shared" si="1"/>
        <v>33039504</v>
      </c>
      <c r="L7" s="61" t="e">
        <f>VLOOKUP(c_17[[#This Row],[hwycov_id]],count!$A$630:$E$652,5,FALSE)</f>
        <v>#N/A</v>
      </c>
      <c r="M7" s="81"/>
    </row>
    <row r="8" spans="1:35" ht="15" customHeight="1" x14ac:dyDescent="0.2">
      <c r="A8" s="59">
        <v>17</v>
      </c>
      <c r="B8" s="59" t="s">
        <v>355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7547</v>
      </c>
      <c r="I8" s="94">
        <f>VLOOKUP(c_17[[#This Row],[hwycov_id]],flow0[],5,FALSE)</f>
        <v>13450</v>
      </c>
      <c r="J8" s="60">
        <f t="shared" si="0"/>
        <v>0.78216509871472106</v>
      </c>
      <c r="K8" s="81">
        <f t="shared" si="1"/>
        <v>34845409</v>
      </c>
      <c r="L8" s="61" t="e">
        <f>VLOOKUP(c_17[[#This Row],[hwycov_id]],count!$A$630:$E$652,5,FALSE)</f>
        <v>#N/A</v>
      </c>
      <c r="M8" s="81"/>
    </row>
    <row r="9" spans="1:35" ht="15" customHeight="1" x14ac:dyDescent="0.2">
      <c r="A9" s="59">
        <v>17</v>
      </c>
      <c r="B9" s="59" t="s">
        <v>355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7928</v>
      </c>
      <c r="I9" s="94">
        <f>VLOOKUP(c_17[[#This Row],[hwycov_id]],flow0[],5,FALSE)</f>
        <v>14515</v>
      </c>
      <c r="J9" s="60">
        <f t="shared" si="0"/>
        <v>0.83085267406659935</v>
      </c>
      <c r="K9" s="81">
        <f t="shared" si="1"/>
        <v>43388569</v>
      </c>
      <c r="L9" s="61" t="e">
        <f>VLOOKUP(c_17[[#This Row],[hwycov_id]],count!$A$630:$E$652,5,FALSE)</f>
        <v>#N/A</v>
      </c>
      <c r="M9" s="81"/>
    </row>
    <row r="10" spans="1:35" ht="15" customHeight="1" x14ac:dyDescent="0.2">
      <c r="A10" s="59">
        <v>17</v>
      </c>
      <c r="B10" s="59" t="s">
        <v>355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8432</v>
      </c>
      <c r="I10" s="94">
        <f>VLOOKUP(c_17[[#This Row],[hwycov_id]],flow0[],5,FALSE)</f>
        <v>14515</v>
      </c>
      <c r="J10" s="60">
        <f t="shared" si="0"/>
        <v>0.72141840607210628</v>
      </c>
      <c r="K10" s="81">
        <f t="shared" si="1"/>
        <v>37002889</v>
      </c>
      <c r="L10" s="61" t="e">
        <f>VLOOKUP(c_17[[#This Row],[hwycov_id]],count!$A$630:$E$652,5,FALSE)</f>
        <v>#N/A</v>
      </c>
      <c r="M10" s="81"/>
    </row>
    <row r="11" spans="1:35" ht="15" customHeight="1" x14ac:dyDescent="0.2">
      <c r="A11" s="59">
        <v>17</v>
      </c>
      <c r="B11" s="59" t="s">
        <v>355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6012</v>
      </c>
      <c r="I11" s="94">
        <f>VLOOKUP(c_17[[#This Row],[hwycov_id]],flow0[],5,FALSE)</f>
        <v>7752</v>
      </c>
      <c r="J11" s="60">
        <f t="shared" si="0"/>
        <v>0.28942115768463084</v>
      </c>
      <c r="K11" s="81">
        <f t="shared" si="1"/>
        <v>3027600</v>
      </c>
      <c r="L11" s="61" t="e">
        <f>VLOOKUP(c_17[[#This Row],[hwycov_id]],count!$A$630:$E$652,5,FALSE)</f>
        <v>#N/A</v>
      </c>
      <c r="M11" s="81"/>
    </row>
    <row r="12" spans="1:35" ht="15" customHeight="1" x14ac:dyDescent="0.2">
      <c r="A12" s="59">
        <v>17</v>
      </c>
      <c r="B12" s="59" t="s">
        <v>355</v>
      </c>
      <c r="C12" s="65">
        <v>24091</v>
      </c>
      <c r="D12" s="61">
        <v>11.74</v>
      </c>
      <c r="E12" s="70">
        <v>0.39160200000000001</v>
      </c>
      <c r="F12" s="65" t="s">
        <v>360</v>
      </c>
      <c r="G12" s="65" t="s">
        <v>360</v>
      </c>
      <c r="H12" s="68">
        <v>11348</v>
      </c>
      <c r="I12" s="94">
        <f>VLOOKUP(c_17[[#This Row],[hwycov_id]],flow0[],5,FALSE)</f>
        <v>13596</v>
      </c>
      <c r="J12" s="60">
        <f t="shared" si="0"/>
        <v>0.1980965808953119</v>
      </c>
      <c r="K12" s="81">
        <f t="shared" si="1"/>
        <v>5053504</v>
      </c>
      <c r="L12" s="61" t="e">
        <f>VLOOKUP(c_17[[#This Row],[hwycov_id]],count!$A$630:$E$652,5,FALSE)</f>
        <v>#N/A</v>
      </c>
      <c r="M12" s="81"/>
    </row>
    <row r="13" spans="1:35" ht="15" customHeight="1" x14ac:dyDescent="0.2">
      <c r="A13" s="59">
        <v>17</v>
      </c>
      <c r="B13" s="59" t="s">
        <v>355</v>
      </c>
      <c r="C13" s="65">
        <v>11106</v>
      </c>
      <c r="D13" s="61">
        <v>12.11</v>
      </c>
      <c r="E13" s="70">
        <v>0.371417</v>
      </c>
      <c r="F13" s="65" t="s">
        <v>360</v>
      </c>
      <c r="G13" s="65" t="s">
        <v>360</v>
      </c>
      <c r="H13" s="68">
        <v>11783</v>
      </c>
      <c r="I13" s="94">
        <f>VLOOKUP(c_17[[#This Row],[hwycov_id]],flow0[],5,FALSE)</f>
        <v>13596</v>
      </c>
      <c r="J13" s="60">
        <f t="shared" si="0"/>
        <v>0.15386573877620302</v>
      </c>
      <c r="K13" s="81">
        <f t="shared" si="1"/>
        <v>3286969</v>
      </c>
      <c r="L13" s="61" t="e">
        <f>VLOOKUP(c_17[[#This Row],[hwycov_id]],count!$A$630:$E$652,5,FALSE)</f>
        <v>#N/A</v>
      </c>
      <c r="M13" s="81"/>
    </row>
    <row r="14" spans="1:35" ht="15" customHeight="1" x14ac:dyDescent="0.2">
      <c r="A14" s="59">
        <v>17</v>
      </c>
      <c r="B14" s="59" t="s">
        <v>355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11107</v>
      </c>
      <c r="I14" s="94">
        <f>VLOOKUP(c_17[[#This Row],[hwycov_id]],flow0[],5,FALSE)</f>
        <v>12033</v>
      </c>
      <c r="J14" s="60">
        <f t="shared" si="0"/>
        <v>8.3370847213468879E-2</v>
      </c>
      <c r="K14" s="81">
        <f t="shared" si="1"/>
        <v>857476</v>
      </c>
      <c r="L14" s="61" t="e">
        <f>VLOOKUP(c_17[[#This Row],[hwycov_id]],count!$A$630:$E$652,5,FALSE)</f>
        <v>#N/A</v>
      </c>
      <c r="M14" s="81"/>
    </row>
    <row r="15" spans="1:35" ht="15" customHeight="1" x14ac:dyDescent="0.2">
      <c r="A15" s="59">
        <v>17</v>
      </c>
      <c r="B15" s="59" t="s">
        <v>355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8758</v>
      </c>
      <c r="I15" s="94">
        <f>VLOOKUP(c_17[[#This Row],[hwycov_id]],flow0[],5,FALSE)</f>
        <v>8118</v>
      </c>
      <c r="J15" s="60">
        <f t="shared" si="0"/>
        <v>-7.3076044759077363E-2</v>
      </c>
      <c r="K15" s="81">
        <f t="shared" si="1"/>
        <v>409600</v>
      </c>
      <c r="L15" s="61" t="e">
        <f>VLOOKUP(c_17[[#This Row],[hwycov_id]],count!$A$630:$E$652,5,FALSE)</f>
        <v>#N/A</v>
      </c>
      <c r="M15" s="81"/>
    </row>
    <row r="16" spans="1:35" ht="15" customHeight="1" x14ac:dyDescent="0.2">
      <c r="A16" s="59">
        <v>17</v>
      </c>
      <c r="B16" s="59" t="s">
        <v>355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10159</v>
      </c>
      <c r="I16" s="94">
        <f>VLOOKUP(c_17[[#This Row],[hwycov_id]],flow0[],5,FALSE)</f>
        <v>10214</v>
      </c>
      <c r="J16" s="60">
        <f t="shared" si="0"/>
        <v>5.413918692784625E-3</v>
      </c>
      <c r="K16" s="81">
        <f t="shared" si="1"/>
        <v>3025</v>
      </c>
      <c r="L16" s="61" t="e">
        <f>VLOOKUP(c_17[[#This Row],[hwycov_id]],count!$A$630:$E$652,5,FALSE)</f>
        <v>#N/A</v>
      </c>
      <c r="M16" s="81"/>
    </row>
    <row r="17" spans="1:16" ht="15" customHeight="1" x14ac:dyDescent="0.2">
      <c r="A17" s="59">
        <v>17</v>
      </c>
      <c r="B17" s="59" t="s">
        <v>355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7752</v>
      </c>
      <c r="I17" s="94">
        <f>VLOOKUP(c_17[[#This Row],[hwycov_id]],flow0[],5,FALSE)</f>
        <v>8464</v>
      </c>
      <c r="J17" s="60">
        <f t="shared" si="0"/>
        <v>9.1847265221878249E-2</v>
      </c>
      <c r="K17" s="81">
        <f t="shared" si="1"/>
        <v>506944</v>
      </c>
      <c r="L17" s="61" t="e">
        <f>VLOOKUP(c_17[[#This Row],[hwycov_id]],count!$A$630:$E$652,5,FALSE)</f>
        <v>#N/A</v>
      </c>
      <c r="M17" s="81"/>
    </row>
    <row r="18" spans="1:16" s="421" customFormat="1" ht="15" hidden="1" customHeight="1" x14ac:dyDescent="0.2">
      <c r="A18" s="421">
        <v>17</v>
      </c>
      <c r="B18" s="421" t="s">
        <v>355</v>
      </c>
      <c r="C18" s="422">
        <v>11100</v>
      </c>
      <c r="D18" s="427">
        <v>13.72</v>
      </c>
      <c r="E18" s="424">
        <v>0.67438900000000002</v>
      </c>
      <c r="F18" s="422" t="s">
        <v>19</v>
      </c>
      <c r="G18" s="422" t="s">
        <v>19</v>
      </c>
      <c r="H18" s="425">
        <v>8072</v>
      </c>
      <c r="I18" s="425" t="e">
        <f>VLOOKUP(c_17[[#This Row],[hwycov_id]],flow0[],5,FALSE)</f>
        <v>#VALUE!</v>
      </c>
      <c r="J18" s="426" t="e">
        <f t="shared" si="0"/>
        <v>#VALUE!</v>
      </c>
      <c r="K18" s="427" t="e">
        <f t="shared" si="1"/>
        <v>#VALUE!</v>
      </c>
      <c r="L18" s="427" t="e">
        <f>VLOOKUP(c_17[[#This Row],[hwycov_id]],count!$A$630:$E$652,5,FALSE)</f>
        <v>#VALUE!</v>
      </c>
      <c r="M18" s="427"/>
      <c r="N18" s="426"/>
      <c r="O18" s="442"/>
      <c r="P18" s="442"/>
    </row>
    <row r="19" spans="1:16" ht="15" customHeight="1" x14ac:dyDescent="0.2">
      <c r="K19" s="81"/>
      <c r="L19" s="81"/>
      <c r="M19" s="81"/>
    </row>
    <row r="20" spans="1:16" ht="15" customHeight="1" x14ac:dyDescent="0.2">
      <c r="K20" s="81"/>
      <c r="L20" s="81"/>
      <c r="M20" s="81"/>
    </row>
    <row r="21" spans="1:16" ht="15" customHeight="1" x14ac:dyDescent="0.2">
      <c r="K21" s="81"/>
      <c r="L21" s="81"/>
      <c r="M21" s="81"/>
    </row>
    <row r="22" spans="1:16" ht="15" customHeight="1" x14ac:dyDescent="0.2">
      <c r="K22" s="81"/>
      <c r="L22" s="81"/>
      <c r="M22" s="81"/>
    </row>
    <row r="23" spans="1:16" ht="15" customHeight="1" x14ac:dyDescent="0.2">
      <c r="K23" s="81"/>
      <c r="L23" s="81"/>
      <c r="M23" s="81"/>
    </row>
    <row r="24" spans="1:16" ht="15" customHeight="1" x14ac:dyDescent="0.2">
      <c r="K24" s="81"/>
      <c r="L24" s="81"/>
      <c r="M24" s="81"/>
    </row>
    <row r="25" spans="1:16" ht="15" customHeight="1" x14ac:dyDescent="0.2">
      <c r="K25" s="81"/>
      <c r="L25" s="81"/>
      <c r="M25" s="81"/>
    </row>
    <row r="26" spans="1:16" ht="15" customHeight="1" x14ac:dyDescent="0.2">
      <c r="K26" s="81"/>
      <c r="L26" s="81"/>
      <c r="M26" s="81"/>
    </row>
    <row r="27" spans="1:16" ht="15" customHeight="1" x14ac:dyDescent="0.2">
      <c r="K27" s="81"/>
      <c r="L27" s="81"/>
      <c r="M27" s="81"/>
    </row>
    <row r="28" spans="1:16" ht="15" customHeight="1" x14ac:dyDescent="0.2">
      <c r="K28" s="81"/>
      <c r="L28" s="81"/>
      <c r="M28" s="81"/>
    </row>
    <row r="29" spans="1:16" ht="15" customHeight="1" x14ac:dyDescent="0.2">
      <c r="K29" s="81"/>
      <c r="L29" s="81"/>
      <c r="M29" s="81"/>
    </row>
    <row r="30" spans="1:16" ht="15" customHeight="1" x14ac:dyDescent="0.2">
      <c r="K30" s="81"/>
      <c r="L30" s="81"/>
      <c r="M30" s="81"/>
    </row>
    <row r="31" spans="1:16" ht="15" customHeight="1" x14ac:dyDescent="0.2">
      <c r="K31" s="81"/>
      <c r="L31" s="81"/>
      <c r="M31" s="81"/>
    </row>
    <row r="32" spans="1:16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</row>
    <row r="67" spans="11:13" ht="15" customHeight="1" x14ac:dyDescent="0.2">
      <c r="K67" s="81"/>
      <c r="L67" s="81"/>
    </row>
    <row r="68" spans="11:13" ht="15" customHeight="1" x14ac:dyDescent="0.2">
      <c r="K68" s="81"/>
      <c r="L68" s="81"/>
    </row>
    <row r="69" spans="11:13" ht="15" customHeight="1" x14ac:dyDescent="0.2">
      <c r="K69" s="81"/>
      <c r="L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</sheetData>
  <conditionalFormatting sqref="N2:N8 J9:J1048576">
    <cfRule type="cellIs" dxfId="251" priority="9" operator="lessThan">
      <formula>-0.2</formula>
    </cfRule>
    <cfRule type="cellIs" dxfId="250" priority="10" operator="greaterThan">
      <formula>0.2</formula>
    </cfRule>
  </conditionalFormatting>
  <conditionalFormatting sqref="J2:J17">
    <cfRule type="cellIs" dxfId="249" priority="5" operator="lessThan">
      <formula>-0.2</formula>
    </cfRule>
    <cfRule type="cellIs" dxfId="248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1" width="9.7109375" style="59" bestFit="1" customWidth="1"/>
    <col min="2" max="2" width="9.140625" style="59" customWidth="1"/>
    <col min="3" max="3" width="12" style="59" bestFit="1" customWidth="1"/>
    <col min="4" max="4" width="7.85546875" style="74" bestFit="1" customWidth="1"/>
    <col min="5" max="5" width="8.85546875" style="69" hidden="1" customWidth="1"/>
    <col min="6" max="6" width="17" style="59" bestFit="1" customWidth="1"/>
    <col min="7" max="7" width="17.140625" style="59" bestFit="1" customWidth="1"/>
    <col min="8" max="8" width="7.85546875" style="61" bestFit="1" customWidth="1"/>
    <col min="9" max="9" width="7.140625" style="89" bestFit="1" customWidth="1"/>
    <col min="10" max="10" width="6.42578125" style="60" bestFit="1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SQRT(AVERAGE(c_18[x2]))/AVERAGE(c_18[count])</f>
        <v>0.21254698947262207</v>
      </c>
      <c r="O1" s="136">
        <f>LINEST(c_18[flow],c_18[count],FALSE)</f>
        <v>0.79633831700418112</v>
      </c>
      <c r="P1" s="136">
        <f>RSQ(c_18[flow],c_18[count])</f>
        <v>0.62871766516256611</v>
      </c>
      <c r="Q1" s="43">
        <f>IFERROR(AVERAGEIF(c_18[gap],"&gt;=0",c_18[gap]),0)</f>
        <v>0</v>
      </c>
      <c r="R1" s="44">
        <f>IFERROR(AVERAGEIF(c_18[gap],"&lt;0",c_18[gap]),0)</f>
        <v>-0.19720663528450463</v>
      </c>
      <c r="S1" s="14">
        <f>AVERAGE(c_18[gap])</f>
        <v>-0.19720663528450463</v>
      </c>
      <c r="T1" s="42">
        <f>COUNTIFS(c_18[gap],"&lt;10%",c_18[gap],"&gt;=-10%")/COUNTA(c_18[gap])</f>
        <v>0.16666666666666666</v>
      </c>
      <c r="U1" s="42">
        <f>COUNTIFS(c_18[gap],"&lt;20%",c_18[gap],"&gt;=-20%")/COUNTA(c_18[gap])</f>
        <v>0.33333333333333331</v>
      </c>
      <c r="V1" s="42">
        <f>COUNTIFS(c_18[gap],"&lt;30%",c_18[gap],"&gt;=-30%")/COUNTA(c_18[gap])</f>
        <v>1</v>
      </c>
      <c r="W1" s="43">
        <f>COUNTIF(c_18[gap],"&gt;=0")/COUNTA(c_18[gap])</f>
        <v>0</v>
      </c>
      <c r="X1" s="45">
        <f>COUNTIF(c_18[gap],"&lt;0")/COUNTA(c_18[gap])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AvgGap(-)=-20%</v>
      </c>
      <c r="AC1" s="59" t="str">
        <f>"AvgGap(±)="&amp;TEXT(S1,"0%")</f>
        <v>AvgGap(±)=-20%</v>
      </c>
      <c r="AD1" s="59" t="str">
        <f>"GapIn(±10%)="&amp;TEXT(T1,"0%")</f>
        <v>GapIn(±10%)=17%</v>
      </c>
      <c r="AE1" s="59" t="str">
        <f>"GapIn(±20%)="&amp;TEXT(U1,"0%")</f>
        <v>GapIn(±20%)=33%</v>
      </c>
      <c r="AF1" s="59" t="str">
        <f>"GapIn(±30%)="&amp;TEXT(V1,"0%")</f>
        <v>GapIn(±30%)=100%</v>
      </c>
      <c r="AG1" s="59" t="str">
        <f>"Linear Slope="&amp;TEXT(O1,"#.###")</f>
        <v>Linear Slope=.796</v>
      </c>
      <c r="AH1" s="59" t="str">
        <f>"RMSE="&amp;TEXT(N1,"0%")</f>
        <v>RMSE=21%</v>
      </c>
      <c r="AI1" s="59" t="str">
        <f>CONCATENATE(Y1," ",Z1," ",AA1,"  ",AB1,"  ",AC1,"  ",AD1," ",AE1,"  ",AF1,"  ",AG1," ",AH1)</f>
        <v>%Link(+)=0% %Link(-)=100% AvgGap(+)=0%  AvgGap(-)=-20%  AvgGap(±)=-20%  GapIn(±10%)=17% GapIn(±20%)=33%  GapIn(±30%)=100%  Linear Slope=.796 RMSE=21%</v>
      </c>
    </row>
    <row r="2" spans="1:35" ht="15" customHeight="1" x14ac:dyDescent="0.2">
      <c r="A2" s="59">
        <v>18</v>
      </c>
      <c r="B2" s="59" t="s">
        <v>361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362</v>
      </c>
      <c r="H2" s="68">
        <v>13806</v>
      </c>
      <c r="I2" s="94">
        <f>VLOOKUP(c_18[[#This Row],[hwycov_id]],flow0[],5,FALSE)</f>
        <v>12431</v>
      </c>
      <c r="J2" s="60">
        <f t="shared" ref="J2" si="0">I2/H2-1</f>
        <v>-9.9594379255396159E-2</v>
      </c>
      <c r="K2" s="81">
        <f t="shared" ref="K2" si="1">POWER((I2-H2),2)</f>
        <v>1890625</v>
      </c>
      <c r="L2" s="61" t="e">
        <f>VLOOKUP(c_18[[#This Row],[hwycov_id]],count!$A$630:$E$652,5,FALSE)</f>
        <v>#N/A</v>
      </c>
      <c r="M2" s="81"/>
    </row>
    <row r="3" spans="1:35" ht="15" customHeight="1" x14ac:dyDescent="0.2">
      <c r="A3" s="59">
        <v>18</v>
      </c>
      <c r="B3" s="59" t="s">
        <v>361</v>
      </c>
      <c r="C3" s="65">
        <v>14144</v>
      </c>
      <c r="D3" s="74">
        <v>2.1800000000000002</v>
      </c>
      <c r="E3" s="70">
        <v>0.40980100000000003</v>
      </c>
      <c r="F3" s="65" t="s">
        <v>363</v>
      </c>
      <c r="G3" s="65" t="s">
        <v>363</v>
      </c>
      <c r="H3" s="68">
        <v>14051</v>
      </c>
      <c r="I3" s="94">
        <f>VLOOKUP(c_18[[#This Row],[hwycov_id]],flow0[],5,FALSE)</f>
        <v>10539</v>
      </c>
      <c r="J3" s="60">
        <f t="shared" ref="J3:J7" si="2">I3/H3-1</f>
        <v>-0.24994662301615544</v>
      </c>
      <c r="K3" s="81">
        <f t="shared" ref="K3:K7" si="3">POWER((I3-H3),2)</f>
        <v>12334144</v>
      </c>
      <c r="L3" s="61" t="e">
        <f>VLOOKUP(c_18[[#This Row],[hwycov_id]],count!$A$630:$E$652,5,FALSE)</f>
        <v>#N/A</v>
      </c>
      <c r="M3" s="81"/>
    </row>
    <row r="4" spans="1:35" ht="15" customHeight="1" x14ac:dyDescent="0.2">
      <c r="A4" s="59">
        <v>18</v>
      </c>
      <c r="B4" s="59" t="s">
        <v>361</v>
      </c>
      <c r="C4" s="65">
        <v>14142</v>
      </c>
      <c r="D4" s="74">
        <v>3.05</v>
      </c>
      <c r="E4" s="70">
        <v>0.87054399999999998</v>
      </c>
      <c r="F4" s="65" t="s">
        <v>363</v>
      </c>
      <c r="G4" s="65" t="s">
        <v>29</v>
      </c>
      <c r="H4" s="68">
        <v>15144</v>
      </c>
      <c r="I4" s="94">
        <f>VLOOKUP(c_18[[#This Row],[hwycov_id]],flow0[],5,FALSE)</f>
        <v>11979</v>
      </c>
      <c r="J4" s="60">
        <f t="shared" si="2"/>
        <v>-0.20899366085578452</v>
      </c>
      <c r="K4" s="81">
        <f t="shared" si="3"/>
        <v>10017225</v>
      </c>
      <c r="L4" s="61" t="e">
        <f>VLOOKUP(c_18[[#This Row],[hwycov_id]],count!$A$630:$E$652,5,FALSE)</f>
        <v>#N/A</v>
      </c>
      <c r="M4" s="81"/>
    </row>
    <row r="5" spans="1:35" ht="15" customHeight="1" x14ac:dyDescent="0.2">
      <c r="A5" s="59">
        <v>18</v>
      </c>
      <c r="B5" s="59" t="s">
        <v>361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13551</v>
      </c>
      <c r="I5" s="94">
        <f>VLOOKUP(c_18[[#This Row],[hwycov_id]],flow0[],5,FALSE)</f>
        <v>10398</v>
      </c>
      <c r="J5" s="60">
        <f t="shared" si="2"/>
        <v>-0.23267655523577591</v>
      </c>
      <c r="K5" s="81">
        <f t="shared" si="3"/>
        <v>9941409</v>
      </c>
      <c r="L5" s="61" t="e">
        <f>VLOOKUP(c_18[[#This Row],[hwycov_id]],count!$A$630:$E$652,5,FALSE)</f>
        <v>#N/A</v>
      </c>
      <c r="M5" s="81"/>
    </row>
    <row r="6" spans="1:35" ht="15" customHeight="1" x14ac:dyDescent="0.2">
      <c r="A6" s="59">
        <v>18</v>
      </c>
      <c r="B6" s="59" t="s">
        <v>361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15465</v>
      </c>
      <c r="I6" s="94">
        <f>VLOOKUP(c_18[[#This Row],[hwycov_id]],flow0[],5,FALSE)</f>
        <v>11597</v>
      </c>
      <c r="J6" s="60">
        <f t="shared" si="2"/>
        <v>-0.25011315874555451</v>
      </c>
      <c r="K6" s="81">
        <f t="shared" si="3"/>
        <v>14961424</v>
      </c>
      <c r="L6" s="61" t="e">
        <f>VLOOKUP(c_18[[#This Row],[hwycov_id]],count!$A$630:$E$652,5,FALSE)</f>
        <v>#N/A</v>
      </c>
      <c r="M6" s="81"/>
    </row>
    <row r="7" spans="1:35" ht="15" customHeight="1" x14ac:dyDescent="0.2">
      <c r="A7" s="59">
        <v>18</v>
      </c>
      <c r="B7" s="59" t="s">
        <v>361</v>
      </c>
      <c r="C7" s="65">
        <v>27956</v>
      </c>
      <c r="D7" s="74">
        <v>5.79</v>
      </c>
      <c r="E7" s="70">
        <v>0.12158099999999999</v>
      </c>
      <c r="F7" s="65" t="s">
        <v>364</v>
      </c>
      <c r="G7" s="65" t="s">
        <v>39</v>
      </c>
      <c r="H7" s="68">
        <v>10619</v>
      </c>
      <c r="I7" s="94">
        <f>VLOOKUP(c_18[[#This Row],[hwycov_id]],flow0[],5,FALSE)</f>
        <v>9112</v>
      </c>
      <c r="J7" s="60">
        <f t="shared" si="2"/>
        <v>-0.14191543459836142</v>
      </c>
      <c r="K7" s="81">
        <f t="shared" si="3"/>
        <v>2271049</v>
      </c>
      <c r="L7" s="61" t="e">
        <f>VLOOKUP(c_18[[#This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233" priority="9" operator="lessThan">
      <formula>-0.2</formula>
    </cfRule>
    <cfRule type="cellIs" dxfId="232" priority="10" operator="greaterThan">
      <formula>0.2</formula>
    </cfRule>
  </conditionalFormatting>
  <conditionalFormatting sqref="J19:J1048576">
    <cfRule type="cellIs" dxfId="231" priority="7" operator="lessThan">
      <formula>-0.2</formula>
    </cfRule>
    <cfRule type="cellIs" dxfId="230" priority="8" operator="greaterThan">
      <formula>0.2</formula>
    </cfRule>
  </conditionalFormatting>
  <conditionalFormatting sqref="J14:J18">
    <cfRule type="cellIs" dxfId="229" priority="5" operator="lessThan">
      <formula>-0.2</formula>
    </cfRule>
    <cfRule type="cellIs" dxfId="228" priority="6" operator="greaterThan">
      <formula>0.2</formula>
    </cfRule>
  </conditionalFormatting>
  <conditionalFormatting sqref="N1">
    <cfRule type="cellIs" dxfId="227" priority="1" operator="lessThan">
      <formula>-0.2</formula>
    </cfRule>
    <cfRule type="cellIs" dxfId="22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SQRT(AVERAGE(c_19[x2]))/AVERAGE(c_19[count])</f>
        <v>0.24662697377529685</v>
      </c>
      <c r="O1" s="136">
        <f>LINEST(c_19[flow],c_19[count],FALSE)</f>
        <v>1.2129067392803861</v>
      </c>
      <c r="P1" s="136">
        <f>RSQ(c_19[flow],c_19[count])</f>
        <v>0.83119092509971437</v>
      </c>
      <c r="Q1" s="43">
        <f>IFERROR(AVERAGEIF(c_19[gap],"&gt;=0",c_19[gap]),0)</f>
        <v>0.25021749829291201</v>
      </c>
      <c r="R1" s="44">
        <f>IFERROR(AVERAGEIF(c_19[gap],"&lt;0",c_19[gap]),0)</f>
        <v>0</v>
      </c>
      <c r="S1" s="14">
        <f>AVERAGE(c_19[gap])</f>
        <v>0.25021749829291201</v>
      </c>
      <c r="T1" s="42">
        <f>COUNTIFS(c_19[gap],"&lt;10%",c_19[gap],"&gt;=-10%")/COUNTA(c_19[gap])</f>
        <v>8.3333333333333329E-2</v>
      </c>
      <c r="U1" s="42">
        <f>COUNTIFS(c_19[gap],"&lt;20%",c_19[gap],"&gt;=-20%")/COUNTA(c_19[gap])</f>
        <v>0.33333333333333331</v>
      </c>
      <c r="V1" s="42">
        <f>COUNTIFS(c_19[gap],"&lt;30%",c_19[gap],"&gt;=-30%")/COUNTA(c_19[gap])</f>
        <v>0.58333333333333337</v>
      </c>
      <c r="W1" s="43">
        <f>COUNTIF(c_19[gap],"&gt;=0")/COUNTA(c_19[gap])</f>
        <v>1</v>
      </c>
      <c r="X1" s="45">
        <f>COUNTIF(c_19[gap],"&lt;0")/COUNTA(c_19[gap])</f>
        <v>0</v>
      </c>
      <c r="Y1" s="76" t="str">
        <f>"%Link(+)="&amp;TEXT(W1,"0%")</f>
        <v>%Link(+)=100%</v>
      </c>
      <c r="Z1" s="76" t="str">
        <f>"%Link(-)="&amp;TEXT(X1,"0%")</f>
        <v>%Link(-)=0%</v>
      </c>
      <c r="AA1" s="73" t="str">
        <f>"AvgGap(+)="&amp;TEXT(Q1,"0%")</f>
        <v>AvgGap(+)=25%</v>
      </c>
      <c r="AB1" s="59" t="str">
        <f>"AvgGap(-)="&amp;TEXT(R1,"0%")</f>
        <v>AvgGap(-)=0%</v>
      </c>
      <c r="AC1" s="59" t="str">
        <f>"AvgGap(±)="&amp;TEXT(S1,"0%")</f>
        <v>AvgGap(±)=25%</v>
      </c>
      <c r="AD1" s="59" t="str">
        <f>"GapIn(±10%)="&amp;TEXT(T1,"0%")</f>
        <v>GapIn(±10%)=8%</v>
      </c>
      <c r="AE1" s="59" t="str">
        <f>"GapIn(±20%)="&amp;TEXT(U1,"0%")</f>
        <v>GapIn(±20%)=33%</v>
      </c>
      <c r="AF1" s="59" t="str">
        <f>"GapIn(±30%)="&amp;TEXT(V1,"0%")</f>
        <v>GapIn(±30%)=58%</v>
      </c>
      <c r="AG1" s="59" t="str">
        <f>"Linear Slope="&amp;TEXT(O1,"#.###")</f>
        <v>Linear Slope=1.213</v>
      </c>
      <c r="AH1" s="59" t="str">
        <f>"RMSE="&amp;TEXT(N1,"0%")</f>
        <v>RMSE=25%</v>
      </c>
      <c r="AI1" s="59" t="str">
        <f>CONCATENATE(Y1," ",Z1," ",AA1,"  ",AB1,"  ",AC1,"  ",AD1," ",AE1,"  ",AF1,"  ",AG1," ",AH1)</f>
        <v>%Link(+)=100% %Link(-)=0% AvgGap(+)=25%  AvgGap(-)=0%  AvgGap(±)=25%  GapIn(±10%)=8% GapIn(±20%)=33%  GapIn(±30%)=58%  Linear Slope=1.213 RMSE=25%</v>
      </c>
    </row>
    <row r="2" spans="1:35" ht="15" customHeight="1" x14ac:dyDescent="0.2">
      <c r="A2" s="59">
        <v>19</v>
      </c>
      <c r="B2" s="59" t="s">
        <v>365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8119</v>
      </c>
      <c r="I2" s="94">
        <f>VLOOKUP(c_19[[#This Row],[hwycov_id]],flow0[],5,FALSE)</f>
        <v>9220</v>
      </c>
      <c r="J2" s="60">
        <f t="shared" ref="J2:J6" si="0">I2/H2-1</f>
        <v>0.1356078334770292</v>
      </c>
      <c r="K2" s="81">
        <f t="shared" ref="K2:K6" si="1">POWER((I2-H2),2)</f>
        <v>1212201</v>
      </c>
      <c r="L2" s="61" t="e">
        <f>VLOOKUP(c_19[[#This Row],[hwycov_id]],count!$A$630:$E$652,5,FALSE)</f>
        <v>#N/A</v>
      </c>
      <c r="M2" s="81"/>
    </row>
    <row r="3" spans="1:35" ht="15" customHeight="1" x14ac:dyDescent="0.2">
      <c r="A3" s="59">
        <v>19</v>
      </c>
      <c r="B3" s="59" t="s">
        <v>365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366</v>
      </c>
      <c r="H3" s="68">
        <v>8306</v>
      </c>
      <c r="I3" s="94">
        <f>VLOOKUP(c_19[[#This Row],[hwycov_id]],flow0[],5,FALSE)</f>
        <v>8404</v>
      </c>
      <c r="J3" s="60">
        <f t="shared" si="0"/>
        <v>1.1798699735131146E-2</v>
      </c>
      <c r="K3" s="81">
        <f t="shared" si="1"/>
        <v>9604</v>
      </c>
      <c r="L3" s="61" t="e">
        <f>VLOOKUP(c_19[[#This Row],[hwycov_id]],count!$A$630:$E$652,5,FALSE)</f>
        <v>#N/A</v>
      </c>
      <c r="M3" s="81"/>
    </row>
    <row r="4" spans="1:35" ht="15" customHeight="1" x14ac:dyDescent="0.2">
      <c r="A4" s="59">
        <v>19</v>
      </c>
      <c r="B4" s="59" t="s">
        <v>365</v>
      </c>
      <c r="C4" s="65">
        <v>16352</v>
      </c>
      <c r="D4" s="74">
        <v>3.22</v>
      </c>
      <c r="E4" s="70">
        <v>0.87712999999999997</v>
      </c>
      <c r="F4" s="65" t="s">
        <v>366</v>
      </c>
      <c r="G4" s="65" t="s">
        <v>173</v>
      </c>
      <c r="H4" s="68">
        <v>7385</v>
      </c>
      <c r="I4" s="94">
        <f>VLOOKUP(c_19[[#This Row],[hwycov_id]],flow0[],5,FALSE)</f>
        <v>8803</v>
      </c>
      <c r="J4" s="60">
        <f t="shared" si="0"/>
        <v>0.19201083276912656</v>
      </c>
      <c r="K4" s="81">
        <f t="shared" si="1"/>
        <v>2010724</v>
      </c>
      <c r="L4" s="61" t="e">
        <f>VLOOKUP(c_19[[#This Row],[hwycov_id]],count!$A$630:$E$652,5,FALSE)</f>
        <v>#N/A</v>
      </c>
      <c r="M4" s="81"/>
    </row>
    <row r="5" spans="1:35" ht="15" customHeight="1" x14ac:dyDescent="0.2">
      <c r="A5" s="59">
        <v>19</v>
      </c>
      <c r="B5" s="59" t="s">
        <v>365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4817</v>
      </c>
      <c r="I5" s="94">
        <f>VLOOKUP(c_19[[#This Row],[hwycov_id]],flow0[],5,FALSE)</f>
        <v>6463</v>
      </c>
      <c r="J5" s="60">
        <f t="shared" si="0"/>
        <v>0.34170645630060204</v>
      </c>
      <c r="K5" s="81">
        <f t="shared" si="1"/>
        <v>2709316</v>
      </c>
      <c r="L5" s="61" t="e">
        <f>VLOOKUP(c_19[[#This Row],[hwycov_id]],count!$A$630:$E$652,5,FALSE)</f>
        <v>#N/A</v>
      </c>
      <c r="M5" s="81"/>
    </row>
    <row r="6" spans="1:35" ht="15" customHeight="1" x14ac:dyDescent="0.2">
      <c r="A6" s="59">
        <v>19</v>
      </c>
      <c r="B6" s="59" t="s">
        <v>365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5728</v>
      </c>
      <c r="I6" s="94">
        <f>VLOOKUP(c_19[[#This Row],[hwycov_id]],flow0[],5,FALSE)</f>
        <v>7464</v>
      </c>
      <c r="J6" s="60">
        <f t="shared" si="0"/>
        <v>0.30307262569832405</v>
      </c>
      <c r="K6" s="81">
        <f t="shared" si="1"/>
        <v>3013696</v>
      </c>
      <c r="L6" s="61" t="e">
        <f>VLOOKUP(c_19[[#This Row],[hwycov_id]],count!$A$630:$E$652,5,FALSE)</f>
        <v>#N/A</v>
      </c>
      <c r="M6" s="81"/>
    </row>
    <row r="7" spans="1:35" ht="15" customHeight="1" x14ac:dyDescent="0.2">
      <c r="A7" s="59">
        <v>19</v>
      </c>
      <c r="B7" s="59" t="s">
        <v>365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5188</v>
      </c>
      <c r="I7" s="94">
        <f>VLOOKUP(c_19[[#This Row],[hwycov_id]],flow0[],5,FALSE)</f>
        <v>7464</v>
      </c>
      <c r="J7" s="60">
        <f t="shared" ref="J7:J13" si="2">I7/H7-1</f>
        <v>0.43870470316114107</v>
      </c>
      <c r="K7" s="81">
        <f t="shared" ref="K7:K13" si="3">POWER((I7-H7),2)</f>
        <v>5180176</v>
      </c>
      <c r="L7" s="61" t="e">
        <f>VLOOKUP(c_19[[#This Row],[hwycov_id]],count!$A$630:$E$652,5,FALSE)</f>
        <v>#N/A</v>
      </c>
      <c r="M7" s="81"/>
    </row>
    <row r="8" spans="1:35" ht="15" customHeight="1" x14ac:dyDescent="0.2">
      <c r="A8" s="59">
        <v>19</v>
      </c>
      <c r="B8" s="59" t="s">
        <v>365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4893</v>
      </c>
      <c r="I8" s="94">
        <f>VLOOKUP(c_19[[#This Row],[hwycov_id]],flow0[],5,FALSE)</f>
        <v>6501</v>
      </c>
      <c r="J8" s="60">
        <f t="shared" si="2"/>
        <v>0.32863274064990811</v>
      </c>
      <c r="K8" s="81">
        <f t="shared" si="3"/>
        <v>2585664</v>
      </c>
      <c r="L8" s="61" t="e">
        <f>VLOOKUP(c_19[[#This Row],[hwycov_id]],count!$A$630:$E$652,5,FALSE)</f>
        <v>#N/A</v>
      </c>
      <c r="M8" s="81"/>
    </row>
    <row r="9" spans="1:35" ht="15" customHeight="1" x14ac:dyDescent="0.2">
      <c r="A9" s="59">
        <v>19</v>
      </c>
      <c r="B9" s="59" t="s">
        <v>365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5886</v>
      </c>
      <c r="I9" s="94">
        <f>VLOOKUP(c_19[[#This Row],[hwycov_id]],flow0[],5,FALSE)</f>
        <v>8015</v>
      </c>
      <c r="J9" s="60">
        <f t="shared" si="2"/>
        <v>0.36170574243968745</v>
      </c>
      <c r="K9" s="81">
        <f t="shared" si="3"/>
        <v>4532641</v>
      </c>
      <c r="L9" s="61" t="e">
        <f>VLOOKUP(c_19[[#This Row],[hwycov_id]],count!$A$630:$E$652,5,FALSE)</f>
        <v>#N/A</v>
      </c>
      <c r="M9" s="81"/>
    </row>
    <row r="10" spans="1:35" ht="15" customHeight="1" x14ac:dyDescent="0.2">
      <c r="A10" s="59">
        <v>19</v>
      </c>
      <c r="B10" s="59" t="s">
        <v>365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5055</v>
      </c>
      <c r="I10" s="94">
        <f>VLOOKUP(c_19[[#This Row],[hwycov_id]],flow0[],5,FALSE)</f>
        <v>6398</v>
      </c>
      <c r="J10" s="60">
        <f t="shared" si="2"/>
        <v>0.26567754698318491</v>
      </c>
      <c r="K10" s="81">
        <f t="shared" si="3"/>
        <v>1803649</v>
      </c>
      <c r="L10" s="61" t="e">
        <f>VLOOKUP(c_19[[#This Row],[hwycov_id]],count!$A$630:$E$652,5,FALSE)</f>
        <v>#N/A</v>
      </c>
      <c r="M10" s="81"/>
    </row>
    <row r="11" spans="1:35" ht="15" customHeight="1" x14ac:dyDescent="0.2">
      <c r="A11" s="59">
        <v>19</v>
      </c>
      <c r="B11" s="59" t="s">
        <v>365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6492</v>
      </c>
      <c r="I11" s="94">
        <f>VLOOKUP(c_19[[#This Row],[hwycov_id]],flow0[],5,FALSE)</f>
        <v>7831</v>
      </c>
      <c r="J11" s="60">
        <f t="shared" si="2"/>
        <v>0.20625385089340731</v>
      </c>
      <c r="K11" s="81">
        <f t="shared" si="3"/>
        <v>1792921</v>
      </c>
      <c r="L11" s="61" t="e">
        <f>VLOOKUP(c_19[[#This Row],[hwycov_id]],count!$A$630:$E$652,5,FALSE)</f>
        <v>#N/A</v>
      </c>
      <c r="M11" s="81"/>
    </row>
    <row r="12" spans="1:35" ht="15" customHeight="1" x14ac:dyDescent="0.2">
      <c r="A12" s="59">
        <v>19</v>
      </c>
      <c r="B12" s="59" t="s">
        <v>365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5706</v>
      </c>
      <c r="I12" s="94">
        <f>VLOOKUP(c_19[[#This Row],[hwycov_id]],flow0[],5,FALSE)</f>
        <v>7045</v>
      </c>
      <c r="J12" s="60">
        <f t="shared" si="2"/>
        <v>0.23466526463371884</v>
      </c>
      <c r="K12" s="81">
        <f t="shared" si="3"/>
        <v>1792921</v>
      </c>
      <c r="L12" s="61" t="e">
        <f>VLOOKUP(c_19[[#This Row],[hwycov_id]],count!$A$630:$E$652,5,FALSE)</f>
        <v>#N/A</v>
      </c>
      <c r="M12" s="81"/>
    </row>
    <row r="13" spans="1:35" ht="15" customHeight="1" x14ac:dyDescent="0.2">
      <c r="A13" s="59">
        <v>19</v>
      </c>
      <c r="B13" s="59" t="s">
        <v>365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7326</v>
      </c>
      <c r="I13" s="94">
        <f>VLOOKUP(c_19[[#This Row],[hwycov_id]],flow0[],5,FALSE)</f>
        <v>8665</v>
      </c>
      <c r="J13" s="60">
        <f t="shared" si="2"/>
        <v>0.18277368277368278</v>
      </c>
      <c r="K13" s="81">
        <f t="shared" si="3"/>
        <v>1792921</v>
      </c>
      <c r="L13" s="61" t="e">
        <f>VLOOKUP(c_19[[#This Row],[hwycov_id]],count!$A$630:$E$652,5,FALSE)</f>
        <v>#N/A</v>
      </c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6 J2:J18">
    <cfRule type="cellIs" dxfId="211" priority="9" operator="lessThan">
      <formula>-0.2</formula>
    </cfRule>
    <cfRule type="cellIs" dxfId="210" priority="10" operator="greaterThan">
      <formula>0.2</formula>
    </cfRule>
  </conditionalFormatting>
  <conditionalFormatting sqref="J19:J1048576">
    <cfRule type="cellIs" dxfId="209" priority="7" operator="lessThan">
      <formula>-0.2</formula>
    </cfRule>
    <cfRule type="cellIs" dxfId="208" priority="8" operator="greaterThan">
      <formula>0.2</formula>
    </cfRule>
  </conditionalFormatting>
  <conditionalFormatting sqref="N1">
    <cfRule type="cellIs" dxfId="207" priority="1" operator="lessThan">
      <formula>-0.2</formula>
    </cfRule>
    <cfRule type="cellIs" dxfId="2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AI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6" width="16" style="59" bestFit="1" customWidth="1"/>
    <col min="7" max="7" width="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9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SQRT(AVERAGE(c_20[x2]))/AVERAGE(c_20[count])</f>
        <v>0.22524780241344536</v>
      </c>
      <c r="O1" s="136">
        <f>LINEST(c_20[flow],c_20[count],FALSE)</f>
        <v>0.82647626464639001</v>
      </c>
      <c r="P1" s="136">
        <f>RSQ(c_20[flow],c_20[count])</f>
        <v>0.94474457798936595</v>
      </c>
      <c r="Q1" s="43">
        <f>IFERROR(AVERAGEIF(c_20[gap],"&gt;=0",c_20[gap]),0)</f>
        <v>0</v>
      </c>
      <c r="R1" s="44">
        <f>IFERROR(AVERAGEIF(c_20[gap],"&lt;0",c_20[gap]),0)</f>
        <v>-0.24431887775561273</v>
      </c>
      <c r="S1" s="14">
        <f>AVERAGE(c_20[gap])</f>
        <v>-0.24431887775561273</v>
      </c>
      <c r="T1" s="42">
        <f>COUNTIFS(c_20[gap],"&lt;10%",c_20[gap],"&gt;=-10%")/COUNTA(c_20[gap])</f>
        <v>0.2</v>
      </c>
      <c r="U1" s="42">
        <f>COUNTIFS(c_20[gap],"&lt;20%",c_20[gap],"&gt;=-20%")/COUNTA(c_20[gap])</f>
        <v>0.4</v>
      </c>
      <c r="V1" s="42">
        <f>COUNTIFS(c_20[gap],"&lt;30%",c_20[gap],"&gt;=-30%")/COUNTA(c_20[gap])</f>
        <v>0.6</v>
      </c>
      <c r="W1" s="43">
        <f>COUNTIF(c_20[gap],"&gt;=0")/COUNTA(c_20[gap])</f>
        <v>0</v>
      </c>
      <c r="X1" s="45">
        <f>COUNTIF(c_20[gap],"&lt;0")/COUNTA(c_20[gap])</f>
        <v>1</v>
      </c>
      <c r="Y1" s="76" t="str">
        <f>"%Link(+)="&amp;TEXT(W1,"0%")</f>
        <v>%Link(+)=0%</v>
      </c>
      <c r="Z1" s="76" t="str">
        <f>"%Link(-)="&amp;TEXT(X1,"0%")</f>
        <v>%Link(-)=100%</v>
      </c>
      <c r="AA1" s="73" t="str">
        <f>"AvgGap(+)="&amp;TEXT(Q1,"0%")</f>
        <v>AvgGap(+)=0%</v>
      </c>
      <c r="AB1" s="59" t="str">
        <f>"AvgGap(-)="&amp;TEXT(R1,"0%")</f>
        <v>AvgGap(-)=-24%</v>
      </c>
      <c r="AC1" s="59" t="str">
        <f>"AvgGap(±)="&amp;TEXT(S1,"0%")</f>
        <v>AvgGap(±)=-24%</v>
      </c>
      <c r="AD1" s="59" t="str">
        <f>"GapIn(±10%)="&amp;TEXT(T1,"0%")</f>
        <v>GapIn(±10%)=20%</v>
      </c>
      <c r="AE1" s="59" t="str">
        <f>"GapIn(±20%)="&amp;TEXT(U1,"0%")</f>
        <v>GapIn(±20%)=40%</v>
      </c>
      <c r="AF1" s="59" t="str">
        <f>"GapIn(±30%)="&amp;TEXT(V1,"0%")</f>
        <v>GapIn(±30%)=60%</v>
      </c>
      <c r="AG1" s="59" t="str">
        <f>"Linear Slope="&amp;TEXT(O1,"#.###")</f>
        <v>Linear Slope=.826</v>
      </c>
      <c r="AH1" s="59" t="str">
        <f>"RMSE="&amp;TEXT(N1,"0%")</f>
        <v>RMSE=23%</v>
      </c>
      <c r="AI1" s="59" t="str">
        <f>CONCATENATE(Y1," ",Z1," ",AA1,"  ",AB1,"  ",AC1,"  ",AD1," ",AE1,"  ",AF1,"  ",AG1," ",AH1)</f>
        <v>%Link(+)=0% %Link(-)=100% AvgGap(+)=0%  AvgGap(-)=-24%  AvgGap(±)=-24%  GapIn(±10%)=20% GapIn(±20%)=40%  GapIn(±30%)=60%  Linear Slope=.826 RMSE=23%</v>
      </c>
    </row>
    <row r="2" spans="1:35" ht="15" customHeight="1" x14ac:dyDescent="0.2">
      <c r="A2" s="59">
        <v>20</v>
      </c>
      <c r="B2" s="59" t="s">
        <v>374</v>
      </c>
      <c r="C2" s="65">
        <v>10015</v>
      </c>
      <c r="D2" s="74">
        <v>0.12</v>
      </c>
      <c r="E2" s="70">
        <v>0.12407899999999999</v>
      </c>
      <c r="F2" s="65" t="s">
        <v>375</v>
      </c>
      <c r="G2" s="65" t="s">
        <v>376</v>
      </c>
      <c r="H2" s="68">
        <v>3469</v>
      </c>
      <c r="I2" s="94">
        <f>VLOOKUP(c_20[[#This Row],[hwycov_id]],flow0[],5,FALSE)</f>
        <v>2100</v>
      </c>
      <c r="J2" s="60">
        <f t="shared" ref="J2:J6" si="0">I2/H2-1</f>
        <v>-0.39463822427212458</v>
      </c>
      <c r="K2" s="81">
        <f t="shared" ref="K2:K7" si="1">POWER((I2-H2),2)</f>
        <v>1874161</v>
      </c>
      <c r="L2" s="61" t="e">
        <f>VLOOKUP(c_20[[#This Row],[hwycov_id]],count!$A$630:$E$652,5,FALSE)</f>
        <v>#N/A</v>
      </c>
      <c r="M2" s="81"/>
    </row>
    <row r="3" spans="1:35" ht="15" customHeight="1" x14ac:dyDescent="0.2">
      <c r="A3" s="59">
        <v>20</v>
      </c>
      <c r="B3" s="59" t="s">
        <v>374</v>
      </c>
      <c r="C3" s="363">
        <v>10002</v>
      </c>
      <c r="D3" s="74">
        <v>0.83</v>
      </c>
      <c r="E3" s="364">
        <v>0.34577999999999998</v>
      </c>
      <c r="F3" s="363" t="s">
        <v>376</v>
      </c>
      <c r="G3" s="363" t="s">
        <v>182</v>
      </c>
      <c r="H3" s="365">
        <v>6111</v>
      </c>
      <c r="I3" s="352">
        <f>VLOOKUP(c_20[[#This Row],[hwycov_id]],flow0[],5,FALSE)</f>
        <v>3494</v>
      </c>
      <c r="J3" s="60">
        <f t="shared" si="0"/>
        <v>-0.42824414989363446</v>
      </c>
      <c r="K3" s="81">
        <f t="shared" si="1"/>
        <v>6848689</v>
      </c>
      <c r="L3" s="61" t="e">
        <f>VLOOKUP(c_20[[#This Row],[hwycov_id]],count!$A$630:$E$652,5,FALSE)</f>
        <v>#N/A</v>
      </c>
      <c r="M3" s="81"/>
    </row>
    <row r="4" spans="1:35" ht="15" customHeight="1" x14ac:dyDescent="0.2">
      <c r="A4" s="59">
        <v>20</v>
      </c>
      <c r="B4" s="59" t="s">
        <v>374</v>
      </c>
      <c r="C4" s="363">
        <v>27721</v>
      </c>
      <c r="D4" s="74">
        <v>2.62</v>
      </c>
      <c r="E4" s="364">
        <v>0.485263</v>
      </c>
      <c r="F4" s="363" t="s">
        <v>377</v>
      </c>
      <c r="G4" s="363" t="s">
        <v>378</v>
      </c>
      <c r="H4" s="365">
        <v>7984</v>
      </c>
      <c r="I4" s="352">
        <f>VLOOKUP(c_20[[#This Row],[hwycov_id]],flow0[],5,FALSE)</f>
        <v>7535</v>
      </c>
      <c r="J4" s="60">
        <f t="shared" si="0"/>
        <v>-5.6237474949899835E-2</v>
      </c>
      <c r="K4" s="81">
        <f t="shared" si="1"/>
        <v>201601</v>
      </c>
      <c r="L4" s="61" t="e">
        <f>VLOOKUP(c_20[[#This Row],[hwycov_id]],count!$A$630:$E$652,5,FALSE)</f>
        <v>#N/A</v>
      </c>
      <c r="M4" s="81"/>
    </row>
    <row r="5" spans="1:35" ht="15" customHeight="1" x14ac:dyDescent="0.2">
      <c r="A5" s="59">
        <v>20</v>
      </c>
      <c r="B5" s="59" t="s">
        <v>374</v>
      </c>
      <c r="C5" s="363">
        <v>9904</v>
      </c>
      <c r="D5" s="74">
        <v>6.06</v>
      </c>
      <c r="E5" s="364">
        <v>0.54313199999999995</v>
      </c>
      <c r="F5" s="363" t="s">
        <v>379</v>
      </c>
      <c r="G5" s="363" t="s">
        <v>19</v>
      </c>
      <c r="H5" s="365">
        <v>11558</v>
      </c>
      <c r="I5" s="352">
        <f>VLOOKUP(c_20[[#This Row],[hwycov_id]],flow0[],5,FALSE)</f>
        <v>10211</v>
      </c>
      <c r="J5" s="60">
        <f t="shared" si="0"/>
        <v>-0.11654265443848422</v>
      </c>
      <c r="K5" s="81">
        <f t="shared" si="1"/>
        <v>1814409</v>
      </c>
      <c r="L5" s="61" t="e">
        <f>VLOOKUP(c_20[[#This Row],[hwycov_id]],count!$A$630:$E$652,5,FALSE)</f>
        <v>#N/A</v>
      </c>
      <c r="M5" s="81"/>
    </row>
    <row r="6" spans="1:35" ht="15" customHeight="1" x14ac:dyDescent="0.2">
      <c r="A6" s="59">
        <v>20</v>
      </c>
      <c r="B6" s="59" t="s">
        <v>374</v>
      </c>
      <c r="C6" s="363">
        <v>27856</v>
      </c>
      <c r="D6" s="74">
        <v>8.09</v>
      </c>
      <c r="E6" s="364">
        <v>0.19090399999999999</v>
      </c>
      <c r="F6" s="363" t="s">
        <v>380</v>
      </c>
      <c r="G6" s="363" t="s">
        <v>39</v>
      </c>
      <c r="H6" s="365">
        <v>7458</v>
      </c>
      <c r="I6" s="352">
        <f>VLOOKUP(c_20[[#This Row],[hwycov_id]],flow0[],5,FALSE)</f>
        <v>5773</v>
      </c>
      <c r="J6" s="60">
        <f t="shared" si="0"/>
        <v>-0.2259318852239206</v>
      </c>
      <c r="K6" s="81">
        <f t="shared" si="1"/>
        <v>2839225</v>
      </c>
      <c r="L6" s="61" t="e">
        <f>VLOOKUP(c_20[[#This Row],[hwycov_id]],count!$A$630:$E$652,5,FALSE)</f>
        <v>#N/A</v>
      </c>
      <c r="M6" s="81"/>
    </row>
    <row r="7" spans="1:35" ht="15" customHeight="1" x14ac:dyDescent="0.2">
      <c r="C7" s="363"/>
      <c r="E7" s="364"/>
      <c r="F7" s="363"/>
      <c r="G7" s="363"/>
      <c r="H7" s="365"/>
      <c r="I7" s="352"/>
      <c r="K7" s="81">
        <f t="shared" si="1"/>
        <v>0</v>
      </c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</sheetData>
  <conditionalFormatting sqref="N2:N1048576 J2:J8">
    <cfRule type="cellIs" dxfId="191" priority="9" operator="lessThan">
      <formula>-0.2</formula>
    </cfRule>
    <cfRule type="cellIs" dxfId="190" priority="10" operator="greaterThan">
      <formula>0.2</formula>
    </cfRule>
  </conditionalFormatting>
  <conditionalFormatting sqref="J15:J1048576">
    <cfRule type="cellIs" dxfId="189" priority="7" operator="lessThan">
      <formula>-0.2</formula>
    </cfRule>
    <cfRule type="cellIs" dxfId="188" priority="8" operator="greaterThan">
      <formula>0.2</formula>
    </cfRule>
  </conditionalFormatting>
  <conditionalFormatting sqref="J10:J14">
    <cfRule type="cellIs" dxfId="187" priority="5" operator="lessThan">
      <formula>-0.2</formula>
    </cfRule>
    <cfRule type="cellIs" dxfId="186" priority="6" operator="greaterThan">
      <formula>0.2</formula>
    </cfRule>
  </conditionalFormatting>
  <conditionalFormatting sqref="N1">
    <cfRule type="cellIs" dxfId="185" priority="1" operator="lessThan">
      <formula>-0.2</formula>
    </cfRule>
    <cfRule type="cellIs" dxfId="18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A1:AI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61" bestFit="1" customWidth="1"/>
    <col min="5" max="5" width="8.42578125" style="69" hidden="1" customWidth="1"/>
    <col min="6" max="6" width="18.5703125" style="59" bestFit="1" customWidth="1"/>
    <col min="7" max="7" width="21.4257812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66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72">
        <f>SQRT(AVERAGE(c_21[x2]))/AVERAGE(c_21[count])</f>
        <v>6.5420039304330685E-2</v>
      </c>
      <c r="O1" s="136">
        <f>LINEST(c_21[flow],c_21[count],FALSE)</f>
        <v>1.0178646961540232</v>
      </c>
      <c r="P1" s="136">
        <f>RSQ(c_21[flow],c_21[count])</f>
        <v>0.9246997182269826</v>
      </c>
      <c r="Q1" s="43">
        <f>IFERROR(AVERAGEIF(c_21[gap],"&gt;=0",c_21[gap]),0)</f>
        <v>5.8899951272328104E-2</v>
      </c>
      <c r="R1" s="44">
        <f>IFERROR(AVERAGEIF(c_21[gap],"&lt;0",c_21[gap]),0)</f>
        <v>-3.0485600790661649E-2</v>
      </c>
      <c r="S1" s="14">
        <f>AVERAGE(c_21[gap])</f>
        <v>3.2084285653431174E-2</v>
      </c>
      <c r="T1" s="42">
        <f>COUNTIFS(c_21[gap],"&lt;10%",c_21[gap],"&gt;=-10%")/COUNTA(c_21[gap])</f>
        <v>0.9</v>
      </c>
      <c r="U1" s="42">
        <f>COUNTIFS(c_21[gap],"&lt;20%",c_21[gap],"&gt;=-20%")/COUNTA(c_21[gap])</f>
        <v>0.9</v>
      </c>
      <c r="V1" s="42">
        <f>COUNTIFS(c_21[gap],"&lt;30%",c_21[gap],"&gt;=-30%")/COUNTA(c_21[gap])</f>
        <v>1</v>
      </c>
      <c r="W1" s="43">
        <f>COUNTIF(c_21[gap],"&gt;=0")/COUNTA(c_21[gap])</f>
        <v>0.7</v>
      </c>
      <c r="X1" s="45">
        <f>COUNTIF(c_21[gap],"&lt;0")/COUNTA(c_21[gap])</f>
        <v>0.3</v>
      </c>
      <c r="Y1" s="76" t="str">
        <f>"%Link(+)="&amp;TEXT(W1,"0%")</f>
        <v>%Link(+)=70%</v>
      </c>
      <c r="Z1" s="76" t="str">
        <f>"%Link(-)="&amp;TEXT(X1,"0%")</f>
        <v>%Link(-)=30%</v>
      </c>
      <c r="AA1" s="73" t="str">
        <f>"AvgGap(+)="&amp;TEXT(Q1,"0%")</f>
        <v>AvgGap(+)=6%</v>
      </c>
      <c r="AB1" s="59" t="str">
        <f>"AvgGap(-)="&amp;TEXT(R1,"0%")</f>
        <v>AvgGap(-)=-3%</v>
      </c>
      <c r="AC1" s="59" t="str">
        <f>"AvgGap(±)="&amp;TEXT(S1,"0%")</f>
        <v>AvgGap(±)=3%</v>
      </c>
      <c r="AD1" s="59" t="str">
        <f>"GapIn(±10%)="&amp;TEXT(T1,"0%")</f>
        <v>GapIn(±10%)=90%</v>
      </c>
      <c r="AE1" s="59" t="str">
        <f>"GapIn(±20%)="&amp;TEXT(U1,"0%")</f>
        <v>GapIn(±20%)=90%</v>
      </c>
      <c r="AF1" s="59" t="str">
        <f>"GapIn(±30%)="&amp;TEXT(V1,"0%")</f>
        <v>GapIn(±30%)=100%</v>
      </c>
      <c r="AG1" s="59" t="str">
        <f>"Linear Slope="&amp;TEXT(O1,"#.###")</f>
        <v>Linear Slope=1.018</v>
      </c>
      <c r="AH1" s="59" t="str">
        <f>"RMSE="&amp;TEXT(N1,"0%")</f>
        <v>RMSE=7%</v>
      </c>
      <c r="AI1" s="59" t="str">
        <f>CONCATENATE(Y1," ",Z1," ",AA1,"  ",AB1,"  ",AC1,"  ",AD1," ",AE1,"  ",AF1,"  ",AG1," ",AH1)</f>
        <v>%Link(+)=70% %Link(-)=30% AvgGap(+)=6%  AvgGap(-)=-3%  AvgGap(±)=3%  GapIn(±10%)=90% GapIn(±20%)=90%  GapIn(±30%)=100%  Linear Slope=1.018 RMSE=7%</v>
      </c>
    </row>
    <row r="2" spans="1:35" ht="15" customHeight="1" x14ac:dyDescent="0.2">
      <c r="A2" s="59">
        <v>21</v>
      </c>
      <c r="B2" s="59" t="s">
        <v>381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10635</v>
      </c>
      <c r="I2" s="94">
        <f>VLOOKUP(c_21[[#This Row],[hwycov_id]],flow0[],5,FALSE)</f>
        <v>13190</v>
      </c>
      <c r="J2" s="60">
        <f t="shared" ref="J2" si="0">I2/H2-1</f>
        <v>0.24024447578749419</v>
      </c>
      <c r="K2" s="81">
        <f t="shared" ref="K2:K16" si="1">POWER((I2-H2),2)</f>
        <v>6528025</v>
      </c>
      <c r="L2" s="61" t="e">
        <f>VLOOKUP(c_21[[#This Row],[hwycov_id]],count!$A$630:$E$652,5,FALSE)</f>
        <v>#N/A</v>
      </c>
      <c r="M2" s="81"/>
    </row>
    <row r="3" spans="1:35" ht="15" customHeight="1" x14ac:dyDescent="0.2">
      <c r="A3" s="59">
        <v>21</v>
      </c>
      <c r="B3" s="59" t="s">
        <v>381</v>
      </c>
      <c r="C3" s="59">
        <v>28011</v>
      </c>
      <c r="D3" s="61">
        <v>4.3099999999999996</v>
      </c>
      <c r="E3" s="69">
        <v>0.41825600000000002</v>
      </c>
      <c r="F3" s="59" t="s">
        <v>382</v>
      </c>
      <c r="G3" s="59" t="s">
        <v>382</v>
      </c>
      <c r="H3" s="61">
        <v>14243</v>
      </c>
      <c r="I3" s="94">
        <f>VLOOKUP(c_21[[#This Row],[hwycov_id]],flow0[],5,FALSE)</f>
        <v>14925</v>
      </c>
      <c r="J3" s="60">
        <f t="shared" ref="J3:J16" si="2">I3/H3-1</f>
        <v>4.7883170680334208E-2</v>
      </c>
      <c r="K3" s="81">
        <f t="shared" si="1"/>
        <v>465124</v>
      </c>
      <c r="L3" s="61" t="e">
        <f>VLOOKUP(c_21[[#This Row],[hwycov_id]],count!$A$630:$E$652,5,FALSE)</f>
        <v>#N/A</v>
      </c>
      <c r="M3" s="81"/>
    </row>
    <row r="4" spans="1:35" ht="15" customHeight="1" x14ac:dyDescent="0.2">
      <c r="A4" s="59">
        <v>21</v>
      </c>
      <c r="B4" s="59" t="s">
        <v>381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12793</v>
      </c>
      <c r="I4" s="94">
        <f>VLOOKUP(c_21[[#This Row],[hwycov_id]],flow0[],5,FALSE)</f>
        <v>12968</v>
      </c>
      <c r="J4" s="60">
        <f t="shared" si="2"/>
        <v>1.3679355897756595E-2</v>
      </c>
      <c r="K4" s="81">
        <f t="shared" si="1"/>
        <v>30625</v>
      </c>
      <c r="L4" s="61" t="e">
        <f>VLOOKUP(c_21[[#This Row],[hwycov_id]],count!$A$630:$E$652,5,FALSE)</f>
        <v>#N/A</v>
      </c>
      <c r="M4" s="81"/>
    </row>
    <row r="5" spans="1:35" ht="15" customHeight="1" x14ac:dyDescent="0.2">
      <c r="A5" s="59">
        <v>21</v>
      </c>
      <c r="B5" s="59" t="s">
        <v>381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383</v>
      </c>
      <c r="H5" s="61">
        <v>15038</v>
      </c>
      <c r="I5" s="94">
        <f>VLOOKUP(c_21[[#This Row],[hwycov_id]],flow0[],5,FALSE)</f>
        <v>14162</v>
      </c>
      <c r="J5" s="60">
        <f t="shared" si="2"/>
        <v>-5.8252427184465994E-2</v>
      </c>
      <c r="K5" s="81">
        <f t="shared" si="1"/>
        <v>767376</v>
      </c>
      <c r="L5" s="61" t="e">
        <f>VLOOKUP(c_21[[#This Row],[hwycov_id]],count!$A$630:$E$652,5,FALSE)</f>
        <v>#N/A</v>
      </c>
      <c r="M5" s="81"/>
    </row>
    <row r="6" spans="1:35" ht="15" customHeight="1" x14ac:dyDescent="0.2">
      <c r="A6" s="59">
        <v>21</v>
      </c>
      <c r="B6" s="59" t="s">
        <v>381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12949</v>
      </c>
      <c r="I6" s="94">
        <f>VLOOKUP(c_21[[#This Row],[hwycov_id]],flow0[],5,FALSE)</f>
        <v>13509</v>
      </c>
      <c r="J6" s="60">
        <f t="shared" si="2"/>
        <v>4.3246582747702433E-2</v>
      </c>
      <c r="K6" s="81">
        <f t="shared" si="1"/>
        <v>313600</v>
      </c>
      <c r="L6" s="61" t="e">
        <f>VLOOKUP(c_21[[#This Row],[hwycov_id]],count!$A$630:$E$652,5,FALSE)</f>
        <v>#N/A</v>
      </c>
      <c r="M6" s="81"/>
    </row>
    <row r="7" spans="1:35" ht="15" customHeight="1" x14ac:dyDescent="0.2">
      <c r="A7" s="59">
        <v>21</v>
      </c>
      <c r="B7" s="59" t="s">
        <v>381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12943</v>
      </c>
      <c r="I7" s="94">
        <f>VLOOKUP(c_21[[#This Row],[hwycov_id]],flow0[],5,FALSE)</f>
        <v>12870</v>
      </c>
      <c r="J7" s="60">
        <f t="shared" si="2"/>
        <v>-5.6401143475237614E-3</v>
      </c>
      <c r="K7" s="81">
        <f t="shared" si="1"/>
        <v>5329</v>
      </c>
      <c r="L7" s="61" t="e">
        <f>VLOOKUP(c_21[[#This Row],[hwycov_id]],count!$A$630:$E$652,5,FALSE)</f>
        <v>#N/A</v>
      </c>
      <c r="M7" s="81"/>
    </row>
    <row r="8" spans="1:35" ht="15" customHeight="1" x14ac:dyDescent="0.2">
      <c r="A8" s="59">
        <v>21</v>
      </c>
      <c r="B8" s="59" t="s">
        <v>381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14247</v>
      </c>
      <c r="I8" s="94">
        <f>VLOOKUP(c_21[[#This Row],[hwycov_id]],flow0[],5,FALSE)</f>
        <v>13766</v>
      </c>
      <c r="J8" s="60">
        <f t="shared" si="2"/>
        <v>-3.3761493647785468E-2</v>
      </c>
      <c r="K8" s="81">
        <f t="shared" si="1"/>
        <v>231361</v>
      </c>
      <c r="L8" s="61" t="e">
        <f>VLOOKUP(c_21[[#This Row],[hwycov_id]],count!$A$630:$E$652,5,FALSE)</f>
        <v>#N/A</v>
      </c>
      <c r="M8" s="81"/>
    </row>
    <row r="9" spans="1:35" ht="15" customHeight="1" x14ac:dyDescent="0.2">
      <c r="A9" s="59">
        <v>21</v>
      </c>
      <c r="B9" s="59" t="s">
        <v>381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15515</v>
      </c>
      <c r="I9" s="94">
        <f>VLOOKUP(c_21[[#This Row],[hwycov_id]],flow0[],5,FALSE)</f>
        <v>14890</v>
      </c>
      <c r="J9" s="60">
        <f t="shared" si="2"/>
        <v>-4.0283596519497311E-2</v>
      </c>
      <c r="K9" s="81">
        <f t="shared" si="1"/>
        <v>390625</v>
      </c>
      <c r="L9" s="61" t="e">
        <f>VLOOKUP(c_21[[#This Row],[hwycov_id]],count!$A$630:$E$652,5,FALSE)</f>
        <v>#N/A</v>
      </c>
      <c r="M9" s="81"/>
    </row>
    <row r="10" spans="1:35" ht="15" customHeight="1" x14ac:dyDescent="0.2">
      <c r="A10" s="59">
        <v>21</v>
      </c>
      <c r="B10" s="59" t="s">
        <v>381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15580</v>
      </c>
      <c r="I10" s="94">
        <f>VLOOKUP(c_21[[#This Row],[hwycov_id]],flow0[],5,FALSE)</f>
        <v>15886</v>
      </c>
      <c r="J10" s="60">
        <f t="shared" si="2"/>
        <v>1.9640564826700846E-2</v>
      </c>
      <c r="K10" s="81">
        <f t="shared" si="1"/>
        <v>93636</v>
      </c>
      <c r="L10" s="61" t="e">
        <f>VLOOKUP(c_21[[#This Row],[hwycov_id]],count!$A$630:$E$652,5,FALSE)</f>
        <v>#N/A</v>
      </c>
      <c r="M10" s="81"/>
    </row>
    <row r="11" spans="1:35" ht="15" customHeight="1" x14ac:dyDescent="0.2">
      <c r="A11" s="59">
        <v>21</v>
      </c>
      <c r="B11" s="59" t="s">
        <v>381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16129</v>
      </c>
      <c r="I11" s="94">
        <f>VLOOKUP(c_21[[#This Row],[hwycov_id]],flow0[],5,FALSE)</f>
        <v>16457</v>
      </c>
      <c r="J11" s="60">
        <f t="shared" si="2"/>
        <v>2.033604067208139E-2</v>
      </c>
      <c r="K11" s="81">
        <f t="shared" si="1"/>
        <v>107584</v>
      </c>
      <c r="L11" s="61" t="e">
        <f>VLOOKUP(c_21[[#This Row],[hwycov_id]],count!$A$630:$E$652,5,FALSE)</f>
        <v>#N/A</v>
      </c>
      <c r="M11" s="81"/>
    </row>
    <row r="12" spans="1:35" ht="15" customHeight="1" x14ac:dyDescent="0.2">
      <c r="A12" s="59">
        <v>21</v>
      </c>
      <c r="B12" s="59" t="s">
        <v>381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14905</v>
      </c>
      <c r="I12" s="94">
        <f>VLOOKUP(c_21[[#This Row],[hwycov_id]],flow0[],5,FALSE)</f>
        <v>15250</v>
      </c>
      <c r="J12" s="60">
        <f t="shared" si="2"/>
        <v>2.3146595102314649E-2</v>
      </c>
      <c r="K12" s="81">
        <f t="shared" si="1"/>
        <v>119025</v>
      </c>
      <c r="L12" s="61" t="e">
        <f>VLOOKUP(c_21[[#This Row],[hwycov_id]],count!$A$630:$E$652,5,FALSE)</f>
        <v>#N/A</v>
      </c>
      <c r="M12" s="81"/>
    </row>
    <row r="13" spans="1:35" ht="15" customHeight="1" x14ac:dyDescent="0.2">
      <c r="A13" s="59">
        <v>21</v>
      </c>
      <c r="B13" s="59" t="s">
        <v>381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18373</v>
      </c>
      <c r="I13" s="94">
        <f>VLOOKUP(c_21[[#This Row],[hwycov_id]],flow0[],5,FALSE)</f>
        <v>17878</v>
      </c>
      <c r="J13" s="60">
        <f t="shared" si="2"/>
        <v>-2.694170794100037E-2</v>
      </c>
      <c r="K13" s="81">
        <f t="shared" si="1"/>
        <v>245025</v>
      </c>
      <c r="L13" s="61" t="e">
        <f>VLOOKUP(c_21[[#This Row],[hwycov_id]],count!$A$630:$E$652,5,FALSE)</f>
        <v>#N/A</v>
      </c>
      <c r="M13" s="81"/>
    </row>
    <row r="14" spans="1:35" ht="15" customHeight="1" x14ac:dyDescent="0.2">
      <c r="A14" s="59">
        <v>21</v>
      </c>
      <c r="B14" s="59" t="s">
        <v>381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9018</v>
      </c>
      <c r="I14" s="94">
        <f>VLOOKUP(c_21[[#This Row],[hwycov_id]],flow0[],5,FALSE)</f>
        <v>11090</v>
      </c>
      <c r="J14" s="60">
        <f t="shared" si="2"/>
        <v>0.22976269682856509</v>
      </c>
      <c r="K14" s="81">
        <f t="shared" si="1"/>
        <v>4293184</v>
      </c>
      <c r="L14" s="61" t="e">
        <f>VLOOKUP(c_21[[#This Row],[hwycov_id]],count!$A$630:$E$652,5,FALSE)</f>
        <v>#N/A</v>
      </c>
      <c r="M14" s="81"/>
    </row>
    <row r="15" spans="1:35" ht="15" customHeight="1" x14ac:dyDescent="0.2">
      <c r="A15" s="59">
        <v>21</v>
      </c>
      <c r="B15" s="59" t="s">
        <v>381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12464</v>
      </c>
      <c r="I15" s="94">
        <f>VLOOKUP(c_21[[#This Row],[hwycov_id]],flow0[],5,FALSE)</f>
        <v>13187</v>
      </c>
      <c r="J15" s="60">
        <f t="shared" si="2"/>
        <v>5.800706033376124E-2</v>
      </c>
      <c r="K15" s="81">
        <f t="shared" si="1"/>
        <v>522729</v>
      </c>
      <c r="L15" s="61" t="e">
        <f>VLOOKUP(c_21[[#This Row],[hwycov_id]],count!$A$630:$E$652,5,FALSE)</f>
        <v>#N/A</v>
      </c>
      <c r="M15" s="81"/>
    </row>
    <row r="16" spans="1:35" ht="15" customHeight="1" x14ac:dyDescent="0.2">
      <c r="A16" s="59">
        <v>21</v>
      </c>
      <c r="B16" s="59" t="s">
        <v>381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14272</v>
      </c>
      <c r="I16" s="94">
        <f>VLOOKUP(c_21[[#This Row],[hwycov_id]],flow0[],5,FALSE)</f>
        <v>14663</v>
      </c>
      <c r="J16" s="60">
        <f t="shared" si="2"/>
        <v>2.7396300448430555E-2</v>
      </c>
      <c r="K16" s="81">
        <f t="shared" si="1"/>
        <v>152881</v>
      </c>
      <c r="L16" s="61" t="e">
        <f>VLOOKUP(c_21[[#This Row],[hwycov_id]],count!$A$630:$E$652,5,FALSE)</f>
        <v>#N/A</v>
      </c>
      <c r="M16" s="81"/>
    </row>
    <row r="17" spans="1:14" ht="15" customHeight="1" x14ac:dyDescent="0.2">
      <c r="A17" s="59">
        <v>21</v>
      </c>
      <c r="B17" s="59" t="s">
        <v>381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11686</v>
      </c>
      <c r="I17" s="94">
        <f>VLOOKUP(c_21[[#This Row],[hwycov_id]],flow0[],5,FALSE)</f>
        <v>12148</v>
      </c>
      <c r="J17" s="60">
        <f t="shared" ref="J17:J21" si="3">I17/H17-1</f>
        <v>3.9534485709395772E-2</v>
      </c>
      <c r="K17" s="81">
        <f t="shared" ref="K17:K21" si="4">POWER((I17-H17),2)</f>
        <v>213444</v>
      </c>
      <c r="L17" s="61" t="e">
        <f>VLOOKUP(c_21[[#This Row],[hwycov_id]],count!$A$630:$E$652,5,FALSE)</f>
        <v>#N/A</v>
      </c>
      <c r="M17" s="81"/>
    </row>
    <row r="18" spans="1:14" ht="15" customHeight="1" x14ac:dyDescent="0.2">
      <c r="A18" s="59">
        <v>21</v>
      </c>
      <c r="B18" s="59" t="s">
        <v>381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13214</v>
      </c>
      <c r="I18" s="94">
        <f>VLOOKUP(c_21[[#This Row],[hwycov_id]],flow0[],5,FALSE)</f>
        <v>13522</v>
      </c>
      <c r="J18" s="60">
        <f t="shared" si="3"/>
        <v>2.3308612078098978E-2</v>
      </c>
      <c r="K18" s="81">
        <f t="shared" si="4"/>
        <v>94864</v>
      </c>
      <c r="L18" s="61" t="e">
        <f>VLOOKUP(c_21[[#This Row],[hwycov_id]],count!$A$630:$E$652,5,FALSE)</f>
        <v>#N/A</v>
      </c>
      <c r="M18" s="81"/>
    </row>
    <row r="19" spans="1:14" ht="15" customHeight="1" x14ac:dyDescent="0.2">
      <c r="A19" s="59">
        <v>21</v>
      </c>
      <c r="B19" s="59" t="s">
        <v>381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11871</v>
      </c>
      <c r="I19" s="94">
        <f>VLOOKUP(c_21[[#This Row],[hwycov_id]],flow0[],5,FALSE)</f>
        <v>11957</v>
      </c>
      <c r="J19" s="60">
        <f t="shared" si="3"/>
        <v>7.2445455311263007E-3</v>
      </c>
      <c r="K19" s="81">
        <f t="shared" si="4"/>
        <v>7396</v>
      </c>
      <c r="L19" s="61" t="e">
        <f>VLOOKUP(c_21[[#This Row],[hwycov_id]],count!$A$630:$E$652,5,FALSE)</f>
        <v>#N/A</v>
      </c>
      <c r="M19" s="81"/>
    </row>
    <row r="20" spans="1:14" ht="15" customHeight="1" x14ac:dyDescent="0.2">
      <c r="A20" s="59">
        <v>21</v>
      </c>
      <c r="B20" s="59" t="s">
        <v>381</v>
      </c>
      <c r="C20" s="59">
        <v>15862</v>
      </c>
      <c r="D20" s="61">
        <v>11.65</v>
      </c>
      <c r="E20" s="69">
        <v>0.24771899999999999</v>
      </c>
      <c r="F20" s="59" t="s">
        <v>384</v>
      </c>
      <c r="G20" s="59" t="s">
        <v>39</v>
      </c>
      <c r="H20" s="61">
        <v>11090</v>
      </c>
      <c r="I20" s="94">
        <f>VLOOKUP(c_21[[#This Row],[hwycov_id]],flow0[],5,FALSE)</f>
        <v>10890</v>
      </c>
      <c r="J20" s="60">
        <f t="shared" si="3"/>
        <v>-1.8034265103696989E-2</v>
      </c>
      <c r="K20" s="81">
        <f t="shared" si="4"/>
        <v>40000</v>
      </c>
      <c r="L20" s="61" t="e">
        <f>VLOOKUP(c_21[[#This Row],[hwycov_id]],count!$A$630:$E$652,5,FALSE)</f>
        <v>#N/A</v>
      </c>
      <c r="M20" s="81"/>
    </row>
    <row r="21" spans="1:14" ht="15" customHeight="1" x14ac:dyDescent="0.2">
      <c r="A21" s="59">
        <v>21</v>
      </c>
      <c r="B21" s="59" t="s">
        <v>381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4620</v>
      </c>
      <c r="I21" s="94">
        <f>VLOOKUP(c_21[[#This Row],[hwycov_id]],flow0[],5,FALSE)</f>
        <v>4764</v>
      </c>
      <c r="J21" s="60">
        <f t="shared" si="3"/>
        <v>3.1168831168831179E-2</v>
      </c>
      <c r="K21" s="81">
        <f t="shared" si="4"/>
        <v>20736</v>
      </c>
      <c r="L21" s="61" t="e">
        <f>VLOOKUP(c_21[[#This Row],[hwycov_id]],count!$A$630:$E$652,5,FALSE)</f>
        <v>#N/A</v>
      </c>
      <c r="M21" s="81"/>
    </row>
    <row r="22" spans="1:14" ht="15" customHeight="1" x14ac:dyDescent="0.2">
      <c r="K22" s="81"/>
      <c r="L22" s="81"/>
      <c r="M22" s="81"/>
    </row>
    <row r="23" spans="1:14" ht="15" customHeight="1" x14ac:dyDescent="0.2">
      <c r="K23" s="81"/>
      <c r="L23" s="81"/>
      <c r="M23" s="81"/>
      <c r="N23" s="61"/>
    </row>
    <row r="24" spans="1:14" ht="15" customHeight="1" x14ac:dyDescent="0.2">
      <c r="K24" s="81"/>
      <c r="L24" s="81"/>
      <c r="M24" s="81"/>
      <c r="N24" s="61"/>
    </row>
    <row r="25" spans="1:14" ht="15" customHeight="1" x14ac:dyDescent="0.2">
      <c r="K25" s="81"/>
      <c r="L25" s="81"/>
      <c r="M25" s="81"/>
      <c r="N25" s="61"/>
    </row>
    <row r="26" spans="1:14" ht="15" customHeight="1" x14ac:dyDescent="0.2">
      <c r="K26" s="81"/>
      <c r="L26" s="81"/>
      <c r="M26" s="81"/>
      <c r="N26" s="61"/>
    </row>
    <row r="27" spans="1:14" ht="15" customHeight="1" x14ac:dyDescent="0.2">
      <c r="H27" s="59"/>
      <c r="I27" s="96"/>
      <c r="K27" s="81"/>
      <c r="L27" s="81"/>
      <c r="M27" s="81"/>
      <c r="N27" s="61"/>
    </row>
    <row r="28" spans="1:14" ht="15" customHeight="1" x14ac:dyDescent="0.2">
      <c r="H28" s="59"/>
      <c r="I28" s="96"/>
      <c r="K28" s="81"/>
      <c r="L28" s="81"/>
      <c r="M28" s="81"/>
      <c r="N28" s="61"/>
    </row>
    <row r="29" spans="1:14" ht="15" customHeight="1" x14ac:dyDescent="0.2">
      <c r="H29" s="59"/>
      <c r="I29" s="96"/>
      <c r="K29" s="81"/>
      <c r="L29" s="81"/>
      <c r="M29" s="81"/>
      <c r="N29" s="61"/>
    </row>
    <row r="30" spans="1:14" ht="15" customHeight="1" x14ac:dyDescent="0.2">
      <c r="H30" s="59"/>
      <c r="I30" s="96"/>
      <c r="K30" s="81"/>
      <c r="L30" s="81"/>
      <c r="M30" s="81"/>
      <c r="N30" s="61"/>
    </row>
    <row r="31" spans="1:14" ht="15" customHeight="1" x14ac:dyDescent="0.2">
      <c r="H31" s="59"/>
      <c r="I31" s="96"/>
      <c r="K31" s="81"/>
      <c r="L31" s="81"/>
      <c r="M31" s="81"/>
      <c r="N31" s="61"/>
    </row>
    <row r="32" spans="1:14" ht="15" customHeight="1" x14ac:dyDescent="0.2">
      <c r="H32" s="59"/>
      <c r="I32" s="96"/>
      <c r="K32" s="81"/>
      <c r="L32" s="81"/>
      <c r="M32" s="81"/>
      <c r="N32" s="61"/>
    </row>
    <row r="33" spans="8:14" ht="15" customHeight="1" x14ac:dyDescent="0.2">
      <c r="H33" s="59"/>
      <c r="K33" s="81"/>
      <c r="L33" s="81"/>
      <c r="M33" s="81"/>
      <c r="N33" s="61"/>
    </row>
    <row r="34" spans="8:14" ht="15" customHeight="1" x14ac:dyDescent="0.2">
      <c r="H34" s="59"/>
      <c r="I34" s="96"/>
      <c r="K34" s="81"/>
      <c r="L34" s="81"/>
      <c r="M34" s="81"/>
      <c r="N34" s="61"/>
    </row>
    <row r="35" spans="8:14" ht="15" customHeight="1" x14ac:dyDescent="0.2">
      <c r="H35" s="59"/>
      <c r="I35" s="96"/>
      <c r="K35" s="81"/>
      <c r="L35" s="81"/>
      <c r="M35" s="81"/>
      <c r="N35" s="61"/>
    </row>
    <row r="36" spans="8:14" ht="15" customHeight="1" x14ac:dyDescent="0.2">
      <c r="H36" s="59"/>
      <c r="I36" s="96"/>
      <c r="K36" s="81"/>
      <c r="L36" s="81"/>
      <c r="M36" s="81"/>
      <c r="N36" s="61"/>
    </row>
    <row r="37" spans="8:14" ht="15" customHeight="1" x14ac:dyDescent="0.2">
      <c r="H37" s="59"/>
      <c r="I37" s="96"/>
      <c r="K37" s="81"/>
      <c r="L37" s="81"/>
      <c r="M37" s="81"/>
      <c r="N37" s="61"/>
    </row>
    <row r="38" spans="8:14" ht="15" customHeight="1" x14ac:dyDescent="0.2">
      <c r="H38" s="59"/>
      <c r="I38" s="96"/>
      <c r="K38" s="81"/>
      <c r="L38" s="81"/>
      <c r="M38" s="81"/>
      <c r="N38" s="61"/>
    </row>
    <row r="39" spans="8:14" ht="15" customHeight="1" x14ac:dyDescent="0.2">
      <c r="H39" s="59"/>
      <c r="I39" s="96"/>
      <c r="K39" s="81"/>
      <c r="L39" s="81"/>
      <c r="M39" s="81"/>
      <c r="N39" s="61"/>
    </row>
    <row r="40" spans="8:14" ht="15" customHeight="1" x14ac:dyDescent="0.2">
      <c r="H40" s="59"/>
      <c r="I40" s="96"/>
      <c r="K40" s="81"/>
      <c r="L40" s="81"/>
      <c r="M40" s="81"/>
      <c r="N40" s="61"/>
    </row>
    <row r="41" spans="8:14" ht="15" customHeight="1" x14ac:dyDescent="0.2">
      <c r="H41" s="59"/>
      <c r="I41" s="96"/>
      <c r="K41" s="81"/>
      <c r="L41" s="81"/>
      <c r="M41" s="81"/>
      <c r="N41" s="61"/>
    </row>
    <row r="42" spans="8:14" ht="15" customHeight="1" x14ac:dyDescent="0.2">
      <c r="H42" s="59"/>
      <c r="I42" s="96"/>
      <c r="K42" s="81"/>
      <c r="L42" s="81"/>
      <c r="M42" s="81"/>
      <c r="N42" s="61"/>
    </row>
    <row r="43" spans="8:14" ht="15" customHeight="1" x14ac:dyDescent="0.2">
      <c r="H43" s="59"/>
      <c r="I43" s="96"/>
      <c r="K43" s="81"/>
      <c r="L43" s="81"/>
      <c r="M43" s="81"/>
      <c r="N43" s="61"/>
    </row>
    <row r="44" spans="8:14" ht="15" customHeight="1" x14ac:dyDescent="0.2">
      <c r="H44" s="59"/>
      <c r="I44" s="96"/>
      <c r="K44" s="81"/>
      <c r="L44" s="81"/>
      <c r="M44" s="81"/>
    </row>
    <row r="45" spans="8:14" ht="15" customHeight="1" x14ac:dyDescent="0.2">
      <c r="H45" s="59"/>
      <c r="I45" s="96"/>
      <c r="K45" s="81"/>
      <c r="L45" s="81"/>
      <c r="M45" s="81"/>
    </row>
    <row r="46" spans="8:14" ht="15" customHeight="1" x14ac:dyDescent="0.2">
      <c r="H46" s="59"/>
      <c r="I46" s="96"/>
      <c r="K46" s="81"/>
      <c r="L46" s="81"/>
      <c r="M46" s="81"/>
    </row>
    <row r="47" spans="8:14" ht="15" customHeight="1" x14ac:dyDescent="0.2">
      <c r="H47" s="59"/>
      <c r="I47" s="96"/>
      <c r="K47" s="81"/>
      <c r="L47" s="81"/>
      <c r="M47" s="81"/>
    </row>
    <row r="48" spans="8:14" ht="15" customHeight="1" x14ac:dyDescent="0.2">
      <c r="H48" s="59"/>
      <c r="I48" s="96"/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</sheetData>
  <conditionalFormatting sqref="N2:N1048576 J17:J1048576">
    <cfRule type="cellIs" dxfId="169" priority="9" operator="lessThan">
      <formula>-0.2</formula>
    </cfRule>
    <cfRule type="cellIs" dxfId="168" priority="10" operator="greaterThan">
      <formula>0.2</formula>
    </cfRule>
  </conditionalFormatting>
  <conditionalFormatting sqref="J2:J12 J14:J16">
    <cfRule type="cellIs" dxfId="167" priority="5" operator="lessThan">
      <formula>-0.2</formula>
    </cfRule>
    <cfRule type="cellIs" dxfId="166" priority="6" operator="greaterThan">
      <formula>0.2</formula>
    </cfRule>
  </conditionalFormatting>
  <conditionalFormatting sqref="N1">
    <cfRule type="cellIs" dxfId="165" priority="1" operator="lessThan">
      <formula>-0.2</formula>
    </cfRule>
    <cfRule type="cellIs" dxfId="164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0.39997558519241921"/>
  </sheetPr>
  <dimension ref="A1:AI75"/>
  <sheetViews>
    <sheetView showGridLines="0" zoomScale="90" zoomScaleNormal="90" workbookViewId="0">
      <pane ySplit="1" topLeftCell="A2" activePane="bottomLeft" state="frozen"/>
      <selection activeCell="I39" sqref="I39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9.85546875" style="59" bestFit="1" customWidth="1"/>
    <col min="7" max="7" width="19.710937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SQRT(AVERAGE(c_22[x2]))/AVERAGE(c_22[count])</f>
        <v>0.1261495240368217</v>
      </c>
      <c r="O1" s="136">
        <f>LINEST(c_22[flow],c_22[count],FALSE)</f>
        <v>1.0942186782792886</v>
      </c>
      <c r="P1" s="136">
        <f>RSQ(c_22[flow],c_22[count])</f>
        <v>0.98171223687475717</v>
      </c>
      <c r="Q1" s="43">
        <f>IFERROR(AVERAGEIF(c_22[gap],"&gt;=0",c_22[gap]),0)</f>
        <v>0.116628024988298</v>
      </c>
      <c r="R1" s="44">
        <f>IFERROR(AVERAGEIF(c_22[gap],"&lt;0",c_22[gap]),0)</f>
        <v>-3.9817995808402784E-2</v>
      </c>
      <c r="S1" s="14">
        <f>AVERAGE(c_22[gap])</f>
        <v>9.9714941658924958E-2</v>
      </c>
      <c r="T1" s="42">
        <f>COUNTIFS(c_22[gap],"&lt;10%",c_22[gap],"&gt;=-10%")/COUNTA(c_22[gap])</f>
        <v>0.48648648648648651</v>
      </c>
      <c r="U1" s="42">
        <f>COUNTIFS(c_22[gap],"&lt;20%",c_22[gap],"&gt;=-20%")/COUNTA(c_22[gap])</f>
        <v>0.89189189189189189</v>
      </c>
      <c r="V1" s="42">
        <f>COUNTIFS(c_22[gap],"&lt;30%",c_22[gap],"&gt;=-30%")/COUNTA(c_22[gap])</f>
        <v>0.97297297297297303</v>
      </c>
      <c r="W1" s="43">
        <f>COUNTIF(c_22[gap],"&gt;=0")/COUNTA(c_22[gap])</f>
        <v>0.89189189189189189</v>
      </c>
      <c r="X1" s="45">
        <f>COUNTIF(c_22[gap],"&lt;0")/COUNTA(c_22[gap])</f>
        <v>0.10810810810810811</v>
      </c>
      <c r="Y1" s="7" t="str">
        <f>"%Link(+)="&amp;TEXT(W1,"0%")</f>
        <v>%Link(+)=89%</v>
      </c>
      <c r="Z1" s="7" t="str">
        <f>"%Link(-)="&amp;TEXT(X1,"0%")</f>
        <v>%Link(-)=11%</v>
      </c>
      <c r="AA1" s="73" t="str">
        <f>"AvgGap(+)="&amp;TEXT(Q1,"0%")</f>
        <v>AvgGap(+)=12%</v>
      </c>
      <c r="AB1" s="59" t="str">
        <f>"AvgGap(-)="&amp;TEXT(R1,"0%")</f>
        <v>AvgGap(-)=-4%</v>
      </c>
      <c r="AC1" s="59" t="str">
        <f>"AvgGap(±)="&amp;TEXT(S1,"0%")</f>
        <v>AvgGap(±)=10%</v>
      </c>
      <c r="AD1" s="59" t="str">
        <f>"GapIn(±10%)="&amp;TEXT(T1,"0%")</f>
        <v>GapIn(±10%)=49%</v>
      </c>
      <c r="AE1" s="59" t="str">
        <f>"GapIn(±20%)="&amp;TEXT(U1,"0%")</f>
        <v>GapIn(±20%)=89%</v>
      </c>
      <c r="AF1" s="59" t="str">
        <f>"GapIn(±30%)="&amp;TEXT(V1,"0%")</f>
        <v>GapIn(±30%)=97%</v>
      </c>
      <c r="AG1" s="59" t="str">
        <f>"Linear Slope="&amp;TEXT(O1,"#.###")</f>
        <v>Linear Slope=1.094</v>
      </c>
      <c r="AH1" s="59" t="str">
        <f>"RMSE="&amp;TEXT(N1,"0%")</f>
        <v>RMSE=13%</v>
      </c>
      <c r="AI1" s="59" t="str">
        <f>CONCATENATE(Y1," ",Z1," ",AA1,"  ",AB1,"  ",AC1,"  ",AD1," ",AE1,"  ",AF1,"  ",AG1," ",AH1)</f>
        <v>%Link(+)=89% %Link(-)=11% AvgGap(+)=12%  AvgGap(-)=-4%  AvgGap(±)=10%  GapIn(±10%)=49% GapIn(±20%)=89%  GapIn(±30%)=97%  Linear Slope=1.094 RMSE=13%</v>
      </c>
    </row>
    <row r="2" spans="1:35" ht="15" customHeight="1" x14ac:dyDescent="0.2">
      <c r="A2" s="59">
        <v>22</v>
      </c>
      <c r="B2" s="59" t="s">
        <v>385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4773</v>
      </c>
      <c r="I2" s="94">
        <f>VLOOKUP(c_22[[#This Row],[hwycov_id]],flow0[],5,FALSE)</f>
        <v>6271</v>
      </c>
      <c r="J2" s="60">
        <f t="shared" ref="J2:J40" si="0">I2/H2-1</f>
        <v>0.31384873245338363</v>
      </c>
      <c r="K2" s="81">
        <f t="shared" ref="K2:K40" si="1">POWER((I2-H2),2)</f>
        <v>2244004</v>
      </c>
      <c r="L2" s="61" t="e">
        <f>VLOOKUP(c_22[[#This Row],[hwycov_id]],count!$A$630:$E$652,5,FALSE)</f>
        <v>#N/A</v>
      </c>
      <c r="M2" s="81"/>
    </row>
    <row r="3" spans="1:35" ht="15" customHeight="1" x14ac:dyDescent="0.2">
      <c r="A3" s="59">
        <v>22</v>
      </c>
      <c r="B3" s="59" t="s">
        <v>385</v>
      </c>
      <c r="C3" s="65">
        <v>28086</v>
      </c>
      <c r="D3" s="61">
        <v>1.61</v>
      </c>
      <c r="E3" s="70">
        <v>0.58222099999999999</v>
      </c>
      <c r="F3" s="65" t="s">
        <v>350</v>
      </c>
      <c r="G3" s="65" t="s">
        <v>49</v>
      </c>
      <c r="H3" s="68">
        <v>10052</v>
      </c>
      <c r="I3" s="94">
        <f>VLOOKUP(c_22[[#This Row],[hwycov_id]],flow0[],5,FALSE)</f>
        <v>11277</v>
      </c>
      <c r="J3" s="60">
        <f t="shared" si="0"/>
        <v>0.12186629526462389</v>
      </c>
      <c r="K3" s="81">
        <f t="shared" si="1"/>
        <v>1500625</v>
      </c>
      <c r="L3" s="61" t="e">
        <f>VLOOKUP(c_22[[#This Row],[hwycov_id]],count!$A$630:$E$652,5,FALSE)</f>
        <v>#N/A</v>
      </c>
      <c r="M3" s="81"/>
    </row>
    <row r="4" spans="1:35" ht="15" customHeight="1" x14ac:dyDescent="0.2">
      <c r="A4" s="59">
        <v>22</v>
      </c>
      <c r="B4" s="59" t="s">
        <v>385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349</v>
      </c>
      <c r="H4" s="68">
        <v>24913</v>
      </c>
      <c r="I4" s="94">
        <f>VLOOKUP(c_22[[#This Row],[hwycov_id]],flow0[],5,FALSE)</f>
        <v>25749</v>
      </c>
      <c r="J4" s="60">
        <f t="shared" si="0"/>
        <v>3.3556777585999287E-2</v>
      </c>
      <c r="K4" s="81">
        <f t="shared" si="1"/>
        <v>698896</v>
      </c>
      <c r="L4" s="61" t="e">
        <f>VLOOKUP(c_22[[#This Row],[hwycov_id]],count!$A$630:$E$652,5,FALSE)</f>
        <v>#N/A</v>
      </c>
      <c r="M4" s="81"/>
    </row>
    <row r="5" spans="1:35" ht="15" customHeight="1" x14ac:dyDescent="0.2">
      <c r="A5" s="59">
        <v>22</v>
      </c>
      <c r="B5" s="59" t="s">
        <v>385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24920</v>
      </c>
      <c r="I5" s="94">
        <f>VLOOKUP(c_22[[#This Row],[hwycov_id]],flow0[],5,FALSE)</f>
        <v>28003</v>
      </c>
      <c r="J5" s="60">
        <f t="shared" si="0"/>
        <v>0.12371589085072232</v>
      </c>
      <c r="K5" s="81">
        <f t="shared" si="1"/>
        <v>9504889</v>
      </c>
      <c r="L5" s="61" t="e">
        <f>VLOOKUP(c_22[[#This Row],[hwycov_id]],count!$A$630:$E$652,5,FALSE)</f>
        <v>#N/A</v>
      </c>
      <c r="M5" s="81"/>
    </row>
    <row r="6" spans="1:35" ht="15" customHeight="1" x14ac:dyDescent="0.2">
      <c r="A6" s="59">
        <v>22</v>
      </c>
      <c r="B6" s="59" t="s">
        <v>385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25127</v>
      </c>
      <c r="I6" s="94">
        <f>VLOOKUP(c_22[[#This Row],[hwycov_id]],flow0[],5,FALSE)</f>
        <v>28003</v>
      </c>
      <c r="J6" s="60">
        <f t="shared" si="0"/>
        <v>0.11445855056313925</v>
      </c>
      <c r="K6" s="81">
        <f t="shared" si="1"/>
        <v>8271376</v>
      </c>
      <c r="L6" s="61" t="e">
        <f>VLOOKUP(c_22[[#This Row],[hwycov_id]],count!$A$630:$E$652,5,FALSE)</f>
        <v>#N/A</v>
      </c>
      <c r="M6" s="81"/>
    </row>
    <row r="7" spans="1:35" ht="15" customHeight="1" x14ac:dyDescent="0.2">
      <c r="A7" s="59">
        <v>22</v>
      </c>
      <c r="B7" s="59" t="s">
        <v>385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24622</v>
      </c>
      <c r="I7" s="94">
        <f>VLOOKUP(c_22[[#This Row],[hwycov_id]],flow0[],5,FALSE)</f>
        <v>25712</v>
      </c>
      <c r="J7" s="60">
        <f t="shared" si="0"/>
        <v>4.4269352611485679E-2</v>
      </c>
      <c r="K7" s="81">
        <f t="shared" si="1"/>
        <v>1188100</v>
      </c>
      <c r="L7" s="61" t="e">
        <f>VLOOKUP(c_22[[#This Row],[hwycov_id]],count!$A$630:$E$652,5,FALSE)</f>
        <v>#N/A</v>
      </c>
      <c r="M7" s="81"/>
    </row>
    <row r="8" spans="1:35" ht="15" customHeight="1" x14ac:dyDescent="0.2">
      <c r="A8" s="59">
        <v>22</v>
      </c>
      <c r="B8" s="59" t="s">
        <v>385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29759</v>
      </c>
      <c r="I8" s="94">
        <f>VLOOKUP(c_22[[#This Row],[hwycov_id]],flow0[],5,FALSE)</f>
        <v>33232</v>
      </c>
      <c r="J8" s="60">
        <f t="shared" si="0"/>
        <v>0.11670419032897605</v>
      </c>
      <c r="K8" s="81">
        <f t="shared" si="1"/>
        <v>12061729</v>
      </c>
      <c r="L8" s="61" t="e">
        <f>VLOOKUP(c_22[[#This Row],[hwycov_id]],count!$A$630:$E$652,5,FALSE)</f>
        <v>#N/A</v>
      </c>
      <c r="M8" s="81"/>
    </row>
    <row r="9" spans="1:35" ht="15" customHeight="1" x14ac:dyDescent="0.2">
      <c r="A9" s="59">
        <v>22</v>
      </c>
      <c r="B9" s="59" t="s">
        <v>385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18862</v>
      </c>
      <c r="I9" s="94">
        <f>VLOOKUP(c_22[[#This Row],[hwycov_id]],flow0[],5,FALSE)</f>
        <v>20526</v>
      </c>
      <c r="J9" s="60">
        <f t="shared" si="0"/>
        <v>8.821970098610965E-2</v>
      </c>
      <c r="K9" s="81">
        <f t="shared" si="1"/>
        <v>2768896</v>
      </c>
      <c r="L9" s="61" t="e">
        <f>VLOOKUP(c_22[[#This Row],[hwycov_id]],count!$A$630:$E$652,5,FALSE)</f>
        <v>#N/A</v>
      </c>
      <c r="M9" s="81"/>
    </row>
    <row r="10" spans="1:35" ht="15" customHeight="1" x14ac:dyDescent="0.2">
      <c r="A10" s="59">
        <v>22</v>
      </c>
      <c r="B10" s="59" t="s">
        <v>385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22989</v>
      </c>
      <c r="I10" s="94">
        <f>VLOOKUP(c_22[[#This Row],[hwycov_id]],flow0[],5,FALSE)</f>
        <v>23466</v>
      </c>
      <c r="J10" s="60">
        <f t="shared" si="0"/>
        <v>2.0749053895341207E-2</v>
      </c>
      <c r="K10" s="81">
        <f t="shared" si="1"/>
        <v>227529</v>
      </c>
      <c r="L10" s="61" t="e">
        <f>VLOOKUP(c_22[[#This Row],[hwycov_id]],count!$A$630:$E$652,5,FALSE)</f>
        <v>#N/A</v>
      </c>
      <c r="M10" s="81"/>
    </row>
    <row r="11" spans="1:35" ht="15" customHeight="1" x14ac:dyDescent="0.2">
      <c r="A11" s="59">
        <v>22</v>
      </c>
      <c r="B11" s="59" t="s">
        <v>385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32396</v>
      </c>
      <c r="I11" s="94">
        <f>VLOOKUP(c_22[[#This Row],[hwycov_id]],flow0[],5,FALSE)</f>
        <v>35005</v>
      </c>
      <c r="J11" s="60">
        <f t="shared" si="0"/>
        <v>8.0534633905420483E-2</v>
      </c>
      <c r="K11" s="81">
        <f t="shared" si="1"/>
        <v>6806881</v>
      </c>
      <c r="L11" s="61" t="e">
        <f>VLOOKUP(c_22[[#This Row],[hwycov_id]],count!$A$630:$E$652,5,FALSE)</f>
        <v>#N/A</v>
      </c>
      <c r="M11" s="81"/>
    </row>
    <row r="12" spans="1:35" ht="15" customHeight="1" x14ac:dyDescent="0.2">
      <c r="A12" s="59">
        <v>22</v>
      </c>
      <c r="B12" s="59" t="s">
        <v>385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22091</v>
      </c>
      <c r="I12" s="94">
        <f>VLOOKUP(c_22[[#This Row],[hwycov_id]],flow0[],5,FALSE)</f>
        <v>24524</v>
      </c>
      <c r="J12" s="60">
        <f t="shared" si="0"/>
        <v>0.11013534923724588</v>
      </c>
      <c r="K12" s="81">
        <f t="shared" si="1"/>
        <v>5919489</v>
      </c>
      <c r="L12" s="61" t="e">
        <f>VLOOKUP(c_22[[#This Row],[hwycov_id]],count!$A$630:$E$652,5,FALSE)</f>
        <v>#N/A</v>
      </c>
      <c r="M12" s="81"/>
    </row>
    <row r="13" spans="1:35" ht="15" customHeight="1" x14ac:dyDescent="0.2">
      <c r="A13" s="59">
        <v>22</v>
      </c>
      <c r="B13" s="59" t="s">
        <v>385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32123</v>
      </c>
      <c r="I13" s="94">
        <f>VLOOKUP(c_22[[#This Row],[hwycov_id]],flow0[],5,FALSE)</f>
        <v>38721</v>
      </c>
      <c r="J13" s="60">
        <f t="shared" si="0"/>
        <v>0.20539800143199582</v>
      </c>
      <c r="K13" s="81">
        <f t="shared" si="1"/>
        <v>43533604</v>
      </c>
      <c r="L13" s="61" t="e">
        <f>VLOOKUP(c_22[[#This Row],[hwycov_id]],count!$A$630:$E$652,5,FALSE)</f>
        <v>#N/A</v>
      </c>
      <c r="M13" s="81"/>
    </row>
    <row r="14" spans="1:35" ht="15" customHeight="1" x14ac:dyDescent="0.2">
      <c r="A14" s="59">
        <v>22</v>
      </c>
      <c r="B14" s="59" t="s">
        <v>385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31503</v>
      </c>
      <c r="I14" s="94">
        <f>VLOOKUP(c_22[[#This Row],[hwycov_id]],flow0[],5,FALSE)</f>
        <v>36163</v>
      </c>
      <c r="J14" s="60">
        <f t="shared" si="0"/>
        <v>0.14792242008697576</v>
      </c>
      <c r="K14" s="81">
        <f t="shared" si="1"/>
        <v>21715600</v>
      </c>
      <c r="L14" s="61" t="e">
        <f>VLOOKUP(c_22[[#This Row],[hwycov_id]],count!$A$630:$E$652,5,FALSE)</f>
        <v>#N/A</v>
      </c>
      <c r="M14" s="81"/>
    </row>
    <row r="15" spans="1:35" ht="15" customHeight="1" x14ac:dyDescent="0.2">
      <c r="A15" s="59">
        <v>22</v>
      </c>
      <c r="B15" s="59" t="s">
        <v>385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32064</v>
      </c>
      <c r="I15" s="94">
        <f>VLOOKUP(c_22[[#This Row],[hwycov_id]],flow0[],5,FALSE)</f>
        <v>37791</v>
      </c>
      <c r="J15" s="60">
        <f t="shared" si="0"/>
        <v>0.17861152694610771</v>
      </c>
      <c r="K15" s="81">
        <f t="shared" si="1"/>
        <v>32798529</v>
      </c>
      <c r="L15" s="61" t="e">
        <f>VLOOKUP(c_22[[#This Row],[hwycov_id]],count!$A$630:$E$652,5,FALSE)</f>
        <v>#N/A</v>
      </c>
      <c r="M15" s="81"/>
    </row>
    <row r="16" spans="1:35" ht="15" customHeight="1" x14ac:dyDescent="0.2">
      <c r="A16" s="59">
        <v>22</v>
      </c>
      <c r="B16" s="59" t="s">
        <v>385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28358</v>
      </c>
      <c r="I16" s="94">
        <f>VLOOKUP(c_22[[#This Row],[hwycov_id]],flow0[],5,FALSE)</f>
        <v>29199</v>
      </c>
      <c r="J16" s="60">
        <f t="shared" si="0"/>
        <v>2.9656534311305549E-2</v>
      </c>
      <c r="K16" s="81">
        <f t="shared" si="1"/>
        <v>707281</v>
      </c>
      <c r="L16" s="61" t="e">
        <f>VLOOKUP(c_22[[#This Row],[hwycov_id]],count!$A$630:$E$652,5,FALSE)</f>
        <v>#N/A</v>
      </c>
      <c r="M16" s="81"/>
    </row>
    <row r="17" spans="1:13" ht="15" customHeight="1" x14ac:dyDescent="0.2">
      <c r="A17" s="59">
        <v>22</v>
      </c>
      <c r="B17" s="59" t="s">
        <v>385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28021</v>
      </c>
      <c r="I17" s="94">
        <f>VLOOKUP(c_22[[#This Row],[hwycov_id]],flow0[],5,FALSE)</f>
        <v>32309</v>
      </c>
      <c r="J17" s="60">
        <f t="shared" si="0"/>
        <v>0.15302808607829843</v>
      </c>
      <c r="K17" s="81">
        <f t="shared" si="1"/>
        <v>18386944</v>
      </c>
      <c r="L17" s="61" t="e">
        <f>VLOOKUP(c_22[[#This Row],[hwycov_id]],count!$A$630:$E$652,5,FALSE)</f>
        <v>#N/A</v>
      </c>
      <c r="M17" s="81"/>
    </row>
    <row r="18" spans="1:13" ht="15" customHeight="1" x14ac:dyDescent="0.2">
      <c r="A18" s="59">
        <v>22</v>
      </c>
      <c r="B18" s="59" t="s">
        <v>385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26509</v>
      </c>
      <c r="I18" s="94">
        <f>VLOOKUP(c_22[[#This Row],[hwycov_id]],flow0[],5,FALSE)</f>
        <v>29357</v>
      </c>
      <c r="J18" s="60">
        <f t="shared" si="0"/>
        <v>0.1074352106831642</v>
      </c>
      <c r="K18" s="81">
        <f t="shared" si="1"/>
        <v>8111104</v>
      </c>
      <c r="L18" s="61" t="e">
        <f>VLOOKUP(c_22[[#This Row],[hwycov_id]],count!$A$630:$E$652,5,FALSE)</f>
        <v>#N/A</v>
      </c>
      <c r="M18" s="81"/>
    </row>
    <row r="19" spans="1:13" ht="15" customHeight="1" x14ac:dyDescent="0.2">
      <c r="A19" s="59">
        <v>22</v>
      </c>
      <c r="B19" s="59" t="s">
        <v>385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27861</v>
      </c>
      <c r="I19" s="94">
        <f>VLOOKUP(c_22[[#This Row],[hwycov_id]],flow0[],5,FALSE)</f>
        <v>31955</v>
      </c>
      <c r="J19" s="60">
        <f t="shared" si="0"/>
        <v>0.14694375650550939</v>
      </c>
      <c r="K19" s="81">
        <f t="shared" si="1"/>
        <v>16760836</v>
      </c>
      <c r="L19" s="61" t="e">
        <f>VLOOKUP(c_22[[#This Row],[hwycov_id]],count!$A$630:$E$652,5,FALSE)</f>
        <v>#N/A</v>
      </c>
      <c r="M19" s="81"/>
    </row>
    <row r="20" spans="1:13" ht="15" customHeight="1" x14ac:dyDescent="0.2">
      <c r="A20" s="59">
        <v>22</v>
      </c>
      <c r="B20" s="59" t="s">
        <v>385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23673</v>
      </c>
      <c r="I20" s="94">
        <f>VLOOKUP(c_22[[#This Row],[hwycov_id]],flow0[],5,FALSE)</f>
        <v>25768</v>
      </c>
      <c r="J20" s="60">
        <f t="shared" si="0"/>
        <v>8.849744434587925E-2</v>
      </c>
      <c r="K20" s="81">
        <f t="shared" si="1"/>
        <v>4389025</v>
      </c>
      <c r="L20" s="61" t="e">
        <f>VLOOKUP(c_22[[#This Row],[hwycov_id]],count!$A$630:$E$652,5,FALSE)</f>
        <v>#N/A</v>
      </c>
      <c r="M20" s="81"/>
    </row>
    <row r="21" spans="1:13" ht="15" customHeight="1" x14ac:dyDescent="0.2">
      <c r="A21" s="59">
        <v>22</v>
      </c>
      <c r="B21" s="59" t="s">
        <v>385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23045</v>
      </c>
      <c r="I21" s="94">
        <f>VLOOKUP(c_22[[#This Row],[hwycov_id]],flow0[],5,FALSE)</f>
        <v>24128</v>
      </c>
      <c r="J21" s="60">
        <f t="shared" si="0"/>
        <v>4.6995009763506124E-2</v>
      </c>
      <c r="K21" s="81">
        <f t="shared" si="1"/>
        <v>1172889</v>
      </c>
      <c r="L21" s="61" t="e">
        <f>VLOOKUP(c_22[[#This Row],[hwycov_id]],count!$A$630:$E$652,5,FALSE)</f>
        <v>#N/A</v>
      </c>
      <c r="M21" s="81"/>
    </row>
    <row r="22" spans="1:13" ht="15" customHeight="1" x14ac:dyDescent="0.2">
      <c r="A22" s="59">
        <v>22</v>
      </c>
      <c r="B22" s="59" t="s">
        <v>385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26961</v>
      </c>
      <c r="I22" s="94">
        <f>VLOOKUP(c_22[[#This Row],[hwycov_id]],flow0[],5,FALSE)</f>
        <v>25959</v>
      </c>
      <c r="J22" s="60">
        <f t="shared" si="0"/>
        <v>-3.7164793590742207E-2</v>
      </c>
      <c r="K22" s="81">
        <f t="shared" si="1"/>
        <v>1004004</v>
      </c>
      <c r="L22" s="61" t="e">
        <f>VLOOKUP(c_22[[#This Row],[hwycov_id]],count!$A$630:$E$652,5,FALSE)</f>
        <v>#N/A</v>
      </c>
      <c r="M22" s="81"/>
    </row>
    <row r="23" spans="1:13" ht="15" customHeight="1" x14ac:dyDescent="0.2">
      <c r="A23" s="59">
        <v>22</v>
      </c>
      <c r="B23" s="59" t="s">
        <v>385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20842</v>
      </c>
      <c r="I23" s="94">
        <f>VLOOKUP(c_22[[#This Row],[hwycov_id]],flow0[],5,FALSE)</f>
        <v>24318</v>
      </c>
      <c r="J23" s="60">
        <f t="shared" si="0"/>
        <v>0.16677862009404087</v>
      </c>
      <c r="K23" s="81">
        <f t="shared" si="1"/>
        <v>12082576</v>
      </c>
      <c r="L23" s="61" t="e">
        <f>VLOOKUP(c_22[[#This Row],[hwycov_id]],count!$A$630:$E$652,5,FALSE)</f>
        <v>#N/A</v>
      </c>
      <c r="M23" s="81"/>
    </row>
    <row r="24" spans="1:13" ht="15" customHeight="1" x14ac:dyDescent="0.2">
      <c r="A24" s="59">
        <v>22</v>
      </c>
      <c r="B24" s="59" t="s">
        <v>385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30620</v>
      </c>
      <c r="I24" s="94">
        <f>VLOOKUP(c_22[[#This Row],[hwycov_id]],flow0[],5,FALSE)</f>
        <v>32055</v>
      </c>
      <c r="J24" s="60">
        <f t="shared" si="0"/>
        <v>4.6864794252122755E-2</v>
      </c>
      <c r="K24" s="81">
        <f t="shared" si="1"/>
        <v>2059225</v>
      </c>
      <c r="L24" s="61" t="e">
        <f>VLOOKUP(c_22[[#This Row],[hwycov_id]],count!$A$630:$E$652,5,FALSE)</f>
        <v>#N/A</v>
      </c>
      <c r="M24" s="81"/>
    </row>
    <row r="25" spans="1:13" ht="15" customHeight="1" x14ac:dyDescent="0.2">
      <c r="A25" s="59">
        <v>22</v>
      </c>
      <c r="B25" s="59" t="s">
        <v>385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22190</v>
      </c>
      <c r="I25" s="94">
        <f>VLOOKUP(c_22[[#This Row],[hwycov_id]],flow0[],5,FALSE)</f>
        <v>23965</v>
      </c>
      <c r="J25" s="60">
        <f t="shared" si="0"/>
        <v>7.9990986931050001E-2</v>
      </c>
      <c r="K25" s="81">
        <f t="shared" si="1"/>
        <v>3150625</v>
      </c>
      <c r="L25" s="61" t="e">
        <f>VLOOKUP(c_22[[#This Row],[hwycov_id]],count!$A$630:$E$652,5,FALSE)</f>
        <v>#N/A</v>
      </c>
      <c r="M25" s="81"/>
    </row>
    <row r="26" spans="1:13" ht="15" customHeight="1" x14ac:dyDescent="0.2">
      <c r="A26" s="59">
        <v>22</v>
      </c>
      <c r="B26" s="59" t="s">
        <v>385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21209</v>
      </c>
      <c r="I26" s="94">
        <f>VLOOKUP(c_22[[#This Row],[hwycov_id]],flow0[],5,FALSE)</f>
        <v>22367</v>
      </c>
      <c r="J26" s="60">
        <f t="shared" si="0"/>
        <v>5.4599462492338269E-2</v>
      </c>
      <c r="K26" s="81">
        <f t="shared" si="1"/>
        <v>1340964</v>
      </c>
      <c r="L26" s="61" t="e">
        <f>VLOOKUP(c_22[[#This Row],[hwycov_id]],count!$A$630:$E$652,5,FALSE)</f>
        <v>#N/A</v>
      </c>
      <c r="M26" s="81"/>
    </row>
    <row r="27" spans="1:13" ht="15" customHeight="1" x14ac:dyDescent="0.2">
      <c r="A27" s="59">
        <v>22</v>
      </c>
      <c r="B27" s="59" t="s">
        <v>385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15750</v>
      </c>
      <c r="I27" s="94">
        <f>VLOOKUP(c_22[[#This Row],[hwycov_id]],flow0[],5,FALSE)</f>
        <v>17782</v>
      </c>
      <c r="J27" s="60">
        <f t="shared" si="0"/>
        <v>0.12901587301587303</v>
      </c>
      <c r="K27" s="81">
        <f t="shared" si="1"/>
        <v>4129024</v>
      </c>
      <c r="L27" s="61" t="e">
        <f>VLOOKUP(c_22[[#This Row],[hwycov_id]],count!$A$630:$E$652,5,FALSE)</f>
        <v>#N/A</v>
      </c>
      <c r="M27" s="81"/>
    </row>
    <row r="28" spans="1:13" ht="15" customHeight="1" x14ac:dyDescent="0.2">
      <c r="A28" s="59">
        <v>22</v>
      </c>
      <c r="B28" s="59" t="s">
        <v>385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15602</v>
      </c>
      <c r="I28" s="94">
        <f>VLOOKUP(c_22[[#This Row],[hwycov_id]],flow0[],5,FALSE)</f>
        <v>14839</v>
      </c>
      <c r="J28" s="60">
        <f t="shared" si="0"/>
        <v>-4.890398666837581E-2</v>
      </c>
      <c r="K28" s="81">
        <f t="shared" si="1"/>
        <v>582169</v>
      </c>
      <c r="L28" s="61" t="e">
        <f>VLOOKUP(c_22[[#This Row],[hwycov_id]],count!$A$630:$E$652,5,FALSE)</f>
        <v>#N/A</v>
      </c>
      <c r="M28" s="81"/>
    </row>
    <row r="29" spans="1:13" ht="15" customHeight="1" x14ac:dyDescent="0.2">
      <c r="A29" s="59">
        <v>22</v>
      </c>
      <c r="B29" s="59" t="s">
        <v>385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16338</v>
      </c>
      <c r="I29" s="94">
        <f>VLOOKUP(c_22[[#This Row],[hwycov_id]],flow0[],5,FALSE)</f>
        <v>15580</v>
      </c>
      <c r="J29" s="60">
        <f t="shared" si="0"/>
        <v>-4.6394907577426814E-2</v>
      </c>
      <c r="K29" s="81">
        <f t="shared" si="1"/>
        <v>574564</v>
      </c>
      <c r="L29" s="61" t="e">
        <f>VLOOKUP(c_22[[#This Row],[hwycov_id]],count!$A$630:$E$652,5,FALSE)</f>
        <v>#N/A</v>
      </c>
      <c r="M29" s="81"/>
    </row>
    <row r="30" spans="1:13" ht="15" customHeight="1" x14ac:dyDescent="0.2">
      <c r="A30" s="59">
        <v>22</v>
      </c>
      <c r="B30" s="59" t="s">
        <v>385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11333</v>
      </c>
      <c r="I30" s="94">
        <f>VLOOKUP(c_22[[#This Row],[hwycov_id]],flow0[],5,FALSE)</f>
        <v>12877</v>
      </c>
      <c r="J30" s="60">
        <f t="shared" si="0"/>
        <v>0.13623930115591643</v>
      </c>
      <c r="K30" s="81">
        <f t="shared" si="1"/>
        <v>2383936</v>
      </c>
      <c r="L30" s="61" t="e">
        <f>VLOOKUP(c_22[[#This Row],[hwycov_id]],count!$A$630:$E$652,5,FALSE)</f>
        <v>#N/A</v>
      </c>
      <c r="M30" s="81"/>
    </row>
    <row r="31" spans="1:13" ht="15" customHeight="1" x14ac:dyDescent="0.2">
      <c r="A31" s="59">
        <v>22</v>
      </c>
      <c r="B31" s="59" t="s">
        <v>385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13115</v>
      </c>
      <c r="I31" s="94">
        <f>VLOOKUP(c_22[[#This Row],[hwycov_id]],flow0[],5,FALSE)</f>
        <v>13632</v>
      </c>
      <c r="J31" s="60">
        <f t="shared" si="0"/>
        <v>3.942051086542131E-2</v>
      </c>
      <c r="K31" s="81">
        <f t="shared" si="1"/>
        <v>267289</v>
      </c>
      <c r="L31" s="61" t="e">
        <f>VLOOKUP(c_22[[#This Row],[hwycov_id]],count!$A$630:$E$652,5,FALSE)</f>
        <v>#N/A</v>
      </c>
      <c r="M31" s="81"/>
    </row>
    <row r="32" spans="1:13" ht="15" customHeight="1" x14ac:dyDescent="0.2">
      <c r="A32" s="59">
        <v>22</v>
      </c>
      <c r="B32" s="59" t="s">
        <v>385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11862</v>
      </c>
      <c r="I32" s="94">
        <f>VLOOKUP(c_22[[#This Row],[hwycov_id]],flow0[],5,FALSE)</f>
        <v>11544</v>
      </c>
      <c r="J32" s="60">
        <f t="shared" si="0"/>
        <v>-2.6808295397066306E-2</v>
      </c>
      <c r="K32" s="81">
        <f t="shared" si="1"/>
        <v>101124</v>
      </c>
      <c r="L32" s="61" t="e">
        <f>VLOOKUP(c_22[[#This Row],[hwycov_id]],count!$A$630:$E$652,5,FALSE)</f>
        <v>#N/A</v>
      </c>
      <c r="M32" s="81"/>
    </row>
    <row r="33" spans="1:14" ht="15" customHeight="1" x14ac:dyDescent="0.2">
      <c r="A33" s="59">
        <v>22</v>
      </c>
      <c r="B33" s="59" t="s">
        <v>385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8438</v>
      </c>
      <c r="I33" s="94">
        <f>VLOOKUP(c_22[[#This Row],[hwycov_id]],flow0[],5,FALSE)</f>
        <v>9155</v>
      </c>
      <c r="J33" s="60">
        <f t="shared" si="0"/>
        <v>8.497274235600849E-2</v>
      </c>
      <c r="K33" s="81">
        <f t="shared" si="1"/>
        <v>514089</v>
      </c>
      <c r="L33" s="61" t="e">
        <f>VLOOKUP(c_22[[#This Row],[hwycov_id]],count!$A$630:$E$652,5,FALSE)</f>
        <v>#N/A</v>
      </c>
      <c r="M33" s="81"/>
    </row>
    <row r="34" spans="1:14" ht="15" customHeight="1" x14ac:dyDescent="0.2">
      <c r="A34" s="59">
        <v>22</v>
      </c>
      <c r="B34" s="59" t="s">
        <v>385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7857</v>
      </c>
      <c r="I34" s="94">
        <f>VLOOKUP(c_22[[#This Row],[hwycov_id]],flow0[],5,FALSE)</f>
        <v>8969</v>
      </c>
      <c r="J34" s="60">
        <f t="shared" si="0"/>
        <v>0.14152984599719987</v>
      </c>
      <c r="K34" s="81">
        <f t="shared" si="1"/>
        <v>1236544</v>
      </c>
      <c r="L34" s="61" t="e">
        <f>VLOOKUP(c_22[[#This Row],[hwycov_id]],count!$A$630:$E$652,5,FALSE)</f>
        <v>#N/A</v>
      </c>
      <c r="M34" s="81"/>
    </row>
    <row r="35" spans="1:14" ht="15" customHeight="1" x14ac:dyDescent="0.2">
      <c r="A35" s="59">
        <v>22</v>
      </c>
      <c r="B35" s="59" t="s">
        <v>385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346</v>
      </c>
      <c r="H35" s="68">
        <v>8246</v>
      </c>
      <c r="I35" s="94">
        <f>VLOOKUP(c_22[[#This Row],[hwycov_id]],flow0[],5,FALSE)</f>
        <v>9018</v>
      </c>
      <c r="J35" s="60">
        <f t="shared" si="0"/>
        <v>9.3621149648314361E-2</v>
      </c>
      <c r="K35" s="81">
        <f t="shared" si="1"/>
        <v>595984</v>
      </c>
      <c r="L35" s="61" t="e">
        <f>VLOOKUP(c_22[[#This Row],[hwycov_id]],count!$A$630:$E$652,5,FALSE)</f>
        <v>#N/A</v>
      </c>
      <c r="M35" s="81"/>
    </row>
    <row r="36" spans="1:14" ht="15" customHeight="1" x14ac:dyDescent="0.2">
      <c r="A36" s="59">
        <v>22</v>
      </c>
      <c r="B36" s="59" t="s">
        <v>385</v>
      </c>
      <c r="C36" s="65">
        <v>29215</v>
      </c>
      <c r="D36" s="61">
        <v>45.16</v>
      </c>
      <c r="E36" s="70">
        <v>2.204377</v>
      </c>
      <c r="F36" s="65" t="s">
        <v>345</v>
      </c>
      <c r="G36" s="65" t="s">
        <v>344</v>
      </c>
      <c r="H36" s="68">
        <v>2708</v>
      </c>
      <c r="I36" s="94">
        <f>VLOOKUP(c_22[[#This Row],[hwycov_id]],flow0[],5,FALSE)</f>
        <v>3264</v>
      </c>
      <c r="J36" s="60">
        <f t="shared" si="0"/>
        <v>0.20531757754800584</v>
      </c>
      <c r="K36" s="81">
        <f t="shared" si="1"/>
        <v>309136</v>
      </c>
      <c r="L36" s="61" t="e">
        <f>VLOOKUP(c_22[[#This Row],[hwycov_id]],count!$A$630:$E$652,5,FALSE)</f>
        <v>#N/A</v>
      </c>
      <c r="M36" s="81"/>
    </row>
    <row r="37" spans="1:14" ht="15" customHeight="1" x14ac:dyDescent="0.2">
      <c r="A37" s="59">
        <v>22</v>
      </c>
      <c r="B37" s="59" t="s">
        <v>385</v>
      </c>
      <c r="C37" s="65">
        <v>28269</v>
      </c>
      <c r="D37" s="61">
        <v>53.52</v>
      </c>
      <c r="E37" s="70">
        <v>2.602919</v>
      </c>
      <c r="F37" s="65" t="s">
        <v>343</v>
      </c>
      <c r="G37" s="65" t="s">
        <v>342</v>
      </c>
      <c r="H37" s="68">
        <v>1915</v>
      </c>
      <c r="I37" s="94">
        <f>VLOOKUP(c_22[[#This Row],[hwycov_id]],flow0[],5,FALSE)</f>
        <v>2341</v>
      </c>
      <c r="J37" s="60">
        <f t="shared" si="0"/>
        <v>0.22245430809399469</v>
      </c>
      <c r="K37" s="81">
        <f t="shared" si="1"/>
        <v>181476</v>
      </c>
      <c r="L37" s="61" t="e">
        <f>VLOOKUP(c_22[[#This Row],[hwycov_id]],count!$A$630:$E$652,5,FALSE)</f>
        <v>#N/A</v>
      </c>
      <c r="M37" s="81"/>
    </row>
    <row r="38" spans="1:14" ht="15" customHeight="1" x14ac:dyDescent="0.2">
      <c r="A38" s="59">
        <v>22</v>
      </c>
      <c r="B38" s="59" t="s">
        <v>385</v>
      </c>
      <c r="C38" s="65">
        <v>27539</v>
      </c>
      <c r="D38" s="61">
        <v>73.28</v>
      </c>
      <c r="E38" s="70">
        <v>7.6178699999999999</v>
      </c>
      <c r="F38" s="65" t="s">
        <v>341</v>
      </c>
      <c r="G38" s="65" t="s">
        <v>340</v>
      </c>
      <c r="H38" s="68">
        <v>1608</v>
      </c>
      <c r="I38" s="94">
        <f>VLOOKUP(c_22[[#This Row],[hwycov_id]],flow0[],5,FALSE)</f>
        <v>1890</v>
      </c>
      <c r="J38" s="60">
        <f t="shared" si="0"/>
        <v>0.17537313432835822</v>
      </c>
      <c r="K38" s="81">
        <f t="shared" si="1"/>
        <v>79524</v>
      </c>
      <c r="L38" s="61" t="e">
        <f>VLOOKUP(c_22[[#This Row],[hwycov_id]],count!$A$630:$E$652,5,FALSE)</f>
        <v>#N/A</v>
      </c>
      <c r="M38" s="81"/>
    </row>
    <row r="39" spans="1:14" s="421" customFormat="1" ht="15" hidden="1" customHeight="1" x14ac:dyDescent="0.2">
      <c r="A39" s="421">
        <v>22</v>
      </c>
      <c r="B39" s="421" t="s">
        <v>385</v>
      </c>
      <c r="C39" s="422">
        <v>20725</v>
      </c>
      <c r="D39" s="427">
        <v>17.329999999999998</v>
      </c>
      <c r="E39" s="424">
        <v>0.11776200000000001</v>
      </c>
      <c r="F39" s="422" t="s">
        <v>181</v>
      </c>
      <c r="G39" s="422" t="s">
        <v>179</v>
      </c>
      <c r="H39" s="425">
        <v>20538</v>
      </c>
      <c r="I39" s="425" t="e">
        <f>VLOOKUP(c_22[[#This Row],[hwycov_id]],flow0[],5,FALSE)</f>
        <v>#VALUE!</v>
      </c>
      <c r="J39" s="426" t="e">
        <f t="shared" si="0"/>
        <v>#VALUE!</v>
      </c>
      <c r="K39" s="427" t="e">
        <f t="shared" si="1"/>
        <v>#VALUE!</v>
      </c>
      <c r="L39" s="427" t="e">
        <f>VLOOKUP(c_22[[#This Row],[hwycov_id]],count!$A$630:$E$652,5,FALSE)</f>
        <v>#VALUE!</v>
      </c>
      <c r="M39" s="427"/>
      <c r="N39" s="426"/>
    </row>
    <row r="40" spans="1:14" s="421" customFormat="1" ht="15" hidden="1" customHeight="1" x14ac:dyDescent="0.2">
      <c r="A40" s="421">
        <v>22</v>
      </c>
      <c r="B40" s="421" t="s">
        <v>385</v>
      </c>
      <c r="C40" s="422">
        <v>14515</v>
      </c>
      <c r="D40" s="427">
        <v>8.2200000000000006</v>
      </c>
      <c r="E40" s="424">
        <v>0.165854</v>
      </c>
      <c r="F40" s="422" t="s">
        <v>67</v>
      </c>
      <c r="G40" s="422" t="s">
        <v>187</v>
      </c>
      <c r="H40" s="425">
        <v>20521</v>
      </c>
      <c r="I40" s="425" t="e">
        <f>VLOOKUP(c_22[[#This Row],[hwycov_id]],flow0[],5,FALSE)</f>
        <v>#VALUE!</v>
      </c>
      <c r="J40" s="426" t="e">
        <f t="shared" si="0"/>
        <v>#VALUE!</v>
      </c>
      <c r="K40" s="427" t="e">
        <f t="shared" si="1"/>
        <v>#VALUE!</v>
      </c>
      <c r="L40" s="427" t="e">
        <f>VLOOKUP(c_22[[#This Row],[hwycov_id]],count!$A$630:$E$652,5,FALSE)</f>
        <v>#VALUE!</v>
      </c>
      <c r="M40" s="427"/>
      <c r="N40" s="426"/>
    </row>
    <row r="41" spans="1:14" ht="15" customHeight="1" x14ac:dyDescent="0.2">
      <c r="K41" s="81"/>
      <c r="L41" s="81"/>
      <c r="M41" s="81"/>
    </row>
    <row r="42" spans="1:14" ht="15" customHeight="1" x14ac:dyDescent="0.2">
      <c r="K42" s="81"/>
      <c r="L42" s="81"/>
      <c r="M42" s="81"/>
    </row>
    <row r="43" spans="1:14" ht="15" customHeight="1" x14ac:dyDescent="0.2">
      <c r="K43" s="81"/>
      <c r="L43" s="81"/>
      <c r="M43" s="81"/>
    </row>
    <row r="44" spans="1:14" ht="15" customHeight="1" x14ac:dyDescent="0.2">
      <c r="K44" s="81"/>
      <c r="L44" s="81"/>
      <c r="M44" s="81"/>
    </row>
    <row r="45" spans="1:14" ht="15" customHeight="1" x14ac:dyDescent="0.2">
      <c r="K45" s="81"/>
      <c r="L45" s="81"/>
      <c r="M45" s="81"/>
    </row>
    <row r="46" spans="1:14" ht="15" customHeight="1" x14ac:dyDescent="0.2">
      <c r="K46" s="81"/>
      <c r="L46" s="81"/>
      <c r="M46" s="81"/>
    </row>
    <row r="47" spans="1:14" ht="15" customHeight="1" x14ac:dyDescent="0.2">
      <c r="K47" s="81"/>
      <c r="L47" s="81"/>
      <c r="M47" s="81"/>
    </row>
    <row r="48" spans="1:14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</row>
    <row r="61" spans="11:13" ht="15" customHeight="1" x14ac:dyDescent="0.2">
      <c r="K61" s="81"/>
      <c r="L61" s="81"/>
    </row>
    <row r="62" spans="11:13" ht="15" customHeight="1" x14ac:dyDescent="0.2">
      <c r="K62" s="81"/>
      <c r="L62" s="81"/>
    </row>
    <row r="63" spans="11:13" ht="15" customHeight="1" x14ac:dyDescent="0.2">
      <c r="K63" s="81"/>
      <c r="L63" s="81"/>
    </row>
    <row r="64" spans="11:13" ht="15" customHeight="1" x14ac:dyDescent="0.2">
      <c r="K64" s="81"/>
      <c r="L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  <row r="75" spans="11:12" ht="15" customHeight="1" x14ac:dyDescent="0.2">
      <c r="K75" s="81"/>
      <c r="L75" s="81"/>
    </row>
  </sheetData>
  <conditionalFormatting sqref="N2:N1048576 J19:J1048576">
    <cfRule type="cellIs" dxfId="149" priority="7" operator="lessThan">
      <formula>-0.2</formula>
    </cfRule>
    <cfRule type="cellIs" dxfId="148" priority="8" operator="greaterThan">
      <formula>0.2</formula>
    </cfRule>
  </conditionalFormatting>
  <conditionalFormatting sqref="J2:J12 J14:J18">
    <cfRule type="cellIs" dxfId="147" priority="3" operator="lessThan">
      <formula>-0.2</formula>
    </cfRule>
    <cfRule type="cellIs" dxfId="146" priority="4" operator="greaterThan">
      <formula>0.2</formula>
    </cfRule>
  </conditionalFormatting>
  <conditionalFormatting sqref="N1">
    <cfRule type="cellIs" dxfId="145" priority="1" operator="lessThan">
      <formula>-0.2</formula>
    </cfRule>
    <cfRule type="cellIs" dxfId="14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6" tint="0.39997558519241921"/>
  </sheetPr>
  <dimension ref="A1:AI78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customWidth="1"/>
    <col min="6" max="7" width="15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SQRT(AVERAGE(c_23[x2]))/AVERAGE(c_23[count])</f>
        <v>0.16280858220333339</v>
      </c>
      <c r="O1" s="136">
        <f>LINEST(c_23[flow],c_23[count],FALSE)</f>
        <v>1.0815046616269501</v>
      </c>
      <c r="P1" s="136">
        <f>RSQ(c_23[flow],c_23[count])</f>
        <v>0.49347250570653628</v>
      </c>
      <c r="Q1" s="43">
        <f>IFERROR(AVERAGEIF(c_23[gap],"&gt;=0",c_23[gap]),0)</f>
        <v>0.16681774319837159</v>
      </c>
      <c r="R1" s="44">
        <f>IFERROR(AVERAGEIF(c_23[gap],"&lt;0",c_23[gap]),0)</f>
        <v>-4.7601196020241487E-2</v>
      </c>
      <c r="S1" s="14">
        <f>AVERAGE(c_23[gap])</f>
        <v>0.10555518913591071</v>
      </c>
      <c r="T1" s="42">
        <f>COUNTIFS(c_23[gap],"&lt;10%",c_23[gap],"&gt;=-10%")/COUNTA(c_23[gap])</f>
        <v>0.5714285714285714</v>
      </c>
      <c r="U1" s="42">
        <f>COUNTIFS(c_23[gap],"&lt;20%",c_23[gap],"&gt;=-20%")/COUNTA(c_23[gap])</f>
        <v>0.66666666666666663</v>
      </c>
      <c r="V1" s="42">
        <f>COUNTIFS(c_23[gap],"&lt;30%",c_23[gap],"&gt;=-30%")/COUNTA(c_23[gap])</f>
        <v>0.90476190476190477</v>
      </c>
      <c r="W1" s="43">
        <f>COUNTIF(c_23[gap],"&gt;=0")/COUNTA(c_23[gap])</f>
        <v>0.7142857142857143</v>
      </c>
      <c r="X1" s="45">
        <f>COUNTIF(c_23[gap],"&lt;0")/COUNTA(c_23[gap])</f>
        <v>0.2857142857142857</v>
      </c>
      <c r="Y1" s="7" t="str">
        <f>"%Link(+)="&amp;TEXT(W1,"0%")</f>
        <v>%Link(+)=71%</v>
      </c>
      <c r="Z1" s="7" t="str">
        <f>"%Link(-)="&amp;TEXT(X1,"0%")</f>
        <v>%Link(-)=29%</v>
      </c>
      <c r="AA1" s="73" t="str">
        <f>"AvgGap(+)="&amp;TEXT(Q1,"0%")</f>
        <v>AvgGap(+)=17%</v>
      </c>
      <c r="AB1" s="59" t="str">
        <f>"AvgGap(-)="&amp;TEXT(R1,"0%")</f>
        <v>AvgGap(-)=-5%</v>
      </c>
      <c r="AC1" s="59" t="str">
        <f>"AvgGap(±)="&amp;TEXT(S1,"0%")</f>
        <v>AvgGap(±)=11%</v>
      </c>
      <c r="AD1" s="59" t="str">
        <f>"GapIn(±10%)="&amp;TEXT(T1,"0%")</f>
        <v>GapIn(±10%)=57%</v>
      </c>
      <c r="AE1" s="59" t="str">
        <f>"GapIn(±20%)="&amp;TEXT(U1,"0%")</f>
        <v>GapIn(±20%)=67%</v>
      </c>
      <c r="AF1" s="59" t="str">
        <f>"GapIn(±30%)="&amp;TEXT(V1,"0%")</f>
        <v>GapIn(±30%)=90%</v>
      </c>
      <c r="AG1" s="59" t="str">
        <f>"Linear Slope="&amp;TEXT(O1,"#.###")</f>
        <v>Linear Slope=1.082</v>
      </c>
      <c r="AH1" s="59" t="str">
        <f>"RMSE="&amp;TEXT(N1,"0%")</f>
        <v>RMSE=16%</v>
      </c>
      <c r="AI1" s="59" t="str">
        <f>CONCATENATE(Y1," ",Z1," ",AA1,"  ",AB1,"  ",AC1,"  ",AD1," ",AE1,"  ",AF1,"  ",AG1," ",AH1)</f>
        <v>%Link(+)=71% %Link(-)=29% AvgGap(+)=17%  AvgGap(-)=-5%  AvgGap(±)=11%  GapIn(±10%)=57% GapIn(±20%)=67%  GapIn(±30%)=90%  Linear Slope=1.082 RMSE=16%</v>
      </c>
    </row>
    <row r="2" spans="1:35" ht="15" customHeight="1" x14ac:dyDescent="0.2">
      <c r="A2" s="59">
        <v>23</v>
      </c>
      <c r="B2" s="59" t="s">
        <v>386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17971</v>
      </c>
      <c r="I2" s="94">
        <f>VLOOKUP(c_23[[#This Row],[hwycov_id]],flow0[],5,FALSE)</f>
        <v>16200</v>
      </c>
      <c r="J2" s="60">
        <f>I2/H2-1</f>
        <v>-9.8547660119080782E-2</v>
      </c>
      <c r="K2" s="81">
        <f t="shared" ref="K2:K15" si="0">POWER((I2-H2),2)</f>
        <v>3136441</v>
      </c>
      <c r="L2" s="61" t="e">
        <f>VLOOKUP(c_23[[#This Row],[hwycov_id]],count!$A$630:$E$652,5,FALSE)</f>
        <v>#N/A</v>
      </c>
      <c r="M2" s="81"/>
    </row>
    <row r="3" spans="1:35" ht="15" customHeight="1" x14ac:dyDescent="0.2">
      <c r="A3" s="59">
        <v>23</v>
      </c>
      <c r="B3" s="59" t="s">
        <v>386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14738</v>
      </c>
      <c r="I3" s="94">
        <f>VLOOKUP(c_23[[#This Row],[hwycov_id]],flow0[],5,FALSE)</f>
        <v>14657</v>
      </c>
      <c r="J3" s="60">
        <f t="shared" ref="J3:J15" si="1">I3/H3-1</f>
        <v>-5.4959967431130741E-3</v>
      </c>
      <c r="K3" s="81">
        <f t="shared" si="0"/>
        <v>6561</v>
      </c>
      <c r="L3" s="61" t="e">
        <f>VLOOKUP(c_23[[#This Row],[hwycov_id]],count!$A$630:$E$652,5,FALSE)</f>
        <v>#N/A</v>
      </c>
      <c r="M3" s="81"/>
    </row>
    <row r="4" spans="1:35" ht="15" customHeight="1" x14ac:dyDescent="0.2">
      <c r="A4" s="59">
        <v>23</v>
      </c>
      <c r="B4" s="59" t="s">
        <v>386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16132</v>
      </c>
      <c r="I4" s="94">
        <f>VLOOKUP(c_23[[#This Row],[hwycov_id]],flow0[],5,FALSE)</f>
        <v>15918</v>
      </c>
      <c r="J4" s="60">
        <f t="shared" si="1"/>
        <v>-1.3265559137118799E-2</v>
      </c>
      <c r="K4" s="81">
        <f t="shared" si="0"/>
        <v>45796</v>
      </c>
      <c r="L4" s="61" t="e">
        <f>VLOOKUP(c_23[[#This Row],[hwycov_id]],count!$A$630:$E$652,5,FALSE)</f>
        <v>#N/A</v>
      </c>
      <c r="M4" s="81"/>
    </row>
    <row r="5" spans="1:35" ht="15" customHeight="1" x14ac:dyDescent="0.2">
      <c r="A5" s="59">
        <v>23</v>
      </c>
      <c r="B5" s="59" t="s">
        <v>386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13545</v>
      </c>
      <c r="I5" s="94">
        <f>VLOOKUP(c_23[[#This Row],[hwycov_id]],flow0[],5,FALSE)</f>
        <v>14241</v>
      </c>
      <c r="J5" s="60">
        <f t="shared" si="1"/>
        <v>5.1384274640088545E-2</v>
      </c>
      <c r="K5" s="81">
        <f t="shared" si="0"/>
        <v>484416</v>
      </c>
      <c r="L5" s="61" t="e">
        <f>VLOOKUP(c_23[[#This Row],[hwycov_id]],count!$A$630:$E$652,5,FALSE)</f>
        <v>#N/A</v>
      </c>
      <c r="M5" s="81"/>
    </row>
    <row r="6" spans="1:35" ht="15" customHeight="1" x14ac:dyDescent="0.2">
      <c r="A6" s="59">
        <v>23</v>
      </c>
      <c r="B6" s="59" t="s">
        <v>386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354</v>
      </c>
      <c r="H6" s="61">
        <v>18241</v>
      </c>
      <c r="I6" s="94">
        <f>VLOOKUP(c_23[[#This Row],[hwycov_id]],flow0[],5,FALSE)</f>
        <v>16516</v>
      </c>
      <c r="J6" s="60">
        <f t="shared" si="1"/>
        <v>-9.4567183816676725E-2</v>
      </c>
      <c r="K6" s="81">
        <f t="shared" si="0"/>
        <v>2975625</v>
      </c>
      <c r="L6" s="61" t="e">
        <f>VLOOKUP(c_23[[#This Row],[hwycov_id]],count!$A$630:$E$652,5,FALSE)</f>
        <v>#N/A</v>
      </c>
      <c r="M6" s="81"/>
    </row>
    <row r="7" spans="1:35" ht="15" customHeight="1" x14ac:dyDescent="0.2">
      <c r="A7" s="59">
        <v>23</v>
      </c>
      <c r="B7" s="59" t="s">
        <v>386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13531</v>
      </c>
      <c r="I7" s="94">
        <f>VLOOKUP(c_23[[#This Row],[hwycov_id]],flow0[],5,FALSE)</f>
        <v>14692</v>
      </c>
      <c r="J7" s="60">
        <f t="shared" si="1"/>
        <v>8.5802970955583424E-2</v>
      </c>
      <c r="K7" s="81">
        <f t="shared" si="0"/>
        <v>1347921</v>
      </c>
      <c r="L7" s="61" t="e">
        <f>VLOOKUP(c_23[[#This Row],[hwycov_id]],count!$A$630:$E$652,5,FALSE)</f>
        <v>#N/A</v>
      </c>
      <c r="M7" s="81"/>
    </row>
    <row r="8" spans="1:35" ht="15" customHeight="1" x14ac:dyDescent="0.2">
      <c r="A8" s="59">
        <v>23</v>
      </c>
      <c r="B8" s="59" t="s">
        <v>386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13301</v>
      </c>
      <c r="I8" s="94">
        <f>VLOOKUP(c_23[[#This Row],[hwycov_id]],flow0[],5,FALSE)</f>
        <v>13137</v>
      </c>
      <c r="J8" s="60">
        <f t="shared" si="1"/>
        <v>-1.2329900007518213E-2</v>
      </c>
      <c r="K8" s="81">
        <f t="shared" si="0"/>
        <v>26896</v>
      </c>
      <c r="L8" s="61" t="e">
        <f>VLOOKUP(c_23[[#This Row],[hwycov_id]],count!$A$630:$E$652,5,FALSE)</f>
        <v>#N/A</v>
      </c>
      <c r="M8" s="81"/>
    </row>
    <row r="9" spans="1:35" ht="15" customHeight="1" x14ac:dyDescent="0.2">
      <c r="A9" s="59">
        <v>23</v>
      </c>
      <c r="B9" s="59" t="s">
        <v>386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13078</v>
      </c>
      <c r="I9" s="94">
        <f>VLOOKUP(c_23[[#This Row],[hwycov_id]],flow0[],5,FALSE)</f>
        <v>13092</v>
      </c>
      <c r="J9" s="60">
        <f t="shared" si="1"/>
        <v>1.0705000764643646E-3</v>
      </c>
      <c r="K9" s="81">
        <f t="shared" si="0"/>
        <v>196</v>
      </c>
      <c r="L9" s="61" t="e">
        <f>VLOOKUP(c_23[[#This Row],[hwycov_id]],count!$A$630:$E$652,5,FALSE)</f>
        <v>#N/A</v>
      </c>
      <c r="M9" s="81"/>
    </row>
    <row r="10" spans="1:35" ht="15" customHeight="1" x14ac:dyDescent="0.2">
      <c r="A10" s="59">
        <v>23</v>
      </c>
      <c r="B10" s="59" t="s">
        <v>386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16661</v>
      </c>
      <c r="I10" s="94">
        <f>VLOOKUP(c_23[[#This Row],[hwycov_id]],flow0[],5,FALSE)</f>
        <v>15638</v>
      </c>
      <c r="J10" s="60">
        <f t="shared" si="1"/>
        <v>-6.1400876297941331E-2</v>
      </c>
      <c r="K10" s="81">
        <f t="shared" si="0"/>
        <v>1046529</v>
      </c>
      <c r="L10" s="61" t="e">
        <f>VLOOKUP(c_23[[#This Row],[hwycov_id]],count!$A$630:$E$652,5,FALSE)</f>
        <v>#N/A</v>
      </c>
      <c r="M10" s="81"/>
    </row>
    <row r="11" spans="1:35" ht="15" customHeight="1" x14ac:dyDescent="0.2">
      <c r="A11" s="59">
        <v>23</v>
      </c>
      <c r="B11" s="59" t="s">
        <v>386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11279</v>
      </c>
      <c r="I11" s="94">
        <f>VLOOKUP(c_23[[#This Row],[hwycov_id]],flow0[],5,FALSE)</f>
        <v>12291</v>
      </c>
      <c r="J11" s="60">
        <f t="shared" si="1"/>
        <v>8.9724266335668101E-2</v>
      </c>
      <c r="K11" s="81">
        <f t="shared" si="0"/>
        <v>1024144</v>
      </c>
      <c r="L11" s="61" t="e">
        <f>VLOOKUP(c_23[[#This Row],[hwycov_id]],count!$A$630:$E$652,5,FALSE)</f>
        <v>#N/A</v>
      </c>
      <c r="M11" s="81"/>
    </row>
    <row r="12" spans="1:35" ht="15" customHeight="1" x14ac:dyDescent="0.2">
      <c r="A12" s="59">
        <v>23</v>
      </c>
      <c r="B12" s="59" t="s">
        <v>386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11620</v>
      </c>
      <c r="I12" s="94">
        <f>VLOOKUP(c_23[[#This Row],[hwycov_id]],flow0[],5,FALSE)</f>
        <v>13014</v>
      </c>
      <c r="J12" s="60">
        <f t="shared" si="1"/>
        <v>0.11996557659208262</v>
      </c>
      <c r="K12" s="81">
        <f t="shared" si="0"/>
        <v>1943236</v>
      </c>
      <c r="L12" s="61" t="e">
        <f>VLOOKUP(c_23[[#This Row],[hwycov_id]],count!$A$630:$E$652,5,FALSE)</f>
        <v>#N/A</v>
      </c>
      <c r="M12" s="81"/>
    </row>
    <row r="13" spans="1:35" ht="15" customHeight="1" x14ac:dyDescent="0.2">
      <c r="A13" s="59">
        <v>23</v>
      </c>
      <c r="B13" s="59" t="s">
        <v>386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13461</v>
      </c>
      <c r="I13" s="94">
        <f>VLOOKUP(c_23[[#This Row],[hwycov_id]],flow0[],5,FALSE)</f>
        <v>13694</v>
      </c>
      <c r="J13" s="60">
        <f t="shared" si="1"/>
        <v>1.7309263799123453E-2</v>
      </c>
      <c r="K13" s="81">
        <f t="shared" si="0"/>
        <v>54289</v>
      </c>
      <c r="L13" s="61" t="e">
        <f>VLOOKUP(c_23[[#This Row],[hwycov_id]],count!$A$630:$E$652,5,FALSE)</f>
        <v>#N/A</v>
      </c>
      <c r="M13" s="81"/>
      <c r="O13" s="60"/>
    </row>
    <row r="14" spans="1:35" ht="15" customHeight="1" x14ac:dyDescent="0.2">
      <c r="A14" s="59">
        <v>23</v>
      </c>
      <c r="B14" s="59" t="s">
        <v>386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353</v>
      </c>
      <c r="H14" s="61">
        <v>13576</v>
      </c>
      <c r="I14" s="94">
        <f>VLOOKUP(c_23[[#This Row],[hwycov_id]],flow0[],5,FALSE)</f>
        <v>16720</v>
      </c>
      <c r="J14" s="60">
        <f t="shared" si="1"/>
        <v>0.23158515026517379</v>
      </c>
      <c r="K14" s="81">
        <f t="shared" si="0"/>
        <v>9884736</v>
      </c>
      <c r="L14" s="61" t="e">
        <f>VLOOKUP(c_23[[#This Row],[hwycov_id]],count!$A$630:$E$652,5,FALSE)</f>
        <v>#N/A</v>
      </c>
      <c r="M14" s="81"/>
    </row>
    <row r="15" spans="1:35" ht="15" customHeight="1" x14ac:dyDescent="0.2">
      <c r="A15" s="59">
        <v>23</v>
      </c>
      <c r="B15" s="59" t="s">
        <v>386</v>
      </c>
      <c r="C15" s="59">
        <v>29182</v>
      </c>
      <c r="D15" s="74">
        <v>10.84</v>
      </c>
      <c r="E15" s="69">
        <v>0.44321899999999997</v>
      </c>
      <c r="F15" s="59" t="s">
        <v>353</v>
      </c>
      <c r="G15" s="59" t="s">
        <v>353</v>
      </c>
      <c r="H15" s="61">
        <v>11855</v>
      </c>
      <c r="I15" s="94">
        <f>VLOOKUP(c_23[[#This Row],[hwycov_id]],flow0[],5,FALSE)</f>
        <v>15062</v>
      </c>
      <c r="J15" s="60">
        <f t="shared" si="1"/>
        <v>0.27051876845212997</v>
      </c>
      <c r="K15" s="81">
        <f t="shared" si="0"/>
        <v>10284849</v>
      </c>
      <c r="L15" s="61" t="e">
        <f>VLOOKUP(c_23[[#This Row],[hwycov_id]],count!$A$630:$E$652,5,FALSE)</f>
        <v>#N/A</v>
      </c>
      <c r="M15" s="81"/>
    </row>
    <row r="16" spans="1:35" ht="15" customHeight="1" x14ac:dyDescent="0.2">
      <c r="A16" s="59">
        <v>23</v>
      </c>
      <c r="B16" s="59" t="s">
        <v>386</v>
      </c>
      <c r="C16" s="59">
        <v>16428</v>
      </c>
      <c r="D16" s="74">
        <v>11.17</v>
      </c>
      <c r="E16" s="69">
        <v>0.32732499999999998</v>
      </c>
      <c r="F16" s="59" t="s">
        <v>353</v>
      </c>
      <c r="G16" s="59" t="s">
        <v>161</v>
      </c>
      <c r="H16" s="61">
        <v>14152</v>
      </c>
      <c r="I16" s="94">
        <f>VLOOKUP(c_23[[#This Row],[hwycov_id]],flow0[],5,FALSE)</f>
        <v>17799</v>
      </c>
      <c r="J16" s="60">
        <f t="shared" ref="J16:J22" si="2">I16/H16-1</f>
        <v>0.25770209157716217</v>
      </c>
      <c r="K16" s="81">
        <f t="shared" ref="K16:K22" si="3">POWER((I16-H16),2)</f>
        <v>13300609</v>
      </c>
      <c r="L16" s="61" t="e">
        <f>VLOOKUP(c_23[[#This Row],[hwycov_id]],count!$A$630:$E$652,5,FALSE)</f>
        <v>#N/A</v>
      </c>
      <c r="M16" s="81"/>
    </row>
    <row r="17" spans="1:13" ht="15" customHeight="1" x14ac:dyDescent="0.2">
      <c r="A17" s="59">
        <v>23</v>
      </c>
      <c r="B17" s="59" t="s">
        <v>386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11294</v>
      </c>
      <c r="I17" s="94">
        <f>VLOOKUP(c_23[[#This Row],[hwycov_id]],flow0[],5,FALSE)</f>
        <v>15773</v>
      </c>
      <c r="J17" s="60">
        <f t="shared" si="2"/>
        <v>0.39658225606516728</v>
      </c>
      <c r="K17" s="81">
        <f t="shared" si="3"/>
        <v>20061441</v>
      </c>
      <c r="L17" s="61" t="e">
        <f>VLOOKUP(c_23[[#This Row],[hwycov_id]],count!$A$630:$E$652,5,FALSE)</f>
        <v>#N/A</v>
      </c>
      <c r="M17" s="81"/>
    </row>
    <row r="18" spans="1:13" ht="15" customHeight="1" x14ac:dyDescent="0.2">
      <c r="A18" s="59">
        <v>23</v>
      </c>
      <c r="B18" s="59" t="s">
        <v>386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12866</v>
      </c>
      <c r="I18" s="94">
        <f>VLOOKUP(c_23[[#This Row],[hwycov_id]],flow0[],5,FALSE)</f>
        <v>17210</v>
      </c>
      <c r="J18" s="60">
        <f t="shared" si="2"/>
        <v>0.3376340743043682</v>
      </c>
      <c r="K18" s="81">
        <f t="shared" si="3"/>
        <v>18870336</v>
      </c>
      <c r="L18" s="61" t="e">
        <f>VLOOKUP(c_23[[#This Row],[hwycov_id]],count!$A$630:$E$652,5,FALSE)</f>
        <v>#N/A</v>
      </c>
      <c r="M18" s="81"/>
    </row>
    <row r="19" spans="1:13" ht="15" customHeight="1" x14ac:dyDescent="0.2">
      <c r="A19" s="59">
        <v>23</v>
      </c>
      <c r="B19" s="59" t="s">
        <v>386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15255</v>
      </c>
      <c r="I19" s="94">
        <f>VLOOKUP(c_23[[#This Row],[hwycov_id]],flow0[],5,FALSE)</f>
        <v>18365</v>
      </c>
      <c r="J19" s="60">
        <f t="shared" si="2"/>
        <v>0.20386758439855779</v>
      </c>
      <c r="K19" s="81">
        <f t="shared" si="3"/>
        <v>9672100</v>
      </c>
      <c r="L19" s="61" t="e">
        <f>VLOOKUP(c_23[[#This Row],[hwycov_id]],count!$A$630:$E$652,5,FALSE)</f>
        <v>#N/A</v>
      </c>
      <c r="M19" s="81"/>
    </row>
    <row r="20" spans="1:13" ht="15" customHeight="1" x14ac:dyDescent="0.2">
      <c r="A20" s="59">
        <v>23</v>
      </c>
      <c r="B20" s="59" t="s">
        <v>386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15630</v>
      </c>
      <c r="I20" s="94">
        <f>VLOOKUP(c_23[[#This Row],[hwycov_id]],flow0[],5,FALSE)</f>
        <v>20067</v>
      </c>
      <c r="J20" s="60">
        <f t="shared" si="2"/>
        <v>0.28387715930902102</v>
      </c>
      <c r="K20" s="81">
        <f t="shared" si="3"/>
        <v>19686969</v>
      </c>
      <c r="L20" s="61" t="e">
        <f>VLOOKUP(c_23[[#This Row],[hwycov_id]],count!$A$630:$E$652,5,FALSE)</f>
        <v>#N/A</v>
      </c>
      <c r="M20" s="81"/>
    </row>
    <row r="21" spans="1:13" ht="15" customHeight="1" x14ac:dyDescent="0.2">
      <c r="A21" s="59">
        <v>23</v>
      </c>
      <c r="B21" s="59" t="s">
        <v>386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17649</v>
      </c>
      <c r="I21" s="94">
        <f>VLOOKUP(c_23[[#This Row],[hwycov_id]],flow0[],5,FALSE)</f>
        <v>19834</v>
      </c>
      <c r="J21" s="60">
        <f t="shared" si="2"/>
        <v>0.12380304833135014</v>
      </c>
      <c r="K21" s="81">
        <f t="shared" si="3"/>
        <v>4774225</v>
      </c>
      <c r="L21" s="61" t="e">
        <f>VLOOKUP(c_23[[#This Row],[hwycov_id]],count!$A$630:$E$652,5,FALSE)</f>
        <v>#N/A</v>
      </c>
      <c r="M21" s="81"/>
    </row>
    <row r="22" spans="1:13" ht="15" customHeight="1" x14ac:dyDescent="0.2">
      <c r="A22" s="59">
        <v>23</v>
      </c>
      <c r="B22" s="59" t="s">
        <v>386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21311</v>
      </c>
      <c r="I22" s="94">
        <f>VLOOKUP(c_23[[#This Row],[hwycov_id]],flow0[],5,FALSE)</f>
        <v>21981</v>
      </c>
      <c r="J22" s="60">
        <f t="shared" si="2"/>
        <v>3.1439162873633242E-2</v>
      </c>
      <c r="K22" s="81">
        <f t="shared" si="3"/>
        <v>448900</v>
      </c>
      <c r="L22" s="61" t="e">
        <f>VLOOKUP(c_23[[#This Row],[hwycov_id]],count!$A$630:$E$652,5,FALSE)</f>
        <v>#N/A</v>
      </c>
      <c r="M22" s="81"/>
    </row>
    <row r="23" spans="1:13" ht="15" customHeight="1" x14ac:dyDescent="0.2">
      <c r="K23" s="81"/>
      <c r="L23" s="81"/>
      <c r="M23" s="81"/>
    </row>
    <row r="24" spans="1:13" ht="15" customHeight="1" x14ac:dyDescent="0.2">
      <c r="K24" s="81"/>
      <c r="L24" s="81"/>
      <c r="M24" s="81"/>
    </row>
    <row r="25" spans="1:13" ht="15" customHeight="1" x14ac:dyDescent="0.2">
      <c r="K25" s="81"/>
      <c r="L25" s="81"/>
      <c r="M25" s="81"/>
    </row>
    <row r="26" spans="1:13" ht="15" customHeight="1" x14ac:dyDescent="0.2">
      <c r="K26" s="81"/>
      <c r="L26" s="81"/>
      <c r="M26" s="81"/>
    </row>
    <row r="27" spans="1:13" ht="15" customHeight="1" x14ac:dyDescent="0.2">
      <c r="K27" s="81"/>
      <c r="L27" s="81"/>
      <c r="M27" s="81"/>
    </row>
    <row r="28" spans="1:13" ht="15" customHeight="1" x14ac:dyDescent="0.2">
      <c r="K28" s="81"/>
      <c r="L28" s="81"/>
      <c r="M28" s="81"/>
    </row>
    <row r="29" spans="1:13" ht="15" customHeight="1" x14ac:dyDescent="0.2">
      <c r="K29" s="81"/>
      <c r="L29" s="81"/>
      <c r="M29" s="81"/>
    </row>
    <row r="30" spans="1:13" ht="15" customHeight="1" x14ac:dyDescent="0.2">
      <c r="K30" s="81"/>
      <c r="L30" s="81"/>
      <c r="M30" s="81"/>
    </row>
    <row r="31" spans="1:13" ht="15" customHeight="1" x14ac:dyDescent="0.2">
      <c r="K31" s="81"/>
      <c r="L31" s="81"/>
      <c r="M31" s="81"/>
    </row>
    <row r="32" spans="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  <row r="78" spans="11:13" ht="15" customHeight="1" x14ac:dyDescent="0.2">
      <c r="K78" s="81"/>
      <c r="L78" s="81"/>
    </row>
  </sheetData>
  <conditionalFormatting sqref="N2:N15 J16:J1048576">
    <cfRule type="cellIs" dxfId="129" priority="7" operator="lessThan">
      <formula>-0.2</formula>
    </cfRule>
    <cfRule type="cellIs" dxfId="128" priority="8" operator="greaterThan">
      <formula>0.2</formula>
    </cfRule>
  </conditionalFormatting>
  <conditionalFormatting sqref="J2:J12 J14:J15">
    <cfRule type="cellIs" dxfId="127" priority="3" operator="lessThan">
      <formula>-0.2</formula>
    </cfRule>
    <cfRule type="cellIs" dxfId="126" priority="4" operator="greaterThan">
      <formula>0.2</formula>
    </cfRule>
  </conditionalFormatting>
  <conditionalFormatting sqref="N1">
    <cfRule type="cellIs" dxfId="125" priority="1" operator="lessThan">
      <formula>-0.2</formula>
    </cfRule>
    <cfRule type="cellIs" dxfId="12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6" tint="0.39997558519241921"/>
  </sheetPr>
  <dimension ref="A1:AI74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6" width="14.85546875" style="59" bestFit="1" customWidth="1"/>
    <col min="7" max="7" width="19.5703125" style="59" bestFit="1" customWidth="1"/>
    <col min="8" max="8" width="11.28515625" style="6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SQRT(AVERAGE(c_24[x2]))/AVERAGE(c_24[count])</f>
        <v>0.23763333840857112</v>
      </c>
      <c r="O1" s="136">
        <f>LINEST(c_24[flow],c_24[count],FALSE)</f>
        <v>1.1982228568936668</v>
      </c>
      <c r="P1" s="136">
        <f>RSQ(c_24[flow],c_24[count])</f>
        <v>0.7904318959655634</v>
      </c>
      <c r="Q1" s="43">
        <f>IFERROR(AVERAGEIF(c_24[gap],"&gt;=0",c_24[gap]),0)</f>
        <v>0.24470232204757772</v>
      </c>
      <c r="R1" s="44">
        <f>IFERROR(AVERAGEIF(c_24[gap],"&lt;0",c_24[gap]),0)</f>
        <v>0</v>
      </c>
      <c r="S1" s="14">
        <f>AVERAGE(c_24[gap])</f>
        <v>0.24470232204757772</v>
      </c>
      <c r="T1" s="42">
        <f>COUNTIFS(c_24[gap],"&lt;10%",c_24[gap],"&gt;=-10%")/COUNTA(c_24[gap])</f>
        <v>7.6923076923076927E-2</v>
      </c>
      <c r="U1" s="42">
        <f>COUNTIFS(c_24[gap],"&lt;20%",c_24[gap],"&gt;=-20%")/COUNTA(c_24[gap])</f>
        <v>0.69230769230769229</v>
      </c>
      <c r="V1" s="42">
        <f>COUNTIFS(c_24[gap],"&lt;30%",c_24[gap],"&gt;=-30%")/COUNTA(c_24[gap])</f>
        <v>0.92307692307692313</v>
      </c>
      <c r="W1" s="43">
        <f>COUNTIF(c_24[gap],"&gt;=0")/COUNTA(c_24[gap])</f>
        <v>1</v>
      </c>
      <c r="X1" s="45">
        <f>COUNTIF(c_24[gap],"&lt;0")/COUNTA(c_24[gap])</f>
        <v>0</v>
      </c>
      <c r="Y1" s="7" t="str">
        <f>"%Link(+)="&amp;TEXT(W1,"0%")</f>
        <v>%Link(+)=100%</v>
      </c>
      <c r="Z1" s="7" t="str">
        <f>"%Link(-)="&amp;TEXT(X1,"0%")</f>
        <v>%Link(-)=0%</v>
      </c>
      <c r="AA1" s="73" t="str">
        <f>"AvgGap(+)="&amp;TEXT(Q1,"0%")</f>
        <v>AvgGap(+)=24%</v>
      </c>
      <c r="AB1" s="59" t="str">
        <f>"AvgGap(-)="&amp;TEXT(R1,"0%")</f>
        <v>AvgGap(-)=0%</v>
      </c>
      <c r="AC1" s="59" t="str">
        <f>"AvgGap(±)="&amp;TEXT(S1,"0%")</f>
        <v>AvgGap(±)=24%</v>
      </c>
      <c r="AD1" s="59" t="str">
        <f>"GapIn(±10%)="&amp;TEXT(T1,"0%")</f>
        <v>GapIn(±10%)=8%</v>
      </c>
      <c r="AE1" s="59" t="str">
        <f>"GapIn(±20%)="&amp;TEXT(U1,"0%")</f>
        <v>GapIn(±20%)=69%</v>
      </c>
      <c r="AF1" s="59" t="str">
        <f>"GapIn(±30%)="&amp;TEXT(V1,"0%")</f>
        <v>GapIn(±30%)=92%</v>
      </c>
      <c r="AG1" s="59" t="str">
        <f>"Linear Slope="&amp;TEXT(O1,"#.###")</f>
        <v>Linear Slope=1.198</v>
      </c>
      <c r="AH1" s="59" t="str">
        <f>"RMSE="&amp;TEXT(N1,"0%")</f>
        <v>RMSE=24%</v>
      </c>
      <c r="AI1" s="59" t="str">
        <f>CONCATENATE(Y1," ",Z1," ",AA1,"  ",AB1,"  ",AC1,"  ",AD1," ",AE1,"  ",AF1,"  ",AG1," ",AH1)</f>
        <v>%Link(+)=100% %Link(-)=0% AvgGap(+)=24%  AvgGap(-)=0%  AvgGap(±)=24%  GapIn(±10%)=8% GapIn(±20%)=69%  GapIn(±30%)=92%  Linear Slope=1.198 RMSE=24%</v>
      </c>
    </row>
    <row r="2" spans="1:35" ht="15" customHeight="1" x14ac:dyDescent="0.2">
      <c r="A2" s="59">
        <v>24</v>
      </c>
      <c r="B2" s="59" t="s">
        <v>387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9428</v>
      </c>
      <c r="I2" s="94">
        <f>VLOOKUP(c_24[[#This Row],[hwycov_id]],flow0[],5,FALSE)</f>
        <v>9761</v>
      </c>
      <c r="J2" s="60">
        <f>I2/H2-1</f>
        <v>3.532032244378458E-2</v>
      </c>
      <c r="K2" s="81">
        <f t="shared" ref="K2:K4" si="0">POWER((I2-H2),2)</f>
        <v>110889</v>
      </c>
      <c r="L2" s="61" t="e">
        <f>VLOOKUP(c_24[[#This Row],[hwycov_id]],count!$A$630:$E$652,5,FALSE)</f>
        <v>#N/A</v>
      </c>
      <c r="M2" s="81"/>
    </row>
    <row r="3" spans="1:35" ht="15" customHeight="1" x14ac:dyDescent="0.2">
      <c r="A3" s="59">
        <v>24</v>
      </c>
      <c r="B3" s="59" t="s">
        <v>387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11876</v>
      </c>
      <c r="I3" s="94">
        <f>VLOOKUP(c_24[[#This Row],[hwycov_id]],flow0[],5,FALSE)</f>
        <v>14441</v>
      </c>
      <c r="J3" s="60">
        <f t="shared" ref="J3:J4" si="1">I3/H3-1</f>
        <v>0.21598181205793199</v>
      </c>
      <c r="K3" s="81">
        <f t="shared" si="0"/>
        <v>6579225</v>
      </c>
      <c r="L3" s="61" t="e">
        <f>VLOOKUP(c_24[[#This Row],[hwycov_id]],count!$A$630:$E$652,5,FALSE)</f>
        <v>#N/A</v>
      </c>
      <c r="M3" s="81"/>
    </row>
    <row r="4" spans="1:35" ht="15" customHeight="1" x14ac:dyDescent="0.2">
      <c r="A4" s="59">
        <v>24</v>
      </c>
      <c r="B4" s="59" t="s">
        <v>387</v>
      </c>
      <c r="C4" s="59">
        <v>7430</v>
      </c>
      <c r="D4" s="61">
        <v>5.16</v>
      </c>
      <c r="E4" s="69">
        <v>0.38303599999999999</v>
      </c>
      <c r="F4" s="59" t="s">
        <v>360</v>
      </c>
      <c r="G4" s="59" t="s">
        <v>360</v>
      </c>
      <c r="H4" s="61">
        <v>15528</v>
      </c>
      <c r="I4" s="94">
        <f>VLOOKUP(c_24[[#This Row],[hwycov_id]],flow0[],5,FALSE)</f>
        <v>18189</v>
      </c>
      <c r="J4" s="60">
        <f t="shared" si="1"/>
        <v>0.17136785162287471</v>
      </c>
      <c r="K4" s="81">
        <f t="shared" si="0"/>
        <v>7080921</v>
      </c>
      <c r="L4" s="61" t="e">
        <f>VLOOKUP(c_24[[#This Row],[hwycov_id]],count!$A$630:$E$652,5,FALSE)</f>
        <v>#N/A</v>
      </c>
      <c r="M4" s="81"/>
    </row>
    <row r="5" spans="1:35" ht="15" customHeight="1" x14ac:dyDescent="0.2">
      <c r="A5" s="59">
        <v>24</v>
      </c>
      <c r="B5" s="59" t="s">
        <v>387</v>
      </c>
      <c r="C5" s="59">
        <v>7497</v>
      </c>
      <c r="D5" s="61">
        <v>5.55</v>
      </c>
      <c r="E5" s="69">
        <v>0.39198</v>
      </c>
      <c r="F5" s="59" t="s">
        <v>360</v>
      </c>
      <c r="G5" s="59" t="s">
        <v>360</v>
      </c>
      <c r="H5" s="61">
        <v>16404</v>
      </c>
      <c r="I5" s="94">
        <f>VLOOKUP(c_24[[#This Row],[hwycov_id]],flow0[],5,FALSE)</f>
        <v>18189</v>
      </c>
      <c r="J5" s="60">
        <f t="shared" ref="J5:J14" si="2">I5/H5-1</f>
        <v>0.10881492318946595</v>
      </c>
      <c r="K5" s="81">
        <f t="shared" ref="K5:K14" si="3">POWER((I5-H5),2)</f>
        <v>3186225</v>
      </c>
      <c r="L5" s="61" t="e">
        <f>VLOOKUP(c_24[[#This Row],[hwycov_id]],count!$A$630:$E$652,5,FALSE)</f>
        <v>#N/A</v>
      </c>
      <c r="M5" s="81"/>
    </row>
    <row r="6" spans="1:35" ht="15" customHeight="1" x14ac:dyDescent="0.2">
      <c r="A6" s="59">
        <v>24</v>
      </c>
      <c r="B6" s="59" t="s">
        <v>387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6375</v>
      </c>
      <c r="I6" s="94">
        <f>VLOOKUP(c_24[[#This Row],[hwycov_id]],flow0[],5,FALSE)</f>
        <v>13053</v>
      </c>
      <c r="J6" s="60">
        <f t="shared" si="2"/>
        <v>1.0475294117647058</v>
      </c>
      <c r="K6" s="81">
        <f t="shared" si="3"/>
        <v>44595684</v>
      </c>
      <c r="L6" s="61" t="e">
        <f>VLOOKUP(c_24[[#This Row],[hwycov_id]],count!$A$630:$E$652,5,FALSE)</f>
        <v>#N/A</v>
      </c>
      <c r="M6" s="81"/>
    </row>
    <row r="7" spans="1:35" ht="15" customHeight="1" x14ac:dyDescent="0.2">
      <c r="A7" s="59">
        <v>24</v>
      </c>
      <c r="B7" s="59" t="s">
        <v>387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16332</v>
      </c>
      <c r="I7" s="94">
        <f>VLOOKUP(c_24[[#This Row],[hwycov_id]],flow0[],5,FALSE)</f>
        <v>21140</v>
      </c>
      <c r="J7" s="60">
        <f t="shared" si="2"/>
        <v>0.29439137888807254</v>
      </c>
      <c r="K7" s="81">
        <f t="shared" si="3"/>
        <v>23116864</v>
      </c>
      <c r="L7" s="61" t="e">
        <f>VLOOKUP(c_24[[#This Row],[hwycov_id]],count!$A$630:$E$652,5,FALSE)</f>
        <v>#N/A</v>
      </c>
      <c r="M7" s="81"/>
    </row>
    <row r="8" spans="1:35" ht="15" customHeight="1" x14ac:dyDescent="0.2">
      <c r="A8" s="59">
        <v>24</v>
      </c>
      <c r="B8" s="59" t="s">
        <v>387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17040</v>
      </c>
      <c r="I8" s="94">
        <f>VLOOKUP(c_24[[#This Row],[hwycov_id]],flow0[],5,FALSE)</f>
        <v>20362</v>
      </c>
      <c r="J8" s="60">
        <f t="shared" si="2"/>
        <v>0.19495305164319254</v>
      </c>
      <c r="K8" s="81">
        <f t="shared" si="3"/>
        <v>11035684</v>
      </c>
      <c r="L8" s="61" t="e">
        <f>VLOOKUP(c_24[[#This Row],[hwycov_id]],count!$A$630:$E$652,5,FALSE)</f>
        <v>#N/A</v>
      </c>
      <c r="M8" s="81"/>
    </row>
    <row r="9" spans="1:35" ht="15" customHeight="1" x14ac:dyDescent="0.2">
      <c r="A9" s="59">
        <v>24</v>
      </c>
      <c r="B9" s="59" t="s">
        <v>387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17410</v>
      </c>
      <c r="I9" s="94">
        <f>VLOOKUP(c_24[[#This Row],[hwycov_id]],flow0[],5,FALSE)</f>
        <v>20362</v>
      </c>
      <c r="J9" s="60">
        <f t="shared" si="2"/>
        <v>0.16955772544514636</v>
      </c>
      <c r="K9" s="81">
        <f t="shared" si="3"/>
        <v>8714304</v>
      </c>
      <c r="L9" s="61" t="e">
        <f>VLOOKUP(c_24[[#This Row],[hwycov_id]],count!$A$630:$E$652,5,FALSE)</f>
        <v>#N/A</v>
      </c>
      <c r="M9" s="81"/>
    </row>
    <row r="10" spans="1:35" ht="15" customHeight="1" x14ac:dyDescent="0.2">
      <c r="A10" s="59">
        <v>24</v>
      </c>
      <c r="B10" s="59" t="s">
        <v>387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13602</v>
      </c>
      <c r="I10" s="94">
        <f>VLOOKUP(c_24[[#This Row],[hwycov_id]],flow0[],5,FALSE)</f>
        <v>16729</v>
      </c>
      <c r="J10" s="60">
        <f t="shared" si="2"/>
        <v>0.22989266284369947</v>
      </c>
      <c r="K10" s="81">
        <f t="shared" si="3"/>
        <v>9778129</v>
      </c>
      <c r="L10" s="61" t="e">
        <f>VLOOKUP(c_24[[#This Row],[hwycov_id]],count!$A$630:$E$652,5,FALSE)</f>
        <v>#N/A</v>
      </c>
      <c r="M10" s="81"/>
    </row>
    <row r="11" spans="1:35" ht="15" customHeight="1" x14ac:dyDescent="0.2">
      <c r="A11" s="59">
        <v>24</v>
      </c>
      <c r="B11" s="59" t="s">
        <v>387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359</v>
      </c>
      <c r="H11" s="61">
        <v>14494</v>
      </c>
      <c r="I11" s="94">
        <f>VLOOKUP(c_24[[#This Row],[hwycov_id]],flow0[],5,FALSE)</f>
        <v>17238</v>
      </c>
      <c r="J11" s="60">
        <f t="shared" si="2"/>
        <v>0.18931971850420859</v>
      </c>
      <c r="K11" s="81">
        <f t="shared" si="3"/>
        <v>7529536</v>
      </c>
      <c r="L11" s="61" t="e">
        <f>VLOOKUP(c_24[[#This Row],[hwycov_id]],count!$A$630:$E$652,5,FALSE)</f>
        <v>#N/A</v>
      </c>
      <c r="M11" s="81"/>
    </row>
    <row r="12" spans="1:35" ht="15" customHeight="1" x14ac:dyDescent="0.2">
      <c r="A12" s="59">
        <v>24</v>
      </c>
      <c r="B12" s="59" t="s">
        <v>387</v>
      </c>
      <c r="C12" s="59">
        <v>19481</v>
      </c>
      <c r="D12" s="61">
        <v>14.19</v>
      </c>
      <c r="E12" s="69">
        <v>0.56720999999999999</v>
      </c>
      <c r="F12" s="59" t="s">
        <v>359</v>
      </c>
      <c r="G12" s="59" t="s">
        <v>358</v>
      </c>
      <c r="H12" s="61">
        <v>14529</v>
      </c>
      <c r="I12" s="94">
        <f>VLOOKUP(c_24[[#This Row],[hwycov_id]],flow0[],5,FALSE)</f>
        <v>17238</v>
      </c>
      <c r="J12" s="60">
        <f t="shared" si="2"/>
        <v>0.18645467685319028</v>
      </c>
      <c r="K12" s="81">
        <f t="shared" si="3"/>
        <v>7338681</v>
      </c>
      <c r="L12" s="61" t="e">
        <f>VLOOKUP(c_24[[#This Row],[hwycov_id]],count!$A$630:$E$652,5,FALSE)</f>
        <v>#N/A</v>
      </c>
      <c r="M12" s="81"/>
    </row>
    <row r="13" spans="1:35" ht="15" customHeight="1" x14ac:dyDescent="0.2">
      <c r="A13" s="59">
        <v>24</v>
      </c>
      <c r="B13" s="59" t="s">
        <v>387</v>
      </c>
      <c r="C13" s="59">
        <v>7377</v>
      </c>
      <c r="D13" s="61">
        <v>15.56</v>
      </c>
      <c r="E13" s="69">
        <v>0.49546499999999999</v>
      </c>
      <c r="F13" s="59" t="s">
        <v>357</v>
      </c>
      <c r="G13" s="59" t="s">
        <v>356</v>
      </c>
      <c r="H13" s="61">
        <v>12887</v>
      </c>
      <c r="I13" s="94">
        <f>VLOOKUP(c_24[[#This Row],[hwycov_id]],flow0[],5,FALSE)</f>
        <v>15001</v>
      </c>
      <c r="J13" s="60">
        <f t="shared" si="2"/>
        <v>0.16404128191200429</v>
      </c>
      <c r="K13" s="81">
        <f t="shared" si="3"/>
        <v>4468996</v>
      </c>
      <c r="L13" s="61" t="e">
        <f>VLOOKUP(c_24[[#This Row],[hwycov_id]],count!$A$630:$E$652,5,FALSE)</f>
        <v>#N/A</v>
      </c>
      <c r="M13" s="81"/>
    </row>
    <row r="14" spans="1:35" ht="15" customHeight="1" x14ac:dyDescent="0.2">
      <c r="A14" s="59">
        <v>24</v>
      </c>
      <c r="B14" s="59" t="s">
        <v>387</v>
      </c>
      <c r="C14" s="59">
        <v>27229</v>
      </c>
      <c r="D14" s="61">
        <v>16.68</v>
      </c>
      <c r="E14" s="69">
        <v>0.57958299999999996</v>
      </c>
      <c r="F14" s="59" t="s">
        <v>356</v>
      </c>
      <c r="G14" s="59" t="s">
        <v>194</v>
      </c>
      <c r="H14" s="61">
        <v>12478</v>
      </c>
      <c r="I14" s="94">
        <f>VLOOKUP(c_24[[#This Row],[hwycov_id]],flow0[],5,FALSE)</f>
        <v>14643</v>
      </c>
      <c r="J14" s="60">
        <f t="shared" si="2"/>
        <v>0.17350536945023243</v>
      </c>
      <c r="K14" s="81">
        <f t="shared" si="3"/>
        <v>4687225</v>
      </c>
      <c r="L14" s="61" t="e">
        <f>VLOOKUP(c_24[[#This Row],[hwycov_id]],count!$A$630:$E$652,5,FALSE)</f>
        <v>#N/A</v>
      </c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2" ht="15" customHeight="1" x14ac:dyDescent="0.2">
      <c r="K65" s="81"/>
      <c r="L65" s="81"/>
    </row>
    <row r="66" spans="11:12" ht="15" customHeight="1" x14ac:dyDescent="0.2">
      <c r="K66" s="81"/>
      <c r="L66" s="81"/>
    </row>
    <row r="67" spans="11:12" ht="15" customHeight="1" x14ac:dyDescent="0.2">
      <c r="K67" s="81"/>
      <c r="L67" s="81"/>
    </row>
    <row r="68" spans="11:12" ht="15" customHeight="1" x14ac:dyDescent="0.2">
      <c r="K68" s="81"/>
      <c r="L68" s="81"/>
    </row>
    <row r="69" spans="11:12" ht="15" customHeight="1" x14ac:dyDescent="0.2">
      <c r="K69" s="81"/>
      <c r="L69" s="81"/>
    </row>
    <row r="70" spans="11:12" ht="15" customHeight="1" x14ac:dyDescent="0.2">
      <c r="K70" s="81"/>
      <c r="L70" s="81"/>
    </row>
    <row r="71" spans="11:12" ht="15" customHeight="1" x14ac:dyDescent="0.2">
      <c r="K71" s="81"/>
      <c r="L71" s="81"/>
    </row>
    <row r="72" spans="11:12" ht="15" customHeight="1" x14ac:dyDescent="0.2">
      <c r="K72" s="81"/>
      <c r="L72" s="81"/>
    </row>
    <row r="73" spans="11:12" ht="15" customHeight="1" x14ac:dyDescent="0.2">
      <c r="K73" s="81"/>
      <c r="L73" s="81"/>
    </row>
    <row r="74" spans="11:12" ht="15" customHeight="1" x14ac:dyDescent="0.2">
      <c r="K74" s="81"/>
      <c r="L74" s="81"/>
    </row>
  </sheetData>
  <conditionalFormatting sqref="N2:N4 J5:J15">
    <cfRule type="cellIs" dxfId="109" priority="7" operator="lessThan">
      <formula>-0.2</formula>
    </cfRule>
    <cfRule type="cellIs" dxfId="108" priority="8" operator="greaterThan">
      <formula>0.2</formula>
    </cfRule>
  </conditionalFormatting>
  <conditionalFormatting sqref="J16:J1048576">
    <cfRule type="cellIs" dxfId="107" priority="5" operator="lessThan">
      <formula>-0.2</formula>
    </cfRule>
    <cfRule type="cellIs" dxfId="106" priority="6" operator="greaterThan">
      <formula>0.2</formula>
    </cfRule>
  </conditionalFormatting>
  <conditionalFormatting sqref="J2:J14">
    <cfRule type="cellIs" dxfId="105" priority="3" operator="lessThan">
      <formula>-0.2</formula>
    </cfRule>
    <cfRule type="cellIs" dxfId="104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61" bestFit="1" customWidth="1"/>
    <col min="5" max="5" width="8.42578125" style="69" hidden="1" customWidth="1"/>
    <col min="6" max="7" width="17.140625" style="59" bestFit="1" customWidth="1"/>
    <col min="8" max="8" width="9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SQRT(AVERAGE(c_25[x2]))/AVERAGE(c_25[count])</f>
        <v>3.4961190133683602E-2</v>
      </c>
      <c r="O1" s="136">
        <f>LINEST(c_25[flow],c_25[count],FALSE)</f>
        <v>1.006273298335006</v>
      </c>
      <c r="P1" s="136">
        <f>RSQ(c_25[flow],c_25[count])</f>
        <v>0.96893511131885457</v>
      </c>
      <c r="Q1" s="43">
        <f>IFERROR(AVERAGEIF(c_25[gap],"&gt;=0",c_25[gap]),0)</f>
        <v>3.0754502320780142E-2</v>
      </c>
      <c r="R1" s="44">
        <f>IFERROR(AVERAGEIF(c_25[gap],"&lt;0",c_25[gap]),0)</f>
        <v>-2.3324010389530081E-2</v>
      </c>
      <c r="S1" s="14">
        <f>AVERAGE(c_25[gap])</f>
        <v>1.27283314173434E-2</v>
      </c>
      <c r="T1" s="42">
        <f>COUNTIFS(c_25[gap],"&lt;10%",c_25[gap],"&gt;=-10%")/COUNTA(c_25[gap])</f>
        <v>1</v>
      </c>
      <c r="U1" s="42">
        <f>COUNTIFS(c_25[gap],"&lt;20%",c_25[gap],"&gt;=-20%")/COUNTA(c_25[gap])</f>
        <v>1</v>
      </c>
      <c r="V1" s="42">
        <f>COUNTIFS(c_25[gap],"&lt;30%",c_25[gap],"&gt;=-30%")/COUNTA(c_25[gap])</f>
        <v>1</v>
      </c>
      <c r="W1" s="43">
        <f>COUNTIF(c_25[gap],"&gt;=0")/COUNTA(c_25[gap])</f>
        <v>0.66666666666666663</v>
      </c>
      <c r="X1" s="45">
        <f>COUNTIF(c_25[gap],"&lt;0")/COUNTA(c_25[gap])</f>
        <v>0.33333333333333331</v>
      </c>
      <c r="Y1" s="7" t="str">
        <f>"%Link(+)="&amp;TEXT(W1,"0%")</f>
        <v>%Link(+)=67%</v>
      </c>
      <c r="Z1" s="7" t="str">
        <f>"%Link(-)="&amp;TEXT(X1,"0%")</f>
        <v>%Link(-)=33%</v>
      </c>
      <c r="AA1" s="73" t="str">
        <f>"AvgGap(+)="&amp;TEXT(Q1,"0%")</f>
        <v>AvgGap(+)=3%</v>
      </c>
      <c r="AB1" s="59" t="str">
        <f>"AvgGap(-)="&amp;TEXT(R1,"0%")</f>
        <v>AvgGap(-)=-2%</v>
      </c>
      <c r="AC1" s="59" t="str">
        <f>"AvgGap(±)="&amp;TEXT(S1,"0%")</f>
        <v>AvgGap(±)=1%</v>
      </c>
      <c r="AD1" s="59" t="str">
        <f>"GapIn(±10%)="&amp;TEXT(T1,"0%")</f>
        <v>GapIn(±10%)=100%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Slope=1.006</v>
      </c>
      <c r="AH1" s="59" t="str">
        <f>"RMSE="&amp;TEXT(N1,"0%")</f>
        <v>RMSE=3%</v>
      </c>
      <c r="AI1" s="59" t="str">
        <f>CONCATENATE(Y1," ",Z1," ",AA1,"  ",AB1,"  ",AC1,"  ",AD1," ",AE1,"  ",AF1,"  ",AG1," ",AH1)</f>
        <v>%Link(+)=67% %Link(-)=33% AvgGap(+)=3%  AvgGap(-)=-2%  AvgGap(±)=1%  GapIn(±10%)=100% GapIn(±20%)=100%  GapIn(±30%)=100%  Linear Slope=1.006 RMSE=3%</v>
      </c>
    </row>
    <row r="2" spans="1:35" ht="15" customHeight="1" x14ac:dyDescent="0.2">
      <c r="A2" s="59">
        <v>25</v>
      </c>
      <c r="B2" s="59" t="s">
        <v>388</v>
      </c>
      <c r="C2" s="65">
        <v>27959</v>
      </c>
      <c r="D2" s="61">
        <v>0.34</v>
      </c>
      <c r="E2" s="70">
        <v>0.34351599999999999</v>
      </c>
      <c r="F2" s="65" t="s">
        <v>364</v>
      </c>
      <c r="G2" s="65" t="s">
        <v>389</v>
      </c>
      <c r="H2" s="68">
        <v>15496</v>
      </c>
      <c r="I2" s="94">
        <f>VLOOKUP(c_25[[#This Row],[hwycov_id]],flow0[],5,FALSE)</f>
        <v>16217</v>
      </c>
      <c r="J2" s="60">
        <f t="shared" ref="J2" si="0">I2/H2-1</f>
        <v>4.6528136293237043E-2</v>
      </c>
      <c r="K2" s="81">
        <f t="shared" ref="K2" si="1">POWER((I2-H2),2)</f>
        <v>519841</v>
      </c>
      <c r="L2" s="61" t="e">
        <f>VLOOKUP(c_25[[#This Row],[hwycov_id]],count!$A$630:$E$652,5,FALSE)</f>
        <v>#N/A</v>
      </c>
      <c r="M2" s="81"/>
    </row>
    <row r="3" spans="1:35" ht="15" customHeight="1" x14ac:dyDescent="0.2">
      <c r="A3" s="59">
        <v>25</v>
      </c>
      <c r="B3" s="59" t="s">
        <v>388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18999</v>
      </c>
      <c r="I3" s="94">
        <f>VLOOKUP(c_25[[#This Row],[hwycov_id]],flow0[],5,FALSE)</f>
        <v>18195</v>
      </c>
      <c r="J3" s="60">
        <f t="shared" ref="J3:J7" si="2">I3/H3-1</f>
        <v>-4.2318016737723063E-2</v>
      </c>
      <c r="K3" s="81">
        <f t="shared" ref="K3:K7" si="3">POWER((I3-H3),2)</f>
        <v>646416</v>
      </c>
      <c r="L3" s="61" t="e">
        <f>VLOOKUP(c_25[[#This Row],[hwycov_id]],count!$A$630:$E$652,5,FALSE)</f>
        <v>#N/A</v>
      </c>
      <c r="M3" s="81"/>
    </row>
    <row r="4" spans="1:35" ht="15" customHeight="1" x14ac:dyDescent="0.2">
      <c r="A4" s="59">
        <v>25</v>
      </c>
      <c r="B4" s="59" t="s">
        <v>388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15676</v>
      </c>
      <c r="I4" s="94">
        <f>VLOOKUP(c_25[[#This Row],[hwycov_id]],flow0[],5,FALSE)</f>
        <v>15688</v>
      </c>
      <c r="J4" s="60">
        <f t="shared" si="2"/>
        <v>7.655014034191332E-4</v>
      </c>
      <c r="K4" s="81">
        <f t="shared" si="3"/>
        <v>144</v>
      </c>
      <c r="L4" s="61" t="e">
        <f>VLOOKUP(c_25[[#This Row],[hwycov_id]],count!$A$630:$E$652,5,FALSE)</f>
        <v>#N/A</v>
      </c>
      <c r="M4" s="81"/>
    </row>
    <row r="5" spans="1:35" ht="15" customHeight="1" x14ac:dyDescent="0.2">
      <c r="A5" s="59">
        <v>25</v>
      </c>
      <c r="B5" s="59" t="s">
        <v>388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363</v>
      </c>
      <c r="H5" s="68">
        <v>17321</v>
      </c>
      <c r="I5" s="94">
        <f>VLOOKUP(c_25[[#This Row],[hwycov_id]],flow0[],5,FALSE)</f>
        <v>17246</v>
      </c>
      <c r="J5" s="60">
        <f t="shared" si="2"/>
        <v>-4.3300040413370988E-3</v>
      </c>
      <c r="K5" s="81">
        <f t="shared" si="3"/>
        <v>5625</v>
      </c>
      <c r="L5" s="61" t="e">
        <f>VLOOKUP(c_25[[#This Row],[hwycov_id]],count!$A$630:$E$652,5,FALSE)</f>
        <v>#N/A</v>
      </c>
      <c r="M5" s="81"/>
    </row>
    <row r="6" spans="1:35" ht="15" customHeight="1" x14ac:dyDescent="0.2">
      <c r="A6" s="59">
        <v>25</v>
      </c>
      <c r="B6" s="59" t="s">
        <v>388</v>
      </c>
      <c r="C6" s="65">
        <v>14153</v>
      </c>
      <c r="D6" s="61">
        <v>4.43</v>
      </c>
      <c r="E6" s="70">
        <v>0.53134300000000001</v>
      </c>
      <c r="F6" s="65" t="s">
        <v>363</v>
      </c>
      <c r="G6" s="65" t="s">
        <v>362</v>
      </c>
      <c r="H6" s="68">
        <v>15541</v>
      </c>
      <c r="I6" s="94">
        <f>VLOOKUP(c_25[[#This Row],[hwycov_id]],flow0[],5,FALSE)</f>
        <v>15788</v>
      </c>
      <c r="J6" s="60">
        <f t="shared" si="2"/>
        <v>1.589344315037633E-2</v>
      </c>
      <c r="K6" s="81">
        <f t="shared" si="3"/>
        <v>61009</v>
      </c>
      <c r="L6" s="61" t="e">
        <f>VLOOKUP(c_25[[#This Row],[hwycov_id]],count!$A$630:$E$652,5,FALSE)</f>
        <v>#N/A</v>
      </c>
      <c r="M6" s="81"/>
    </row>
    <row r="7" spans="1:35" ht="15" customHeight="1" x14ac:dyDescent="0.2">
      <c r="A7" s="59">
        <v>25</v>
      </c>
      <c r="B7" s="59" t="s">
        <v>388</v>
      </c>
      <c r="C7" s="65">
        <v>7525</v>
      </c>
      <c r="D7" s="61">
        <v>5.4</v>
      </c>
      <c r="E7" s="70">
        <v>0.73231299999999999</v>
      </c>
      <c r="F7" s="65" t="s">
        <v>362</v>
      </c>
      <c r="G7" s="65" t="s">
        <v>152</v>
      </c>
      <c r="H7" s="68">
        <v>13722</v>
      </c>
      <c r="I7" s="94">
        <f>VLOOKUP(c_25[[#This Row],[hwycov_id]],flow0[],5,FALSE)</f>
        <v>14543</v>
      </c>
      <c r="J7" s="60">
        <f t="shared" si="2"/>
        <v>5.983092843608806E-2</v>
      </c>
      <c r="K7" s="81">
        <f t="shared" si="3"/>
        <v>674041</v>
      </c>
      <c r="L7" s="61" t="e">
        <f>VLOOKUP(c_25[[#This Row],[hwycov_id]],count!$A$630:$E$652,5,FALSE)</f>
        <v>#N/A</v>
      </c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89" priority="7" operator="lessThan">
      <formula>-0.2</formula>
    </cfRule>
    <cfRule type="cellIs" dxfId="88" priority="8" operator="greaterThan">
      <formula>0.2</formula>
    </cfRule>
  </conditionalFormatting>
  <conditionalFormatting sqref="J19:J1048576">
    <cfRule type="cellIs" dxfId="87" priority="5" operator="lessThan">
      <formula>-0.2</formula>
    </cfRule>
    <cfRule type="cellIs" dxfId="86" priority="6" operator="greaterThan">
      <formula>0.2</formula>
    </cfRule>
  </conditionalFormatting>
  <conditionalFormatting sqref="J14:J18">
    <cfRule type="cellIs" dxfId="85" priority="3" operator="lessThan">
      <formula>-0.2</formula>
    </cfRule>
    <cfRule type="cellIs" dxfId="84" priority="4" operator="greaterThan">
      <formula>0.2</formula>
    </cfRule>
  </conditionalFormatting>
  <conditionalFormatting sqref="N1">
    <cfRule type="cellIs" dxfId="83" priority="1" operator="lessThan">
      <formula>-0.2</formula>
    </cfRule>
    <cfRule type="cellIs" dxfId="8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10" style="74" bestFit="1" customWidth="1"/>
    <col min="5" max="5" width="8.42578125" style="69" hidden="1" customWidth="1"/>
    <col min="6" max="7" width="21.42578125" style="59" bestFit="1" customWidth="1"/>
    <col min="8" max="8" width="9" style="61" bestFit="1" customWidth="1"/>
    <col min="9" max="9" width="8.85546875" style="89" bestFit="1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SQRT(AVERAGE(c_26[x2]))/AVERAGE(c_26[count])</f>
        <v>0.11843457160263735</v>
      </c>
      <c r="O1" s="136">
        <f>LINEST(c_26[flow],c_26[count],FALSE)</f>
        <v>1.0510444425345313</v>
      </c>
      <c r="P1" s="136">
        <f>RSQ(c_26[flow],c_26[count])</f>
        <v>0.4006680596446302</v>
      </c>
      <c r="Q1" s="43">
        <f>IFERROR(AVERAGEIF(c_26[gap],"&gt;=0",c_26[gap]),0)</f>
        <v>0.15143073142060626</v>
      </c>
      <c r="R1" s="44">
        <f>IFERROR(AVERAGEIF(c_26[gap],"&lt;0",c_26[gap]),0)</f>
        <v>-4.1239769633451051E-2</v>
      </c>
      <c r="S1" s="14">
        <f>AVERAGE(c_26[gap])</f>
        <v>5.5095480893577603E-2</v>
      </c>
      <c r="T1" s="42">
        <f>COUNTIFS(c_26[gap],"&lt;10%",c_26[gap],"&gt;=-10%")/COUNTA(c_26[gap])</f>
        <v>0.625</v>
      </c>
      <c r="U1" s="42">
        <f>COUNTIFS(c_26[gap],"&lt;20%",c_26[gap],"&gt;=-20%")/COUNTA(c_26[gap])</f>
        <v>0.75</v>
      </c>
      <c r="V1" s="42">
        <f>COUNTIFS(c_26[gap],"&lt;30%",c_26[gap],"&gt;=-30%")/COUNTA(c_26[gap])</f>
        <v>1</v>
      </c>
      <c r="W1" s="43">
        <f>COUNTIF(c_26[gap],"&gt;=0")/COUNTA(c_26[gap])</f>
        <v>0.5</v>
      </c>
      <c r="X1" s="45">
        <f>COUNTIF(c_26[gap],"&lt;0")/COUNTA(c_26[gap])</f>
        <v>0.5</v>
      </c>
      <c r="Y1" s="7" t="str">
        <f>"%Link(+)="&amp;TEXT(W1,"0%")</f>
        <v>%Link(+)=50%</v>
      </c>
      <c r="Z1" s="7" t="str">
        <f>"%Link(-)="&amp;TEXT(X1,"0%")</f>
        <v>%Link(-)=50%</v>
      </c>
      <c r="AA1" s="73" t="str">
        <f>"AvgGap(+)="&amp;TEXT(Q1,"0%")</f>
        <v>AvgGap(+)=15%</v>
      </c>
      <c r="AB1" s="59" t="str">
        <f>"AvgGap(-)="&amp;TEXT(R1,"0%")</f>
        <v>AvgGap(-)=-4%</v>
      </c>
      <c r="AC1" s="59" t="str">
        <f>"AvgGap(±)="&amp;TEXT(S1,"0%")</f>
        <v>AvgGap(±)=6%</v>
      </c>
      <c r="AD1" s="59" t="str">
        <f>"GapIn(±10%)="&amp;TEXT(T1,"0%")</f>
        <v>GapIn(±10%)=63%</v>
      </c>
      <c r="AE1" s="59" t="str">
        <f>"GapIn(±20%)="&amp;TEXT(U1,"0%")</f>
        <v>GapIn(±20%)=75%</v>
      </c>
      <c r="AF1" s="59" t="str">
        <f>"GapIn(±30%)="&amp;TEXT(V1,"0%")</f>
        <v>GapIn(±30%)=100%</v>
      </c>
      <c r="AG1" s="59" t="str">
        <f>"Linear Slope="&amp;TEXT(O1,"#.###")</f>
        <v>Linear Slope=1.051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%Link(+)=50% %Link(-)=50% AvgGap(+)=15%  AvgGap(-)=-4%  AvgGap(±)=6%  GapIn(±10%)=63% GapIn(±20%)=75%  GapIn(±30%)=100%  Linear Slope=1.051 RMSE=12%</v>
      </c>
    </row>
    <row r="2" spans="1:35" ht="15" customHeight="1" x14ac:dyDescent="0.2">
      <c r="A2" s="59">
        <v>26</v>
      </c>
      <c r="B2" s="59" t="s">
        <v>390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11621</v>
      </c>
      <c r="I2" s="94">
        <f>VLOOKUP(c_26[[#This Row],[hwycov_id]],flow0[],5,FALSE)</f>
        <v>14268</v>
      </c>
      <c r="J2" s="60">
        <f t="shared" ref="J2:J10" si="0">I2/H2-1</f>
        <v>0.22777729971603122</v>
      </c>
      <c r="K2" s="81">
        <f t="shared" ref="K2:K10" si="1">POWER((I2-H2),2)</f>
        <v>7006609</v>
      </c>
      <c r="L2" s="61" t="e">
        <f>VLOOKUP(c_26[[#This Row],[hwycov_id]],count!$A$630:$E$652,5,FALSE)</f>
        <v>#N/A</v>
      </c>
      <c r="M2" s="81"/>
    </row>
    <row r="3" spans="1:35" ht="15" customHeight="1" x14ac:dyDescent="0.2">
      <c r="A3" s="59">
        <v>26</v>
      </c>
      <c r="B3" s="59" t="s">
        <v>390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13771</v>
      </c>
      <c r="I3" s="94">
        <f>VLOOKUP(c_26[[#This Row],[hwycov_id]],flow0[],5,FALSE)</f>
        <v>14933</v>
      </c>
      <c r="J3" s="60">
        <f t="shared" si="0"/>
        <v>8.438021930143047E-2</v>
      </c>
      <c r="K3" s="81">
        <f t="shared" si="1"/>
        <v>1350244</v>
      </c>
      <c r="L3" s="61" t="e">
        <f>VLOOKUP(c_26[[#This Row],[hwycov_id]],count!$A$630:$E$652,5,FALSE)</f>
        <v>#N/A</v>
      </c>
      <c r="M3" s="81"/>
    </row>
    <row r="4" spans="1:35" ht="15" customHeight="1" x14ac:dyDescent="0.2">
      <c r="A4" s="59">
        <v>26</v>
      </c>
      <c r="B4" s="59" t="s">
        <v>390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10501</v>
      </c>
      <c r="I4" s="94">
        <f>VLOOKUP(c_26[[#This Row],[hwycov_id]],flow0[],5,FALSE)</f>
        <v>12753</v>
      </c>
      <c r="J4" s="60">
        <f t="shared" si="0"/>
        <v>0.2144557661175126</v>
      </c>
      <c r="K4" s="81">
        <f t="shared" si="1"/>
        <v>5071504</v>
      </c>
      <c r="L4" s="61" t="e">
        <f>VLOOKUP(c_26[[#This Row],[hwycov_id]],count!$A$630:$E$652,5,FALSE)</f>
        <v>#N/A</v>
      </c>
      <c r="M4" s="81"/>
    </row>
    <row r="5" spans="1:35" ht="15" customHeight="1" x14ac:dyDescent="0.2">
      <c r="A5" s="59">
        <v>26</v>
      </c>
      <c r="B5" s="59" t="s">
        <v>390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13298</v>
      </c>
      <c r="I5" s="94">
        <f>VLOOKUP(c_26[[#This Row],[hwycov_id]],flow0[],5,FALSE)</f>
        <v>14350</v>
      </c>
      <c r="J5" s="60">
        <f t="shared" si="0"/>
        <v>7.9109640547450732E-2</v>
      </c>
      <c r="K5" s="81">
        <f t="shared" si="1"/>
        <v>1106704</v>
      </c>
      <c r="L5" s="61" t="e">
        <f>VLOOKUP(c_26[[#This Row],[hwycov_id]],count!$A$630:$E$652,5,FALSE)</f>
        <v>#N/A</v>
      </c>
      <c r="M5" s="81"/>
    </row>
    <row r="6" spans="1:35" ht="15" customHeight="1" x14ac:dyDescent="0.2">
      <c r="A6" s="59">
        <v>26</v>
      </c>
      <c r="B6" s="59" t="s">
        <v>390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12653</v>
      </c>
      <c r="I6" s="94">
        <f>VLOOKUP(c_26[[#This Row],[hwycov_id]],flow0[],5,FALSE)</f>
        <v>12455</v>
      </c>
      <c r="J6" s="60">
        <f t="shared" si="0"/>
        <v>-1.564846281514265E-2</v>
      </c>
      <c r="K6" s="81">
        <f t="shared" si="1"/>
        <v>39204</v>
      </c>
      <c r="L6" s="61" t="e">
        <f>VLOOKUP(c_26[[#This Row],[hwycov_id]],count!$A$630:$E$652,5,FALSE)</f>
        <v>#N/A</v>
      </c>
      <c r="M6" s="81"/>
    </row>
    <row r="7" spans="1:35" ht="15" customHeight="1" x14ac:dyDescent="0.2">
      <c r="A7" s="59">
        <v>26</v>
      </c>
      <c r="B7" s="59" t="s">
        <v>390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366</v>
      </c>
      <c r="H7" s="61">
        <v>12737</v>
      </c>
      <c r="I7" s="94">
        <f>VLOOKUP(c_26[[#This Row],[hwycov_id]],flow0[],5,FALSE)</f>
        <v>12676</v>
      </c>
      <c r="J7" s="60">
        <f t="shared" si="0"/>
        <v>-4.7891968281384978E-3</v>
      </c>
      <c r="K7" s="81">
        <f t="shared" si="1"/>
        <v>3721</v>
      </c>
      <c r="L7" s="61" t="e">
        <f>VLOOKUP(c_26[[#This Row],[hwycov_id]],count!$A$630:$E$652,5,FALSE)</f>
        <v>#N/A</v>
      </c>
      <c r="M7" s="81"/>
    </row>
    <row r="8" spans="1:35" ht="15" customHeight="1" x14ac:dyDescent="0.2">
      <c r="A8" s="59">
        <v>26</v>
      </c>
      <c r="B8" s="59" t="s">
        <v>390</v>
      </c>
      <c r="C8" s="59">
        <v>16144</v>
      </c>
      <c r="D8" s="74">
        <v>7.75</v>
      </c>
      <c r="E8" s="69">
        <v>0.33323199999999997</v>
      </c>
      <c r="F8" s="59" t="s">
        <v>366</v>
      </c>
      <c r="G8" s="59" t="s">
        <v>45</v>
      </c>
      <c r="H8" s="61">
        <v>12403</v>
      </c>
      <c r="I8" s="94">
        <f>VLOOKUP(c_26[[#This Row],[hwycov_id]],flow0[],5,FALSE)</f>
        <v>11055</v>
      </c>
      <c r="J8" s="60">
        <f t="shared" si="0"/>
        <v>-0.10868338305248726</v>
      </c>
      <c r="K8" s="81">
        <f t="shared" si="1"/>
        <v>1817104</v>
      </c>
      <c r="L8" s="61" t="e">
        <f>VLOOKUP(c_26[[#This Row],[hwycov_id]],count!$A$630:$E$652,5,FALSE)</f>
        <v>#N/A</v>
      </c>
      <c r="M8" s="81"/>
    </row>
    <row r="9" spans="1:35" ht="15" customHeight="1" x14ac:dyDescent="0.2">
      <c r="A9" s="59">
        <v>26</v>
      </c>
      <c r="B9" s="59" t="s">
        <v>390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10101</v>
      </c>
      <c r="I9" s="94">
        <f>VLOOKUP(c_26[[#This Row],[hwycov_id]],flow0[],5,FALSE)</f>
        <v>9739</v>
      </c>
      <c r="J9" s="60">
        <f t="shared" si="0"/>
        <v>-3.5838035838035798E-2</v>
      </c>
      <c r="K9" s="81">
        <f t="shared" si="1"/>
        <v>131044</v>
      </c>
      <c r="L9" s="61" t="e">
        <f>VLOOKUP(c_26[[#This Row],[hwycov_id]],count!$A$630:$E$652,5,FALSE)</f>
        <v>#N/A</v>
      </c>
      <c r="M9" s="81"/>
    </row>
    <row r="10" spans="1:35" s="421" customFormat="1" ht="15" hidden="1" customHeight="1" x14ac:dyDescent="0.2">
      <c r="A10" s="421">
        <v>26</v>
      </c>
      <c r="B10" s="421" t="s">
        <v>390</v>
      </c>
      <c r="C10" s="421">
        <v>7636</v>
      </c>
      <c r="D10" s="423">
        <v>0.17</v>
      </c>
      <c r="E10" s="440">
        <v>0.17438000000000001</v>
      </c>
      <c r="F10" s="421" t="s">
        <v>154</v>
      </c>
      <c r="G10" s="421" t="s">
        <v>170</v>
      </c>
      <c r="H10" s="427">
        <v>15453</v>
      </c>
      <c r="I10" s="425" t="e">
        <f>VLOOKUP(c_26[[#This Row],[hwycov_id]],flow0[],5,FALSE)</f>
        <v>#VALUE!</v>
      </c>
      <c r="J10" s="426" t="e">
        <f t="shared" si="0"/>
        <v>#VALUE!</v>
      </c>
      <c r="K10" s="427" t="e">
        <f t="shared" si="1"/>
        <v>#VALUE!</v>
      </c>
      <c r="L10" s="427" t="e">
        <f>VLOOKUP(c_26[[#This Row],[hwycov_id]],count!$A$630:$E$652,5,FALSE)</f>
        <v>#VALUE!</v>
      </c>
      <c r="M10" s="427"/>
      <c r="N10" s="426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3 J2:J12">
    <cfRule type="cellIs" dxfId="67" priority="7" operator="lessThan">
      <formula>-0.2</formula>
    </cfRule>
    <cfRule type="cellIs" dxfId="66" priority="8" operator="greaterThan">
      <formula>0.2</formula>
    </cfRule>
  </conditionalFormatting>
  <conditionalFormatting sqref="J19:J1048576">
    <cfRule type="cellIs" dxfId="65" priority="5" operator="lessThan">
      <formula>-0.2</formula>
    </cfRule>
    <cfRule type="cellIs" dxfId="64" priority="6" operator="greaterThan">
      <formula>0.2</formula>
    </cfRule>
  </conditionalFormatting>
  <conditionalFormatting sqref="J14:J18">
    <cfRule type="cellIs" dxfId="63" priority="3" operator="lessThan">
      <formula>-0.2</formula>
    </cfRule>
    <cfRule type="cellIs" dxfId="62" priority="4" operator="greaterThan">
      <formula>0.2</formula>
    </cfRule>
  </conditionalFormatting>
  <conditionalFormatting sqref="N1">
    <cfRule type="cellIs" dxfId="61" priority="1" operator="lessThan">
      <formula>-0.2</formula>
    </cfRule>
    <cfRule type="cellIs" dxfId="60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K1" sqref="K1:L1048576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6.7109375" style="59" bestFit="1" customWidth="1"/>
    <col min="7" max="7" width="18.85546875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140625" style="60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SQRT(AVERAGE(c_27[x2]))/AVERAGE(c_27[count])</f>
        <v>0.44355052276403761</v>
      </c>
      <c r="O1" s="136">
        <f>LINEST(c_27[flow],c_27[count],FALSE)</f>
        <v>1.2505370888508058</v>
      </c>
      <c r="P1" s="136">
        <f>RSQ(c_27[flow],c_27[count])</f>
        <v>1.2952807588167343E-3</v>
      </c>
      <c r="Q1" s="43">
        <f>IFERROR(AVERAGEIF(c_27[gap],"&gt;=0",c_27[gap]),0)</f>
        <v>0.539794000446568</v>
      </c>
      <c r="R1" s="44">
        <f>IFERROR(AVERAGEIF(c_27[gap],"&lt;0",c_27[gap]),0)</f>
        <v>-0.13699825479930194</v>
      </c>
      <c r="S1" s="14">
        <f>AVERAGE(c_27[gap])</f>
        <v>0.40443554939739401</v>
      </c>
      <c r="T1" s="42">
        <f>COUNTIFS(c_27[gap],"&lt;10%",c_27[gap],"&gt;=-10%")/COUNTA(c_27[gap])</f>
        <v>0</v>
      </c>
      <c r="U1" s="42">
        <f>COUNTIFS(c_27[gap],"&lt;20%",c_27[gap],"&gt;=-20%")/COUNTA(c_27[gap])</f>
        <v>0.2</v>
      </c>
      <c r="V1" s="42">
        <f>COUNTIFS(c_27[gap],"&lt;30%",c_27[gap],"&gt;=-30%")/COUNTA(c_27[gap])</f>
        <v>0.4</v>
      </c>
      <c r="W1" s="43">
        <f>COUNTIF(c_27[gap],"&gt;=0")/COUNTA(c_27[gap])</f>
        <v>0.8</v>
      </c>
      <c r="X1" s="45">
        <f>COUNTIF(c_27[gap],"&lt;0")/COUNTA(c_27[gap])</f>
        <v>0.2</v>
      </c>
      <c r="Y1" s="7" t="str">
        <f>"%Link(+)="&amp;TEXT(W1,"0%")</f>
        <v>%Link(+)=80%</v>
      </c>
      <c r="Z1" s="7" t="str">
        <f>"%Link(-)="&amp;TEXT(X1,"0%")</f>
        <v>%Link(-)=20%</v>
      </c>
      <c r="AA1" s="73" t="str">
        <f>"AvgGap(+)="&amp;TEXT(Q1,"0%")</f>
        <v>AvgGap(+)=54%</v>
      </c>
      <c r="AB1" s="59" t="str">
        <f>"AvgGap(-)="&amp;TEXT(R1,"0%")</f>
        <v>AvgGap(-)=-14%</v>
      </c>
      <c r="AC1" s="59" t="str">
        <f>"AvgGap(±)="&amp;TEXT(S1,"0%")</f>
        <v>AvgGap(±)=40%</v>
      </c>
      <c r="AD1" s="59" t="str">
        <f>"GapIn(±10%)="&amp;TEXT(T1,"0%")</f>
        <v>GapIn(±10%)=0%</v>
      </c>
      <c r="AE1" s="59" t="str">
        <f>"GapIn(±20%)="&amp;TEXT(U1,"0%")</f>
        <v>GapIn(±20%)=20%</v>
      </c>
      <c r="AF1" s="59" t="str">
        <f>"GapIn(±30%)="&amp;TEXT(V1,"0%")</f>
        <v>GapIn(±30%)=40%</v>
      </c>
      <c r="AG1" s="59" t="str">
        <f>"Linear Slope="&amp;TEXT(O1,"#.###")</f>
        <v>Linear Slope=1.251</v>
      </c>
      <c r="AH1" s="59" t="str">
        <f>"RMSE="&amp;TEXT(N1,"0%")</f>
        <v>RMSE=44%</v>
      </c>
      <c r="AI1" s="59" t="str">
        <f>CONCATENATE(Y1," ",Z1," ",AA1,"  ",AB1,"  ",AC1,"  ",AD1," ",AE1,"  ",AF1,"  ",AG1," ",AH1)</f>
        <v>%Link(+)=80% %Link(-)=20% AvgGap(+)=54%  AvgGap(-)=-14%  AvgGap(±)=40%  GapIn(±10%)=0% GapIn(±20%)=20%  GapIn(±30%)=40%  Linear Slope=1.251 RMSE=44%</v>
      </c>
    </row>
    <row r="2" spans="1:35" ht="15" customHeight="1" x14ac:dyDescent="0.2">
      <c r="A2" s="59">
        <v>27</v>
      </c>
      <c r="B2" s="59" t="s">
        <v>391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380</v>
      </c>
      <c r="H2" s="68">
        <v>8022</v>
      </c>
      <c r="I2" s="94">
        <f>VLOOKUP(c_27[[#This Row],[hwycov_id]],flow0[],5,FALSE)</f>
        <v>6923</v>
      </c>
      <c r="J2" s="60">
        <f t="shared" ref="J2:J6" si="0">I2/H2-1</f>
        <v>-0.13699825479930194</v>
      </c>
      <c r="K2" s="81">
        <f>POWER((I2-H2),2)</f>
        <v>1207801</v>
      </c>
      <c r="L2" s="61" t="e">
        <f>VLOOKUP(c_27[[#This Row],[hwycov_id]],count!$A$630:$E$652,5,FALSE)</f>
        <v>#N/A</v>
      </c>
      <c r="M2" s="81"/>
    </row>
    <row r="3" spans="1:35" ht="15" customHeight="1" x14ac:dyDescent="0.2">
      <c r="A3" s="59">
        <v>27</v>
      </c>
      <c r="B3" s="59" t="s">
        <v>391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379</v>
      </c>
      <c r="H3" s="68">
        <v>7641</v>
      </c>
      <c r="I3" s="94">
        <f>VLOOKUP(c_27[[#This Row],[hwycov_id]],flow0[],5,FALSE)</f>
        <v>10006</v>
      </c>
      <c r="J3" s="60">
        <f t="shared" si="0"/>
        <v>0.30951446145792438</v>
      </c>
      <c r="K3" s="81">
        <f t="shared" ref="K3:K6" si="1">POWER((I3-H3),2)</f>
        <v>5593225</v>
      </c>
      <c r="L3" s="61" t="e">
        <f>VLOOKUP(c_27[[#This Row],[hwycov_id]],count!$A$630:$E$652,5,FALSE)</f>
        <v>#N/A</v>
      </c>
      <c r="M3" s="81"/>
    </row>
    <row r="4" spans="1:35" ht="15" customHeight="1" x14ac:dyDescent="0.2">
      <c r="A4" s="59">
        <v>27</v>
      </c>
      <c r="B4" s="59" t="s">
        <v>391</v>
      </c>
      <c r="C4" s="65">
        <v>27720</v>
      </c>
      <c r="D4" s="74">
        <v>6.57</v>
      </c>
      <c r="E4" s="70">
        <v>0.35865599999999997</v>
      </c>
      <c r="F4" s="65" t="s">
        <v>378</v>
      </c>
      <c r="G4" s="65" t="s">
        <v>377</v>
      </c>
      <c r="H4" s="68">
        <v>6599</v>
      </c>
      <c r="I4" s="94">
        <f>VLOOKUP(c_27[[#This Row],[hwycov_id]],flow0[],5,FALSE)</f>
        <v>8331</v>
      </c>
      <c r="J4" s="60">
        <f t="shared" si="0"/>
        <v>0.26246400969843919</v>
      </c>
      <c r="K4" s="81">
        <f t="shared" si="1"/>
        <v>2999824</v>
      </c>
      <c r="L4" s="61" t="e">
        <f>VLOOKUP(c_27[[#This Row],[hwycov_id]],count!$A$630:$E$652,5,FALSE)</f>
        <v>#N/A</v>
      </c>
      <c r="M4" s="81"/>
    </row>
    <row r="5" spans="1:35" ht="15" customHeight="1" x14ac:dyDescent="0.2">
      <c r="A5" s="59">
        <v>27</v>
      </c>
      <c r="B5" s="59" t="s">
        <v>391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392</v>
      </c>
      <c r="H5" s="68">
        <v>4947</v>
      </c>
      <c r="I5" s="94">
        <f>VLOOKUP(c_27[[#This Row],[hwycov_id]],flow0[],5,FALSE)</f>
        <v>7042</v>
      </c>
      <c r="J5" s="60">
        <f t="shared" si="0"/>
        <v>0.42348898322215489</v>
      </c>
      <c r="K5" s="81">
        <f t="shared" si="1"/>
        <v>4389025</v>
      </c>
      <c r="L5" s="61" t="e">
        <f>VLOOKUP(c_27[[#This Row],[hwycov_id]],count!$A$630:$E$652,5,FALSE)</f>
        <v>#N/A</v>
      </c>
      <c r="M5" s="81"/>
    </row>
    <row r="6" spans="1:35" ht="15" customHeight="1" x14ac:dyDescent="0.2">
      <c r="A6" s="59">
        <v>27</v>
      </c>
      <c r="B6" s="59" t="s">
        <v>391</v>
      </c>
      <c r="C6" s="65">
        <v>10016</v>
      </c>
      <c r="D6" s="74">
        <v>8.7899999999999991</v>
      </c>
      <c r="E6" s="70">
        <v>0.151644</v>
      </c>
      <c r="F6" s="65" t="s">
        <v>392</v>
      </c>
      <c r="G6" s="65" t="s">
        <v>375</v>
      </c>
      <c r="H6" s="68">
        <v>4282</v>
      </c>
      <c r="I6" s="94">
        <f>VLOOKUP(c_27[[#This Row],[hwycov_id]],flow0[],5,FALSE)</f>
        <v>9265</v>
      </c>
      <c r="J6" s="60">
        <f t="shared" si="0"/>
        <v>1.1637085474077535</v>
      </c>
      <c r="K6" s="81">
        <f t="shared" si="1"/>
        <v>24830289</v>
      </c>
      <c r="L6" s="61" t="e">
        <f>VLOOKUP(c_27[[#This Row],[hwycov_id]],count!$A$630:$E$652,5,FALSE)</f>
        <v>#N/A</v>
      </c>
      <c r="M6" s="81"/>
    </row>
    <row r="7" spans="1:35" ht="15" customHeight="1" x14ac:dyDescent="0.2">
      <c r="K7" s="81"/>
      <c r="L7" s="81"/>
      <c r="M7" s="81"/>
    </row>
    <row r="8" spans="1:35" ht="15" customHeight="1" x14ac:dyDescent="0.2">
      <c r="K8" s="81"/>
      <c r="L8" s="81"/>
      <c r="M8" s="81"/>
    </row>
    <row r="9" spans="1:35" ht="15" customHeight="1" x14ac:dyDescent="0.2">
      <c r="K9" s="81"/>
      <c r="L9" s="81"/>
      <c r="M9" s="81"/>
    </row>
    <row r="10" spans="1:35" ht="15" customHeight="1" x14ac:dyDescent="0.2">
      <c r="K10" s="81"/>
      <c r="L10" s="81"/>
      <c r="M10" s="81"/>
    </row>
    <row r="11" spans="1:35" ht="15" customHeight="1" x14ac:dyDescent="0.2">
      <c r="K11" s="81"/>
      <c r="L11" s="81"/>
      <c r="M11" s="81"/>
    </row>
    <row r="12" spans="1:35" ht="15" customHeight="1" x14ac:dyDescent="0.2">
      <c r="K12" s="81"/>
      <c r="L12" s="81"/>
      <c r="M12" s="81"/>
    </row>
    <row r="13" spans="1:35" ht="15" customHeight="1" x14ac:dyDescent="0.2">
      <c r="K13" s="81"/>
      <c r="L13" s="81"/>
      <c r="M13" s="81"/>
    </row>
    <row r="14" spans="1:35" ht="15" customHeight="1" x14ac:dyDescent="0.2">
      <c r="K14" s="81"/>
      <c r="L14" s="81"/>
      <c r="M14" s="81"/>
    </row>
    <row r="15" spans="1:35" ht="15" customHeight="1" x14ac:dyDescent="0.2">
      <c r="K15" s="81"/>
      <c r="L15" s="81"/>
      <c r="M15" s="81"/>
    </row>
    <row r="16" spans="1:35" ht="15" customHeight="1" x14ac:dyDescent="0.2">
      <c r="K16" s="81"/>
      <c r="L16" s="81"/>
      <c r="M16" s="81"/>
    </row>
    <row r="17" spans="11:13" ht="15" customHeight="1" x14ac:dyDescent="0.2">
      <c r="K17" s="81"/>
      <c r="L17" s="81"/>
      <c r="M17" s="81"/>
    </row>
    <row r="18" spans="11:13" ht="15" customHeight="1" x14ac:dyDescent="0.2">
      <c r="K18" s="81"/>
      <c r="L18" s="81"/>
      <c r="M18" s="81"/>
    </row>
    <row r="19" spans="11:13" ht="15" customHeight="1" x14ac:dyDescent="0.2">
      <c r="K19" s="81"/>
      <c r="L19" s="81"/>
      <c r="M19" s="81"/>
    </row>
    <row r="20" spans="11:13" ht="15" customHeight="1" x14ac:dyDescent="0.2">
      <c r="K20" s="81"/>
      <c r="L20" s="81"/>
      <c r="M20" s="81"/>
    </row>
    <row r="21" spans="11:13" ht="15" customHeight="1" x14ac:dyDescent="0.2">
      <c r="K21" s="81"/>
      <c r="L21" s="81"/>
      <c r="M21" s="81"/>
    </row>
    <row r="22" spans="11:13" ht="15" customHeight="1" x14ac:dyDescent="0.2">
      <c r="K22" s="81"/>
      <c r="L22" s="81"/>
      <c r="M22" s="81"/>
    </row>
    <row r="23" spans="11:13" ht="15" customHeight="1" x14ac:dyDescent="0.2">
      <c r="K23" s="81"/>
      <c r="L23" s="81"/>
      <c r="M23" s="81"/>
    </row>
    <row r="24" spans="11:13" ht="15" customHeight="1" x14ac:dyDescent="0.2">
      <c r="K24" s="81"/>
      <c r="L24" s="81"/>
      <c r="M24" s="81"/>
    </row>
    <row r="25" spans="11:13" ht="15" customHeight="1" x14ac:dyDescent="0.2">
      <c r="K25" s="81"/>
      <c r="L25" s="81"/>
      <c r="M25" s="81"/>
    </row>
    <row r="26" spans="11:13" ht="15" customHeight="1" x14ac:dyDescent="0.2">
      <c r="K26" s="81"/>
      <c r="L26" s="81"/>
      <c r="M26" s="81"/>
    </row>
    <row r="27" spans="11:13" ht="15" customHeight="1" x14ac:dyDescent="0.2">
      <c r="K27" s="81"/>
      <c r="L27" s="81"/>
      <c r="M27" s="81"/>
    </row>
    <row r="28" spans="11:13" ht="15" customHeight="1" x14ac:dyDescent="0.2">
      <c r="K28" s="81"/>
      <c r="L28" s="81"/>
      <c r="M28" s="81"/>
    </row>
    <row r="29" spans="11:13" ht="15" customHeight="1" x14ac:dyDescent="0.2">
      <c r="K29" s="81"/>
      <c r="L29" s="81"/>
      <c r="M29" s="81"/>
    </row>
    <row r="30" spans="11:13" ht="15" customHeight="1" x14ac:dyDescent="0.2">
      <c r="K30" s="81"/>
      <c r="L30" s="81"/>
      <c r="M30" s="81"/>
    </row>
    <row r="31" spans="11:13" ht="15" customHeight="1" x14ac:dyDescent="0.2">
      <c r="K31" s="81"/>
      <c r="L31" s="81"/>
      <c r="M31" s="81"/>
    </row>
    <row r="32" spans="11:13" ht="15" customHeight="1" x14ac:dyDescent="0.2">
      <c r="K32" s="81"/>
      <c r="L32" s="81"/>
      <c r="M32" s="81"/>
    </row>
    <row r="33" spans="11:13" ht="15" customHeight="1" x14ac:dyDescent="0.2">
      <c r="K33" s="81"/>
      <c r="L33" s="81"/>
      <c r="M33" s="81"/>
    </row>
    <row r="34" spans="11:13" ht="15" customHeight="1" x14ac:dyDescent="0.2">
      <c r="K34" s="81"/>
      <c r="L34" s="81"/>
      <c r="M34" s="81"/>
    </row>
    <row r="35" spans="11:13" ht="15" customHeight="1" x14ac:dyDescent="0.2">
      <c r="K35" s="81"/>
      <c r="L35" s="81"/>
      <c r="M35" s="81"/>
    </row>
    <row r="36" spans="11:13" ht="15" customHeight="1" x14ac:dyDescent="0.2">
      <c r="K36" s="81"/>
      <c r="L36" s="81"/>
      <c r="M36" s="81"/>
    </row>
    <row r="37" spans="11:13" ht="15" customHeight="1" x14ac:dyDescent="0.2">
      <c r="K37" s="81"/>
      <c r="L37" s="81"/>
      <c r="M37" s="81"/>
    </row>
    <row r="38" spans="11:13" ht="15" customHeight="1" x14ac:dyDescent="0.2">
      <c r="K38" s="81"/>
      <c r="L38" s="81"/>
      <c r="M38" s="81"/>
    </row>
    <row r="39" spans="11:13" ht="15" customHeight="1" x14ac:dyDescent="0.2">
      <c r="K39" s="81"/>
      <c r="L39" s="81"/>
      <c r="M39" s="81"/>
    </row>
    <row r="40" spans="11:13" ht="15" customHeight="1" x14ac:dyDescent="0.2">
      <c r="K40" s="81"/>
      <c r="L40" s="81"/>
      <c r="M40" s="81"/>
    </row>
    <row r="41" spans="11:13" ht="15" customHeight="1" x14ac:dyDescent="0.2">
      <c r="K41" s="81"/>
      <c r="L41" s="81"/>
      <c r="M41" s="81"/>
    </row>
    <row r="42" spans="11:13" ht="15" customHeight="1" x14ac:dyDescent="0.2">
      <c r="K42" s="81"/>
      <c r="L42" s="81"/>
      <c r="M42" s="81"/>
    </row>
    <row r="43" spans="11:13" ht="15" customHeight="1" x14ac:dyDescent="0.2">
      <c r="K43" s="81"/>
      <c r="L43" s="81"/>
      <c r="M43" s="81"/>
    </row>
    <row r="44" spans="11:13" ht="15" customHeight="1" x14ac:dyDescent="0.2">
      <c r="K44" s="81"/>
      <c r="L44" s="81"/>
      <c r="M44" s="81"/>
    </row>
    <row r="45" spans="11:13" ht="15" customHeight="1" x14ac:dyDescent="0.2">
      <c r="K45" s="81"/>
      <c r="L45" s="81"/>
      <c r="M45" s="81"/>
    </row>
    <row r="46" spans="11:13" ht="15" customHeight="1" x14ac:dyDescent="0.2">
      <c r="K46" s="81"/>
      <c r="L46" s="81"/>
      <c r="M46" s="81"/>
    </row>
    <row r="47" spans="11:13" ht="15" customHeight="1" x14ac:dyDescent="0.2">
      <c r="K47" s="81"/>
      <c r="L47" s="81"/>
      <c r="M47" s="81"/>
    </row>
    <row r="48" spans="11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  <c r="M72" s="81"/>
    </row>
    <row r="73" spans="11:13" ht="15" customHeight="1" x14ac:dyDescent="0.2">
      <c r="K73" s="81"/>
      <c r="L73" s="81"/>
      <c r="M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2:J12">
    <cfRule type="cellIs" dxfId="45" priority="7" operator="lessThan">
      <formula>-0.2</formula>
    </cfRule>
    <cfRule type="cellIs" dxfId="44" priority="8" operator="greaterThan">
      <formula>0.2</formula>
    </cfRule>
  </conditionalFormatting>
  <conditionalFormatting sqref="J19:J1048576">
    <cfRule type="cellIs" dxfId="43" priority="5" operator="lessThan">
      <formula>-0.2</formula>
    </cfRule>
    <cfRule type="cellIs" dxfId="42" priority="6" operator="greaterThan">
      <formula>0.2</formula>
    </cfRule>
  </conditionalFormatting>
  <conditionalFormatting sqref="J14:J18">
    <cfRule type="cellIs" dxfId="41" priority="3" operator="lessThan">
      <formula>-0.2</formula>
    </cfRule>
    <cfRule type="cellIs" dxfId="40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6" tint="0.39997558519241921"/>
  </sheetPr>
  <dimension ref="A1:AI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J35" sqref="J35"/>
    </sheetView>
  </sheetViews>
  <sheetFormatPr defaultRowHeight="15" customHeight="1" x14ac:dyDescent="0.2"/>
  <cols>
    <col min="1" max="2" width="9.140625" style="59"/>
    <col min="3" max="3" width="11.5703125" style="59" customWidth="1"/>
    <col min="4" max="4" width="8.85546875" style="74" bestFit="1" customWidth="1"/>
    <col min="5" max="5" width="8.42578125" style="69" hidden="1" customWidth="1"/>
    <col min="6" max="6" width="18.85546875" style="59" bestFit="1" customWidth="1"/>
    <col min="7" max="7" width="14" style="59" bestFit="1" customWidth="1"/>
    <col min="8" max="8" width="8.140625" style="61" bestFit="1" customWidth="1"/>
    <col min="9" max="9" width="10" style="89" customWidth="1"/>
    <col min="10" max="10" width="8.42578125" style="60" customWidth="1"/>
    <col min="11" max="12" width="14.42578125" style="61" hidden="1" customWidth="1"/>
    <col min="13" max="13" width="10.7109375" style="61" customWidth="1"/>
    <col min="14" max="14" width="9.5703125" style="60" customWidth="1"/>
    <col min="15" max="16" width="9.140625" style="59"/>
    <col min="17" max="18" width="9.28515625" style="59" customWidth="1"/>
    <col min="19" max="21" width="9.140625" style="59"/>
    <col min="22" max="26" width="9.42578125" style="59" customWidth="1"/>
    <col min="27" max="16384" width="9.140625" style="59"/>
  </cols>
  <sheetData>
    <row r="1" spans="1:35" ht="15" customHeight="1" x14ac:dyDescent="0.25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60" t="s">
        <v>500</v>
      </c>
      <c r="M1" s="81"/>
      <c r="N1" s="122">
        <f>SQRT(AVERAGE(c_28[x2]))/AVERAGE(c_28[count])</f>
        <v>0.11704370379096117</v>
      </c>
      <c r="O1" s="136">
        <f>LINEST(c_28[flow],c_28[count],FALSE)</f>
        <v>1.0974485185437062</v>
      </c>
      <c r="P1" s="136">
        <f>RSQ(c_28[flow],c_28[count])</f>
        <v>0.94827666108196806</v>
      </c>
      <c r="Q1" s="43">
        <f>IFERROR(AVERAGEIF(c_28[gap],"&gt;=0",c_28[gap]),0)</f>
        <v>0.10960577882392873</v>
      </c>
      <c r="R1" s="44">
        <f>IFERROR(AVERAGEIF(c_28[gap],"&lt;0",c_28[gap]),0)</f>
        <v>-6.0538263330182085E-2</v>
      </c>
      <c r="S1" s="14">
        <f>AVERAGE(c_28[gap])</f>
        <v>8.5299487087627204E-2</v>
      </c>
      <c r="T1" s="42">
        <f>COUNTIFS(c_28[gap],"&lt;10%",c_28[gap],"&gt;=-10%")/COUNTA(c_28[gap])</f>
        <v>0.5</v>
      </c>
      <c r="U1" s="42">
        <f>COUNTIFS(c_28[gap],"&lt;20%",c_28[gap],"&gt;=-20%")/COUNTA(c_28[gap])</f>
        <v>1</v>
      </c>
      <c r="V1" s="42">
        <f>COUNTIFS(c_28[gap],"&lt;30%",c_28[gap],"&gt;=-30%")/COUNTA(c_28[gap])</f>
        <v>1</v>
      </c>
      <c r="W1" s="43">
        <f>COUNTIF(c_28[gap],"&gt;=0")/COUNTA(c_28[gap])</f>
        <v>0.8571428571428571</v>
      </c>
      <c r="X1" s="45">
        <f>COUNTIF(c_28[gap],"&lt;0")/COUNTA(c_28[gap])</f>
        <v>0.14285714285714285</v>
      </c>
      <c r="Y1" s="7" t="str">
        <f>"%Link(+)="&amp;TEXT(W1,"0%")</f>
        <v>%Link(+)=86%</v>
      </c>
      <c r="Z1" s="7" t="str">
        <f>"%Link(-)="&amp;TEXT(X1,"0%")</f>
        <v>%Link(-)=14%</v>
      </c>
      <c r="AA1" s="73" t="str">
        <f>"AvgGap(+)="&amp;TEXT(Q1,"0%")</f>
        <v>AvgGap(+)=11%</v>
      </c>
      <c r="AB1" s="59" t="str">
        <f>"AvgGap(-)="&amp;TEXT(R1,"0%")</f>
        <v>AvgGap(-)=-6%</v>
      </c>
      <c r="AC1" s="59" t="str">
        <f>"AvgGap(±)="&amp;TEXT(S1,"0%")</f>
        <v>AvgGap(±)=9%</v>
      </c>
      <c r="AD1" s="59" t="str">
        <f>"GapIn(±10%)="&amp;TEXT(T1,"0%")</f>
        <v>GapIn(±10%)=50%</v>
      </c>
      <c r="AE1" s="59" t="str">
        <f>"GapIn(±20%)="&amp;TEXT(U1,"0%")</f>
        <v>GapIn(±20%)=100%</v>
      </c>
      <c r="AF1" s="59" t="str">
        <f>"GapIn(±30%)="&amp;TEXT(V1,"0%")</f>
        <v>GapIn(±30%)=100%</v>
      </c>
      <c r="AG1" s="59" t="str">
        <f>"Linear Slope="&amp;TEXT(O1,"#.###")</f>
        <v>Linear Slope=1.097</v>
      </c>
      <c r="AH1" s="59" t="str">
        <f>"RMSE="&amp;TEXT(N1,"0%")</f>
        <v>RMSE=12%</v>
      </c>
      <c r="AI1" s="59" t="str">
        <f>CONCATENATE(Y1," ",Z1," ",AA1,"  ",AB1,"  ",AC1,"  ",AD1," ",AE1,"  ",AF1,"  ",AG1," ",AH1)</f>
        <v>%Link(+)=86% %Link(-)=14% AvgGap(+)=11%  AvgGap(-)=-6%  AvgGap(±)=9%  GapIn(±10%)=50% GapIn(±20%)=100%  GapIn(±30%)=100%  Linear Slope=1.097 RMSE=12%</v>
      </c>
    </row>
    <row r="2" spans="1:35" ht="15" customHeight="1" x14ac:dyDescent="0.2">
      <c r="A2" s="59">
        <v>28</v>
      </c>
      <c r="B2" s="59" t="s">
        <v>393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384</v>
      </c>
      <c r="H2" s="68">
        <v>21113</v>
      </c>
      <c r="I2" s="94">
        <f>VLOOKUP(c_28[[#This Row],[hwycov_id]],flow0[],5,FALSE)</f>
        <v>25172</v>
      </c>
      <c r="J2" s="60">
        <f>I2/H2-1</f>
        <v>0.19225121962771752</v>
      </c>
      <c r="K2" s="81">
        <f t="shared" ref="K2:K9" si="0">POWER((I2-H2),2)</f>
        <v>16475481</v>
      </c>
      <c r="L2" s="61" t="e">
        <f>VLOOKUP(c_28[[#This Row],[hwycov_id]],count!$A$630:$E$652,5,FALSE)</f>
        <v>#N/A</v>
      </c>
      <c r="M2" s="81"/>
    </row>
    <row r="3" spans="1:35" ht="15" customHeight="1" x14ac:dyDescent="0.2">
      <c r="A3" s="59">
        <v>28</v>
      </c>
      <c r="B3" s="59" t="s">
        <v>393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22417</v>
      </c>
      <c r="I3" s="94">
        <f>VLOOKUP(c_28[[#This Row],[hwycov_id]],flow0[],5,FALSE)</f>
        <v>26343</v>
      </c>
      <c r="J3" s="60">
        <f t="shared" ref="J3:J9" si="1">I3/H3-1</f>
        <v>0.17513494223134218</v>
      </c>
      <c r="K3" s="81">
        <f t="shared" si="0"/>
        <v>15413476</v>
      </c>
      <c r="L3" s="61" t="e">
        <f>VLOOKUP(c_28[[#This Row],[hwycov_id]],count!$A$630:$E$652,5,FALSE)</f>
        <v>#N/A</v>
      </c>
      <c r="M3" s="81"/>
    </row>
    <row r="4" spans="1:35" ht="15" customHeight="1" x14ac:dyDescent="0.2">
      <c r="A4" s="59">
        <v>28</v>
      </c>
      <c r="B4" s="59" t="s">
        <v>393</v>
      </c>
      <c r="C4" s="65">
        <v>31212</v>
      </c>
      <c r="D4" s="74">
        <v>1.1200000000000001</v>
      </c>
      <c r="E4" s="70">
        <v>0.10892400000000001</v>
      </c>
      <c r="F4" s="65" t="s">
        <v>70</v>
      </c>
      <c r="G4" s="65" t="s">
        <v>204</v>
      </c>
      <c r="H4" s="68">
        <v>24639</v>
      </c>
      <c r="I4" s="94">
        <f>VLOOKUP(c_28[[#This Row],[hwycov_id]],flow0[],5,FALSE)</f>
        <v>28166</v>
      </c>
      <c r="J4" s="60">
        <f t="shared" si="1"/>
        <v>0.14314704330532901</v>
      </c>
      <c r="K4" s="81">
        <f t="shared" si="0"/>
        <v>12439729</v>
      </c>
      <c r="L4" s="61" t="e">
        <f>VLOOKUP(c_28[[#This Row],[hwycov_id]],count!$A$630:$E$652,5,FALSE)</f>
        <v>#N/A</v>
      </c>
      <c r="M4" s="81"/>
    </row>
    <row r="5" spans="1:35" ht="15" customHeight="1" x14ac:dyDescent="0.2">
      <c r="A5" s="59">
        <v>28</v>
      </c>
      <c r="B5" s="59" t="s">
        <v>393</v>
      </c>
      <c r="C5" s="65">
        <v>15853</v>
      </c>
      <c r="D5" s="74">
        <v>1.29</v>
      </c>
      <c r="E5" s="70">
        <v>0.17352200000000001</v>
      </c>
      <c r="F5" s="65" t="s">
        <v>70</v>
      </c>
      <c r="G5" s="65" t="s">
        <v>204</v>
      </c>
      <c r="H5" s="68">
        <v>24679</v>
      </c>
      <c r="I5" s="94">
        <f>VLOOKUP(c_28[[#This Row],[hwycov_id]],flow0[],5,FALSE)</f>
        <v>28166</v>
      </c>
      <c r="J5" s="60">
        <f t="shared" si="1"/>
        <v>0.14129421775598683</v>
      </c>
      <c r="K5" s="81">
        <f t="shared" si="0"/>
        <v>12159169</v>
      </c>
      <c r="L5" s="61" t="e">
        <f>VLOOKUP(c_28[[#This Row],[hwycov_id]],count!$A$630:$E$652,5,FALSE)</f>
        <v>#N/A</v>
      </c>
      <c r="M5" s="81"/>
    </row>
    <row r="6" spans="1:35" ht="15" customHeight="1" x14ac:dyDescent="0.2">
      <c r="A6" s="59">
        <v>28</v>
      </c>
      <c r="B6" s="59" t="s">
        <v>393</v>
      </c>
      <c r="C6" s="65">
        <v>29052</v>
      </c>
      <c r="D6" s="74">
        <v>2.0099999999999998</v>
      </c>
      <c r="E6" s="70">
        <v>0.36964799999999998</v>
      </c>
      <c r="F6" s="65" t="s">
        <v>67</v>
      </c>
      <c r="G6" s="65" t="s">
        <v>68</v>
      </c>
      <c r="H6" s="68">
        <v>18850</v>
      </c>
      <c r="I6" s="94">
        <f>VLOOKUP(c_28[[#This Row],[hwycov_id]],flow0[],5,FALSE)</f>
        <v>21850</v>
      </c>
      <c r="J6" s="60">
        <f t="shared" si="1"/>
        <v>0.15915119363395225</v>
      </c>
      <c r="K6" s="81">
        <f t="shared" si="0"/>
        <v>9000000</v>
      </c>
      <c r="L6" s="61" t="e">
        <f>VLOOKUP(c_28[[#This Row],[hwycov_id]],count!$A$630:$E$652,5,FALSE)</f>
        <v>#N/A</v>
      </c>
      <c r="M6" s="81"/>
    </row>
    <row r="7" spans="1:35" ht="15" customHeight="1" x14ac:dyDescent="0.2">
      <c r="A7" s="59">
        <v>28</v>
      </c>
      <c r="B7" s="59" t="s">
        <v>393</v>
      </c>
      <c r="C7" s="65">
        <v>29039</v>
      </c>
      <c r="D7" s="74">
        <v>3.49</v>
      </c>
      <c r="E7" s="70">
        <v>0.13516400000000001</v>
      </c>
      <c r="F7" s="65" t="s">
        <v>131</v>
      </c>
      <c r="G7" s="65" t="s">
        <v>139</v>
      </c>
      <c r="H7" s="68">
        <v>29117</v>
      </c>
      <c r="I7" s="94">
        <f>VLOOKUP(c_28[[#This Row],[hwycov_id]],flow0[],5,FALSE)</f>
        <v>32728</v>
      </c>
      <c r="J7" s="60">
        <f t="shared" si="1"/>
        <v>0.12401689734519361</v>
      </c>
      <c r="K7" s="81">
        <f t="shared" si="0"/>
        <v>13039321</v>
      </c>
      <c r="L7" s="61" t="e">
        <f>VLOOKUP(c_28[[#This Row],[hwycov_id]],count!$A$630:$E$652,5,FALSE)</f>
        <v>#N/A</v>
      </c>
      <c r="M7" s="81"/>
    </row>
    <row r="8" spans="1:35" ht="15" customHeight="1" x14ac:dyDescent="0.2">
      <c r="A8" s="59">
        <v>28</v>
      </c>
      <c r="B8" s="59" t="s">
        <v>393</v>
      </c>
      <c r="C8" s="65">
        <v>29035</v>
      </c>
      <c r="D8" s="74">
        <v>3.89</v>
      </c>
      <c r="E8" s="70">
        <v>0.39723599999999998</v>
      </c>
      <c r="F8" s="65" t="s">
        <v>139</v>
      </c>
      <c r="G8" s="65" t="s">
        <v>139</v>
      </c>
      <c r="H8" s="68">
        <v>26037</v>
      </c>
      <c r="I8" s="94">
        <f>VLOOKUP(c_28[[#This Row],[hwycov_id]],flow0[],5,FALSE)</f>
        <v>28573</v>
      </c>
      <c r="J8" s="60">
        <f t="shared" si="1"/>
        <v>9.7399854053846546E-2</v>
      </c>
      <c r="K8" s="81">
        <f t="shared" si="0"/>
        <v>6431296</v>
      </c>
      <c r="L8" s="61" t="e">
        <f>VLOOKUP(c_28[[#This Row],[hwycov_id]],count!$A$630:$E$652,5,FALSE)</f>
        <v>#N/A</v>
      </c>
      <c r="M8" s="81"/>
    </row>
    <row r="9" spans="1:35" ht="15" customHeight="1" x14ac:dyDescent="0.2">
      <c r="A9" s="59">
        <v>28</v>
      </c>
      <c r="B9" s="59" t="s">
        <v>393</v>
      </c>
      <c r="C9" s="65">
        <v>29027</v>
      </c>
      <c r="D9" s="74">
        <v>4.16</v>
      </c>
      <c r="E9" s="70">
        <v>0.27365299999999998</v>
      </c>
      <c r="F9" s="65" t="s">
        <v>139</v>
      </c>
      <c r="G9" s="65" t="s">
        <v>203</v>
      </c>
      <c r="H9" s="68">
        <v>27704</v>
      </c>
      <c r="I9" s="94">
        <f>VLOOKUP(c_28[[#This Row],[hwycov_id]],flow0[],5,FALSE)</f>
        <v>29449</v>
      </c>
      <c r="J9" s="60">
        <f t="shared" si="1"/>
        <v>6.298729425353744E-2</v>
      </c>
      <c r="K9" s="81">
        <f t="shared" si="0"/>
        <v>3045025</v>
      </c>
      <c r="L9" s="61" t="e">
        <f>VLOOKUP(c_28[[#This Row],[hwycov_id]],count!$A$630:$E$652,5,FALSE)</f>
        <v>#N/A</v>
      </c>
      <c r="M9" s="81"/>
    </row>
    <row r="10" spans="1:35" ht="15" customHeight="1" x14ac:dyDescent="0.2">
      <c r="A10" s="59">
        <v>28</v>
      </c>
      <c r="B10" s="59" t="s">
        <v>393</v>
      </c>
      <c r="C10" s="65">
        <v>29023</v>
      </c>
      <c r="D10" s="74">
        <v>4.5</v>
      </c>
      <c r="E10" s="70">
        <v>0.33552500000000002</v>
      </c>
      <c r="F10" s="65" t="s">
        <v>203</v>
      </c>
      <c r="G10" s="65" t="s">
        <v>203</v>
      </c>
      <c r="H10" s="68">
        <v>26603</v>
      </c>
      <c r="I10" s="94">
        <f>VLOOKUP(c_28[[#This Row],[hwycov_id]],flow0[],5,FALSE)</f>
        <v>27641</v>
      </c>
      <c r="J10" s="60">
        <f t="shared" ref="J10:J15" si="2">I10/H10-1</f>
        <v>3.9018155847085012E-2</v>
      </c>
      <c r="K10" s="81">
        <f t="shared" ref="K10:K15" si="3">POWER((I10-H10),2)</f>
        <v>1077444</v>
      </c>
      <c r="L10" s="61" t="e">
        <f>VLOOKUP(c_28[[#This Row],[hwycov_id]],count!$A$630:$E$652,5,FALSE)</f>
        <v>#N/A</v>
      </c>
      <c r="M10" s="81"/>
    </row>
    <row r="11" spans="1:35" ht="15" customHeight="1" x14ac:dyDescent="0.2">
      <c r="A11" s="59">
        <v>28</v>
      </c>
      <c r="B11" s="59" t="s">
        <v>393</v>
      </c>
      <c r="C11" s="65">
        <v>29025</v>
      </c>
      <c r="D11" s="74">
        <v>6.31</v>
      </c>
      <c r="E11" s="70">
        <v>1.685068</v>
      </c>
      <c r="F11" s="65" t="s">
        <v>202</v>
      </c>
      <c r="G11" s="65" t="s">
        <v>201</v>
      </c>
      <c r="H11" s="68">
        <v>22695</v>
      </c>
      <c r="I11" s="94">
        <f>VLOOKUP(c_28[[#This Row],[hwycov_id]],flow0[],5,FALSE)</f>
        <v>24958</v>
      </c>
      <c r="J11" s="60">
        <f t="shared" si="2"/>
        <v>9.9713593302489523E-2</v>
      </c>
      <c r="K11" s="81">
        <f t="shared" si="3"/>
        <v>5121169</v>
      </c>
      <c r="L11" s="61" t="e">
        <f>VLOOKUP(c_28[[#This Row],[hwycov_id]],count!$A$630:$E$652,5,FALSE)</f>
        <v>#N/A</v>
      </c>
      <c r="M11" s="81"/>
    </row>
    <row r="12" spans="1:35" ht="15" customHeight="1" x14ac:dyDescent="0.2">
      <c r="A12" s="59">
        <v>28</v>
      </c>
      <c r="B12" s="59" t="s">
        <v>393</v>
      </c>
      <c r="C12" s="65">
        <v>27993</v>
      </c>
      <c r="D12" s="74">
        <v>7.04</v>
      </c>
      <c r="E12" s="70">
        <v>0.24341499999999999</v>
      </c>
      <c r="F12" s="65" t="s">
        <v>199</v>
      </c>
      <c r="G12" s="65" t="s">
        <v>199</v>
      </c>
      <c r="H12" s="68">
        <v>18419</v>
      </c>
      <c r="I12" s="94">
        <f>VLOOKUP(c_28[[#This Row],[hwycov_id]],flow0[],5,FALSE)</f>
        <v>19474</v>
      </c>
      <c r="J12" s="60">
        <f t="shared" si="2"/>
        <v>5.7277810956077868E-2</v>
      </c>
      <c r="K12" s="81">
        <f t="shared" si="3"/>
        <v>1113025</v>
      </c>
      <c r="L12" s="61" t="e">
        <f>VLOOKUP(c_28[[#This Row],[hwycov_id]],count!$A$630:$E$652,5,FALSE)</f>
        <v>#N/A</v>
      </c>
      <c r="M12" s="81"/>
    </row>
    <row r="13" spans="1:35" ht="15" customHeight="1" x14ac:dyDescent="0.2">
      <c r="A13" s="59">
        <v>28</v>
      </c>
      <c r="B13" s="59" t="s">
        <v>393</v>
      </c>
      <c r="C13" s="65">
        <v>28002</v>
      </c>
      <c r="D13" s="74">
        <v>7.32</v>
      </c>
      <c r="E13" s="70">
        <v>0.279665</v>
      </c>
      <c r="F13" s="65" t="s">
        <v>383</v>
      </c>
      <c r="G13" s="65" t="s">
        <v>198</v>
      </c>
      <c r="H13" s="68">
        <v>21485</v>
      </c>
      <c r="I13" s="94">
        <f>VLOOKUP(c_28[[#This Row],[hwycov_id]],flow0[],5,FALSE)</f>
        <v>21998</v>
      </c>
      <c r="J13" s="60">
        <f t="shared" si="2"/>
        <v>2.3877123574586934E-2</v>
      </c>
      <c r="K13" s="81">
        <f t="shared" si="3"/>
        <v>263169</v>
      </c>
      <c r="L13" s="61" t="e">
        <f>VLOOKUP(c_28[[#This Row],[hwycov_id]],count!$A$630:$E$652,5,FALSE)</f>
        <v>#N/A</v>
      </c>
      <c r="M13" s="81"/>
    </row>
    <row r="14" spans="1:35" ht="15" customHeight="1" x14ac:dyDescent="0.2">
      <c r="A14" s="59">
        <v>28</v>
      </c>
      <c r="B14" s="59" t="s">
        <v>393</v>
      </c>
      <c r="C14" s="65">
        <v>28012</v>
      </c>
      <c r="D14" s="74">
        <v>7.96</v>
      </c>
      <c r="E14" s="70">
        <v>0.28867100000000001</v>
      </c>
      <c r="F14" s="65" t="s">
        <v>198</v>
      </c>
      <c r="G14" s="65" t="s">
        <v>382</v>
      </c>
      <c r="H14" s="68">
        <v>21715</v>
      </c>
      <c r="I14" s="94">
        <f>VLOOKUP(c_28[[#This Row],[hwycov_id]],flow0[],5,FALSE)</f>
        <v>21517</v>
      </c>
      <c r="J14" s="60">
        <f t="shared" si="2"/>
        <v>-9.1181211144369945E-3</v>
      </c>
      <c r="K14" s="81">
        <f t="shared" si="3"/>
        <v>39204</v>
      </c>
      <c r="L14" s="61" t="e">
        <f>VLOOKUP(c_28[[#This Row],[hwycov_id]],count!$A$630:$E$652,5,FALSE)</f>
        <v>#N/A</v>
      </c>
      <c r="M14" s="81"/>
    </row>
    <row r="15" spans="1:35" ht="15" customHeight="1" x14ac:dyDescent="0.2">
      <c r="A15" s="59">
        <v>28</v>
      </c>
      <c r="B15" s="59" t="s">
        <v>393</v>
      </c>
      <c r="C15" s="65">
        <v>28623</v>
      </c>
      <c r="D15" s="74">
        <v>11.94</v>
      </c>
      <c r="E15" s="70">
        <v>0.43760500000000002</v>
      </c>
      <c r="F15" s="65" t="s">
        <v>394</v>
      </c>
      <c r="G15" s="65" t="s">
        <v>395</v>
      </c>
      <c r="H15" s="68">
        <v>8655</v>
      </c>
      <c r="I15" s="94">
        <f>VLOOKUP(c_28[[#This Row],[hwycov_id]],flow0[],5,FALSE)</f>
        <v>7686</v>
      </c>
      <c r="J15" s="60">
        <f t="shared" si="2"/>
        <v>-0.11195840554592718</v>
      </c>
      <c r="K15" s="81">
        <f t="shared" si="3"/>
        <v>938961</v>
      </c>
      <c r="L15" s="61" t="e">
        <f>VLOOKUP(c_28[[#This Row],[hwycov_id]],count!$A$630:$E$652,5,FALSE)</f>
        <v>#N/A</v>
      </c>
      <c r="M15" s="81"/>
    </row>
    <row r="16" spans="1:35" ht="15" customHeight="1" x14ac:dyDescent="0.2">
      <c r="K16" s="81"/>
      <c r="L16" s="81"/>
      <c r="M16" s="81"/>
    </row>
    <row r="17" spans="4:15" ht="15" customHeight="1" x14ac:dyDescent="0.2">
      <c r="K17" s="81"/>
      <c r="L17" s="81"/>
      <c r="M17" s="81"/>
      <c r="N17" s="61"/>
      <c r="O17" s="61"/>
    </row>
    <row r="18" spans="4:15" ht="15" customHeight="1" x14ac:dyDescent="0.2">
      <c r="K18" s="81"/>
      <c r="L18" s="81"/>
      <c r="M18" s="81"/>
      <c r="N18" s="61"/>
      <c r="O18" s="61"/>
    </row>
    <row r="19" spans="4:15" ht="15" customHeight="1" x14ac:dyDescent="0.2">
      <c r="K19" s="81"/>
      <c r="L19" s="81"/>
      <c r="M19" s="81"/>
      <c r="N19" s="61"/>
      <c r="O19" s="61"/>
    </row>
    <row r="20" spans="4:15" ht="15" customHeight="1" x14ac:dyDescent="0.2">
      <c r="K20" s="81"/>
      <c r="L20" s="81"/>
      <c r="M20" s="81"/>
      <c r="N20" s="61"/>
      <c r="O20" s="61"/>
    </row>
    <row r="21" spans="4:15" ht="15" customHeight="1" x14ac:dyDescent="0.2">
      <c r="K21" s="81"/>
      <c r="L21" s="81"/>
      <c r="M21" s="81"/>
      <c r="N21" s="61"/>
      <c r="O21" s="61"/>
    </row>
    <row r="22" spans="4:15" ht="15" customHeight="1" x14ac:dyDescent="0.2">
      <c r="D22" s="59"/>
      <c r="H22" s="59"/>
      <c r="I22" s="96"/>
      <c r="K22" s="81"/>
      <c r="L22" s="81"/>
      <c r="M22" s="81"/>
      <c r="N22" s="61"/>
      <c r="O22" s="61"/>
    </row>
    <row r="23" spans="4:15" ht="15" customHeight="1" x14ac:dyDescent="0.2">
      <c r="D23" s="59"/>
      <c r="H23" s="59"/>
      <c r="I23" s="96"/>
      <c r="K23" s="81"/>
      <c r="L23" s="81"/>
      <c r="M23" s="81"/>
      <c r="N23" s="61"/>
      <c r="O23" s="61"/>
    </row>
    <row r="24" spans="4:15" ht="15" customHeight="1" x14ac:dyDescent="0.2">
      <c r="D24" s="59"/>
      <c r="H24" s="59"/>
      <c r="I24" s="96"/>
      <c r="K24" s="81"/>
      <c r="L24" s="81"/>
      <c r="M24" s="81"/>
      <c r="N24" s="61"/>
      <c r="O24" s="61"/>
    </row>
    <row r="25" spans="4:15" ht="15" customHeight="1" x14ac:dyDescent="0.2">
      <c r="D25" s="59"/>
      <c r="H25" s="59"/>
      <c r="I25" s="96"/>
      <c r="K25" s="81"/>
      <c r="L25" s="81"/>
      <c r="M25" s="81"/>
      <c r="N25" s="61"/>
      <c r="O25" s="61"/>
    </row>
    <row r="26" spans="4:15" ht="15" customHeight="1" x14ac:dyDescent="0.2">
      <c r="D26" s="59"/>
      <c r="H26" s="59"/>
      <c r="I26" s="96"/>
      <c r="K26" s="81"/>
      <c r="L26" s="81"/>
      <c r="M26" s="81"/>
      <c r="N26" s="61"/>
      <c r="O26" s="61"/>
    </row>
    <row r="27" spans="4:15" ht="15" customHeight="1" x14ac:dyDescent="0.2">
      <c r="D27" s="59"/>
      <c r="H27" s="59"/>
      <c r="I27" s="96"/>
      <c r="K27" s="81"/>
      <c r="L27" s="81"/>
      <c r="M27" s="81"/>
      <c r="N27" s="61"/>
      <c r="O27" s="61"/>
    </row>
    <row r="28" spans="4:15" ht="15" customHeight="1" x14ac:dyDescent="0.2">
      <c r="D28" s="59"/>
      <c r="H28" s="59"/>
      <c r="I28" s="96"/>
      <c r="K28" s="81"/>
      <c r="L28" s="81"/>
      <c r="M28" s="81"/>
      <c r="N28" s="61"/>
      <c r="O28" s="61"/>
    </row>
    <row r="29" spans="4:15" ht="15" customHeight="1" x14ac:dyDescent="0.2">
      <c r="D29" s="59"/>
      <c r="H29" s="59"/>
      <c r="I29" s="96"/>
      <c r="K29" s="81"/>
      <c r="L29" s="81"/>
      <c r="M29" s="81"/>
      <c r="N29" s="61"/>
      <c r="O29" s="61"/>
    </row>
    <row r="30" spans="4:15" ht="15" customHeight="1" x14ac:dyDescent="0.2">
      <c r="D30" s="59"/>
      <c r="H30" s="59"/>
      <c r="I30" s="96"/>
      <c r="K30" s="81"/>
      <c r="L30" s="81"/>
      <c r="M30" s="81"/>
      <c r="N30" s="61"/>
      <c r="O30" s="61"/>
    </row>
    <row r="31" spans="4:15" ht="15" customHeight="1" x14ac:dyDescent="0.2">
      <c r="D31" s="59"/>
      <c r="H31" s="59"/>
      <c r="I31" s="96"/>
      <c r="K31" s="81"/>
      <c r="L31" s="81"/>
      <c r="M31" s="81"/>
      <c r="N31" s="61"/>
      <c r="O31" s="61"/>
    </row>
    <row r="32" spans="4:15" ht="15" customHeight="1" x14ac:dyDescent="0.2">
      <c r="D32" s="59"/>
      <c r="H32" s="59"/>
      <c r="I32" s="96"/>
      <c r="K32" s="81"/>
      <c r="L32" s="81"/>
      <c r="M32" s="81"/>
    </row>
    <row r="33" spans="4:13" ht="15" customHeight="1" x14ac:dyDescent="0.2">
      <c r="D33" s="59"/>
      <c r="H33" s="59"/>
      <c r="I33" s="96"/>
      <c r="K33" s="81"/>
      <c r="L33" s="81"/>
      <c r="M33" s="81"/>
    </row>
    <row r="34" spans="4:13" ht="15" customHeight="1" x14ac:dyDescent="0.2">
      <c r="D34" s="59"/>
      <c r="H34" s="59"/>
      <c r="I34" s="96"/>
      <c r="K34" s="81"/>
      <c r="L34" s="81"/>
      <c r="M34" s="81"/>
    </row>
    <row r="35" spans="4:13" ht="15" customHeight="1" x14ac:dyDescent="0.2">
      <c r="D35" s="59"/>
      <c r="H35" s="59"/>
      <c r="I35" s="96"/>
      <c r="K35" s="81"/>
      <c r="L35" s="81"/>
      <c r="M35" s="81"/>
    </row>
    <row r="36" spans="4:13" ht="15" customHeight="1" x14ac:dyDescent="0.2">
      <c r="D36" s="59"/>
      <c r="H36" s="59"/>
      <c r="I36" s="96"/>
      <c r="K36" s="81"/>
      <c r="L36" s="81"/>
      <c r="M36" s="81"/>
    </row>
    <row r="37" spans="4:13" ht="15" customHeight="1" x14ac:dyDescent="0.2">
      <c r="K37" s="81"/>
      <c r="L37" s="81"/>
      <c r="M37" s="81"/>
    </row>
    <row r="38" spans="4:13" ht="15" customHeight="1" x14ac:dyDescent="0.2">
      <c r="K38" s="81"/>
      <c r="L38" s="81"/>
      <c r="M38" s="81"/>
    </row>
    <row r="39" spans="4:13" ht="15" customHeight="1" x14ac:dyDescent="0.2">
      <c r="K39" s="81"/>
      <c r="L39" s="81"/>
      <c r="M39" s="81"/>
    </row>
    <row r="40" spans="4:13" ht="15" customHeight="1" x14ac:dyDescent="0.2">
      <c r="K40" s="81"/>
      <c r="L40" s="81"/>
      <c r="M40" s="81"/>
    </row>
    <row r="41" spans="4:13" ht="15" customHeight="1" x14ac:dyDescent="0.2">
      <c r="K41" s="81"/>
      <c r="L41" s="81"/>
      <c r="M41" s="81"/>
    </row>
    <row r="42" spans="4:13" ht="15" customHeight="1" x14ac:dyDescent="0.2">
      <c r="K42" s="81"/>
      <c r="L42" s="81"/>
      <c r="M42" s="81"/>
    </row>
    <row r="43" spans="4:13" ht="15" customHeight="1" x14ac:dyDescent="0.2">
      <c r="K43" s="81"/>
      <c r="L43" s="81"/>
      <c r="M43" s="81"/>
    </row>
    <row r="44" spans="4:13" ht="15" customHeight="1" x14ac:dyDescent="0.2">
      <c r="K44" s="81"/>
      <c r="L44" s="81"/>
      <c r="M44" s="81"/>
    </row>
    <row r="45" spans="4:13" ht="15" customHeight="1" x14ac:dyDescent="0.2">
      <c r="K45" s="81"/>
      <c r="L45" s="81"/>
      <c r="M45" s="81"/>
    </row>
    <row r="46" spans="4:13" ht="15" customHeight="1" x14ac:dyDescent="0.2">
      <c r="K46" s="81"/>
      <c r="L46" s="81"/>
      <c r="M46" s="81"/>
    </row>
    <row r="47" spans="4:13" ht="15" customHeight="1" x14ac:dyDescent="0.2">
      <c r="K47" s="81"/>
      <c r="L47" s="81"/>
      <c r="M47" s="81"/>
    </row>
    <row r="48" spans="4:13" ht="15" customHeight="1" x14ac:dyDescent="0.2">
      <c r="K48" s="81"/>
      <c r="L48" s="81"/>
      <c r="M48" s="81"/>
    </row>
    <row r="49" spans="11:13" ht="15" customHeight="1" x14ac:dyDescent="0.2">
      <c r="K49" s="81"/>
      <c r="L49" s="81"/>
      <c r="M49" s="81"/>
    </row>
    <row r="50" spans="11:13" ht="15" customHeight="1" x14ac:dyDescent="0.2">
      <c r="K50" s="81"/>
      <c r="L50" s="81"/>
      <c r="M50" s="81"/>
    </row>
    <row r="51" spans="11:13" ht="15" customHeight="1" x14ac:dyDescent="0.2">
      <c r="K51" s="81"/>
      <c r="L51" s="81"/>
      <c r="M51" s="81"/>
    </row>
    <row r="52" spans="11:13" ht="15" customHeight="1" x14ac:dyDescent="0.2">
      <c r="K52" s="81"/>
      <c r="L52" s="81"/>
      <c r="M52" s="81"/>
    </row>
    <row r="53" spans="11:13" ht="15" customHeight="1" x14ac:dyDescent="0.2">
      <c r="K53" s="81"/>
      <c r="L53" s="81"/>
      <c r="M53" s="81"/>
    </row>
    <row r="54" spans="11:13" ht="15" customHeight="1" x14ac:dyDescent="0.2">
      <c r="K54" s="81"/>
      <c r="L54" s="81"/>
      <c r="M54" s="81"/>
    </row>
    <row r="55" spans="11:13" ht="15" customHeight="1" x14ac:dyDescent="0.2">
      <c r="K55" s="81"/>
      <c r="L55" s="81"/>
      <c r="M55" s="81"/>
    </row>
    <row r="56" spans="11:13" ht="15" customHeight="1" x14ac:dyDescent="0.2">
      <c r="K56" s="81"/>
      <c r="L56" s="81"/>
      <c r="M56" s="81"/>
    </row>
    <row r="57" spans="11:13" ht="15" customHeight="1" x14ac:dyDescent="0.2">
      <c r="K57" s="81"/>
      <c r="L57" s="81"/>
      <c r="M57" s="81"/>
    </row>
    <row r="58" spans="11:13" ht="15" customHeight="1" x14ac:dyDescent="0.2">
      <c r="K58" s="81"/>
      <c r="L58" s="81"/>
      <c r="M58" s="81"/>
    </row>
    <row r="59" spans="11:13" ht="15" customHeight="1" x14ac:dyDescent="0.2">
      <c r="K59" s="81"/>
      <c r="L59" s="81"/>
      <c r="M59" s="81"/>
    </row>
    <row r="60" spans="11:13" ht="15" customHeight="1" x14ac:dyDescent="0.2">
      <c r="K60" s="81"/>
      <c r="L60" s="81"/>
      <c r="M60" s="81"/>
    </row>
    <row r="61" spans="11:13" ht="15" customHeight="1" x14ac:dyDescent="0.2">
      <c r="K61" s="81"/>
      <c r="L61" s="81"/>
      <c r="M61" s="81"/>
    </row>
    <row r="62" spans="11:13" ht="15" customHeight="1" x14ac:dyDescent="0.2">
      <c r="K62" s="81"/>
      <c r="L62" s="81"/>
      <c r="M62" s="81"/>
    </row>
    <row r="63" spans="11:13" ht="15" customHeight="1" x14ac:dyDescent="0.2">
      <c r="K63" s="81"/>
      <c r="L63" s="81"/>
      <c r="M63" s="81"/>
    </row>
    <row r="64" spans="11:13" ht="15" customHeight="1" x14ac:dyDescent="0.2">
      <c r="K64" s="81"/>
      <c r="L64" s="81"/>
      <c r="M64" s="81"/>
    </row>
    <row r="65" spans="11:13" ht="15" customHeight="1" x14ac:dyDescent="0.2">
      <c r="K65" s="81"/>
      <c r="L65" s="81"/>
      <c r="M65" s="81"/>
    </row>
    <row r="66" spans="11:13" ht="15" customHeight="1" x14ac:dyDescent="0.2">
      <c r="K66" s="81"/>
      <c r="L66" s="81"/>
      <c r="M66" s="81"/>
    </row>
    <row r="67" spans="11:13" ht="15" customHeight="1" x14ac:dyDescent="0.2">
      <c r="K67" s="81"/>
      <c r="L67" s="81"/>
      <c r="M67" s="81"/>
    </row>
    <row r="68" spans="11:13" ht="15" customHeight="1" x14ac:dyDescent="0.2">
      <c r="K68" s="81"/>
      <c r="L68" s="81"/>
      <c r="M68" s="81"/>
    </row>
    <row r="69" spans="11:13" ht="15" customHeight="1" x14ac:dyDescent="0.2">
      <c r="K69" s="81"/>
      <c r="L69" s="81"/>
      <c r="M69" s="81"/>
    </row>
    <row r="70" spans="11:13" ht="15" customHeight="1" x14ac:dyDescent="0.2">
      <c r="K70" s="81"/>
      <c r="L70" s="81"/>
      <c r="M70" s="81"/>
    </row>
    <row r="71" spans="11:13" ht="15" customHeight="1" x14ac:dyDescent="0.2">
      <c r="K71" s="81"/>
      <c r="L71" s="81"/>
      <c r="M71" s="81"/>
    </row>
    <row r="72" spans="11:13" ht="15" customHeight="1" x14ac:dyDescent="0.2">
      <c r="K72" s="81"/>
      <c r="L72" s="81"/>
    </row>
    <row r="73" spans="11:13" ht="15" customHeight="1" x14ac:dyDescent="0.2">
      <c r="K73" s="81"/>
      <c r="L73" s="81"/>
    </row>
    <row r="74" spans="11:13" ht="15" customHeight="1" x14ac:dyDescent="0.2">
      <c r="K74" s="81"/>
      <c r="L74" s="81"/>
    </row>
    <row r="75" spans="11:13" ht="15" customHeight="1" x14ac:dyDescent="0.2">
      <c r="K75" s="81"/>
      <c r="L75" s="81"/>
    </row>
    <row r="76" spans="11:13" ht="15" customHeight="1" x14ac:dyDescent="0.2">
      <c r="K76" s="81"/>
      <c r="L76" s="81"/>
    </row>
    <row r="77" spans="11:13" ht="15" customHeight="1" x14ac:dyDescent="0.2">
      <c r="K77" s="81"/>
      <c r="L77" s="81"/>
    </row>
  </sheetData>
  <conditionalFormatting sqref="N2:N1048576 J10:J18">
    <cfRule type="cellIs" dxfId="25" priority="7" operator="lessThan">
      <formula>-0.2</formula>
    </cfRule>
    <cfRule type="cellIs" dxfId="24" priority="8" operator="greaterThan">
      <formula>0.2</formula>
    </cfRule>
  </conditionalFormatting>
  <conditionalFormatting sqref="J19:J1048576">
    <cfRule type="cellIs" dxfId="23" priority="5" operator="lessThan">
      <formula>-0.2</formula>
    </cfRule>
    <cfRule type="cellIs" dxfId="22" priority="6" operator="greaterThan">
      <formula>0.2</formula>
    </cfRule>
  </conditionalFormatting>
  <conditionalFormatting sqref="J2:J15">
    <cfRule type="cellIs" dxfId="21" priority="3" operator="lessThan">
      <formula>-0.2</formula>
    </cfRule>
    <cfRule type="cellIs" dxfId="20" priority="4" operator="greaterThan">
      <formula>0.2</formula>
    </cfRule>
  </conditionalFormatting>
  <conditionalFormatting sqref="N1">
    <cfRule type="cellIs" dxfId="19" priority="1" operator="lessThan">
      <formula>-0.2</formula>
    </cfRule>
    <cfRule type="cellIs" dxfId="1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2"/>
  <sheetViews>
    <sheetView workbookViewId="0">
      <selection activeCell="M43" sqref="M43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ROUND(MAX(worksheet!$K$2:$K$652),-4)</f>
        <v>40000</v>
      </c>
      <c r="B2">
        <f>A2</f>
        <v>40000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52"/>
  <sheetViews>
    <sheetView showGridLines="0" workbookViewId="0">
      <pane ySplit="1" topLeftCell="A613" activePane="bottomLeft" state="frozen"/>
      <selection activeCell="P34" sqref="P34"/>
      <selection pane="bottomLeft" activeCell="G659" sqref="G659"/>
    </sheetView>
  </sheetViews>
  <sheetFormatPr defaultRowHeight="15" x14ac:dyDescent="0.25"/>
  <cols>
    <col min="1" max="1" width="12.7109375" bestFit="1" customWidth="1"/>
    <col min="2" max="2" width="12.42578125" bestFit="1" customWidth="1"/>
    <col min="3" max="3" width="12" bestFit="1" customWidth="1"/>
    <col min="4" max="4" width="12.140625" bestFit="1" customWidth="1"/>
  </cols>
  <sheetData>
    <row r="1" spans="1:5" x14ac:dyDescent="0.25">
      <c r="A1" t="s">
        <v>209</v>
      </c>
      <c r="B1" s="5" t="s">
        <v>286</v>
      </c>
      <c r="C1" s="5" t="s">
        <v>284</v>
      </c>
      <c r="D1" s="5" t="s">
        <v>285</v>
      </c>
      <c r="E1" t="s">
        <v>422</v>
      </c>
    </row>
    <row r="2" spans="1:5" x14ac:dyDescent="0.25">
      <c r="A2">
        <v>457</v>
      </c>
      <c r="B2" s="5">
        <v>39614</v>
      </c>
      <c r="C2" s="5">
        <v>11685</v>
      </c>
      <c r="D2" s="5">
        <v>5706</v>
      </c>
      <c r="E2" s="5" t="e">
        <f>VLOOKUP(count[[#This Row],[hwycov_id]],check!$A$2:$P$26,16,FALSE)</f>
        <v>#N/A</v>
      </c>
    </row>
    <row r="3" spans="1:5" x14ac:dyDescent="0.25">
      <c r="A3">
        <v>459</v>
      </c>
      <c r="B3" s="5">
        <v>24808</v>
      </c>
      <c r="C3" s="5">
        <v>2587</v>
      </c>
      <c r="D3" s="5">
        <v>11009</v>
      </c>
      <c r="E3" s="5" t="e">
        <f>VLOOKUP(count[[#This Row],[hwycov_id]],check!$A$2:$P$26,16,FALSE)</f>
        <v>#N/A</v>
      </c>
    </row>
    <row r="4" spans="1:5" x14ac:dyDescent="0.25">
      <c r="A4">
        <v>460</v>
      </c>
      <c r="B4" s="5">
        <v>20500</v>
      </c>
      <c r="C4" s="5">
        <v>2952</v>
      </c>
      <c r="D4" s="5">
        <v>8440</v>
      </c>
      <c r="E4" s="5" t="e">
        <f>VLOOKUP(count[[#This Row],[hwycov_id]],check!$A$2:$P$26,16,FALSE)</f>
        <v>#N/A</v>
      </c>
    </row>
    <row r="5" spans="1:5" x14ac:dyDescent="0.25">
      <c r="A5">
        <v>461</v>
      </c>
      <c r="B5" s="5">
        <v>27575</v>
      </c>
      <c r="C5" s="5">
        <v>2803</v>
      </c>
      <c r="D5" s="5">
        <v>12430</v>
      </c>
      <c r="E5" s="5" t="e">
        <f>VLOOKUP(count[[#This Row],[hwycov_id]],check!$A$2:$P$26,16,FALSE)</f>
        <v>#N/A</v>
      </c>
    </row>
    <row r="6" spans="1:5" x14ac:dyDescent="0.25">
      <c r="A6">
        <v>464</v>
      </c>
      <c r="B6" s="5">
        <v>20927</v>
      </c>
      <c r="C6" s="5">
        <v>3354</v>
      </c>
      <c r="D6" s="5">
        <v>7648</v>
      </c>
      <c r="E6" s="5" t="e">
        <f>VLOOKUP(count[[#This Row],[hwycov_id]],check!$A$2:$P$26,16,FALSE)</f>
        <v>#N/A</v>
      </c>
    </row>
    <row r="7" spans="1:5" x14ac:dyDescent="0.25">
      <c r="A7">
        <v>468</v>
      </c>
      <c r="B7" s="5">
        <v>25570</v>
      </c>
      <c r="C7" s="5">
        <v>1780</v>
      </c>
      <c r="D7" s="5">
        <v>11992</v>
      </c>
      <c r="E7" s="5" t="e">
        <f>VLOOKUP(count[[#This Row],[hwycov_id]],check!$A$2:$P$26,16,FALSE)</f>
        <v>#N/A</v>
      </c>
    </row>
    <row r="8" spans="1:5" x14ac:dyDescent="0.25">
      <c r="A8">
        <v>469</v>
      </c>
      <c r="B8" s="5">
        <v>26535</v>
      </c>
      <c r="C8" s="5">
        <v>3243</v>
      </c>
      <c r="D8" s="5">
        <v>11426</v>
      </c>
      <c r="E8" s="5" t="e">
        <f>VLOOKUP(count[[#This Row],[hwycov_id]],check!$A$2:$P$26,16,FALSE)</f>
        <v>#N/A</v>
      </c>
    </row>
    <row r="9" spans="1:5" x14ac:dyDescent="0.25">
      <c r="A9">
        <v>470</v>
      </c>
      <c r="B9" s="5">
        <v>26764</v>
      </c>
      <c r="C9" s="5">
        <v>1776</v>
      </c>
      <c r="D9" s="5">
        <v>12796</v>
      </c>
      <c r="E9" s="5" t="e">
        <f>VLOOKUP(count[[#This Row],[hwycov_id]],check!$A$2:$P$26,16,FALSE)</f>
        <v>#N/A</v>
      </c>
    </row>
    <row r="10" spans="1:5" x14ac:dyDescent="0.25">
      <c r="A10">
        <v>473</v>
      </c>
      <c r="B10" s="5">
        <v>24018</v>
      </c>
      <c r="C10" s="5">
        <v>1665</v>
      </c>
      <c r="D10" s="5">
        <v>11289</v>
      </c>
      <c r="E10" s="5" t="e">
        <f>VLOOKUP(count[[#This Row],[hwycov_id]],check!$A$2:$P$26,16,FALSE)</f>
        <v>#N/A</v>
      </c>
    </row>
    <row r="11" spans="1:5" x14ac:dyDescent="0.25">
      <c r="A11">
        <v>474</v>
      </c>
      <c r="B11" s="5">
        <v>70567</v>
      </c>
      <c r="C11" s="5">
        <v>13716</v>
      </c>
      <c r="D11" s="5">
        <v>15535</v>
      </c>
      <c r="E11" s="5" t="e">
        <f>VLOOKUP(count[[#This Row],[hwycov_id]],check!$A$2:$P$26,16,FALSE)</f>
        <v>#N/A</v>
      </c>
    </row>
    <row r="12" spans="1:5" x14ac:dyDescent="0.25">
      <c r="A12">
        <v>512</v>
      </c>
      <c r="B12" s="5">
        <v>22917</v>
      </c>
      <c r="C12" s="5">
        <v>1916</v>
      </c>
      <c r="D12" s="5">
        <v>10550</v>
      </c>
      <c r="E12" s="5" t="e">
        <f>VLOOKUP(count[[#This Row],[hwycov_id]],check!$A$2:$P$26,16,FALSE)</f>
        <v>#N/A</v>
      </c>
    </row>
    <row r="13" spans="1:5" x14ac:dyDescent="0.25">
      <c r="A13">
        <v>513</v>
      </c>
      <c r="B13" s="5">
        <v>25041</v>
      </c>
      <c r="C13" s="5">
        <v>11032</v>
      </c>
      <c r="D13" s="5">
        <v>3426</v>
      </c>
      <c r="E13" s="5" t="e">
        <f>VLOOKUP(count[[#This Row],[hwycov_id]],check!$A$2:$P$26,16,FALSE)</f>
        <v>#N/A</v>
      </c>
    </row>
    <row r="14" spans="1:5" x14ac:dyDescent="0.25">
      <c r="A14">
        <v>516</v>
      </c>
      <c r="B14" s="5">
        <v>103587</v>
      </c>
      <c r="C14" s="5">
        <v>16674</v>
      </c>
      <c r="D14" s="5">
        <v>24668</v>
      </c>
      <c r="E14" s="5" t="e">
        <f>VLOOKUP(count[[#This Row],[hwycov_id]],check!$A$2:$P$26,16,FALSE)</f>
        <v>#N/A</v>
      </c>
    </row>
    <row r="15" spans="1:5" x14ac:dyDescent="0.25">
      <c r="A15">
        <v>517</v>
      </c>
      <c r="B15" s="5">
        <v>25476</v>
      </c>
      <c r="C15" s="5">
        <v>10580</v>
      </c>
      <c r="D15" s="5">
        <v>3786</v>
      </c>
      <c r="E15" s="5" t="e">
        <f>VLOOKUP(count[[#This Row],[hwycov_id]],check!$A$2:$P$26,16,FALSE)</f>
        <v>#N/A</v>
      </c>
    </row>
    <row r="16" spans="1:5" x14ac:dyDescent="0.25">
      <c r="A16">
        <v>520</v>
      </c>
      <c r="B16" s="5">
        <v>26417</v>
      </c>
      <c r="C16" s="5">
        <v>10531</v>
      </c>
      <c r="D16" s="5">
        <v>4503</v>
      </c>
      <c r="E16" s="5" t="e">
        <f>VLOOKUP(count[[#This Row],[hwycov_id]],check!$A$2:$P$26,16,FALSE)</f>
        <v>#N/A</v>
      </c>
    </row>
    <row r="17" spans="1:5" x14ac:dyDescent="0.25">
      <c r="A17">
        <v>525</v>
      </c>
      <c r="B17" s="5">
        <v>41937</v>
      </c>
      <c r="C17" s="5">
        <v>11901</v>
      </c>
      <c r="D17" s="5">
        <v>8794</v>
      </c>
      <c r="E17" s="5" t="e">
        <f>VLOOKUP(count[[#This Row],[hwycov_id]],check!$A$2:$P$26,16,FALSE)</f>
        <v>#N/A</v>
      </c>
    </row>
    <row r="18" spans="1:5" x14ac:dyDescent="0.25">
      <c r="A18">
        <v>526</v>
      </c>
      <c r="B18" s="5">
        <v>23285</v>
      </c>
      <c r="C18" s="5">
        <v>3997</v>
      </c>
      <c r="D18" s="5">
        <v>8034</v>
      </c>
      <c r="E18" s="5" t="e">
        <f>VLOOKUP(count[[#This Row],[hwycov_id]],check!$A$2:$P$26,16,FALSE)</f>
        <v>#N/A</v>
      </c>
    </row>
    <row r="19" spans="1:5" x14ac:dyDescent="0.25">
      <c r="A19">
        <v>553</v>
      </c>
      <c r="B19" s="5">
        <v>30202</v>
      </c>
      <c r="C19" s="5">
        <v>11068</v>
      </c>
      <c r="D19" s="5">
        <v>6103</v>
      </c>
      <c r="E19" s="5" t="e">
        <f>VLOOKUP(count[[#This Row],[hwycov_id]],check!$A$2:$P$26,16,FALSE)</f>
        <v>#N/A</v>
      </c>
    </row>
    <row r="20" spans="1:5" x14ac:dyDescent="0.25">
      <c r="A20">
        <v>554</v>
      </c>
      <c r="B20" s="5">
        <v>110549</v>
      </c>
      <c r="C20" s="5">
        <v>15552</v>
      </c>
      <c r="D20" s="5">
        <v>28833</v>
      </c>
      <c r="E20" s="5" t="e">
        <f>VLOOKUP(count[[#This Row],[hwycov_id]],check!$A$2:$P$26,16,FALSE)</f>
        <v>#N/A</v>
      </c>
    </row>
    <row r="21" spans="1:5" x14ac:dyDescent="0.25">
      <c r="A21">
        <v>558</v>
      </c>
      <c r="B21" s="5">
        <v>62320</v>
      </c>
      <c r="C21" s="5">
        <v>6222</v>
      </c>
      <c r="D21" s="5">
        <v>18814</v>
      </c>
      <c r="E21" s="5" t="e">
        <f>VLOOKUP(count[[#This Row],[hwycov_id]],check!$A$2:$P$26,16,FALSE)</f>
        <v>#N/A</v>
      </c>
    </row>
    <row r="22" spans="1:5" x14ac:dyDescent="0.25">
      <c r="A22">
        <v>568</v>
      </c>
      <c r="B22" s="5">
        <v>99227</v>
      </c>
      <c r="C22" s="5">
        <v>22596</v>
      </c>
      <c r="D22" s="5">
        <v>18620</v>
      </c>
      <c r="E22" s="5" t="e">
        <f>VLOOKUP(count[[#This Row],[hwycov_id]],check!$A$2:$P$26,16,FALSE)</f>
        <v>#N/A</v>
      </c>
    </row>
    <row r="23" spans="1:5" x14ac:dyDescent="0.25">
      <c r="A23">
        <v>570</v>
      </c>
      <c r="B23" s="5">
        <v>107866</v>
      </c>
      <c r="C23" s="5">
        <v>22608</v>
      </c>
      <c r="D23" s="5">
        <v>23156</v>
      </c>
      <c r="E23" s="5" t="e">
        <f>VLOOKUP(count[[#This Row],[hwycov_id]],check!$A$2:$P$26,16,FALSE)</f>
        <v>#N/A</v>
      </c>
    </row>
    <row r="24" spans="1:5" x14ac:dyDescent="0.25">
      <c r="A24">
        <v>574</v>
      </c>
      <c r="B24" s="5">
        <v>161246</v>
      </c>
      <c r="C24" s="5">
        <v>31716</v>
      </c>
      <c r="D24" s="5">
        <v>36316</v>
      </c>
      <c r="E24" s="5" t="e">
        <f>VLOOKUP(count[[#This Row],[hwycov_id]],check!$A$2:$P$26,16,FALSE)</f>
        <v>#N/A</v>
      </c>
    </row>
    <row r="25" spans="1:5" x14ac:dyDescent="0.25">
      <c r="A25">
        <v>579</v>
      </c>
      <c r="B25" s="5">
        <v>60014</v>
      </c>
      <c r="C25" s="5">
        <v>10965</v>
      </c>
      <c r="D25" s="5">
        <v>14033</v>
      </c>
      <c r="E25" s="5" t="e">
        <f>VLOOKUP(count[[#This Row],[hwycov_id]],check!$A$2:$P$26,16,FALSE)</f>
        <v>#N/A</v>
      </c>
    </row>
    <row r="26" spans="1:5" x14ac:dyDescent="0.25">
      <c r="A26">
        <v>589</v>
      </c>
      <c r="B26" s="5">
        <v>56331</v>
      </c>
      <c r="C26" s="5">
        <v>9588</v>
      </c>
      <c r="D26" s="5">
        <v>11626</v>
      </c>
      <c r="E26" s="5" t="e">
        <f>VLOOKUP(count[[#This Row],[hwycov_id]],check!$A$2:$P$26,16,FALSE)</f>
        <v>#N/A</v>
      </c>
    </row>
    <row r="27" spans="1:5" x14ac:dyDescent="0.25">
      <c r="A27">
        <v>615</v>
      </c>
      <c r="B27" s="5">
        <v>99687</v>
      </c>
      <c r="C27" s="5">
        <v>15861</v>
      </c>
      <c r="D27" s="5">
        <v>21817</v>
      </c>
      <c r="E27" s="5" t="e">
        <f>VLOOKUP(count[[#This Row],[hwycov_id]],check!$A$2:$P$26,16,FALSE)</f>
        <v>#N/A</v>
      </c>
    </row>
    <row r="28" spans="1:5" x14ac:dyDescent="0.25">
      <c r="A28">
        <v>621</v>
      </c>
      <c r="B28" s="5">
        <v>95757</v>
      </c>
      <c r="C28" s="5">
        <v>16722</v>
      </c>
      <c r="D28" s="5">
        <v>19658</v>
      </c>
      <c r="E28" s="5" t="e">
        <f>VLOOKUP(count[[#This Row],[hwycov_id]],check!$A$2:$P$26,16,FALSE)</f>
        <v>#N/A</v>
      </c>
    </row>
    <row r="29" spans="1:5" x14ac:dyDescent="0.25">
      <c r="A29">
        <v>643</v>
      </c>
      <c r="B29" s="5">
        <v>105170</v>
      </c>
      <c r="C29" s="5">
        <v>20229</v>
      </c>
      <c r="D29" s="5">
        <v>20869</v>
      </c>
      <c r="E29" s="5" t="e">
        <f>VLOOKUP(count[[#This Row],[hwycov_id]],check!$A$2:$P$26,16,FALSE)</f>
        <v>#N/A</v>
      </c>
    </row>
    <row r="30" spans="1:5" x14ac:dyDescent="0.25">
      <c r="A30">
        <v>671</v>
      </c>
      <c r="B30" s="5">
        <v>95285</v>
      </c>
      <c r="C30" s="5">
        <v>15144</v>
      </c>
      <c r="D30" s="5">
        <v>20180</v>
      </c>
      <c r="E30" s="5" t="e">
        <f>VLOOKUP(count[[#This Row],[hwycov_id]],check!$A$2:$P$26,16,FALSE)</f>
        <v>#N/A</v>
      </c>
    </row>
    <row r="31" spans="1:5" x14ac:dyDescent="0.25">
      <c r="A31">
        <v>672</v>
      </c>
      <c r="B31" s="5">
        <v>89479</v>
      </c>
      <c r="C31" s="5">
        <v>14112</v>
      </c>
      <c r="D31" s="5">
        <v>18639</v>
      </c>
      <c r="E31" s="5" t="e">
        <f>VLOOKUP(count[[#This Row],[hwycov_id]],check!$A$2:$P$26,16,FALSE)</f>
        <v>#N/A</v>
      </c>
    </row>
    <row r="32" spans="1:5" x14ac:dyDescent="0.25">
      <c r="A32">
        <v>673</v>
      </c>
      <c r="B32" s="5">
        <v>92973</v>
      </c>
      <c r="C32" s="5">
        <v>12966</v>
      </c>
      <c r="D32" s="5">
        <v>20733</v>
      </c>
      <c r="E32" s="5" t="e">
        <f>VLOOKUP(count[[#This Row],[hwycov_id]],check!$A$2:$P$26,16,FALSE)</f>
        <v>#N/A</v>
      </c>
    </row>
    <row r="33" spans="1:5" x14ac:dyDescent="0.25">
      <c r="A33">
        <v>674</v>
      </c>
      <c r="B33" s="5">
        <v>92783</v>
      </c>
      <c r="C33" s="5">
        <v>17307</v>
      </c>
      <c r="D33" s="5">
        <v>17333</v>
      </c>
      <c r="E33" s="5" t="e">
        <f>VLOOKUP(count[[#This Row],[hwycov_id]],check!$A$2:$P$26,16,FALSE)</f>
        <v>#N/A</v>
      </c>
    </row>
    <row r="34" spans="1:5" x14ac:dyDescent="0.25">
      <c r="A34">
        <v>675</v>
      </c>
      <c r="B34" s="5">
        <v>99844</v>
      </c>
      <c r="C34" s="5">
        <v>19790</v>
      </c>
      <c r="D34" s="5">
        <v>18707</v>
      </c>
      <c r="E34" s="5" t="e">
        <f>VLOOKUP(count[[#This Row],[hwycov_id]],check!$A$2:$P$26,16,FALSE)</f>
        <v>#N/A</v>
      </c>
    </row>
    <row r="35" spans="1:5" x14ac:dyDescent="0.25">
      <c r="A35">
        <v>686</v>
      </c>
      <c r="B35" s="5">
        <v>30460</v>
      </c>
      <c r="C35" s="5">
        <v>4331</v>
      </c>
      <c r="D35" s="5">
        <v>5905</v>
      </c>
      <c r="E35" s="5" t="e">
        <f>VLOOKUP(count[[#This Row],[hwycov_id]],check!$A$2:$P$26,16,FALSE)</f>
        <v>#N/A</v>
      </c>
    </row>
    <row r="36" spans="1:5" x14ac:dyDescent="0.25">
      <c r="A36">
        <v>689</v>
      </c>
      <c r="B36" s="5">
        <v>55482</v>
      </c>
      <c r="C36" s="5">
        <v>8163</v>
      </c>
      <c r="D36" s="5">
        <v>12365</v>
      </c>
      <c r="E36" s="5" t="e">
        <f>VLOOKUP(count[[#This Row],[hwycov_id]],check!$A$2:$P$26,16,FALSE)</f>
        <v>#N/A</v>
      </c>
    </row>
    <row r="37" spans="1:5" x14ac:dyDescent="0.25">
      <c r="A37">
        <v>702</v>
      </c>
      <c r="B37" s="5">
        <v>87410</v>
      </c>
      <c r="C37" s="5">
        <v>16327</v>
      </c>
      <c r="D37" s="5">
        <v>18139</v>
      </c>
      <c r="E37" s="5" t="e">
        <f>VLOOKUP(count[[#This Row],[hwycov_id]],check!$A$2:$P$26,16,FALSE)</f>
        <v>#N/A</v>
      </c>
    </row>
    <row r="38" spans="1:5" x14ac:dyDescent="0.25">
      <c r="A38">
        <v>705</v>
      </c>
      <c r="B38" s="5">
        <v>110689</v>
      </c>
      <c r="C38" s="5">
        <v>21201</v>
      </c>
      <c r="D38" s="5">
        <v>21290</v>
      </c>
      <c r="E38" s="5" t="e">
        <f>VLOOKUP(count[[#This Row],[hwycov_id]],check!$A$2:$P$26,16,FALSE)</f>
        <v>#N/A</v>
      </c>
    </row>
    <row r="39" spans="1:5" x14ac:dyDescent="0.25">
      <c r="A39">
        <v>706</v>
      </c>
      <c r="B39" s="5">
        <v>125375</v>
      </c>
      <c r="C39" s="5">
        <v>24907</v>
      </c>
      <c r="D39" s="5">
        <v>24359</v>
      </c>
      <c r="E39" s="5" t="e">
        <f>VLOOKUP(count[[#This Row],[hwycov_id]],check!$A$2:$P$26,16,FALSE)</f>
        <v>#N/A</v>
      </c>
    </row>
    <row r="40" spans="1:5" x14ac:dyDescent="0.25">
      <c r="A40">
        <v>716</v>
      </c>
      <c r="B40" s="5">
        <v>125971</v>
      </c>
      <c r="C40" s="5">
        <v>26565</v>
      </c>
      <c r="D40" s="5">
        <v>23486</v>
      </c>
      <c r="E40" s="5" t="e">
        <f>VLOOKUP(count[[#This Row],[hwycov_id]],check!$A$2:$P$26,16,FALSE)</f>
        <v>#N/A</v>
      </c>
    </row>
    <row r="41" spans="1:5" x14ac:dyDescent="0.25">
      <c r="A41">
        <v>721</v>
      </c>
      <c r="B41" s="5">
        <v>101690</v>
      </c>
      <c r="C41" s="5">
        <v>15138</v>
      </c>
      <c r="D41" s="5">
        <v>26607</v>
      </c>
      <c r="E41" s="5" t="e">
        <f>VLOOKUP(count[[#This Row],[hwycov_id]],check!$A$2:$P$26,16,FALSE)</f>
        <v>#N/A</v>
      </c>
    </row>
    <row r="42" spans="1:5" x14ac:dyDescent="0.25">
      <c r="A42">
        <v>726</v>
      </c>
      <c r="B42" s="5">
        <v>97395</v>
      </c>
      <c r="C42" s="5">
        <v>17238</v>
      </c>
      <c r="D42" s="5">
        <v>18293</v>
      </c>
      <c r="E42" s="5" t="e">
        <f>VLOOKUP(count[[#This Row],[hwycov_id]],check!$A$2:$P$26,16,FALSE)</f>
        <v>#N/A</v>
      </c>
    </row>
    <row r="43" spans="1:5" x14ac:dyDescent="0.25">
      <c r="A43">
        <v>728</v>
      </c>
      <c r="B43" s="5">
        <v>117680</v>
      </c>
      <c r="C43" s="5">
        <v>22768</v>
      </c>
      <c r="D43" s="5">
        <v>22257</v>
      </c>
      <c r="E43" s="5" t="e">
        <f>VLOOKUP(count[[#This Row],[hwycov_id]],check!$A$2:$P$26,16,FALSE)</f>
        <v>#N/A</v>
      </c>
    </row>
    <row r="44" spans="1:5" x14ac:dyDescent="0.25">
      <c r="A44">
        <v>734</v>
      </c>
      <c r="B44" s="5">
        <v>94210</v>
      </c>
      <c r="C44" s="5">
        <v>15051</v>
      </c>
      <c r="D44" s="5">
        <v>19518</v>
      </c>
      <c r="E44" s="5" t="e">
        <f>VLOOKUP(count[[#This Row],[hwycov_id]],check!$A$2:$P$26,16,FALSE)</f>
        <v>#N/A</v>
      </c>
    </row>
    <row r="45" spans="1:5" x14ac:dyDescent="0.25">
      <c r="A45">
        <v>735</v>
      </c>
      <c r="B45" s="5">
        <v>90883</v>
      </c>
      <c r="C45" s="5">
        <v>14979</v>
      </c>
      <c r="D45" s="5">
        <v>18615</v>
      </c>
      <c r="E45" s="5" t="e">
        <f>VLOOKUP(count[[#This Row],[hwycov_id]],check!$A$2:$P$26,16,FALSE)</f>
        <v>#N/A</v>
      </c>
    </row>
    <row r="46" spans="1:5" x14ac:dyDescent="0.25">
      <c r="A46">
        <v>738</v>
      </c>
      <c r="B46" s="5">
        <v>76065</v>
      </c>
      <c r="C46" s="5">
        <v>15246</v>
      </c>
      <c r="D46" s="5">
        <v>13741</v>
      </c>
      <c r="E46" s="5" t="e">
        <f>VLOOKUP(count[[#This Row],[hwycov_id]],check!$A$2:$P$26,16,FALSE)</f>
        <v>#N/A</v>
      </c>
    </row>
    <row r="47" spans="1:5" x14ac:dyDescent="0.25">
      <c r="A47">
        <v>744</v>
      </c>
      <c r="B47" s="5">
        <v>85286</v>
      </c>
      <c r="C47" s="5">
        <v>17994</v>
      </c>
      <c r="D47" s="5">
        <v>15483</v>
      </c>
      <c r="E47" s="5" t="e">
        <f>VLOOKUP(count[[#This Row],[hwycov_id]],check!$A$2:$P$26,16,FALSE)</f>
        <v>#N/A</v>
      </c>
    </row>
    <row r="48" spans="1:5" x14ac:dyDescent="0.25">
      <c r="A48">
        <v>746</v>
      </c>
      <c r="B48" s="5">
        <v>97398</v>
      </c>
      <c r="C48" s="5">
        <v>20785</v>
      </c>
      <c r="D48" s="5">
        <v>17656</v>
      </c>
      <c r="E48" s="5" t="e">
        <f>VLOOKUP(count[[#This Row],[hwycov_id]],check!$A$2:$P$26,16,FALSE)</f>
        <v>#N/A</v>
      </c>
    </row>
    <row r="49" spans="1:5" x14ac:dyDescent="0.25">
      <c r="A49">
        <v>751</v>
      </c>
      <c r="B49" s="5">
        <v>103001</v>
      </c>
      <c r="C49" s="5">
        <v>26194</v>
      </c>
      <c r="D49" s="5">
        <v>16786</v>
      </c>
      <c r="E49" s="5" t="e">
        <f>VLOOKUP(count[[#This Row],[hwycov_id]],check!$A$2:$P$26,16,FALSE)</f>
        <v>#N/A</v>
      </c>
    </row>
    <row r="50" spans="1:5" x14ac:dyDescent="0.25">
      <c r="A50">
        <v>753</v>
      </c>
      <c r="B50" s="5">
        <v>110039</v>
      </c>
      <c r="C50" s="5">
        <v>27951</v>
      </c>
      <c r="D50" s="5">
        <v>17540</v>
      </c>
      <c r="E50" s="5" t="e">
        <f>VLOOKUP(count[[#This Row],[hwycov_id]],check!$A$2:$P$26,16,FALSE)</f>
        <v>#N/A</v>
      </c>
    </row>
    <row r="51" spans="1:5" x14ac:dyDescent="0.25">
      <c r="A51">
        <v>755</v>
      </c>
      <c r="B51" s="5">
        <v>76959</v>
      </c>
      <c r="C51" s="5">
        <v>17058</v>
      </c>
      <c r="D51" s="5">
        <v>12465</v>
      </c>
      <c r="E51" s="5" t="e">
        <f>VLOOKUP(count[[#This Row],[hwycov_id]],check!$A$2:$P$26,16,FALSE)</f>
        <v>#N/A</v>
      </c>
    </row>
    <row r="52" spans="1:5" x14ac:dyDescent="0.25">
      <c r="A52">
        <v>759</v>
      </c>
      <c r="B52" s="5">
        <v>82835</v>
      </c>
      <c r="C52" s="5">
        <v>15813</v>
      </c>
      <c r="D52" s="5">
        <v>14120</v>
      </c>
      <c r="E52" s="5" t="e">
        <f>VLOOKUP(count[[#This Row],[hwycov_id]],check!$A$2:$P$26,16,FALSE)</f>
        <v>#N/A</v>
      </c>
    </row>
    <row r="53" spans="1:5" x14ac:dyDescent="0.25">
      <c r="A53">
        <v>760</v>
      </c>
      <c r="B53" s="5">
        <v>94619</v>
      </c>
      <c r="C53" s="5">
        <v>19109</v>
      </c>
      <c r="D53" s="5">
        <v>16603</v>
      </c>
      <c r="E53" s="5" t="e">
        <f>VLOOKUP(count[[#This Row],[hwycov_id]],check!$A$2:$P$26,16,FALSE)</f>
        <v>#N/A</v>
      </c>
    </row>
    <row r="54" spans="1:5" x14ac:dyDescent="0.25">
      <c r="A54">
        <v>771</v>
      </c>
      <c r="B54" s="5">
        <v>97504</v>
      </c>
      <c r="C54" s="5">
        <v>12235</v>
      </c>
      <c r="D54" s="5">
        <v>23081</v>
      </c>
      <c r="E54" s="5" t="e">
        <f>VLOOKUP(count[[#This Row],[hwycov_id]],check!$A$2:$P$26,16,FALSE)</f>
        <v>#N/A</v>
      </c>
    </row>
    <row r="55" spans="1:5" x14ac:dyDescent="0.25">
      <c r="A55">
        <v>773</v>
      </c>
      <c r="B55" s="5">
        <v>92322</v>
      </c>
      <c r="C55" s="5">
        <v>11499</v>
      </c>
      <c r="D55" s="5">
        <v>20221</v>
      </c>
      <c r="E55" s="5" t="e">
        <f>VLOOKUP(count[[#This Row],[hwycov_id]],check!$A$2:$P$26,16,FALSE)</f>
        <v>#N/A</v>
      </c>
    </row>
    <row r="56" spans="1:5" x14ac:dyDescent="0.25">
      <c r="A56">
        <v>777</v>
      </c>
      <c r="B56" s="5">
        <v>105768</v>
      </c>
      <c r="C56" s="5">
        <v>13467</v>
      </c>
      <c r="D56" s="5">
        <v>23171</v>
      </c>
      <c r="E56" s="5" t="e">
        <f>VLOOKUP(count[[#This Row],[hwycov_id]],check!$A$2:$P$26,16,FALSE)</f>
        <v>#N/A</v>
      </c>
    </row>
    <row r="57" spans="1:5" x14ac:dyDescent="0.25">
      <c r="A57">
        <v>778</v>
      </c>
      <c r="B57" s="5">
        <v>81538</v>
      </c>
      <c r="C57" s="5">
        <v>9309</v>
      </c>
      <c r="D57" s="5">
        <v>18153</v>
      </c>
      <c r="E57" s="5" t="e">
        <f>VLOOKUP(count[[#This Row],[hwycov_id]],check!$A$2:$P$26,16,FALSE)</f>
        <v>#N/A</v>
      </c>
    </row>
    <row r="58" spans="1:5" x14ac:dyDescent="0.25">
      <c r="A58">
        <v>786</v>
      </c>
      <c r="B58" s="5">
        <v>111960</v>
      </c>
      <c r="C58" s="5">
        <v>11574</v>
      </c>
      <c r="D58" s="5">
        <v>29657</v>
      </c>
      <c r="E58" s="5" t="e">
        <f>VLOOKUP(count[[#This Row],[hwycov_id]],check!$A$2:$P$26,16,FALSE)</f>
        <v>#N/A</v>
      </c>
    </row>
    <row r="59" spans="1:5" x14ac:dyDescent="0.25">
      <c r="A59">
        <v>788</v>
      </c>
      <c r="B59" s="5">
        <v>110355</v>
      </c>
      <c r="C59" s="5">
        <v>11671</v>
      </c>
      <c r="D59" s="5">
        <v>30448</v>
      </c>
      <c r="E59" s="5" t="e">
        <f>VLOOKUP(count[[#This Row],[hwycov_id]],check!$A$2:$P$26,16,FALSE)</f>
        <v>#N/A</v>
      </c>
    </row>
    <row r="60" spans="1:5" x14ac:dyDescent="0.25">
      <c r="A60">
        <v>789</v>
      </c>
      <c r="B60" s="5">
        <v>128110</v>
      </c>
      <c r="C60" s="5">
        <v>28482</v>
      </c>
      <c r="D60" s="5">
        <v>26859</v>
      </c>
      <c r="E60" s="5" t="e">
        <f>VLOOKUP(count[[#This Row],[hwycov_id]],check!$A$2:$P$26,16,FALSE)</f>
        <v>#N/A</v>
      </c>
    </row>
    <row r="61" spans="1:5" x14ac:dyDescent="0.25">
      <c r="A61">
        <v>797</v>
      </c>
      <c r="B61" s="5">
        <v>100286</v>
      </c>
      <c r="C61" s="5">
        <v>10378</v>
      </c>
      <c r="D61" s="5">
        <v>28272</v>
      </c>
      <c r="E61" s="5" t="e">
        <f>VLOOKUP(count[[#This Row],[hwycov_id]],check!$A$2:$P$26,16,FALSE)</f>
        <v>#N/A</v>
      </c>
    </row>
    <row r="62" spans="1:5" x14ac:dyDescent="0.25">
      <c r="A62">
        <v>799</v>
      </c>
      <c r="B62" s="5">
        <v>90076</v>
      </c>
      <c r="C62" s="5">
        <v>9249</v>
      </c>
      <c r="D62" s="5">
        <v>25480</v>
      </c>
      <c r="E62" s="5" t="e">
        <f>VLOOKUP(count[[#This Row],[hwycov_id]],check!$A$2:$P$26,16,FALSE)</f>
        <v>#N/A</v>
      </c>
    </row>
    <row r="63" spans="1:5" x14ac:dyDescent="0.25">
      <c r="A63">
        <v>802</v>
      </c>
      <c r="B63" s="5">
        <v>122501</v>
      </c>
      <c r="C63" s="5">
        <v>13796</v>
      </c>
      <c r="D63" s="5">
        <v>32502</v>
      </c>
      <c r="E63" s="5" t="e">
        <f>VLOOKUP(count[[#This Row],[hwycov_id]],check!$A$2:$P$26,16,FALSE)</f>
        <v>#N/A</v>
      </c>
    </row>
    <row r="64" spans="1:5" x14ac:dyDescent="0.25">
      <c r="A64">
        <v>807</v>
      </c>
      <c r="B64" s="5">
        <v>116555</v>
      </c>
      <c r="C64" s="5">
        <v>13182</v>
      </c>
      <c r="D64" s="5">
        <v>32011</v>
      </c>
      <c r="E64" s="5" t="e">
        <f>VLOOKUP(count[[#This Row],[hwycov_id]],check!$A$2:$P$26,16,FALSE)</f>
        <v>#N/A</v>
      </c>
    </row>
    <row r="65" spans="1:5" x14ac:dyDescent="0.25">
      <c r="A65">
        <v>813</v>
      </c>
      <c r="B65" s="5">
        <v>101839</v>
      </c>
      <c r="C65" s="5">
        <v>12234</v>
      </c>
      <c r="D65" s="5">
        <v>26681</v>
      </c>
      <c r="E65" s="5" t="e">
        <f>VLOOKUP(count[[#This Row],[hwycov_id]],check!$A$2:$P$26,16,FALSE)</f>
        <v>#N/A</v>
      </c>
    </row>
    <row r="66" spans="1:5" x14ac:dyDescent="0.25">
      <c r="A66">
        <v>815</v>
      </c>
      <c r="B66" s="5">
        <v>111954</v>
      </c>
      <c r="C66" s="5">
        <v>12966</v>
      </c>
      <c r="D66" s="5">
        <v>31203</v>
      </c>
      <c r="E66" s="5" t="e">
        <f>VLOOKUP(count[[#This Row],[hwycov_id]],check!$A$2:$P$26,16,FALSE)</f>
        <v>#N/A</v>
      </c>
    </row>
    <row r="67" spans="1:5" x14ac:dyDescent="0.25">
      <c r="A67">
        <v>822</v>
      </c>
      <c r="B67" s="5">
        <v>82478</v>
      </c>
      <c r="C67" s="5">
        <v>10353</v>
      </c>
      <c r="D67" s="5">
        <v>21753</v>
      </c>
      <c r="E67" s="5" t="e">
        <f>VLOOKUP(count[[#This Row],[hwycov_id]],check!$A$2:$P$26,16,FALSE)</f>
        <v>#N/A</v>
      </c>
    </row>
    <row r="68" spans="1:5" x14ac:dyDescent="0.25">
      <c r="A68">
        <v>835</v>
      </c>
      <c r="B68" s="5">
        <v>131719</v>
      </c>
      <c r="C68" s="5">
        <v>16897</v>
      </c>
      <c r="D68" s="5">
        <v>35806</v>
      </c>
      <c r="E68" s="5" t="e">
        <f>VLOOKUP(count[[#This Row],[hwycov_id]],check!$A$2:$P$26,16,FALSE)</f>
        <v>#N/A</v>
      </c>
    </row>
    <row r="69" spans="1:5" x14ac:dyDescent="0.25">
      <c r="A69">
        <v>836</v>
      </c>
      <c r="B69" s="5">
        <v>115013</v>
      </c>
      <c r="C69" s="5">
        <v>15384</v>
      </c>
      <c r="D69" s="5">
        <v>29743</v>
      </c>
      <c r="E69" s="5" t="e">
        <f>VLOOKUP(count[[#This Row],[hwycov_id]],check!$A$2:$P$26,16,FALSE)</f>
        <v>#N/A</v>
      </c>
    </row>
    <row r="70" spans="1:5" x14ac:dyDescent="0.25">
      <c r="A70">
        <v>841</v>
      </c>
      <c r="B70" s="5">
        <v>105422</v>
      </c>
      <c r="C70" s="5">
        <v>14178</v>
      </c>
      <c r="D70" s="5">
        <v>25637</v>
      </c>
      <c r="E70" s="5" t="e">
        <f>VLOOKUP(count[[#This Row],[hwycov_id]],check!$A$2:$P$26,16,FALSE)</f>
        <v>#N/A</v>
      </c>
    </row>
    <row r="71" spans="1:5" x14ac:dyDescent="0.25">
      <c r="A71">
        <v>843</v>
      </c>
      <c r="B71" s="5">
        <v>85672</v>
      </c>
      <c r="C71" s="5">
        <v>12352</v>
      </c>
      <c r="D71" s="5">
        <v>21886</v>
      </c>
      <c r="E71" s="5" t="e">
        <f>VLOOKUP(count[[#This Row],[hwycov_id]],check!$A$2:$P$26,16,FALSE)</f>
        <v>#N/A</v>
      </c>
    </row>
    <row r="72" spans="1:5" x14ac:dyDescent="0.25">
      <c r="A72">
        <v>851</v>
      </c>
      <c r="B72" s="5">
        <v>73185</v>
      </c>
      <c r="C72" s="5">
        <v>10911</v>
      </c>
      <c r="D72" s="5">
        <v>17688</v>
      </c>
      <c r="E72" s="5" t="e">
        <f>VLOOKUP(count[[#This Row],[hwycov_id]],check!$A$2:$P$26,16,FALSE)</f>
        <v>#N/A</v>
      </c>
    </row>
    <row r="73" spans="1:5" x14ac:dyDescent="0.25">
      <c r="A73">
        <v>853</v>
      </c>
      <c r="B73" s="5">
        <v>56751</v>
      </c>
      <c r="C73" s="5">
        <v>8865</v>
      </c>
      <c r="D73" s="5">
        <v>13506</v>
      </c>
      <c r="E73" s="5" t="e">
        <f>VLOOKUP(count[[#This Row],[hwycov_id]],check!$A$2:$P$26,16,FALSE)</f>
        <v>#N/A</v>
      </c>
    </row>
    <row r="74" spans="1:5" x14ac:dyDescent="0.25">
      <c r="A74">
        <v>855</v>
      </c>
      <c r="B74" s="5">
        <v>32498</v>
      </c>
      <c r="C74" s="5">
        <v>3216</v>
      </c>
      <c r="D74" s="5">
        <v>8717</v>
      </c>
      <c r="E74" s="5" t="e">
        <f>VLOOKUP(count[[#This Row],[hwycov_id]],check!$A$2:$P$26,16,FALSE)</f>
        <v>#N/A</v>
      </c>
    </row>
    <row r="75" spans="1:5" x14ac:dyDescent="0.25">
      <c r="A75">
        <v>857</v>
      </c>
      <c r="B75" s="5">
        <v>35492</v>
      </c>
      <c r="C75" s="5">
        <v>3496</v>
      </c>
      <c r="D75" s="5">
        <v>9871</v>
      </c>
      <c r="E75" s="5" t="e">
        <f>VLOOKUP(count[[#This Row],[hwycov_id]],check!$A$2:$P$26,16,FALSE)</f>
        <v>#N/A</v>
      </c>
    </row>
    <row r="76" spans="1:5" x14ac:dyDescent="0.25">
      <c r="A76">
        <v>858</v>
      </c>
      <c r="B76" s="5">
        <v>23789</v>
      </c>
      <c r="C76" s="5">
        <v>2268</v>
      </c>
      <c r="D76" s="5">
        <v>6537</v>
      </c>
      <c r="E76" s="5" t="e">
        <f>VLOOKUP(count[[#This Row],[hwycov_id]],check!$A$2:$P$26,16,FALSE)</f>
        <v>#N/A</v>
      </c>
    </row>
    <row r="77" spans="1:5" x14ac:dyDescent="0.25">
      <c r="A77">
        <v>1173</v>
      </c>
      <c r="B77" s="5">
        <v>72413</v>
      </c>
      <c r="C77" s="5">
        <v>13055</v>
      </c>
      <c r="D77" s="5">
        <v>17864</v>
      </c>
      <c r="E77" s="5" t="e">
        <f>VLOOKUP(count[[#This Row],[hwycov_id]],check!$A$2:$P$26,16,FALSE)</f>
        <v>#N/A</v>
      </c>
    </row>
    <row r="78" spans="1:5" x14ac:dyDescent="0.25">
      <c r="A78">
        <v>3197</v>
      </c>
      <c r="B78" s="5">
        <v>70453</v>
      </c>
      <c r="C78" s="5">
        <v>14364</v>
      </c>
      <c r="D78" s="5">
        <v>13368</v>
      </c>
      <c r="E78" s="5" t="e">
        <f>VLOOKUP(count[[#This Row],[hwycov_id]],check!$A$2:$P$26,16,FALSE)</f>
        <v>#N/A</v>
      </c>
    </row>
    <row r="79" spans="1:5" x14ac:dyDescent="0.25">
      <c r="A79">
        <v>3207</v>
      </c>
      <c r="B79" s="5">
        <v>75792</v>
      </c>
      <c r="C79" s="5">
        <v>13478</v>
      </c>
      <c r="D79" s="5">
        <v>17701</v>
      </c>
      <c r="E79" s="5" t="e">
        <f>VLOOKUP(count[[#This Row],[hwycov_id]],check!$A$2:$P$26,16,FALSE)</f>
        <v>#N/A</v>
      </c>
    </row>
    <row r="80" spans="1:5" x14ac:dyDescent="0.25">
      <c r="A80">
        <v>3222</v>
      </c>
      <c r="B80" s="5">
        <v>72554</v>
      </c>
      <c r="C80" s="5">
        <v>8106</v>
      </c>
      <c r="D80" s="5">
        <v>21083</v>
      </c>
      <c r="E80" s="5" t="e">
        <f>VLOOKUP(count[[#This Row],[hwycov_id]],check!$A$2:$P$26,16,FALSE)</f>
        <v>#N/A</v>
      </c>
    </row>
    <row r="81" spans="1:5" x14ac:dyDescent="0.25">
      <c r="A81">
        <v>3968</v>
      </c>
      <c r="B81" s="5">
        <v>109810</v>
      </c>
      <c r="C81" s="5">
        <v>19104</v>
      </c>
      <c r="D81" s="5">
        <v>25725</v>
      </c>
      <c r="E81" s="5" t="e">
        <f>VLOOKUP(count[[#This Row],[hwycov_id]],check!$A$2:$P$26,16,FALSE)</f>
        <v>#N/A</v>
      </c>
    </row>
    <row r="82" spans="1:5" x14ac:dyDescent="0.25">
      <c r="A82">
        <v>4887</v>
      </c>
      <c r="B82" s="5">
        <v>110380</v>
      </c>
      <c r="C82" s="5">
        <v>19255</v>
      </c>
      <c r="D82" s="5">
        <v>21677</v>
      </c>
      <c r="E82" s="5" t="e">
        <f>VLOOKUP(count[[#This Row],[hwycov_id]],check!$A$2:$P$26,16,FALSE)</f>
        <v>#N/A</v>
      </c>
    </row>
    <row r="83" spans="1:5" x14ac:dyDescent="0.25">
      <c r="A83">
        <v>6852</v>
      </c>
      <c r="B83" s="5">
        <v>86498</v>
      </c>
      <c r="C83" s="5">
        <v>15720</v>
      </c>
      <c r="D83" s="5">
        <v>16983</v>
      </c>
      <c r="E83" s="5" t="e">
        <f>VLOOKUP(count[[#This Row],[hwycov_id]],check!$A$2:$P$26,16,FALSE)</f>
        <v>#N/A</v>
      </c>
    </row>
    <row r="84" spans="1:5" x14ac:dyDescent="0.25">
      <c r="A84">
        <v>7190</v>
      </c>
      <c r="B84" s="5">
        <v>55161</v>
      </c>
      <c r="C84" s="5">
        <v>11107</v>
      </c>
      <c r="D84" s="5">
        <v>12679</v>
      </c>
      <c r="E84" s="5" t="e">
        <f>VLOOKUP(count[[#This Row],[hwycov_id]],check!$A$2:$P$26,16,FALSE)</f>
        <v>#N/A</v>
      </c>
    </row>
    <row r="85" spans="1:5" x14ac:dyDescent="0.25">
      <c r="A85">
        <v>7215</v>
      </c>
      <c r="B85" s="5">
        <v>46501</v>
      </c>
      <c r="C85" s="5">
        <v>10461</v>
      </c>
      <c r="D85" s="5">
        <v>10088</v>
      </c>
      <c r="E85" s="5" t="e">
        <f>VLOOKUP(count[[#This Row],[hwycov_id]],check!$A$2:$P$26,16,FALSE)</f>
        <v>#N/A</v>
      </c>
    </row>
    <row r="86" spans="1:5" x14ac:dyDescent="0.25">
      <c r="A86">
        <v>7222</v>
      </c>
      <c r="B86" s="5">
        <v>48401</v>
      </c>
      <c r="C86" s="5">
        <v>11529</v>
      </c>
      <c r="D86" s="5">
        <v>10030</v>
      </c>
      <c r="E86" s="5" t="e">
        <f>VLOOKUP(count[[#This Row],[hwycov_id]],check!$A$2:$P$26,16,FALSE)</f>
        <v>#N/A</v>
      </c>
    </row>
    <row r="87" spans="1:5" x14ac:dyDescent="0.25">
      <c r="A87">
        <v>7259</v>
      </c>
      <c r="B87" s="5">
        <v>57972</v>
      </c>
      <c r="C87" s="5">
        <v>10365</v>
      </c>
      <c r="D87" s="5">
        <v>15658</v>
      </c>
      <c r="E87" s="5" t="e">
        <f>VLOOKUP(count[[#This Row],[hwycov_id]],check!$A$2:$P$26,16,FALSE)</f>
        <v>#N/A</v>
      </c>
    </row>
    <row r="88" spans="1:5" x14ac:dyDescent="0.25">
      <c r="A88">
        <v>7375</v>
      </c>
      <c r="B88" s="5">
        <v>51626</v>
      </c>
      <c r="C88" s="5">
        <v>5305</v>
      </c>
      <c r="D88" s="5">
        <v>17410</v>
      </c>
      <c r="E88" s="5" t="e">
        <f>VLOOKUP(count[[#This Row],[hwycov_id]],check!$A$2:$P$26,16,FALSE)</f>
        <v>#N/A</v>
      </c>
    </row>
    <row r="89" spans="1:5" x14ac:dyDescent="0.25">
      <c r="A89">
        <v>7377</v>
      </c>
      <c r="B89" s="5">
        <v>45188</v>
      </c>
      <c r="C89" s="5">
        <v>6057</v>
      </c>
      <c r="D89" s="5">
        <v>12887</v>
      </c>
      <c r="E89" s="5" t="e">
        <f>VLOOKUP(count[[#This Row],[hwycov_id]],check!$A$2:$P$26,16,FALSE)</f>
        <v>#N/A</v>
      </c>
    </row>
    <row r="90" spans="1:5" x14ac:dyDescent="0.25">
      <c r="A90">
        <v>7430</v>
      </c>
      <c r="B90" s="5">
        <v>57059</v>
      </c>
      <c r="C90" s="5">
        <v>8658</v>
      </c>
      <c r="D90" s="5">
        <v>15528</v>
      </c>
      <c r="E90" s="5" t="e">
        <f>VLOOKUP(count[[#This Row],[hwycov_id]],check!$A$2:$P$26,16,FALSE)</f>
        <v>#N/A</v>
      </c>
    </row>
    <row r="91" spans="1:5" x14ac:dyDescent="0.25">
      <c r="A91">
        <v>7497</v>
      </c>
      <c r="B91" s="5">
        <v>60316</v>
      </c>
      <c r="C91" s="5">
        <v>8690</v>
      </c>
      <c r="D91" s="5">
        <v>16404</v>
      </c>
      <c r="E91" s="5" t="e">
        <f>VLOOKUP(count[[#This Row],[hwycov_id]],check!$A$2:$P$26,16,FALSE)</f>
        <v>#N/A</v>
      </c>
    </row>
    <row r="92" spans="1:5" x14ac:dyDescent="0.25">
      <c r="A92">
        <v>7501</v>
      </c>
      <c r="B92" s="5">
        <v>40879</v>
      </c>
      <c r="C92" s="5">
        <v>10401</v>
      </c>
      <c r="D92" s="5">
        <v>6319</v>
      </c>
      <c r="E92" s="5" t="e">
        <f>VLOOKUP(count[[#This Row],[hwycov_id]],check!$A$2:$P$26,16,FALSE)</f>
        <v>#N/A</v>
      </c>
    </row>
    <row r="93" spans="1:5" x14ac:dyDescent="0.25">
      <c r="A93">
        <v>7525</v>
      </c>
      <c r="B93" s="5">
        <v>55066</v>
      </c>
      <c r="C93" s="5">
        <v>9523</v>
      </c>
      <c r="D93" s="5">
        <v>13722</v>
      </c>
      <c r="E93" s="5" t="e">
        <f>VLOOKUP(count[[#This Row],[hwycov_id]],check!$A$2:$P$26,16,FALSE)</f>
        <v>#N/A</v>
      </c>
    </row>
    <row r="94" spans="1:5" x14ac:dyDescent="0.25">
      <c r="A94">
        <v>7664</v>
      </c>
      <c r="B94" s="5">
        <v>36598</v>
      </c>
      <c r="C94" s="5">
        <v>8571</v>
      </c>
      <c r="D94" s="5">
        <v>8119</v>
      </c>
      <c r="E94" s="5" t="e">
        <f>VLOOKUP(count[[#This Row],[hwycov_id]],check!$A$2:$P$26,16,FALSE)</f>
        <v>#N/A</v>
      </c>
    </row>
    <row r="95" spans="1:5" x14ac:dyDescent="0.25">
      <c r="A95">
        <v>7666</v>
      </c>
      <c r="B95" s="5">
        <v>46982</v>
      </c>
      <c r="C95" s="5">
        <v>13609</v>
      </c>
      <c r="D95" s="5">
        <v>7326</v>
      </c>
      <c r="E95" s="5" t="e">
        <f>VLOOKUP(count[[#This Row],[hwycov_id]],check!$A$2:$P$26,16,FALSE)</f>
        <v>#N/A</v>
      </c>
    </row>
    <row r="96" spans="1:5" x14ac:dyDescent="0.25">
      <c r="A96">
        <v>7724</v>
      </c>
      <c r="B96" s="5">
        <v>42960</v>
      </c>
      <c r="C96" s="5">
        <v>5359</v>
      </c>
      <c r="D96" s="5">
        <v>11465</v>
      </c>
      <c r="E96" s="5" t="e">
        <f>VLOOKUP(count[[#This Row],[hwycov_id]],check!$A$2:$P$26,16,FALSE)</f>
        <v>#N/A</v>
      </c>
    </row>
    <row r="97" spans="1:5" x14ac:dyDescent="0.25">
      <c r="A97">
        <v>7772</v>
      </c>
      <c r="B97" s="5">
        <v>51824</v>
      </c>
      <c r="C97" s="5">
        <v>5481</v>
      </c>
      <c r="D97" s="5">
        <v>17040</v>
      </c>
      <c r="E97" s="5" t="e">
        <f>VLOOKUP(count[[#This Row],[hwycov_id]],check!$A$2:$P$26,16,FALSE)</f>
        <v>#N/A</v>
      </c>
    </row>
    <row r="98" spans="1:5" x14ac:dyDescent="0.25">
      <c r="A98">
        <v>7872</v>
      </c>
      <c r="B98" s="5">
        <v>49981</v>
      </c>
      <c r="C98" s="5">
        <v>8529</v>
      </c>
      <c r="D98" s="5">
        <v>11279</v>
      </c>
      <c r="E98" s="5" t="e">
        <f>VLOOKUP(count[[#This Row],[hwycov_id]],check!$A$2:$P$26,16,FALSE)</f>
        <v>#N/A</v>
      </c>
    </row>
    <row r="99" spans="1:5" x14ac:dyDescent="0.25">
      <c r="A99">
        <v>7873</v>
      </c>
      <c r="B99" s="5">
        <v>67996</v>
      </c>
      <c r="C99" s="5">
        <v>13968</v>
      </c>
      <c r="D99" s="5">
        <v>13461</v>
      </c>
      <c r="E99" s="5" t="e">
        <f>VLOOKUP(count[[#This Row],[hwycov_id]],check!$A$2:$P$26,16,FALSE)</f>
        <v>#N/A</v>
      </c>
    </row>
    <row r="100" spans="1:5" x14ac:dyDescent="0.25">
      <c r="A100">
        <v>8042</v>
      </c>
      <c r="B100" s="5">
        <v>75539</v>
      </c>
      <c r="C100" s="5">
        <v>12189</v>
      </c>
      <c r="D100" s="5">
        <v>17649</v>
      </c>
      <c r="E100" s="5" t="e">
        <f>VLOOKUP(count[[#This Row],[hwycov_id]],check!$A$2:$P$26,16,FALSE)</f>
        <v>#N/A</v>
      </c>
    </row>
    <row r="101" spans="1:5" x14ac:dyDescent="0.25">
      <c r="A101">
        <v>8054</v>
      </c>
      <c r="B101" s="5">
        <v>85680</v>
      </c>
      <c r="C101" s="5">
        <v>16638</v>
      </c>
      <c r="D101" s="5">
        <v>17543</v>
      </c>
      <c r="E101" s="5" t="e">
        <f>VLOOKUP(count[[#This Row],[hwycov_id]],check!$A$2:$P$26,16,FALSE)</f>
        <v>#N/A</v>
      </c>
    </row>
    <row r="102" spans="1:5" x14ac:dyDescent="0.25">
      <c r="A102">
        <v>8056</v>
      </c>
      <c r="B102" s="5">
        <v>83223</v>
      </c>
      <c r="C102" s="5">
        <v>15960</v>
      </c>
      <c r="D102" s="5">
        <v>17481</v>
      </c>
      <c r="E102" s="5" t="e">
        <f>VLOOKUP(count[[#This Row],[hwycov_id]],check!$A$2:$P$26,16,FALSE)</f>
        <v>#N/A</v>
      </c>
    </row>
    <row r="103" spans="1:5" x14ac:dyDescent="0.25">
      <c r="A103">
        <v>8057</v>
      </c>
      <c r="B103" s="5">
        <v>72170</v>
      </c>
      <c r="C103" s="5">
        <v>13743</v>
      </c>
      <c r="D103" s="5">
        <v>15927</v>
      </c>
      <c r="E103" s="5" t="e">
        <f>VLOOKUP(count[[#This Row],[hwycov_id]],check!$A$2:$P$26,16,FALSE)</f>
        <v>#N/A</v>
      </c>
    </row>
    <row r="104" spans="1:5" x14ac:dyDescent="0.25">
      <c r="A104">
        <v>8058</v>
      </c>
      <c r="B104" s="5">
        <v>68784</v>
      </c>
      <c r="C104" s="5">
        <v>10572</v>
      </c>
      <c r="D104" s="5">
        <v>17400</v>
      </c>
      <c r="E104" s="5" t="e">
        <f>VLOOKUP(count[[#This Row],[hwycov_id]],check!$A$2:$P$26,16,FALSE)</f>
        <v>#N/A</v>
      </c>
    </row>
    <row r="105" spans="1:5" x14ac:dyDescent="0.25">
      <c r="A105">
        <v>8059</v>
      </c>
      <c r="B105" s="5">
        <v>62519</v>
      </c>
      <c r="C105" s="5">
        <v>10278</v>
      </c>
      <c r="D105" s="5">
        <v>15494</v>
      </c>
      <c r="E105" s="5" t="e">
        <f>VLOOKUP(count[[#This Row],[hwycov_id]],check!$A$2:$P$26,16,FALSE)</f>
        <v>#N/A</v>
      </c>
    </row>
    <row r="106" spans="1:5" x14ac:dyDescent="0.25">
      <c r="A106">
        <v>8103</v>
      </c>
      <c r="B106" s="5">
        <v>52138</v>
      </c>
      <c r="C106" s="5">
        <v>15817</v>
      </c>
      <c r="D106" s="5">
        <v>7547</v>
      </c>
      <c r="E106" s="5" t="e">
        <f>VLOOKUP(count[[#This Row],[hwycov_id]],check!$A$2:$P$26,16,FALSE)</f>
        <v>#N/A</v>
      </c>
    </row>
    <row r="107" spans="1:5" x14ac:dyDescent="0.25">
      <c r="A107">
        <v>8647</v>
      </c>
      <c r="B107" s="5">
        <v>43256</v>
      </c>
      <c r="C107" s="5">
        <v>12651</v>
      </c>
      <c r="D107" s="5">
        <v>6492</v>
      </c>
      <c r="E107" s="5" t="e">
        <f>VLOOKUP(count[[#This Row],[hwycov_id]],check!$A$2:$P$26,16,FALSE)</f>
        <v>#N/A</v>
      </c>
    </row>
    <row r="108" spans="1:5" x14ac:dyDescent="0.25">
      <c r="A108">
        <v>8770</v>
      </c>
      <c r="B108" s="5">
        <v>83031</v>
      </c>
      <c r="C108" s="5">
        <v>13017</v>
      </c>
      <c r="D108" s="5">
        <v>17408</v>
      </c>
      <c r="E108" s="5" t="e">
        <f>VLOOKUP(count[[#This Row],[hwycov_id]],check!$A$2:$P$26,16,FALSE)</f>
        <v>#N/A</v>
      </c>
    </row>
    <row r="109" spans="1:5" x14ac:dyDescent="0.25">
      <c r="A109">
        <v>8771</v>
      </c>
      <c r="B109" s="5">
        <v>88750</v>
      </c>
      <c r="C109" s="5">
        <v>14094</v>
      </c>
      <c r="D109" s="5">
        <v>18441</v>
      </c>
      <c r="E109" s="5" t="e">
        <f>VLOOKUP(count[[#This Row],[hwycov_id]],check!$A$2:$P$26,16,FALSE)</f>
        <v>#N/A</v>
      </c>
    </row>
    <row r="110" spans="1:5" x14ac:dyDescent="0.25">
      <c r="A110">
        <v>8772</v>
      </c>
      <c r="B110" s="5">
        <v>80506</v>
      </c>
      <c r="C110" s="5">
        <v>14118</v>
      </c>
      <c r="D110" s="5">
        <v>16659</v>
      </c>
      <c r="E110" s="5" t="e">
        <f>VLOOKUP(count[[#This Row],[hwycov_id]],check!$A$2:$P$26,16,FALSE)</f>
        <v>#N/A</v>
      </c>
    </row>
    <row r="111" spans="1:5" x14ac:dyDescent="0.25">
      <c r="A111">
        <v>8773</v>
      </c>
      <c r="B111" s="5">
        <v>94510</v>
      </c>
      <c r="C111" s="5">
        <v>15879</v>
      </c>
      <c r="D111" s="5">
        <v>19833</v>
      </c>
      <c r="E111" s="5" t="e">
        <f>VLOOKUP(count[[#This Row],[hwycov_id]],check!$A$2:$P$26,16,FALSE)</f>
        <v>#N/A</v>
      </c>
    </row>
    <row r="112" spans="1:5" x14ac:dyDescent="0.25">
      <c r="A112">
        <v>8774</v>
      </c>
      <c r="B112" s="5">
        <v>106444</v>
      </c>
      <c r="C112" s="5">
        <v>21489</v>
      </c>
      <c r="D112" s="5">
        <v>20179</v>
      </c>
      <c r="E112" s="5" t="e">
        <f>VLOOKUP(count[[#This Row],[hwycov_id]],check!$A$2:$P$26,16,FALSE)</f>
        <v>#N/A</v>
      </c>
    </row>
    <row r="113" spans="1:5" x14ac:dyDescent="0.25">
      <c r="A113">
        <v>8777</v>
      </c>
      <c r="B113" s="5">
        <v>79598</v>
      </c>
      <c r="C113" s="5">
        <v>10065</v>
      </c>
      <c r="D113" s="5">
        <v>21235</v>
      </c>
      <c r="E113" s="5" t="e">
        <f>VLOOKUP(count[[#This Row],[hwycov_id]],check!$A$2:$P$26,16,FALSE)</f>
        <v>#N/A</v>
      </c>
    </row>
    <row r="114" spans="1:5" x14ac:dyDescent="0.25">
      <c r="A114">
        <v>8780</v>
      </c>
      <c r="B114" s="5">
        <v>76335</v>
      </c>
      <c r="C114" s="5">
        <v>10845</v>
      </c>
      <c r="D114" s="5">
        <v>21022</v>
      </c>
      <c r="E114" s="5" t="e">
        <f>VLOOKUP(count[[#This Row],[hwycov_id]],check!$A$2:$P$26,16,FALSE)</f>
        <v>#N/A</v>
      </c>
    </row>
    <row r="115" spans="1:5" x14ac:dyDescent="0.25">
      <c r="A115">
        <v>8787</v>
      </c>
      <c r="B115" s="5">
        <v>113758</v>
      </c>
      <c r="C115" s="5">
        <v>18228</v>
      </c>
      <c r="D115" s="5">
        <v>28451</v>
      </c>
      <c r="E115" s="5" t="e">
        <f>VLOOKUP(count[[#This Row],[hwycov_id]],check!$A$2:$P$26,16,FALSE)</f>
        <v>#N/A</v>
      </c>
    </row>
    <row r="116" spans="1:5" x14ac:dyDescent="0.25">
      <c r="A116">
        <v>8790</v>
      </c>
      <c r="B116" s="5">
        <v>116796</v>
      </c>
      <c r="C116" s="5">
        <v>23046</v>
      </c>
      <c r="D116" s="5">
        <v>25547</v>
      </c>
      <c r="E116" s="5" t="e">
        <f>VLOOKUP(count[[#This Row],[hwycov_id]],check!$A$2:$P$26,16,FALSE)</f>
        <v>#N/A</v>
      </c>
    </row>
    <row r="117" spans="1:5" x14ac:dyDescent="0.25">
      <c r="A117">
        <v>8802</v>
      </c>
      <c r="B117" s="5">
        <v>80122</v>
      </c>
      <c r="C117" s="5">
        <v>14367</v>
      </c>
      <c r="D117" s="5">
        <v>15989</v>
      </c>
      <c r="E117" s="5" t="e">
        <f>VLOOKUP(count[[#This Row],[hwycov_id]],check!$A$2:$P$26,16,FALSE)</f>
        <v>#N/A</v>
      </c>
    </row>
    <row r="118" spans="1:5" x14ac:dyDescent="0.25">
      <c r="A118">
        <v>8807</v>
      </c>
      <c r="B118" s="5">
        <v>118808</v>
      </c>
      <c r="C118" s="5">
        <v>16818</v>
      </c>
      <c r="D118" s="5">
        <v>31976</v>
      </c>
      <c r="E118" s="5" t="e">
        <f>VLOOKUP(count[[#This Row],[hwycov_id]],check!$A$2:$P$26,16,FALSE)</f>
        <v>#N/A</v>
      </c>
    </row>
    <row r="119" spans="1:5" x14ac:dyDescent="0.25">
      <c r="A119">
        <v>8808</v>
      </c>
      <c r="B119" s="5">
        <v>119047</v>
      </c>
      <c r="C119" s="5">
        <v>27282</v>
      </c>
      <c r="D119" s="5">
        <v>22876</v>
      </c>
      <c r="E119" s="5" t="e">
        <f>VLOOKUP(count[[#This Row],[hwycov_id]],check!$A$2:$P$26,16,FALSE)</f>
        <v>#N/A</v>
      </c>
    </row>
    <row r="120" spans="1:5" x14ac:dyDescent="0.25">
      <c r="A120">
        <v>8809</v>
      </c>
      <c r="B120" s="5">
        <v>108995</v>
      </c>
      <c r="C120" s="5">
        <v>15396</v>
      </c>
      <c r="D120" s="5">
        <v>28357</v>
      </c>
      <c r="E120" s="5" t="e">
        <f>VLOOKUP(count[[#This Row],[hwycov_id]],check!$A$2:$P$26,16,FALSE)</f>
        <v>#N/A</v>
      </c>
    </row>
    <row r="121" spans="1:5" x14ac:dyDescent="0.25">
      <c r="A121">
        <v>8810</v>
      </c>
      <c r="B121" s="5">
        <v>110634</v>
      </c>
      <c r="C121" s="5">
        <v>25524</v>
      </c>
      <c r="D121" s="5">
        <v>20797</v>
      </c>
      <c r="E121" s="5" t="e">
        <f>VLOOKUP(count[[#This Row],[hwycov_id]],check!$A$2:$P$26,16,FALSE)</f>
        <v>#N/A</v>
      </c>
    </row>
    <row r="122" spans="1:5" x14ac:dyDescent="0.25">
      <c r="A122">
        <v>8814</v>
      </c>
      <c r="B122" s="5">
        <v>144022</v>
      </c>
      <c r="C122" s="5">
        <v>32568</v>
      </c>
      <c r="D122" s="5">
        <v>29897</v>
      </c>
      <c r="E122" s="5" t="e">
        <f>VLOOKUP(count[[#This Row],[hwycov_id]],check!$A$2:$P$26,16,FALSE)</f>
        <v>#N/A</v>
      </c>
    </row>
    <row r="123" spans="1:5" x14ac:dyDescent="0.25">
      <c r="A123">
        <v>8816</v>
      </c>
      <c r="B123" s="5">
        <v>88456</v>
      </c>
      <c r="C123" s="5">
        <v>17289</v>
      </c>
      <c r="D123" s="5">
        <v>12928</v>
      </c>
      <c r="E123" s="5" t="e">
        <f>VLOOKUP(count[[#This Row],[hwycov_id]],check!$A$2:$P$26,16,FALSE)</f>
        <v>#N/A</v>
      </c>
    </row>
    <row r="124" spans="1:5" x14ac:dyDescent="0.25">
      <c r="A124">
        <v>8820</v>
      </c>
      <c r="B124" s="5">
        <v>91365</v>
      </c>
      <c r="C124" s="5">
        <v>18807</v>
      </c>
      <c r="D124" s="5">
        <v>22699</v>
      </c>
      <c r="E124" s="5" t="e">
        <f>VLOOKUP(count[[#This Row],[hwycov_id]],check!$A$2:$P$26,16,FALSE)</f>
        <v>#N/A</v>
      </c>
    </row>
    <row r="125" spans="1:5" x14ac:dyDescent="0.25">
      <c r="A125">
        <v>8822</v>
      </c>
      <c r="B125" s="5">
        <v>68945</v>
      </c>
      <c r="C125" s="5">
        <v>15438</v>
      </c>
      <c r="D125" s="5">
        <v>16142</v>
      </c>
      <c r="E125" s="5" t="e">
        <f>VLOOKUP(count[[#This Row],[hwycov_id]],check!$A$2:$P$26,16,FALSE)</f>
        <v>#N/A</v>
      </c>
    </row>
    <row r="126" spans="1:5" x14ac:dyDescent="0.25">
      <c r="A126">
        <v>8825</v>
      </c>
      <c r="B126" s="5">
        <v>76758</v>
      </c>
      <c r="C126" s="5">
        <v>13899</v>
      </c>
      <c r="D126" s="5">
        <v>18967</v>
      </c>
      <c r="E126" s="5" t="e">
        <f>VLOOKUP(count[[#This Row],[hwycov_id]],check!$A$2:$P$26,16,FALSE)</f>
        <v>#N/A</v>
      </c>
    </row>
    <row r="127" spans="1:5" x14ac:dyDescent="0.25">
      <c r="A127">
        <v>8829</v>
      </c>
      <c r="B127" s="5">
        <v>72382</v>
      </c>
      <c r="C127" s="5">
        <v>10165</v>
      </c>
      <c r="D127" s="5">
        <v>18241</v>
      </c>
      <c r="E127" s="5" t="e">
        <f>VLOOKUP(count[[#This Row],[hwycov_id]],check!$A$2:$P$26,16,FALSE)</f>
        <v>#N/A</v>
      </c>
    </row>
    <row r="128" spans="1:5" x14ac:dyDescent="0.25">
      <c r="A128">
        <v>8830</v>
      </c>
      <c r="B128" s="5">
        <v>53173</v>
      </c>
      <c r="C128" s="5">
        <v>7545</v>
      </c>
      <c r="D128" s="5">
        <v>13301</v>
      </c>
      <c r="E128" s="5" t="e">
        <f>VLOOKUP(count[[#This Row],[hwycov_id]],check!$A$2:$P$26,16,FALSE)</f>
        <v>#N/A</v>
      </c>
    </row>
    <row r="129" spans="1:5" x14ac:dyDescent="0.25">
      <c r="A129">
        <v>8831</v>
      </c>
      <c r="B129" s="5">
        <v>54612</v>
      </c>
      <c r="C129" s="5">
        <v>7626</v>
      </c>
      <c r="D129" s="5">
        <v>13531</v>
      </c>
      <c r="E129" s="5" t="e">
        <f>VLOOKUP(count[[#This Row],[hwycov_id]],check!$A$2:$P$26,16,FALSE)</f>
        <v>#N/A</v>
      </c>
    </row>
    <row r="130" spans="1:5" x14ac:dyDescent="0.25">
      <c r="A130">
        <v>8839</v>
      </c>
      <c r="B130" s="5">
        <v>58760</v>
      </c>
      <c r="C130" s="5">
        <v>9303</v>
      </c>
      <c r="D130" s="5">
        <v>14609</v>
      </c>
      <c r="E130" s="5" t="e">
        <f>VLOOKUP(count[[#This Row],[hwycov_id]],check!$A$2:$P$26,16,FALSE)</f>
        <v>#N/A</v>
      </c>
    </row>
    <row r="131" spans="1:5" x14ac:dyDescent="0.25">
      <c r="A131">
        <v>8841</v>
      </c>
      <c r="B131" s="5">
        <v>67828</v>
      </c>
      <c r="C131" s="5">
        <v>13820</v>
      </c>
      <c r="D131" s="5">
        <v>13576</v>
      </c>
      <c r="E131" s="5" t="e">
        <f>VLOOKUP(count[[#This Row],[hwycov_id]],check!$A$2:$P$26,16,FALSE)</f>
        <v>#N/A</v>
      </c>
    </row>
    <row r="132" spans="1:5" x14ac:dyDescent="0.25">
      <c r="A132">
        <v>8845</v>
      </c>
      <c r="B132" s="5">
        <v>71103</v>
      </c>
      <c r="C132" s="5">
        <v>14319</v>
      </c>
      <c r="D132" s="5">
        <v>14740</v>
      </c>
      <c r="E132" s="5" t="e">
        <f>VLOOKUP(count[[#This Row],[hwycov_id]],check!$A$2:$P$26,16,FALSE)</f>
        <v>#N/A</v>
      </c>
    </row>
    <row r="133" spans="1:5" x14ac:dyDescent="0.25">
      <c r="A133">
        <v>8846</v>
      </c>
      <c r="B133" s="5">
        <v>70330</v>
      </c>
      <c r="C133" s="5">
        <v>11625</v>
      </c>
      <c r="D133" s="5">
        <v>15630</v>
      </c>
      <c r="E133" s="5" t="e">
        <f>VLOOKUP(count[[#This Row],[hwycov_id]],check!$A$2:$P$26,16,FALSE)</f>
        <v>#N/A</v>
      </c>
    </row>
    <row r="134" spans="1:5" x14ac:dyDescent="0.25">
      <c r="A134">
        <v>8887</v>
      </c>
      <c r="B134" s="5">
        <v>98439</v>
      </c>
      <c r="C134" s="5">
        <v>17670</v>
      </c>
      <c r="D134" s="5">
        <v>22081</v>
      </c>
      <c r="E134" s="5" t="e">
        <f>VLOOKUP(count[[#This Row],[hwycov_id]],check!$A$2:$P$26,16,FALSE)</f>
        <v>#N/A</v>
      </c>
    </row>
    <row r="135" spans="1:5" x14ac:dyDescent="0.25">
      <c r="A135">
        <v>8896</v>
      </c>
      <c r="B135" s="5">
        <v>77611</v>
      </c>
      <c r="C135" s="5">
        <v>12605</v>
      </c>
      <c r="D135" s="5">
        <v>18088</v>
      </c>
      <c r="E135" s="5" t="e">
        <f>VLOOKUP(count[[#This Row],[hwycov_id]],check!$A$2:$P$26,16,FALSE)</f>
        <v>#N/A</v>
      </c>
    </row>
    <row r="136" spans="1:5" x14ac:dyDescent="0.25">
      <c r="A136">
        <v>8921</v>
      </c>
      <c r="B136" s="5">
        <v>63464</v>
      </c>
      <c r="C136" s="5">
        <v>12834</v>
      </c>
      <c r="D136" s="5">
        <v>14365</v>
      </c>
      <c r="E136" s="5" t="e">
        <f>VLOOKUP(count[[#This Row],[hwycov_id]],check!$A$2:$P$26,16,FALSE)</f>
        <v>#N/A</v>
      </c>
    </row>
    <row r="137" spans="1:5" x14ac:dyDescent="0.25">
      <c r="A137">
        <v>8933</v>
      </c>
      <c r="B137" s="5">
        <v>94969</v>
      </c>
      <c r="C137" s="5">
        <v>13031</v>
      </c>
      <c r="D137" s="5">
        <v>25927</v>
      </c>
      <c r="E137" s="5" t="e">
        <f>VLOOKUP(count[[#This Row],[hwycov_id]],check!$A$2:$P$26,16,FALSE)</f>
        <v>#N/A</v>
      </c>
    </row>
    <row r="138" spans="1:5" x14ac:dyDescent="0.25">
      <c r="A138">
        <v>8938</v>
      </c>
      <c r="B138" s="5">
        <v>84605</v>
      </c>
      <c r="C138" s="5">
        <v>13742</v>
      </c>
      <c r="D138" s="5">
        <v>20263</v>
      </c>
      <c r="E138" s="5" t="e">
        <f>VLOOKUP(count[[#This Row],[hwycov_id]],check!$A$2:$P$26,16,FALSE)</f>
        <v>#N/A</v>
      </c>
    </row>
    <row r="139" spans="1:5" x14ac:dyDescent="0.25">
      <c r="A139">
        <v>8939</v>
      </c>
      <c r="B139" s="5">
        <v>94850</v>
      </c>
      <c r="C139" s="5">
        <v>18812</v>
      </c>
      <c r="D139" s="5">
        <v>20064</v>
      </c>
      <c r="E139" s="5" t="e">
        <f>VLOOKUP(count[[#This Row],[hwycov_id]],check!$A$2:$P$26,16,FALSE)</f>
        <v>#N/A</v>
      </c>
    </row>
    <row r="140" spans="1:5" x14ac:dyDescent="0.25">
      <c r="A140">
        <v>8968</v>
      </c>
      <c r="B140" s="5">
        <v>82699</v>
      </c>
      <c r="C140" s="5">
        <v>10308</v>
      </c>
      <c r="D140" s="5">
        <v>21325</v>
      </c>
      <c r="E140" s="5" t="e">
        <f>VLOOKUP(count[[#This Row],[hwycov_id]],check!$A$2:$P$26,16,FALSE)</f>
        <v>#N/A</v>
      </c>
    </row>
    <row r="141" spans="1:5" x14ac:dyDescent="0.25">
      <c r="A141">
        <v>8977</v>
      </c>
      <c r="B141" s="5">
        <v>89981</v>
      </c>
      <c r="C141" s="5">
        <v>19155</v>
      </c>
      <c r="D141" s="5">
        <v>17762</v>
      </c>
      <c r="E141" s="5" t="e">
        <f>VLOOKUP(count[[#This Row],[hwycov_id]],check!$A$2:$P$26,16,FALSE)</f>
        <v>#N/A</v>
      </c>
    </row>
    <row r="142" spans="1:5" x14ac:dyDescent="0.25">
      <c r="A142">
        <v>9012</v>
      </c>
      <c r="B142" s="5">
        <v>17181</v>
      </c>
      <c r="C142" s="5">
        <v>2521</v>
      </c>
      <c r="D142" s="5">
        <v>5914</v>
      </c>
      <c r="E142" s="5" t="e">
        <f>VLOOKUP(count[[#This Row],[hwycov_id]],check!$A$2:$P$26,16,FALSE)</f>
        <v>#N/A</v>
      </c>
    </row>
    <row r="143" spans="1:5" x14ac:dyDescent="0.25">
      <c r="A143">
        <v>9025</v>
      </c>
      <c r="B143" s="5">
        <v>102699</v>
      </c>
      <c r="C143" s="5">
        <v>17176</v>
      </c>
      <c r="D143" s="5">
        <v>21835</v>
      </c>
      <c r="E143" s="5" t="e">
        <f>VLOOKUP(count[[#This Row],[hwycov_id]],check!$A$2:$P$26,16,FALSE)</f>
        <v>#N/A</v>
      </c>
    </row>
    <row r="144" spans="1:5" x14ac:dyDescent="0.25">
      <c r="A144">
        <v>9028</v>
      </c>
      <c r="B144" s="5">
        <v>52885</v>
      </c>
      <c r="C144" s="5">
        <v>5614</v>
      </c>
      <c r="D144" s="5">
        <v>16332</v>
      </c>
      <c r="E144" s="5" t="e">
        <f>VLOOKUP(count[[#This Row],[hwycov_id]],check!$A$2:$P$26,16,FALSE)</f>
        <v>#N/A</v>
      </c>
    </row>
    <row r="145" spans="1:5" x14ac:dyDescent="0.25">
      <c r="A145">
        <v>9029</v>
      </c>
      <c r="B145" s="5">
        <v>53597</v>
      </c>
      <c r="C145" s="5">
        <v>14286</v>
      </c>
      <c r="D145" s="5">
        <v>8432</v>
      </c>
      <c r="E145" s="5" t="e">
        <f>VLOOKUP(count[[#This Row],[hwycov_id]],check!$A$2:$P$26,16,FALSE)</f>
        <v>#N/A</v>
      </c>
    </row>
    <row r="146" spans="1:5" x14ac:dyDescent="0.25">
      <c r="A146">
        <v>9033</v>
      </c>
      <c r="B146" s="5">
        <v>37462</v>
      </c>
      <c r="C146" s="5">
        <v>7851</v>
      </c>
      <c r="D146" s="5">
        <v>8372</v>
      </c>
      <c r="E146" s="5" t="e">
        <f>VLOOKUP(count[[#This Row],[hwycov_id]],check!$A$2:$P$26,16,FALSE)</f>
        <v>#N/A</v>
      </c>
    </row>
    <row r="147" spans="1:5" x14ac:dyDescent="0.25">
      <c r="A147">
        <v>9036</v>
      </c>
      <c r="B147" s="5">
        <v>37734</v>
      </c>
      <c r="C147" s="5">
        <v>5614</v>
      </c>
      <c r="D147" s="5">
        <v>10194</v>
      </c>
      <c r="E147" s="5" t="e">
        <f>VLOOKUP(count[[#This Row],[hwycov_id]],check!$A$2:$P$26,16,FALSE)</f>
        <v>#N/A</v>
      </c>
    </row>
    <row r="148" spans="1:5" x14ac:dyDescent="0.25">
      <c r="A148">
        <v>9142</v>
      </c>
      <c r="B148" s="5">
        <v>12993</v>
      </c>
      <c r="C148" s="5">
        <v>2265</v>
      </c>
      <c r="D148" s="5">
        <v>4233</v>
      </c>
      <c r="E148" s="5" t="e">
        <f>VLOOKUP(count[[#This Row],[hwycov_id]],check!$A$2:$P$26,16,FALSE)</f>
        <v>#N/A</v>
      </c>
    </row>
    <row r="149" spans="1:5" x14ac:dyDescent="0.25">
      <c r="A149">
        <v>9143</v>
      </c>
      <c r="B149" s="5">
        <v>14591</v>
      </c>
      <c r="C149" s="5">
        <v>4445</v>
      </c>
      <c r="D149" s="5">
        <v>3009</v>
      </c>
      <c r="E149" s="5" t="e">
        <f>VLOOKUP(count[[#This Row],[hwycov_id]],check!$A$2:$P$26,16,FALSE)</f>
        <v>#N/A</v>
      </c>
    </row>
    <row r="150" spans="1:5" x14ac:dyDescent="0.25">
      <c r="A150">
        <v>9252</v>
      </c>
      <c r="B150" s="5">
        <v>59038</v>
      </c>
      <c r="C150" s="5">
        <v>8586</v>
      </c>
      <c r="D150" s="5">
        <v>14109</v>
      </c>
      <c r="E150" s="5" t="e">
        <f>VLOOKUP(count[[#This Row],[hwycov_id]],check!$A$2:$P$26,16,FALSE)</f>
        <v>#N/A</v>
      </c>
    </row>
    <row r="151" spans="1:5" x14ac:dyDescent="0.25">
      <c r="A151">
        <v>9333</v>
      </c>
      <c r="B151" s="5">
        <v>93785</v>
      </c>
      <c r="C151" s="5">
        <v>23022</v>
      </c>
      <c r="D151" s="5">
        <v>17283</v>
      </c>
      <c r="E151" s="5" t="e">
        <f>VLOOKUP(count[[#This Row],[hwycov_id]],check!$A$2:$P$26,16,FALSE)</f>
        <v>#N/A</v>
      </c>
    </row>
    <row r="152" spans="1:5" x14ac:dyDescent="0.25">
      <c r="A152">
        <v>9335</v>
      </c>
      <c r="B152" s="5">
        <v>97308</v>
      </c>
      <c r="C152" s="5">
        <v>15729</v>
      </c>
      <c r="D152" s="5">
        <v>25927</v>
      </c>
      <c r="E152" s="5" t="e">
        <f>VLOOKUP(count[[#This Row],[hwycov_id]],check!$A$2:$P$26,16,FALSE)</f>
        <v>#N/A</v>
      </c>
    </row>
    <row r="153" spans="1:5" x14ac:dyDescent="0.25">
      <c r="A153">
        <v>9336</v>
      </c>
      <c r="B153" s="5">
        <v>102064</v>
      </c>
      <c r="C153" s="5">
        <v>24543</v>
      </c>
      <c r="D153" s="5">
        <v>19197</v>
      </c>
      <c r="E153" s="5" t="e">
        <f>VLOOKUP(count[[#This Row],[hwycov_id]],check!$A$2:$P$26,16,FALSE)</f>
        <v>#N/A</v>
      </c>
    </row>
    <row r="154" spans="1:5" x14ac:dyDescent="0.25">
      <c r="A154">
        <v>9337</v>
      </c>
      <c r="B154" s="5">
        <v>87488</v>
      </c>
      <c r="C154" s="5">
        <v>20367</v>
      </c>
      <c r="D154" s="5">
        <v>16666</v>
      </c>
      <c r="E154" s="5" t="e">
        <f>VLOOKUP(count[[#This Row],[hwycov_id]],check!$A$2:$P$26,16,FALSE)</f>
        <v>#N/A</v>
      </c>
    </row>
    <row r="155" spans="1:5" x14ac:dyDescent="0.25">
      <c r="A155">
        <v>9338</v>
      </c>
      <c r="B155" s="5">
        <v>104166</v>
      </c>
      <c r="C155" s="5">
        <v>17115</v>
      </c>
      <c r="D155" s="5">
        <v>26056</v>
      </c>
      <c r="E155" s="5" t="e">
        <f>VLOOKUP(count[[#This Row],[hwycov_id]],check!$A$2:$P$26,16,FALSE)</f>
        <v>#N/A</v>
      </c>
    </row>
    <row r="156" spans="1:5" x14ac:dyDescent="0.25">
      <c r="A156">
        <v>9342</v>
      </c>
      <c r="B156" s="5">
        <v>95277</v>
      </c>
      <c r="C156" s="5">
        <v>21507</v>
      </c>
      <c r="D156" s="5">
        <v>19169</v>
      </c>
      <c r="E156" s="5" t="e">
        <f>VLOOKUP(count[[#This Row],[hwycov_id]],check!$A$2:$P$26,16,FALSE)</f>
        <v>#N/A</v>
      </c>
    </row>
    <row r="157" spans="1:5" x14ac:dyDescent="0.25">
      <c r="A157">
        <v>9343</v>
      </c>
      <c r="B157" s="5">
        <v>87452</v>
      </c>
      <c r="C157" s="5">
        <v>15234</v>
      </c>
      <c r="D157" s="5">
        <v>19933</v>
      </c>
      <c r="E157" s="5" t="e">
        <f>VLOOKUP(count[[#This Row],[hwycov_id]],check!$A$2:$P$26,16,FALSE)</f>
        <v>#N/A</v>
      </c>
    </row>
    <row r="158" spans="1:5" x14ac:dyDescent="0.25">
      <c r="A158">
        <v>9483</v>
      </c>
      <c r="B158" s="5">
        <v>4818</v>
      </c>
      <c r="C158" s="5">
        <v>500</v>
      </c>
      <c r="D158" s="5">
        <v>1769</v>
      </c>
      <c r="E158" s="5" t="e">
        <f>VLOOKUP(count[[#This Row],[hwycov_id]],check!$A$2:$P$26,16,FALSE)</f>
        <v>#N/A</v>
      </c>
    </row>
    <row r="159" spans="1:5" x14ac:dyDescent="0.25">
      <c r="A159">
        <v>9488</v>
      </c>
      <c r="B159" s="5">
        <v>4893</v>
      </c>
      <c r="C159" s="5">
        <v>1728</v>
      </c>
      <c r="D159" s="5">
        <v>757</v>
      </c>
      <c r="E159" s="5" t="e">
        <f>VLOOKUP(count[[#This Row],[hwycov_id]],check!$A$2:$P$26,16,FALSE)</f>
        <v>#N/A</v>
      </c>
    </row>
    <row r="160" spans="1:5" x14ac:dyDescent="0.25">
      <c r="A160">
        <v>9509</v>
      </c>
      <c r="B160" s="5">
        <v>6412</v>
      </c>
      <c r="C160" s="5">
        <v>1379</v>
      </c>
      <c r="D160" s="5">
        <v>1877</v>
      </c>
      <c r="E160" s="5" t="e">
        <f>VLOOKUP(count[[#This Row],[hwycov_id]],check!$A$2:$P$26,16,FALSE)</f>
        <v>#N/A</v>
      </c>
    </row>
    <row r="161" spans="1:5" x14ac:dyDescent="0.25">
      <c r="A161">
        <v>9510</v>
      </c>
      <c r="B161" s="5">
        <v>6601</v>
      </c>
      <c r="C161" s="5">
        <v>1923</v>
      </c>
      <c r="D161" s="5">
        <v>1552</v>
      </c>
      <c r="E161" s="5" t="e">
        <f>VLOOKUP(count[[#This Row],[hwycov_id]],check!$A$2:$P$26,16,FALSE)</f>
        <v>#N/A</v>
      </c>
    </row>
    <row r="162" spans="1:5" x14ac:dyDescent="0.25">
      <c r="A162">
        <v>9516</v>
      </c>
      <c r="B162" s="5">
        <v>9252</v>
      </c>
      <c r="C162" s="5">
        <v>1902</v>
      </c>
      <c r="D162" s="5">
        <v>2769</v>
      </c>
      <c r="E162" s="5" t="e">
        <f>VLOOKUP(count[[#This Row],[hwycov_id]],check!$A$2:$P$26,16,FALSE)</f>
        <v>#N/A</v>
      </c>
    </row>
    <row r="163" spans="1:5" x14ac:dyDescent="0.25">
      <c r="A163">
        <v>9519</v>
      </c>
      <c r="B163" s="5">
        <v>10237</v>
      </c>
      <c r="C163" s="5">
        <v>2982</v>
      </c>
      <c r="D163" s="5">
        <v>2321</v>
      </c>
      <c r="E163" s="5" t="e">
        <f>VLOOKUP(count[[#This Row],[hwycov_id]],check!$A$2:$P$26,16,FALSE)</f>
        <v>#N/A</v>
      </c>
    </row>
    <row r="164" spans="1:5" x14ac:dyDescent="0.25">
      <c r="A164">
        <v>9903</v>
      </c>
      <c r="B164" s="5">
        <v>40484</v>
      </c>
      <c r="C164" s="5">
        <v>9020</v>
      </c>
      <c r="D164" s="5">
        <v>7641</v>
      </c>
      <c r="E164" s="5" t="e">
        <f>VLOOKUP(count[[#This Row],[hwycov_id]],check!$A$2:$P$26,16,FALSE)</f>
        <v>#N/A</v>
      </c>
    </row>
    <row r="165" spans="1:5" x14ac:dyDescent="0.25">
      <c r="A165">
        <v>9904</v>
      </c>
      <c r="B165" s="5">
        <v>46031</v>
      </c>
      <c r="C165" s="5">
        <v>5909</v>
      </c>
      <c r="D165" s="5">
        <v>11558</v>
      </c>
      <c r="E165" s="5" t="e">
        <f>VLOOKUP(count[[#This Row],[hwycov_id]],check!$A$2:$P$26,16,FALSE)</f>
        <v>#N/A</v>
      </c>
    </row>
    <row r="166" spans="1:5" x14ac:dyDescent="0.25">
      <c r="A166">
        <v>10002</v>
      </c>
      <c r="B166" s="5">
        <v>28666</v>
      </c>
      <c r="C166" s="5">
        <v>3887</v>
      </c>
      <c r="D166" s="5">
        <v>6111</v>
      </c>
      <c r="E166" s="5" t="e">
        <f>VLOOKUP(count[[#This Row],[hwycov_id]],check!$A$2:$P$26,16,FALSE)</f>
        <v>#N/A</v>
      </c>
    </row>
    <row r="167" spans="1:5" x14ac:dyDescent="0.25">
      <c r="A167">
        <v>10003</v>
      </c>
      <c r="B167" s="5">
        <v>19207</v>
      </c>
      <c r="C167" s="5">
        <v>2685</v>
      </c>
      <c r="D167" s="5">
        <v>4947</v>
      </c>
      <c r="E167" s="5" t="e">
        <f>VLOOKUP(count[[#This Row],[hwycov_id]],check!$A$2:$P$26,16,FALSE)</f>
        <v>#N/A</v>
      </c>
    </row>
    <row r="168" spans="1:5" x14ac:dyDescent="0.25">
      <c r="A168">
        <v>10015</v>
      </c>
      <c r="B168" s="5">
        <v>21531</v>
      </c>
      <c r="C168" s="5">
        <v>3645</v>
      </c>
      <c r="D168" s="5">
        <v>3469</v>
      </c>
      <c r="E168" s="5" t="e">
        <f>VLOOKUP(count[[#This Row],[hwycov_id]],check!$A$2:$P$26,16,FALSE)</f>
        <v>#N/A</v>
      </c>
    </row>
    <row r="169" spans="1:5" x14ac:dyDescent="0.25">
      <c r="A169">
        <v>10016</v>
      </c>
      <c r="B169" s="5">
        <v>13427</v>
      </c>
      <c r="C169" s="5">
        <v>1175</v>
      </c>
      <c r="D169" s="5">
        <v>4282</v>
      </c>
      <c r="E169" s="5" t="e">
        <f>VLOOKUP(count[[#This Row],[hwycov_id]],check!$A$2:$P$26,16,FALSE)</f>
        <v>#N/A</v>
      </c>
    </row>
    <row r="170" spans="1:5" x14ac:dyDescent="0.25">
      <c r="A170">
        <v>10255</v>
      </c>
      <c r="B170" s="5">
        <v>17200</v>
      </c>
      <c r="C170" s="5">
        <v>5567</v>
      </c>
      <c r="D170" s="5">
        <v>3276</v>
      </c>
      <c r="E170" s="5" t="e">
        <f>VLOOKUP(count[[#This Row],[hwycov_id]],check!$A$2:$P$26,16,FALSE)</f>
        <v>#N/A</v>
      </c>
    </row>
    <row r="171" spans="1:5" x14ac:dyDescent="0.25">
      <c r="A171">
        <v>10257</v>
      </c>
      <c r="B171" s="5">
        <v>19075</v>
      </c>
      <c r="C171" s="5">
        <v>6304</v>
      </c>
      <c r="D171" s="5">
        <v>3565</v>
      </c>
      <c r="E171" s="5" t="e">
        <f>VLOOKUP(count[[#This Row],[hwycov_id]],check!$A$2:$P$26,16,FALSE)</f>
        <v>#N/A</v>
      </c>
    </row>
    <row r="172" spans="1:5" x14ac:dyDescent="0.25">
      <c r="A172">
        <v>10859</v>
      </c>
      <c r="B172" s="5">
        <v>116070</v>
      </c>
      <c r="C172" s="5">
        <v>20298</v>
      </c>
      <c r="D172" s="5">
        <v>27727</v>
      </c>
      <c r="E172" s="5" t="e">
        <f>VLOOKUP(count[[#This Row],[hwycov_id]],check!$A$2:$P$26,16,FALSE)</f>
        <v>#N/A</v>
      </c>
    </row>
    <row r="173" spans="1:5" x14ac:dyDescent="0.25">
      <c r="A173">
        <v>10965</v>
      </c>
      <c r="B173" s="5">
        <v>96915</v>
      </c>
      <c r="C173" s="5">
        <v>17016</v>
      </c>
      <c r="D173" s="5">
        <v>21538</v>
      </c>
      <c r="E173" s="5" t="e">
        <f>VLOOKUP(count[[#This Row],[hwycov_id]],check!$A$2:$P$26,16,FALSE)</f>
        <v>#N/A</v>
      </c>
    </row>
    <row r="174" spans="1:5" x14ac:dyDescent="0.25">
      <c r="A174">
        <v>10966</v>
      </c>
      <c r="B174" s="5">
        <v>100589</v>
      </c>
      <c r="C174" s="5">
        <v>18600</v>
      </c>
      <c r="D174" s="5">
        <v>21345</v>
      </c>
      <c r="E174" s="5" t="e">
        <f>VLOOKUP(count[[#This Row],[hwycov_id]],check!$A$2:$P$26,16,FALSE)</f>
        <v>#N/A</v>
      </c>
    </row>
    <row r="175" spans="1:5" x14ac:dyDescent="0.25">
      <c r="A175">
        <v>10968</v>
      </c>
      <c r="B175" s="5">
        <v>97398</v>
      </c>
      <c r="C175" s="5">
        <v>16476</v>
      </c>
      <c r="D175" s="5">
        <v>21111</v>
      </c>
      <c r="E175" s="5" t="e">
        <f>VLOOKUP(count[[#This Row],[hwycov_id]],check!$A$2:$P$26,16,FALSE)</f>
        <v>#N/A</v>
      </c>
    </row>
    <row r="176" spans="1:5" x14ac:dyDescent="0.25">
      <c r="A176">
        <v>10969</v>
      </c>
      <c r="B176" s="5">
        <v>89276</v>
      </c>
      <c r="C176" s="5">
        <v>17316</v>
      </c>
      <c r="D176" s="5">
        <v>18852</v>
      </c>
      <c r="E176" s="5" t="e">
        <f>VLOOKUP(count[[#This Row],[hwycov_id]],check!$A$2:$P$26,16,FALSE)</f>
        <v>#N/A</v>
      </c>
    </row>
    <row r="177" spans="1:5" x14ac:dyDescent="0.25">
      <c r="A177">
        <v>10981</v>
      </c>
      <c r="B177" s="5">
        <v>113479</v>
      </c>
      <c r="C177" s="5">
        <v>23118</v>
      </c>
      <c r="D177" s="5">
        <v>23960</v>
      </c>
      <c r="E177" s="5" t="e">
        <f>VLOOKUP(count[[#This Row],[hwycov_id]],check!$A$2:$P$26,16,FALSE)</f>
        <v>#N/A</v>
      </c>
    </row>
    <row r="178" spans="1:5" x14ac:dyDescent="0.25">
      <c r="A178">
        <v>10991</v>
      </c>
      <c r="B178" s="5">
        <v>76453</v>
      </c>
      <c r="C178" s="5">
        <v>17589</v>
      </c>
      <c r="D178" s="5">
        <v>15322</v>
      </c>
      <c r="E178" s="5" t="e">
        <f>VLOOKUP(count[[#This Row],[hwycov_id]],check!$A$2:$P$26,16,FALSE)</f>
        <v>#N/A</v>
      </c>
    </row>
    <row r="179" spans="1:5" x14ac:dyDescent="0.25">
      <c r="A179">
        <v>10994</v>
      </c>
      <c r="B179" s="5">
        <v>85458</v>
      </c>
      <c r="C179" s="5">
        <v>19443</v>
      </c>
      <c r="D179" s="5">
        <v>17300</v>
      </c>
      <c r="E179" s="5" t="e">
        <f>VLOOKUP(count[[#This Row],[hwycov_id]],check!$A$2:$P$26,16,FALSE)</f>
        <v>#N/A</v>
      </c>
    </row>
    <row r="180" spans="1:5" x14ac:dyDescent="0.25">
      <c r="A180">
        <v>10996</v>
      </c>
      <c r="B180" s="5">
        <v>125503</v>
      </c>
      <c r="C180" s="5">
        <v>13738</v>
      </c>
      <c r="D180" s="5">
        <v>32396</v>
      </c>
      <c r="E180" s="5" t="e">
        <f>VLOOKUP(count[[#This Row],[hwycov_id]],check!$A$2:$P$26,16,FALSE)</f>
        <v>#N/A</v>
      </c>
    </row>
    <row r="181" spans="1:5" x14ac:dyDescent="0.25">
      <c r="A181">
        <v>10998</v>
      </c>
      <c r="B181" s="5">
        <v>130093</v>
      </c>
      <c r="C181" s="5">
        <v>29396</v>
      </c>
      <c r="D181" s="5">
        <v>26003</v>
      </c>
      <c r="E181" s="5" t="e">
        <f>VLOOKUP(count[[#This Row],[hwycov_id]],check!$A$2:$P$26,16,FALSE)</f>
        <v>#N/A</v>
      </c>
    </row>
    <row r="182" spans="1:5" x14ac:dyDescent="0.25">
      <c r="A182">
        <v>11035</v>
      </c>
      <c r="B182" s="5">
        <v>100329</v>
      </c>
      <c r="C182" s="5">
        <v>11787</v>
      </c>
      <c r="D182" s="5">
        <v>27861</v>
      </c>
      <c r="E182" s="5" t="e">
        <f>VLOOKUP(count[[#This Row],[hwycov_id]],check!$A$2:$P$26,16,FALSE)</f>
        <v>#N/A</v>
      </c>
    </row>
    <row r="183" spans="1:5" x14ac:dyDescent="0.25">
      <c r="A183">
        <v>11054</v>
      </c>
      <c r="B183" s="5">
        <v>88226</v>
      </c>
      <c r="C183" s="5">
        <v>12999</v>
      </c>
      <c r="D183" s="5">
        <v>22190</v>
      </c>
      <c r="E183" s="5" t="e">
        <f>VLOOKUP(count[[#This Row],[hwycov_id]],check!$A$2:$P$26,16,FALSE)</f>
        <v>#N/A</v>
      </c>
    </row>
    <row r="184" spans="1:5" x14ac:dyDescent="0.25">
      <c r="A184">
        <v>11055</v>
      </c>
      <c r="B184" s="5">
        <v>83089</v>
      </c>
      <c r="C184" s="5">
        <v>11958</v>
      </c>
      <c r="D184" s="5">
        <v>21209</v>
      </c>
      <c r="E184" s="5" t="e">
        <f>VLOOKUP(count[[#This Row],[hwycov_id]],check!$A$2:$P$26,16,FALSE)</f>
        <v>#N/A</v>
      </c>
    </row>
    <row r="185" spans="1:5" x14ac:dyDescent="0.25">
      <c r="A185">
        <v>11056</v>
      </c>
      <c r="B185" s="5">
        <v>87974</v>
      </c>
      <c r="C185" s="5">
        <v>18087</v>
      </c>
      <c r="D185" s="5">
        <v>19030</v>
      </c>
      <c r="E185" s="5" t="e">
        <f>VLOOKUP(count[[#This Row],[hwycov_id]],check!$A$2:$P$26,16,FALSE)</f>
        <v>#N/A</v>
      </c>
    </row>
    <row r="186" spans="1:5" x14ac:dyDescent="0.25">
      <c r="A186">
        <v>11095</v>
      </c>
      <c r="B186" s="5">
        <v>48677</v>
      </c>
      <c r="C186" s="5">
        <v>8676</v>
      </c>
      <c r="D186" s="5">
        <v>11876</v>
      </c>
      <c r="E186" s="5" t="e">
        <f>VLOOKUP(count[[#This Row],[hwycov_id]],check!$A$2:$P$26,16,FALSE)</f>
        <v>#N/A</v>
      </c>
    </row>
    <row r="187" spans="1:5" x14ac:dyDescent="0.25">
      <c r="A187">
        <v>11106</v>
      </c>
      <c r="B187" s="5">
        <v>59604</v>
      </c>
      <c r="C187" s="5">
        <v>15594</v>
      </c>
      <c r="D187" s="5">
        <v>11783</v>
      </c>
      <c r="E187" s="5" t="e">
        <f>VLOOKUP(count[[#This Row],[hwycov_id]],check!$A$2:$P$26,16,FALSE)</f>
        <v>#N/A</v>
      </c>
    </row>
    <row r="188" spans="1:5" x14ac:dyDescent="0.25">
      <c r="A188">
        <v>11123</v>
      </c>
      <c r="B188" s="5">
        <v>44181</v>
      </c>
      <c r="C188" s="5">
        <v>10763</v>
      </c>
      <c r="D188" s="5">
        <v>7477</v>
      </c>
      <c r="E188" s="5" t="e">
        <f>VLOOKUP(count[[#This Row],[hwycov_id]],check!$A$2:$P$26,16,FALSE)</f>
        <v>#N/A</v>
      </c>
    </row>
    <row r="189" spans="1:5" x14ac:dyDescent="0.25">
      <c r="A189">
        <v>11124</v>
      </c>
      <c r="B189" s="5">
        <v>45213</v>
      </c>
      <c r="C189" s="5">
        <v>4965</v>
      </c>
      <c r="D189" s="5">
        <v>14494</v>
      </c>
      <c r="E189" s="5" t="e">
        <f>VLOOKUP(count[[#This Row],[hwycov_id]],check!$A$2:$P$26,16,FALSE)</f>
        <v>#N/A</v>
      </c>
    </row>
    <row r="190" spans="1:5" x14ac:dyDescent="0.25">
      <c r="A190">
        <v>11263</v>
      </c>
      <c r="B190" s="5">
        <v>94743</v>
      </c>
      <c r="C190" s="5">
        <v>19244</v>
      </c>
      <c r="D190" s="5">
        <v>20551</v>
      </c>
      <c r="E190" s="5" t="e">
        <f>VLOOKUP(count[[#This Row],[hwycov_id]],check!$A$2:$P$26,16,FALSE)</f>
        <v>#N/A</v>
      </c>
    </row>
    <row r="191" spans="1:5" x14ac:dyDescent="0.25">
      <c r="A191">
        <v>11266</v>
      </c>
      <c r="B191" s="5">
        <v>122404</v>
      </c>
      <c r="C191" s="5">
        <v>24831</v>
      </c>
      <c r="D191" s="5">
        <v>26051</v>
      </c>
      <c r="E191" s="5" t="e">
        <f>VLOOKUP(count[[#This Row],[hwycov_id]],check!$A$2:$P$26,16,FALSE)</f>
        <v>#N/A</v>
      </c>
    </row>
    <row r="192" spans="1:5" x14ac:dyDescent="0.25">
      <c r="A192">
        <v>11268</v>
      </c>
      <c r="B192" s="5">
        <v>119499</v>
      </c>
      <c r="C192" s="5">
        <v>16619</v>
      </c>
      <c r="D192" s="5">
        <v>30620</v>
      </c>
      <c r="E192" s="5" t="e">
        <f>VLOOKUP(count[[#This Row],[hwycov_id]],check!$A$2:$P$26,16,FALSE)</f>
        <v>#N/A</v>
      </c>
    </row>
    <row r="193" spans="1:5" x14ac:dyDescent="0.25">
      <c r="A193">
        <v>11284</v>
      </c>
      <c r="B193" s="5">
        <v>25775</v>
      </c>
      <c r="C193" s="5">
        <v>4473</v>
      </c>
      <c r="D193" s="5">
        <v>6385</v>
      </c>
      <c r="E193" s="5" t="e">
        <f>VLOOKUP(count[[#This Row],[hwycov_id]],check!$A$2:$P$26,16,FALSE)</f>
        <v>#N/A</v>
      </c>
    </row>
    <row r="194" spans="1:5" x14ac:dyDescent="0.25">
      <c r="A194">
        <v>11291</v>
      </c>
      <c r="B194" s="5">
        <v>39451</v>
      </c>
      <c r="C194" s="5">
        <v>8829</v>
      </c>
      <c r="D194" s="5">
        <v>8079</v>
      </c>
      <c r="E194" s="5" t="e">
        <f>VLOOKUP(count[[#This Row],[hwycov_id]],check!$A$2:$P$26,16,FALSE)</f>
        <v>#N/A</v>
      </c>
    </row>
    <row r="195" spans="1:5" x14ac:dyDescent="0.25">
      <c r="A195">
        <v>11294</v>
      </c>
      <c r="B195" s="5">
        <v>45152</v>
      </c>
      <c r="C195" s="5">
        <v>8385</v>
      </c>
      <c r="D195" s="5">
        <v>9706</v>
      </c>
      <c r="E195" s="5" t="e">
        <f>VLOOKUP(count[[#This Row],[hwycov_id]],check!$A$2:$P$26,16,FALSE)</f>
        <v>#N/A</v>
      </c>
    </row>
    <row r="196" spans="1:5" x14ac:dyDescent="0.25">
      <c r="A196">
        <v>11296</v>
      </c>
      <c r="B196" s="5">
        <v>91937</v>
      </c>
      <c r="C196" s="5">
        <v>18472</v>
      </c>
      <c r="D196" s="5">
        <v>20112</v>
      </c>
      <c r="E196" s="5" t="e">
        <f>VLOOKUP(count[[#This Row],[hwycov_id]],check!$A$2:$P$26,16,FALSE)</f>
        <v>#N/A</v>
      </c>
    </row>
    <row r="197" spans="1:5" x14ac:dyDescent="0.25">
      <c r="A197">
        <v>11297</v>
      </c>
      <c r="B197" s="5">
        <v>90161</v>
      </c>
      <c r="C197" s="5">
        <v>15340</v>
      </c>
      <c r="D197" s="5">
        <v>21376</v>
      </c>
      <c r="E197" s="5" t="e">
        <f>VLOOKUP(count[[#This Row],[hwycov_id]],check!$A$2:$P$26,16,FALSE)</f>
        <v>#N/A</v>
      </c>
    </row>
    <row r="198" spans="1:5" x14ac:dyDescent="0.25">
      <c r="A198">
        <v>11327</v>
      </c>
      <c r="B198" s="5">
        <v>64863</v>
      </c>
      <c r="C198" s="5">
        <v>12129</v>
      </c>
      <c r="D198" s="5">
        <v>14761</v>
      </c>
      <c r="E198" s="5" t="e">
        <f>VLOOKUP(count[[#This Row],[hwycov_id]],check!$A$2:$P$26,16,FALSE)</f>
        <v>#N/A</v>
      </c>
    </row>
    <row r="199" spans="1:5" x14ac:dyDescent="0.25">
      <c r="A199">
        <v>11382</v>
      </c>
      <c r="B199" s="5">
        <v>39215</v>
      </c>
      <c r="C199" s="5">
        <v>9586</v>
      </c>
      <c r="D199" s="5">
        <v>8306</v>
      </c>
      <c r="E199" s="5" t="e">
        <f>VLOOKUP(count[[#This Row],[hwycov_id]],check!$A$2:$P$26,16,FALSE)</f>
        <v>#N/A</v>
      </c>
    </row>
    <row r="200" spans="1:5" x14ac:dyDescent="0.25">
      <c r="A200">
        <v>11483</v>
      </c>
      <c r="B200" s="5">
        <v>62798</v>
      </c>
      <c r="C200" s="5">
        <v>10159</v>
      </c>
      <c r="D200" s="5">
        <v>19486</v>
      </c>
      <c r="E200" s="5" t="e">
        <f>VLOOKUP(count[[#This Row],[hwycov_id]],check!$A$2:$P$26,16,FALSE)</f>
        <v>#N/A</v>
      </c>
    </row>
    <row r="201" spans="1:5" x14ac:dyDescent="0.25">
      <c r="A201">
        <v>12007</v>
      </c>
      <c r="B201" s="5">
        <v>71833</v>
      </c>
      <c r="C201" s="5">
        <v>17832</v>
      </c>
      <c r="D201" s="5">
        <v>12911</v>
      </c>
      <c r="E201" s="5" t="e">
        <f>VLOOKUP(count[[#This Row],[hwycov_id]],check!$A$2:$P$26,16,FALSE)</f>
        <v>#N/A</v>
      </c>
    </row>
    <row r="202" spans="1:5" x14ac:dyDescent="0.25">
      <c r="A202">
        <v>12065</v>
      </c>
      <c r="B202" s="5">
        <v>32429</v>
      </c>
      <c r="C202" s="5">
        <v>4632</v>
      </c>
      <c r="D202" s="5">
        <v>9357</v>
      </c>
      <c r="E202" s="5" t="e">
        <f>VLOOKUP(count[[#This Row],[hwycov_id]],check!$A$2:$P$26,16,FALSE)</f>
        <v>#N/A</v>
      </c>
    </row>
    <row r="203" spans="1:5" x14ac:dyDescent="0.25">
      <c r="A203">
        <v>12242</v>
      </c>
      <c r="B203" s="5">
        <v>91650</v>
      </c>
      <c r="C203" s="5">
        <v>14865</v>
      </c>
      <c r="D203" s="5">
        <v>19400</v>
      </c>
      <c r="E203" s="5" t="e">
        <f>VLOOKUP(count[[#This Row],[hwycov_id]],check!$A$2:$P$26,16,FALSE)</f>
        <v>#N/A</v>
      </c>
    </row>
    <row r="204" spans="1:5" x14ac:dyDescent="0.25">
      <c r="A204">
        <v>12247</v>
      </c>
      <c r="B204" s="5">
        <v>99214</v>
      </c>
      <c r="C204" s="5">
        <v>16257</v>
      </c>
      <c r="D204" s="5">
        <v>20851</v>
      </c>
      <c r="E204" s="5" t="e">
        <f>VLOOKUP(count[[#This Row],[hwycov_id]],check!$A$2:$P$26,16,FALSE)</f>
        <v>#N/A</v>
      </c>
    </row>
    <row r="205" spans="1:5" x14ac:dyDescent="0.25">
      <c r="A205">
        <v>12253</v>
      </c>
      <c r="B205" s="5">
        <v>103471</v>
      </c>
      <c r="C205" s="5">
        <v>16318</v>
      </c>
      <c r="D205" s="5">
        <v>22843</v>
      </c>
      <c r="E205" s="5" t="e">
        <f>VLOOKUP(count[[#This Row],[hwycov_id]],check!$A$2:$P$26,16,FALSE)</f>
        <v>#N/A</v>
      </c>
    </row>
    <row r="206" spans="1:5" x14ac:dyDescent="0.25">
      <c r="A206">
        <v>12547</v>
      </c>
      <c r="B206" s="5">
        <v>53836</v>
      </c>
      <c r="C206" s="5">
        <v>10083</v>
      </c>
      <c r="D206" s="5">
        <v>11342</v>
      </c>
      <c r="E206" s="5" t="e">
        <f>VLOOKUP(count[[#This Row],[hwycov_id]],check!$A$2:$P$26,16,FALSE)</f>
        <v>#N/A</v>
      </c>
    </row>
    <row r="207" spans="1:5" x14ac:dyDescent="0.25">
      <c r="A207">
        <v>12571</v>
      </c>
      <c r="B207" s="5">
        <v>71153</v>
      </c>
      <c r="C207" s="5">
        <v>13662</v>
      </c>
      <c r="D207" s="5">
        <v>15506</v>
      </c>
      <c r="E207" s="5" t="e">
        <f>VLOOKUP(count[[#This Row],[hwycov_id]],check!$A$2:$P$26,16,FALSE)</f>
        <v>#N/A</v>
      </c>
    </row>
    <row r="208" spans="1:5" x14ac:dyDescent="0.25">
      <c r="A208">
        <v>12578</v>
      </c>
      <c r="B208" s="5">
        <v>54045</v>
      </c>
      <c r="C208" s="5">
        <v>10563</v>
      </c>
      <c r="D208" s="5">
        <v>11619</v>
      </c>
      <c r="E208" s="5" t="e">
        <f>VLOOKUP(count[[#This Row],[hwycov_id]],check!$A$2:$P$26,16,FALSE)</f>
        <v>#N/A</v>
      </c>
    </row>
    <row r="209" spans="1:5" x14ac:dyDescent="0.25">
      <c r="A209">
        <v>12579</v>
      </c>
      <c r="B209" s="5">
        <v>62593</v>
      </c>
      <c r="C209" s="5">
        <v>12039</v>
      </c>
      <c r="D209" s="5">
        <v>13550</v>
      </c>
      <c r="E209" s="5" t="e">
        <f>VLOOKUP(count[[#This Row],[hwycov_id]],check!$A$2:$P$26,16,FALSE)</f>
        <v>#N/A</v>
      </c>
    </row>
    <row r="210" spans="1:5" x14ac:dyDescent="0.25">
      <c r="A210">
        <v>12583</v>
      </c>
      <c r="B210" s="5">
        <v>90618</v>
      </c>
      <c r="C210" s="5">
        <v>17229</v>
      </c>
      <c r="D210" s="5">
        <v>16794</v>
      </c>
      <c r="E210" s="5" t="e">
        <f>VLOOKUP(count[[#This Row],[hwycov_id]],check!$A$2:$P$26,16,FALSE)</f>
        <v>#N/A</v>
      </c>
    </row>
    <row r="211" spans="1:5" x14ac:dyDescent="0.25">
      <c r="A211">
        <v>12589</v>
      </c>
      <c r="B211" s="5">
        <v>96480</v>
      </c>
      <c r="C211" s="5">
        <v>17847</v>
      </c>
      <c r="D211" s="5">
        <v>18348</v>
      </c>
      <c r="E211" s="5" t="e">
        <f>VLOOKUP(count[[#This Row],[hwycov_id]],check!$A$2:$P$26,16,FALSE)</f>
        <v>#N/A</v>
      </c>
    </row>
    <row r="212" spans="1:5" x14ac:dyDescent="0.25">
      <c r="A212">
        <v>12593</v>
      </c>
      <c r="B212" s="5">
        <v>99801</v>
      </c>
      <c r="C212" s="5">
        <v>13659</v>
      </c>
      <c r="D212" s="5">
        <v>23200</v>
      </c>
      <c r="E212" s="5" t="e">
        <f>VLOOKUP(count[[#This Row],[hwycov_id]],check!$A$2:$P$26,16,FALSE)</f>
        <v>#N/A</v>
      </c>
    </row>
    <row r="213" spans="1:5" x14ac:dyDescent="0.25">
      <c r="A213">
        <v>12749</v>
      </c>
      <c r="B213" s="5">
        <v>71776</v>
      </c>
      <c r="C213" s="5">
        <v>10041</v>
      </c>
      <c r="D213" s="5">
        <v>20202</v>
      </c>
      <c r="E213" s="5" t="e">
        <f>VLOOKUP(count[[#This Row],[hwycov_id]],check!$A$2:$P$26,16,FALSE)</f>
        <v>#N/A</v>
      </c>
    </row>
    <row r="214" spans="1:5" x14ac:dyDescent="0.25">
      <c r="A214">
        <v>12767</v>
      </c>
      <c r="B214" s="5">
        <v>74029</v>
      </c>
      <c r="C214" s="5">
        <v>8053</v>
      </c>
      <c r="D214" s="5">
        <v>19908</v>
      </c>
      <c r="E214" s="5" t="e">
        <f>VLOOKUP(count[[#This Row],[hwycov_id]],check!$A$2:$P$26,16,FALSE)</f>
        <v>#N/A</v>
      </c>
    </row>
    <row r="215" spans="1:5" x14ac:dyDescent="0.25">
      <c r="A215">
        <v>12768</v>
      </c>
      <c r="B215" s="5">
        <v>74223</v>
      </c>
      <c r="C215" s="5">
        <v>16633</v>
      </c>
      <c r="D215" s="5">
        <v>11896</v>
      </c>
      <c r="E215" s="5" t="e">
        <f>VLOOKUP(count[[#This Row],[hwycov_id]],check!$A$2:$P$26,16,FALSE)</f>
        <v>#N/A</v>
      </c>
    </row>
    <row r="216" spans="1:5" x14ac:dyDescent="0.25">
      <c r="A216">
        <v>12823</v>
      </c>
      <c r="B216" s="5">
        <v>39132</v>
      </c>
      <c r="C216" s="5">
        <v>7380</v>
      </c>
      <c r="D216" s="5">
        <v>8307</v>
      </c>
      <c r="E216" s="5" t="e">
        <f>VLOOKUP(count[[#This Row],[hwycov_id]],check!$A$2:$P$26,16,FALSE)</f>
        <v>#N/A</v>
      </c>
    </row>
    <row r="217" spans="1:5" x14ac:dyDescent="0.25">
      <c r="A217">
        <v>12830</v>
      </c>
      <c r="B217" s="5">
        <v>28222</v>
      </c>
      <c r="C217" s="5">
        <v>5388</v>
      </c>
      <c r="D217" s="5">
        <v>5770</v>
      </c>
      <c r="E217" s="5" t="e">
        <f>VLOOKUP(count[[#This Row],[hwycov_id]],check!$A$2:$P$26,16,FALSE)</f>
        <v>#N/A</v>
      </c>
    </row>
    <row r="218" spans="1:5" x14ac:dyDescent="0.25">
      <c r="A218">
        <v>12838</v>
      </c>
      <c r="B218" s="5">
        <v>89109</v>
      </c>
      <c r="C218" s="5">
        <v>14208</v>
      </c>
      <c r="D218" s="5">
        <v>21311</v>
      </c>
      <c r="E218" s="5" t="e">
        <f>VLOOKUP(count[[#This Row],[hwycov_id]],check!$A$2:$P$26,16,FALSE)</f>
        <v>#N/A</v>
      </c>
    </row>
    <row r="219" spans="1:5" x14ac:dyDescent="0.25">
      <c r="A219">
        <v>12929</v>
      </c>
      <c r="B219" s="5">
        <v>86241</v>
      </c>
      <c r="C219" s="5">
        <v>12087</v>
      </c>
      <c r="D219" s="5">
        <v>21239</v>
      </c>
      <c r="E219" s="5" t="e">
        <f>VLOOKUP(count[[#This Row],[hwycov_id]],check!$A$2:$P$26,16,FALSE)</f>
        <v>#N/A</v>
      </c>
    </row>
    <row r="220" spans="1:5" x14ac:dyDescent="0.25">
      <c r="A220">
        <v>12943</v>
      </c>
      <c r="B220" s="5">
        <v>95765</v>
      </c>
      <c r="C220" s="5">
        <v>20128</v>
      </c>
      <c r="D220" s="5">
        <v>18909</v>
      </c>
      <c r="E220" s="5" t="e">
        <f>VLOOKUP(count[[#This Row],[hwycov_id]],check!$A$2:$P$26,16,FALSE)</f>
        <v>#N/A</v>
      </c>
    </row>
    <row r="221" spans="1:5" x14ac:dyDescent="0.25">
      <c r="A221">
        <v>12944</v>
      </c>
      <c r="B221" s="5">
        <v>84346</v>
      </c>
      <c r="C221" s="5">
        <v>16296</v>
      </c>
      <c r="D221" s="5">
        <v>16653</v>
      </c>
      <c r="E221" s="5" t="e">
        <f>VLOOKUP(count[[#This Row],[hwycov_id]],check!$A$2:$P$26,16,FALSE)</f>
        <v>#N/A</v>
      </c>
    </row>
    <row r="222" spans="1:5" x14ac:dyDescent="0.25">
      <c r="A222">
        <v>12946</v>
      </c>
      <c r="B222" s="5">
        <v>94852</v>
      </c>
      <c r="C222" s="5">
        <v>18774</v>
      </c>
      <c r="D222" s="5">
        <v>19215</v>
      </c>
      <c r="E222" s="5" t="e">
        <f>VLOOKUP(count[[#This Row],[hwycov_id]],check!$A$2:$P$26,16,FALSE)</f>
        <v>#N/A</v>
      </c>
    </row>
    <row r="223" spans="1:5" x14ac:dyDescent="0.25">
      <c r="A223">
        <v>12950</v>
      </c>
      <c r="B223" s="5">
        <v>109745</v>
      </c>
      <c r="C223" s="5">
        <v>23382</v>
      </c>
      <c r="D223" s="5">
        <v>22029</v>
      </c>
      <c r="E223" s="5" t="e">
        <f>VLOOKUP(count[[#This Row],[hwycov_id]],check!$A$2:$P$26,16,FALSE)</f>
        <v>#N/A</v>
      </c>
    </row>
    <row r="224" spans="1:5" x14ac:dyDescent="0.25">
      <c r="A224">
        <v>12952</v>
      </c>
      <c r="B224" s="5">
        <v>98581</v>
      </c>
      <c r="C224" s="5">
        <v>20094</v>
      </c>
      <c r="D224" s="5">
        <v>19684</v>
      </c>
      <c r="E224" s="5" t="e">
        <f>VLOOKUP(count[[#This Row],[hwycov_id]],check!$A$2:$P$26,16,FALSE)</f>
        <v>#N/A</v>
      </c>
    </row>
    <row r="225" spans="1:5" x14ac:dyDescent="0.25">
      <c r="A225">
        <v>12955</v>
      </c>
      <c r="B225" s="5">
        <v>101451</v>
      </c>
      <c r="C225" s="5">
        <v>14924</v>
      </c>
      <c r="D225" s="5">
        <v>26024</v>
      </c>
      <c r="E225" s="5" t="e">
        <f>VLOOKUP(count[[#This Row],[hwycov_id]],check!$A$2:$P$26,16,FALSE)</f>
        <v>#N/A</v>
      </c>
    </row>
    <row r="226" spans="1:5" x14ac:dyDescent="0.25">
      <c r="A226">
        <v>12957</v>
      </c>
      <c r="B226" s="5">
        <v>101544</v>
      </c>
      <c r="C226" s="5">
        <v>15090</v>
      </c>
      <c r="D226" s="5">
        <v>26201</v>
      </c>
      <c r="E226" s="5" t="e">
        <f>VLOOKUP(count[[#This Row],[hwycov_id]],check!$A$2:$P$26,16,FALSE)</f>
        <v>#N/A</v>
      </c>
    </row>
    <row r="227" spans="1:5" x14ac:dyDescent="0.25">
      <c r="A227">
        <v>13035</v>
      </c>
      <c r="B227" s="5">
        <v>53462</v>
      </c>
      <c r="C227" s="5">
        <v>8703</v>
      </c>
      <c r="D227" s="5">
        <v>13580</v>
      </c>
      <c r="E227" s="5" t="e">
        <f>VLOOKUP(count[[#This Row],[hwycov_id]],check!$A$2:$P$26,16,FALSE)</f>
        <v>#N/A</v>
      </c>
    </row>
    <row r="228" spans="1:5" x14ac:dyDescent="0.25">
      <c r="A228">
        <v>13037</v>
      </c>
      <c r="B228" s="5">
        <v>53712</v>
      </c>
      <c r="C228" s="5">
        <v>9314</v>
      </c>
      <c r="D228" s="5">
        <v>11690</v>
      </c>
      <c r="E228" s="5" t="e">
        <f>VLOOKUP(count[[#This Row],[hwycov_id]],check!$A$2:$P$26,16,FALSE)</f>
        <v>#N/A</v>
      </c>
    </row>
    <row r="229" spans="1:5" x14ac:dyDescent="0.25">
      <c r="A229">
        <v>13046</v>
      </c>
      <c r="B229" s="5">
        <v>56222</v>
      </c>
      <c r="C229" s="5">
        <v>9861</v>
      </c>
      <c r="D229" s="5">
        <v>13046</v>
      </c>
      <c r="E229" s="5" t="e">
        <f>VLOOKUP(count[[#This Row],[hwycov_id]],check!$A$2:$P$26,16,FALSE)</f>
        <v>#N/A</v>
      </c>
    </row>
    <row r="230" spans="1:5" x14ac:dyDescent="0.25">
      <c r="A230">
        <v>13099</v>
      </c>
      <c r="B230" s="5">
        <v>79486</v>
      </c>
      <c r="C230" s="5">
        <v>12840</v>
      </c>
      <c r="D230" s="5">
        <v>18706</v>
      </c>
      <c r="E230" s="5" t="e">
        <f>VLOOKUP(count[[#This Row],[hwycov_id]],check!$A$2:$P$26,16,FALSE)</f>
        <v>#N/A</v>
      </c>
    </row>
    <row r="231" spans="1:5" x14ac:dyDescent="0.25">
      <c r="A231">
        <v>13273</v>
      </c>
      <c r="B231" s="5">
        <v>84626</v>
      </c>
      <c r="C231" s="5">
        <v>15117</v>
      </c>
      <c r="D231" s="5">
        <v>16165</v>
      </c>
      <c r="E231" s="5" t="e">
        <f>VLOOKUP(count[[#This Row],[hwycov_id]],check!$A$2:$P$26,16,FALSE)</f>
        <v>#N/A</v>
      </c>
    </row>
    <row r="232" spans="1:5" x14ac:dyDescent="0.25">
      <c r="A232">
        <v>13277</v>
      </c>
      <c r="B232" s="5">
        <v>86104</v>
      </c>
      <c r="C232" s="5">
        <v>12627</v>
      </c>
      <c r="D232" s="5">
        <v>18579</v>
      </c>
      <c r="E232" s="5" t="e">
        <f>VLOOKUP(count[[#This Row],[hwycov_id]],check!$A$2:$P$26,16,FALSE)</f>
        <v>#N/A</v>
      </c>
    </row>
    <row r="233" spans="1:5" x14ac:dyDescent="0.25">
      <c r="A233">
        <v>13279</v>
      </c>
      <c r="B233" s="5">
        <v>96503</v>
      </c>
      <c r="C233" s="5">
        <v>15522</v>
      </c>
      <c r="D233" s="5">
        <v>19908</v>
      </c>
      <c r="E233" s="5" t="e">
        <f>VLOOKUP(count[[#This Row],[hwycov_id]],check!$A$2:$P$26,16,FALSE)</f>
        <v>#N/A</v>
      </c>
    </row>
    <row r="234" spans="1:5" x14ac:dyDescent="0.25">
      <c r="A234">
        <v>13282</v>
      </c>
      <c r="B234" s="5">
        <v>94750</v>
      </c>
      <c r="C234" s="5">
        <v>15420</v>
      </c>
      <c r="D234" s="5">
        <v>19650</v>
      </c>
      <c r="E234" s="5" t="e">
        <f>VLOOKUP(count[[#This Row],[hwycov_id]],check!$A$2:$P$26,16,FALSE)</f>
        <v>#N/A</v>
      </c>
    </row>
    <row r="235" spans="1:5" x14ac:dyDescent="0.25">
      <c r="A235">
        <v>13438</v>
      </c>
      <c r="B235" s="5">
        <v>53699</v>
      </c>
      <c r="C235" s="5">
        <v>10309</v>
      </c>
      <c r="D235" s="5">
        <v>11709</v>
      </c>
      <c r="E235" s="5" t="e">
        <f>VLOOKUP(count[[#This Row],[hwycov_id]],check!$A$2:$P$26,16,FALSE)</f>
        <v>#N/A</v>
      </c>
    </row>
    <row r="236" spans="1:5" x14ac:dyDescent="0.25">
      <c r="A236">
        <v>13527</v>
      </c>
      <c r="B236" s="5">
        <v>107164</v>
      </c>
      <c r="C236" s="5">
        <v>16893</v>
      </c>
      <c r="D236" s="5">
        <v>23557</v>
      </c>
      <c r="E236" s="5" t="e">
        <f>VLOOKUP(count[[#This Row],[hwycov_id]],check!$A$2:$P$26,16,FALSE)</f>
        <v>#N/A</v>
      </c>
    </row>
    <row r="237" spans="1:5" x14ac:dyDescent="0.25">
      <c r="A237">
        <v>13579</v>
      </c>
      <c r="B237" s="5">
        <v>108591</v>
      </c>
      <c r="C237" s="5">
        <v>17486</v>
      </c>
      <c r="D237" s="5">
        <v>23644</v>
      </c>
      <c r="E237" s="5" t="e">
        <f>VLOOKUP(count[[#This Row],[hwycov_id]],check!$A$2:$P$26,16,FALSE)</f>
        <v>#N/A</v>
      </c>
    </row>
    <row r="238" spans="1:5" x14ac:dyDescent="0.25">
      <c r="A238">
        <v>13580</v>
      </c>
      <c r="B238" s="5">
        <v>104739</v>
      </c>
      <c r="C238" s="5">
        <v>17876</v>
      </c>
      <c r="D238" s="5">
        <v>21292</v>
      </c>
      <c r="E238" s="5" t="e">
        <f>VLOOKUP(count[[#This Row],[hwycov_id]],check!$A$2:$P$26,16,FALSE)</f>
        <v>#N/A</v>
      </c>
    </row>
    <row r="239" spans="1:5" x14ac:dyDescent="0.25">
      <c r="A239">
        <v>13582</v>
      </c>
      <c r="B239" s="5">
        <v>100679</v>
      </c>
      <c r="C239" s="5">
        <v>17778</v>
      </c>
      <c r="D239" s="5">
        <v>20523</v>
      </c>
      <c r="E239" s="5" t="e">
        <f>VLOOKUP(count[[#This Row],[hwycov_id]],check!$A$2:$P$26,16,FALSE)</f>
        <v>#N/A</v>
      </c>
    </row>
    <row r="240" spans="1:5" x14ac:dyDescent="0.25">
      <c r="A240">
        <v>13588</v>
      </c>
      <c r="B240" s="5">
        <v>103593</v>
      </c>
      <c r="C240" s="5">
        <v>16485</v>
      </c>
      <c r="D240" s="5">
        <v>22521</v>
      </c>
      <c r="E240" s="5" t="e">
        <f>VLOOKUP(count[[#This Row],[hwycov_id]],check!$A$2:$P$26,16,FALSE)</f>
        <v>#N/A</v>
      </c>
    </row>
    <row r="241" spans="1:5" x14ac:dyDescent="0.25">
      <c r="A241">
        <v>13589</v>
      </c>
      <c r="B241" s="5">
        <v>101178</v>
      </c>
      <c r="C241" s="5">
        <v>18384</v>
      </c>
      <c r="D241" s="5">
        <v>20460</v>
      </c>
      <c r="E241" s="5" t="e">
        <f>VLOOKUP(count[[#This Row],[hwycov_id]],check!$A$2:$P$26,16,FALSE)</f>
        <v>#N/A</v>
      </c>
    </row>
    <row r="242" spans="1:5" x14ac:dyDescent="0.25">
      <c r="A242">
        <v>13597</v>
      </c>
      <c r="B242" s="5">
        <v>122507</v>
      </c>
      <c r="C242" s="5">
        <v>24180</v>
      </c>
      <c r="D242" s="5">
        <v>24283</v>
      </c>
      <c r="E242" s="5" t="e">
        <f>VLOOKUP(count[[#This Row],[hwycov_id]],check!$A$2:$P$26,16,FALSE)</f>
        <v>#N/A</v>
      </c>
    </row>
    <row r="243" spans="1:5" x14ac:dyDescent="0.25">
      <c r="A243">
        <v>13598</v>
      </c>
      <c r="B243" s="5">
        <v>109304</v>
      </c>
      <c r="C243" s="5">
        <v>22053</v>
      </c>
      <c r="D243" s="5">
        <v>20935</v>
      </c>
      <c r="E243" s="5" t="e">
        <f>VLOOKUP(count[[#This Row],[hwycov_id]],check!$A$2:$P$26,16,FALSE)</f>
        <v>#N/A</v>
      </c>
    </row>
    <row r="244" spans="1:5" x14ac:dyDescent="0.25">
      <c r="A244">
        <v>13600</v>
      </c>
      <c r="B244" s="5">
        <v>118363</v>
      </c>
      <c r="C244" s="5">
        <v>18773</v>
      </c>
      <c r="D244" s="5">
        <v>26077</v>
      </c>
      <c r="E244" s="5" t="e">
        <f>VLOOKUP(count[[#This Row],[hwycov_id]],check!$A$2:$P$26,16,FALSE)</f>
        <v>#N/A</v>
      </c>
    </row>
    <row r="245" spans="1:5" x14ac:dyDescent="0.25">
      <c r="A245">
        <v>13637</v>
      </c>
      <c r="B245" s="5">
        <v>110912</v>
      </c>
      <c r="C245" s="5">
        <v>16680</v>
      </c>
      <c r="D245" s="5">
        <v>27258</v>
      </c>
      <c r="E245" s="5" t="e">
        <f>VLOOKUP(count[[#This Row],[hwycov_id]],check!$A$2:$P$26,16,FALSE)</f>
        <v>#N/A</v>
      </c>
    </row>
    <row r="246" spans="1:5" x14ac:dyDescent="0.25">
      <c r="A246">
        <v>13639</v>
      </c>
      <c r="B246" s="5">
        <v>105046</v>
      </c>
      <c r="C246" s="5">
        <v>14922</v>
      </c>
      <c r="D246" s="5">
        <v>26992</v>
      </c>
      <c r="E246" s="5" t="e">
        <f>VLOOKUP(count[[#This Row],[hwycov_id]],check!$A$2:$P$26,16,FALSE)</f>
        <v>#N/A</v>
      </c>
    </row>
    <row r="247" spans="1:5" x14ac:dyDescent="0.25">
      <c r="A247">
        <v>13640</v>
      </c>
      <c r="B247" s="5">
        <v>104396</v>
      </c>
      <c r="C247" s="5">
        <v>14670</v>
      </c>
      <c r="D247" s="5">
        <v>26360</v>
      </c>
      <c r="E247" s="5" t="e">
        <f>VLOOKUP(count[[#This Row],[hwycov_id]],check!$A$2:$P$26,16,FALSE)</f>
        <v>#N/A</v>
      </c>
    </row>
    <row r="248" spans="1:5" x14ac:dyDescent="0.25">
      <c r="A248">
        <v>13646</v>
      </c>
      <c r="B248" s="5">
        <v>115070</v>
      </c>
      <c r="C248" s="5">
        <v>25794</v>
      </c>
      <c r="D248" s="5">
        <v>22442</v>
      </c>
      <c r="E248" s="5" t="e">
        <f>VLOOKUP(count[[#This Row],[hwycov_id]],check!$A$2:$P$26,16,FALSE)</f>
        <v>#N/A</v>
      </c>
    </row>
    <row r="249" spans="1:5" x14ac:dyDescent="0.25">
      <c r="A249">
        <v>13648</v>
      </c>
      <c r="B249" s="5">
        <v>104439</v>
      </c>
      <c r="C249" s="5">
        <v>15756</v>
      </c>
      <c r="D249" s="5">
        <v>25193</v>
      </c>
      <c r="E249" s="5" t="e">
        <f>VLOOKUP(count[[#This Row],[hwycov_id]],check!$A$2:$P$26,16,FALSE)</f>
        <v>#N/A</v>
      </c>
    </row>
    <row r="250" spans="1:5" x14ac:dyDescent="0.25">
      <c r="A250">
        <v>13649</v>
      </c>
      <c r="B250" s="5">
        <v>109799</v>
      </c>
      <c r="C250" s="5">
        <v>24858</v>
      </c>
      <c r="D250" s="5">
        <v>20923</v>
      </c>
      <c r="E250" s="5" t="e">
        <f>VLOOKUP(count[[#This Row],[hwycov_id]],check!$A$2:$P$26,16,FALSE)</f>
        <v>#N/A</v>
      </c>
    </row>
    <row r="251" spans="1:5" x14ac:dyDescent="0.25">
      <c r="A251">
        <v>13653</v>
      </c>
      <c r="B251" s="5">
        <v>117618</v>
      </c>
      <c r="C251" s="5">
        <v>24855</v>
      </c>
      <c r="D251" s="5">
        <v>24143</v>
      </c>
      <c r="E251" s="5" t="e">
        <f>VLOOKUP(count[[#This Row],[hwycov_id]],check!$A$2:$P$26,16,FALSE)</f>
        <v>#N/A</v>
      </c>
    </row>
    <row r="252" spans="1:5" x14ac:dyDescent="0.25">
      <c r="A252">
        <v>13661</v>
      </c>
      <c r="B252" s="5">
        <v>104746</v>
      </c>
      <c r="C252" s="5">
        <v>22644</v>
      </c>
      <c r="D252" s="5">
        <v>21294</v>
      </c>
      <c r="E252" s="5" t="e">
        <f>VLOOKUP(count[[#This Row],[hwycov_id]],check!$A$2:$P$26,16,FALSE)</f>
        <v>#N/A</v>
      </c>
    </row>
    <row r="253" spans="1:5" x14ac:dyDescent="0.25">
      <c r="A253">
        <v>13662</v>
      </c>
      <c r="B253" s="5">
        <v>116003</v>
      </c>
      <c r="C253" s="5">
        <v>19629</v>
      </c>
      <c r="D253" s="5">
        <v>27888</v>
      </c>
      <c r="E253" s="5" t="e">
        <f>VLOOKUP(count[[#This Row],[hwycov_id]],check!$A$2:$P$26,16,FALSE)</f>
        <v>#N/A</v>
      </c>
    </row>
    <row r="254" spans="1:5" x14ac:dyDescent="0.25">
      <c r="A254">
        <v>13664</v>
      </c>
      <c r="B254" s="5">
        <v>125325</v>
      </c>
      <c r="C254" s="5">
        <v>26943</v>
      </c>
      <c r="D254" s="5">
        <v>26695</v>
      </c>
      <c r="E254" s="5" t="e">
        <f>VLOOKUP(count[[#This Row],[hwycov_id]],check!$A$2:$P$26,16,FALSE)</f>
        <v>#N/A</v>
      </c>
    </row>
    <row r="255" spans="1:5" x14ac:dyDescent="0.25">
      <c r="A255">
        <v>13672</v>
      </c>
      <c r="B255" s="5">
        <v>111516</v>
      </c>
      <c r="C255" s="5">
        <v>19128</v>
      </c>
      <c r="D255" s="5">
        <v>26747</v>
      </c>
      <c r="E255" s="5" t="e">
        <f>VLOOKUP(count[[#This Row],[hwycov_id]],check!$A$2:$P$26,16,FALSE)</f>
        <v>#N/A</v>
      </c>
    </row>
    <row r="256" spans="1:5" x14ac:dyDescent="0.25">
      <c r="A256">
        <v>13673</v>
      </c>
      <c r="B256" s="5">
        <v>114809</v>
      </c>
      <c r="C256" s="5">
        <v>25248</v>
      </c>
      <c r="D256" s="5">
        <v>23905</v>
      </c>
      <c r="E256" s="5" t="e">
        <f>VLOOKUP(count[[#This Row],[hwycov_id]],check!$A$2:$P$26,16,FALSE)</f>
        <v>#N/A</v>
      </c>
    </row>
    <row r="257" spans="1:5" x14ac:dyDescent="0.25">
      <c r="A257">
        <v>13861</v>
      </c>
      <c r="B257" s="5">
        <v>102099</v>
      </c>
      <c r="C257" s="5">
        <v>17352</v>
      </c>
      <c r="D257" s="5">
        <v>20123</v>
      </c>
      <c r="E257" s="5" t="e">
        <f>VLOOKUP(count[[#This Row],[hwycov_id]],check!$A$2:$P$26,16,FALSE)</f>
        <v>#N/A</v>
      </c>
    </row>
    <row r="258" spans="1:5" x14ac:dyDescent="0.25">
      <c r="A258">
        <v>14142</v>
      </c>
      <c r="B258" s="5">
        <v>68659</v>
      </c>
      <c r="C258" s="5">
        <v>14959</v>
      </c>
      <c r="D258" s="5">
        <v>15144</v>
      </c>
      <c r="E258" s="5" t="e">
        <f>VLOOKUP(count[[#This Row],[hwycov_id]],check!$A$2:$P$26,16,FALSE)</f>
        <v>#N/A</v>
      </c>
    </row>
    <row r="259" spans="1:5" x14ac:dyDescent="0.25">
      <c r="A259">
        <v>14143</v>
      </c>
      <c r="B259" s="5">
        <v>64932</v>
      </c>
      <c r="C259" s="5">
        <v>9064</v>
      </c>
      <c r="D259" s="5">
        <v>17321</v>
      </c>
      <c r="E259" s="5" t="e">
        <f>VLOOKUP(count[[#This Row],[hwycov_id]],check!$A$2:$P$26,16,FALSE)</f>
        <v>#N/A</v>
      </c>
    </row>
    <row r="260" spans="1:5" x14ac:dyDescent="0.25">
      <c r="A260">
        <v>14144</v>
      </c>
      <c r="B260" s="5">
        <v>62376</v>
      </c>
      <c r="C260" s="5">
        <v>13636</v>
      </c>
      <c r="D260" s="5">
        <v>14051</v>
      </c>
      <c r="E260" s="5" t="e">
        <f>VLOOKUP(count[[#This Row],[hwycov_id]],check!$A$2:$P$26,16,FALSE)</f>
        <v>#N/A</v>
      </c>
    </row>
    <row r="261" spans="1:5" x14ac:dyDescent="0.25">
      <c r="A261">
        <v>14153</v>
      </c>
      <c r="B261" s="5">
        <v>59399</v>
      </c>
      <c r="C261" s="5">
        <v>9045</v>
      </c>
      <c r="D261" s="5">
        <v>15541</v>
      </c>
      <c r="E261" s="5" t="e">
        <f>VLOOKUP(count[[#This Row],[hwycov_id]],check!$A$2:$P$26,16,FALSE)</f>
        <v>#N/A</v>
      </c>
    </row>
    <row r="262" spans="1:5" x14ac:dyDescent="0.25">
      <c r="A262">
        <v>14176</v>
      </c>
      <c r="B262" s="5">
        <v>57418</v>
      </c>
      <c r="C262" s="5">
        <v>11971</v>
      </c>
      <c r="D262" s="5">
        <v>13806</v>
      </c>
      <c r="E262" s="5" t="e">
        <f>VLOOKUP(count[[#This Row],[hwycov_id]],check!$A$2:$P$26,16,FALSE)</f>
        <v>#N/A</v>
      </c>
    </row>
    <row r="263" spans="1:5" x14ac:dyDescent="0.25">
      <c r="A263">
        <v>14232</v>
      </c>
      <c r="B263" s="5">
        <v>42674</v>
      </c>
      <c r="C263" s="5">
        <v>10052</v>
      </c>
      <c r="D263" s="5">
        <v>7304</v>
      </c>
      <c r="E263" s="5" t="e">
        <f>VLOOKUP(count[[#This Row],[hwycov_id]],check!$A$2:$P$26,16,FALSE)</f>
        <v>#N/A</v>
      </c>
    </row>
    <row r="264" spans="1:5" x14ac:dyDescent="0.25">
      <c r="A264">
        <v>14246</v>
      </c>
      <c r="B264" s="5">
        <v>116398</v>
      </c>
      <c r="C264" s="5">
        <v>23343</v>
      </c>
      <c r="D264" s="5">
        <v>22523</v>
      </c>
      <c r="E264" s="5" t="e">
        <f>VLOOKUP(count[[#This Row],[hwycov_id]],check!$A$2:$P$26,16,FALSE)</f>
        <v>#N/A</v>
      </c>
    </row>
    <row r="265" spans="1:5" x14ac:dyDescent="0.25">
      <c r="A265">
        <v>14255</v>
      </c>
      <c r="B265" s="5">
        <v>85646</v>
      </c>
      <c r="C265" s="5">
        <v>17442</v>
      </c>
      <c r="D265" s="5">
        <v>14208</v>
      </c>
      <c r="E265" s="5" t="e">
        <f>VLOOKUP(count[[#This Row],[hwycov_id]],check!$A$2:$P$26,16,FALSE)</f>
        <v>#N/A</v>
      </c>
    </row>
    <row r="266" spans="1:5" x14ac:dyDescent="0.25">
      <c r="A266">
        <v>14256</v>
      </c>
      <c r="B266" s="5">
        <v>87536</v>
      </c>
      <c r="C266" s="5">
        <v>15633</v>
      </c>
      <c r="D266" s="5">
        <v>14919</v>
      </c>
      <c r="E266" s="5" t="e">
        <f>VLOOKUP(count[[#This Row],[hwycov_id]],check!$A$2:$P$26,16,FALSE)</f>
        <v>#N/A</v>
      </c>
    </row>
    <row r="267" spans="1:5" x14ac:dyDescent="0.25">
      <c r="A267">
        <v>14262</v>
      </c>
      <c r="B267" s="5">
        <v>99731</v>
      </c>
      <c r="C267" s="5">
        <v>17871</v>
      </c>
      <c r="D267" s="5">
        <v>18041</v>
      </c>
      <c r="E267" s="5" t="e">
        <f>VLOOKUP(count[[#This Row],[hwycov_id]],check!$A$2:$P$26,16,FALSE)</f>
        <v>#N/A</v>
      </c>
    </row>
    <row r="268" spans="1:5" x14ac:dyDescent="0.25">
      <c r="A268">
        <v>14263</v>
      </c>
      <c r="B268" s="5">
        <v>72660</v>
      </c>
      <c r="C268" s="5">
        <v>15164</v>
      </c>
      <c r="D268" s="5">
        <v>14198</v>
      </c>
      <c r="E268" s="5" t="e">
        <f>VLOOKUP(count[[#This Row],[hwycov_id]],check!$A$2:$P$26,16,FALSE)</f>
        <v>#N/A</v>
      </c>
    </row>
    <row r="269" spans="1:5" x14ac:dyDescent="0.25">
      <c r="A269">
        <v>14265</v>
      </c>
      <c r="B269" s="5">
        <v>43107</v>
      </c>
      <c r="C269" s="5">
        <v>7713</v>
      </c>
      <c r="D269" s="5">
        <v>8098</v>
      </c>
      <c r="E269" s="5" t="e">
        <f>VLOOKUP(count[[#This Row],[hwycov_id]],check!$A$2:$P$26,16,FALSE)</f>
        <v>#N/A</v>
      </c>
    </row>
    <row r="270" spans="1:5" x14ac:dyDescent="0.25">
      <c r="A270">
        <v>14289</v>
      </c>
      <c r="B270" s="5">
        <v>77517</v>
      </c>
      <c r="C270" s="5">
        <v>14313</v>
      </c>
      <c r="D270" s="5">
        <v>17239</v>
      </c>
      <c r="E270" s="5" t="e">
        <f>VLOOKUP(count[[#This Row],[hwycov_id]],check!$A$2:$P$26,16,FALSE)</f>
        <v>#N/A</v>
      </c>
    </row>
    <row r="271" spans="1:5" x14ac:dyDescent="0.25">
      <c r="A271">
        <v>14383</v>
      </c>
      <c r="B271" s="5">
        <v>147796</v>
      </c>
      <c r="C271" s="5">
        <v>32532</v>
      </c>
      <c r="D271" s="5">
        <v>31444</v>
      </c>
      <c r="E271" s="5" t="e">
        <f>VLOOKUP(count[[#This Row],[hwycov_id]],check!$A$2:$P$26,16,FALSE)</f>
        <v>#N/A</v>
      </c>
    </row>
    <row r="272" spans="1:5" x14ac:dyDescent="0.25">
      <c r="A272">
        <v>14384</v>
      </c>
      <c r="B272" s="5">
        <v>118761</v>
      </c>
      <c r="C272" s="5">
        <v>20178</v>
      </c>
      <c r="D272" s="5">
        <v>29029</v>
      </c>
      <c r="E272" s="5" t="e">
        <f>VLOOKUP(count[[#This Row],[hwycov_id]],check!$A$2:$P$26,16,FALSE)</f>
        <v>#N/A</v>
      </c>
    </row>
    <row r="273" spans="1:5" x14ac:dyDescent="0.25">
      <c r="A273">
        <v>14386</v>
      </c>
      <c r="B273" s="5">
        <v>125973</v>
      </c>
      <c r="C273" s="5">
        <v>20718</v>
      </c>
      <c r="D273" s="5">
        <v>31038</v>
      </c>
      <c r="E273" s="5" t="e">
        <f>VLOOKUP(count[[#This Row],[hwycov_id]],check!$A$2:$P$26,16,FALSE)</f>
        <v>#N/A</v>
      </c>
    </row>
    <row r="274" spans="1:5" x14ac:dyDescent="0.25">
      <c r="A274">
        <v>14397</v>
      </c>
      <c r="B274" s="5">
        <v>147914</v>
      </c>
      <c r="C274" s="5">
        <v>25434</v>
      </c>
      <c r="D274" s="5">
        <v>35728</v>
      </c>
      <c r="E274" s="5" t="e">
        <f>VLOOKUP(count[[#This Row],[hwycov_id]],check!$A$2:$P$26,16,FALSE)</f>
        <v>#N/A</v>
      </c>
    </row>
    <row r="275" spans="1:5" x14ac:dyDescent="0.25">
      <c r="A275">
        <v>14400</v>
      </c>
      <c r="B275" s="5">
        <v>137156</v>
      </c>
      <c r="C275" s="5">
        <v>30306</v>
      </c>
      <c r="D275" s="5">
        <v>28049</v>
      </c>
      <c r="E275" s="5" t="e">
        <f>VLOOKUP(count[[#This Row],[hwycov_id]],check!$A$2:$P$26,16,FALSE)</f>
        <v>#N/A</v>
      </c>
    </row>
    <row r="276" spans="1:5" x14ac:dyDescent="0.25">
      <c r="A276">
        <v>14402</v>
      </c>
      <c r="B276" s="5">
        <v>137414</v>
      </c>
      <c r="C276" s="5">
        <v>23832</v>
      </c>
      <c r="D276" s="5">
        <v>32620</v>
      </c>
      <c r="E276" s="5" t="e">
        <f>VLOOKUP(count[[#This Row],[hwycov_id]],check!$A$2:$P$26,16,FALSE)</f>
        <v>#N/A</v>
      </c>
    </row>
    <row r="277" spans="1:5" x14ac:dyDescent="0.25">
      <c r="A277">
        <v>14407</v>
      </c>
      <c r="B277" s="5">
        <v>138072</v>
      </c>
      <c r="C277" s="5">
        <v>30180</v>
      </c>
      <c r="D277" s="5">
        <v>29715</v>
      </c>
      <c r="E277" s="5" t="e">
        <f>VLOOKUP(count[[#This Row],[hwycov_id]],check!$A$2:$P$26,16,FALSE)</f>
        <v>#N/A</v>
      </c>
    </row>
    <row r="278" spans="1:5" x14ac:dyDescent="0.25">
      <c r="A278">
        <v>14409</v>
      </c>
      <c r="B278" s="5">
        <v>137722</v>
      </c>
      <c r="C278" s="5">
        <v>25932</v>
      </c>
      <c r="D278" s="5">
        <v>32417</v>
      </c>
      <c r="E278" s="5" t="e">
        <f>VLOOKUP(count[[#This Row],[hwycov_id]],check!$A$2:$P$26,16,FALSE)</f>
        <v>#N/A</v>
      </c>
    </row>
    <row r="279" spans="1:5" x14ac:dyDescent="0.25">
      <c r="A279">
        <v>14410</v>
      </c>
      <c r="B279" s="5">
        <v>139304</v>
      </c>
      <c r="C279" s="5">
        <v>26004</v>
      </c>
      <c r="D279" s="5">
        <v>31178</v>
      </c>
      <c r="E279" s="5" t="e">
        <f>VLOOKUP(count[[#This Row],[hwycov_id]],check!$A$2:$P$26,16,FALSE)</f>
        <v>#N/A</v>
      </c>
    </row>
    <row r="280" spans="1:5" x14ac:dyDescent="0.25">
      <c r="A280">
        <v>14411</v>
      </c>
      <c r="B280" s="5">
        <v>136726</v>
      </c>
      <c r="C280" s="5">
        <v>29694</v>
      </c>
      <c r="D280" s="5">
        <v>29666</v>
      </c>
      <c r="E280" s="5" t="e">
        <f>VLOOKUP(count[[#This Row],[hwycov_id]],check!$A$2:$P$26,16,FALSE)</f>
        <v>#N/A</v>
      </c>
    </row>
    <row r="281" spans="1:5" x14ac:dyDescent="0.25">
      <c r="A281">
        <v>14412</v>
      </c>
      <c r="B281" s="5">
        <v>135830</v>
      </c>
      <c r="C281" s="5">
        <v>28698</v>
      </c>
      <c r="D281" s="5">
        <v>29449</v>
      </c>
      <c r="E281" s="5" t="e">
        <f>VLOOKUP(count[[#This Row],[hwycov_id]],check!$A$2:$P$26,16,FALSE)</f>
        <v>#N/A</v>
      </c>
    </row>
    <row r="282" spans="1:5" x14ac:dyDescent="0.25">
      <c r="A282">
        <v>14418</v>
      </c>
      <c r="B282" s="5">
        <v>141860</v>
      </c>
      <c r="C282" s="5">
        <v>29502</v>
      </c>
      <c r="D282" s="5">
        <v>30667</v>
      </c>
      <c r="E282" s="5" t="e">
        <f>VLOOKUP(count[[#This Row],[hwycov_id]],check!$A$2:$P$26,16,FALSE)</f>
        <v>#N/A</v>
      </c>
    </row>
    <row r="283" spans="1:5" x14ac:dyDescent="0.25">
      <c r="A283">
        <v>14419</v>
      </c>
      <c r="B283" s="5">
        <v>165496</v>
      </c>
      <c r="C283" s="5">
        <v>33600</v>
      </c>
      <c r="D283" s="5">
        <v>36393</v>
      </c>
      <c r="E283" s="5" t="e">
        <f>VLOOKUP(count[[#This Row],[hwycov_id]],check!$A$2:$P$26,16,FALSE)</f>
        <v>#N/A</v>
      </c>
    </row>
    <row r="284" spans="1:5" x14ac:dyDescent="0.25">
      <c r="A284">
        <v>14637</v>
      </c>
      <c r="B284" s="5">
        <v>105327</v>
      </c>
      <c r="C284" s="5">
        <v>21312</v>
      </c>
      <c r="D284" s="5">
        <v>23205</v>
      </c>
      <c r="E284" s="5" t="e">
        <f>VLOOKUP(count[[#This Row],[hwycov_id]],check!$A$2:$P$26,16,FALSE)</f>
        <v>#N/A</v>
      </c>
    </row>
    <row r="285" spans="1:5" x14ac:dyDescent="0.25">
      <c r="A285">
        <v>14639</v>
      </c>
      <c r="B285" s="5">
        <v>121306</v>
      </c>
      <c r="C285" s="5">
        <v>21306</v>
      </c>
      <c r="D285" s="5">
        <v>28826</v>
      </c>
      <c r="E285" s="5" t="e">
        <f>VLOOKUP(count[[#This Row],[hwycov_id]],check!$A$2:$P$26,16,FALSE)</f>
        <v>#N/A</v>
      </c>
    </row>
    <row r="286" spans="1:5" x14ac:dyDescent="0.25">
      <c r="A286">
        <v>14644</v>
      </c>
      <c r="B286" s="5">
        <v>153552</v>
      </c>
      <c r="C286" s="5">
        <v>38562</v>
      </c>
      <c r="D286" s="5">
        <v>35147</v>
      </c>
      <c r="E286" s="5" t="e">
        <f>VLOOKUP(count[[#This Row],[hwycov_id]],check!$A$2:$P$26,16,FALSE)</f>
        <v>#N/A</v>
      </c>
    </row>
    <row r="287" spans="1:5" x14ac:dyDescent="0.25">
      <c r="A287">
        <v>14660</v>
      </c>
      <c r="B287" s="5">
        <v>104360</v>
      </c>
      <c r="C287" s="5">
        <v>22170</v>
      </c>
      <c r="D287" s="5">
        <v>22862</v>
      </c>
      <c r="E287" s="5" t="e">
        <f>VLOOKUP(count[[#This Row],[hwycov_id]],check!$A$2:$P$26,16,FALSE)</f>
        <v>#N/A</v>
      </c>
    </row>
    <row r="288" spans="1:5" x14ac:dyDescent="0.25">
      <c r="A288">
        <v>14682</v>
      </c>
      <c r="B288" s="5">
        <v>152336</v>
      </c>
      <c r="C288" s="5">
        <v>29592</v>
      </c>
      <c r="D288" s="5">
        <v>33516</v>
      </c>
      <c r="E288" s="5" t="e">
        <f>VLOOKUP(count[[#This Row],[hwycov_id]],check!$A$2:$P$26,16,FALSE)</f>
        <v>#N/A</v>
      </c>
    </row>
    <row r="289" spans="1:5" x14ac:dyDescent="0.25">
      <c r="A289">
        <v>14782</v>
      </c>
      <c r="B289" s="5">
        <v>68239</v>
      </c>
      <c r="C289" s="5">
        <v>16182</v>
      </c>
      <c r="D289" s="5">
        <v>11448</v>
      </c>
      <c r="E289" s="5" t="e">
        <f>VLOOKUP(count[[#This Row],[hwycov_id]],check!$A$2:$P$26,16,FALSE)</f>
        <v>#N/A</v>
      </c>
    </row>
    <row r="290" spans="1:5" x14ac:dyDescent="0.25">
      <c r="A290">
        <v>14953</v>
      </c>
      <c r="B290" s="5">
        <v>117488</v>
      </c>
      <c r="C290" s="5">
        <v>13926</v>
      </c>
      <c r="D290" s="5">
        <v>31503</v>
      </c>
      <c r="E290" s="5" t="e">
        <f>VLOOKUP(count[[#This Row],[hwycov_id]],check!$A$2:$P$26,16,FALSE)</f>
        <v>#N/A</v>
      </c>
    </row>
    <row r="291" spans="1:5" x14ac:dyDescent="0.25">
      <c r="A291">
        <v>15020</v>
      </c>
      <c r="B291" s="5">
        <v>85455</v>
      </c>
      <c r="C291" s="5">
        <v>21591</v>
      </c>
      <c r="D291" s="5">
        <v>14734</v>
      </c>
      <c r="E291" s="5" t="e">
        <f>VLOOKUP(count[[#This Row],[hwycov_id]],check!$A$2:$P$26,16,FALSE)</f>
        <v>#N/A</v>
      </c>
    </row>
    <row r="292" spans="1:5" x14ac:dyDescent="0.25">
      <c r="A292">
        <v>15036</v>
      </c>
      <c r="B292" s="5">
        <v>77816</v>
      </c>
      <c r="C292" s="5">
        <v>18540</v>
      </c>
      <c r="D292" s="5">
        <v>12853</v>
      </c>
      <c r="E292" s="5" t="e">
        <f>VLOOKUP(count[[#This Row],[hwycov_id]],check!$A$2:$P$26,16,FALSE)</f>
        <v>#N/A</v>
      </c>
    </row>
    <row r="293" spans="1:5" x14ac:dyDescent="0.25">
      <c r="A293">
        <v>15037</v>
      </c>
      <c r="B293" s="5">
        <v>78050</v>
      </c>
      <c r="C293" s="5">
        <v>19989</v>
      </c>
      <c r="D293" s="5">
        <v>13188</v>
      </c>
      <c r="E293" s="5" t="e">
        <f>VLOOKUP(count[[#This Row],[hwycov_id]],check!$A$2:$P$26,16,FALSE)</f>
        <v>#N/A</v>
      </c>
    </row>
    <row r="294" spans="1:5" x14ac:dyDescent="0.25">
      <c r="A294">
        <v>15038</v>
      </c>
      <c r="B294" s="5">
        <v>82837</v>
      </c>
      <c r="C294" s="5">
        <v>19704</v>
      </c>
      <c r="D294" s="5">
        <v>14915</v>
      </c>
      <c r="E294" s="5" t="e">
        <f>VLOOKUP(count[[#This Row],[hwycov_id]],check!$A$2:$P$26,16,FALSE)</f>
        <v>#N/A</v>
      </c>
    </row>
    <row r="295" spans="1:5" x14ac:dyDescent="0.25">
      <c r="A295">
        <v>15039</v>
      </c>
      <c r="B295" s="5">
        <v>71835</v>
      </c>
      <c r="C295" s="5">
        <v>9516</v>
      </c>
      <c r="D295" s="5">
        <v>18336</v>
      </c>
      <c r="E295" s="5" t="e">
        <f>VLOOKUP(count[[#This Row],[hwycov_id]],check!$A$2:$P$26,16,FALSE)</f>
        <v>#N/A</v>
      </c>
    </row>
    <row r="296" spans="1:5" x14ac:dyDescent="0.25">
      <c r="A296">
        <v>15064</v>
      </c>
      <c r="B296" s="5">
        <v>81721</v>
      </c>
      <c r="C296" s="5">
        <v>18921</v>
      </c>
      <c r="D296" s="5">
        <v>13405</v>
      </c>
      <c r="E296" s="5" t="e">
        <f>VLOOKUP(count[[#This Row],[hwycov_id]],check!$A$2:$P$26,16,FALSE)</f>
        <v>#N/A</v>
      </c>
    </row>
    <row r="297" spans="1:5" x14ac:dyDescent="0.25">
      <c r="A297">
        <v>15065</v>
      </c>
      <c r="B297" s="5">
        <v>83147</v>
      </c>
      <c r="C297" s="5">
        <v>11583</v>
      </c>
      <c r="D297" s="5">
        <v>19459</v>
      </c>
      <c r="E297" s="5" t="e">
        <f>VLOOKUP(count[[#This Row],[hwycov_id]],check!$A$2:$P$26,16,FALSE)</f>
        <v>#N/A</v>
      </c>
    </row>
    <row r="298" spans="1:5" x14ac:dyDescent="0.25">
      <c r="A298">
        <v>15083</v>
      </c>
      <c r="B298" s="5">
        <v>90795</v>
      </c>
      <c r="C298" s="5">
        <v>12285</v>
      </c>
      <c r="D298" s="5">
        <v>20342</v>
      </c>
      <c r="E298" s="5" t="e">
        <f>VLOOKUP(count[[#This Row],[hwycov_id]],check!$A$2:$P$26,16,FALSE)</f>
        <v>#N/A</v>
      </c>
    </row>
    <row r="299" spans="1:5" x14ac:dyDescent="0.25">
      <c r="A299">
        <v>15157</v>
      </c>
      <c r="B299" s="5">
        <v>46663</v>
      </c>
      <c r="C299" s="5">
        <v>9213</v>
      </c>
      <c r="D299" s="5">
        <v>11107</v>
      </c>
      <c r="E299" s="5" t="e">
        <f>VLOOKUP(count[[#This Row],[hwycov_id]],check!$A$2:$P$26,16,FALSE)</f>
        <v>#N/A</v>
      </c>
    </row>
    <row r="300" spans="1:5" x14ac:dyDescent="0.25">
      <c r="A300">
        <v>15188</v>
      </c>
      <c r="B300" s="5">
        <v>110812</v>
      </c>
      <c r="C300" s="5">
        <v>22758</v>
      </c>
      <c r="D300" s="5">
        <v>18518</v>
      </c>
      <c r="E300" s="5" t="e">
        <f>VLOOKUP(count[[#This Row],[hwycov_id]],check!$A$2:$P$26,16,FALSE)</f>
        <v>#N/A</v>
      </c>
    </row>
    <row r="301" spans="1:5" x14ac:dyDescent="0.25">
      <c r="A301">
        <v>15191</v>
      </c>
      <c r="B301" s="5">
        <v>96078</v>
      </c>
      <c r="C301" s="5">
        <v>18093</v>
      </c>
      <c r="D301" s="5">
        <v>20813</v>
      </c>
      <c r="E301" s="5" t="e">
        <f>VLOOKUP(count[[#This Row],[hwycov_id]],check!$A$2:$P$26,16,FALSE)</f>
        <v>#N/A</v>
      </c>
    </row>
    <row r="302" spans="1:5" x14ac:dyDescent="0.25">
      <c r="A302">
        <v>15196</v>
      </c>
      <c r="B302" s="5">
        <v>83216</v>
      </c>
      <c r="C302" s="5">
        <v>16856</v>
      </c>
      <c r="D302" s="5">
        <v>17034</v>
      </c>
      <c r="E302" s="5" t="e">
        <f>VLOOKUP(count[[#This Row],[hwycov_id]],check!$A$2:$P$26,16,FALSE)</f>
        <v>#N/A</v>
      </c>
    </row>
    <row r="303" spans="1:5" x14ac:dyDescent="0.25">
      <c r="A303">
        <v>15230</v>
      </c>
      <c r="B303" s="5">
        <v>84433</v>
      </c>
      <c r="C303" s="5">
        <v>18553</v>
      </c>
      <c r="D303" s="5">
        <v>17861</v>
      </c>
      <c r="E303" s="5" t="e">
        <f>VLOOKUP(count[[#This Row],[hwycov_id]],check!$A$2:$P$26,16,FALSE)</f>
        <v>#N/A</v>
      </c>
    </row>
    <row r="304" spans="1:5" x14ac:dyDescent="0.25">
      <c r="A304">
        <v>15238</v>
      </c>
      <c r="B304" s="5">
        <v>52580</v>
      </c>
      <c r="C304" s="5">
        <v>15914</v>
      </c>
      <c r="D304" s="5">
        <v>7702</v>
      </c>
      <c r="E304" s="5" t="e">
        <f>VLOOKUP(count[[#This Row],[hwycov_id]],check!$A$2:$P$26,16,FALSE)</f>
        <v>#N/A</v>
      </c>
    </row>
    <row r="305" spans="1:5" x14ac:dyDescent="0.25">
      <c r="A305">
        <v>15239</v>
      </c>
      <c r="B305" s="5">
        <v>42415</v>
      </c>
      <c r="C305" s="5">
        <v>4689</v>
      </c>
      <c r="D305" s="5">
        <v>13602</v>
      </c>
      <c r="E305" s="5" t="e">
        <f>VLOOKUP(count[[#This Row],[hwycov_id]],check!$A$2:$P$26,16,FALSE)</f>
        <v>#N/A</v>
      </c>
    </row>
    <row r="306" spans="1:5" x14ac:dyDescent="0.25">
      <c r="A306">
        <v>15277</v>
      </c>
      <c r="B306" s="5">
        <v>44548</v>
      </c>
      <c r="C306" s="5">
        <v>10661</v>
      </c>
      <c r="D306" s="5">
        <v>7448</v>
      </c>
      <c r="E306" s="5" t="e">
        <f>VLOOKUP(count[[#This Row],[hwycov_id]],check!$A$2:$P$26,16,FALSE)</f>
        <v>#N/A</v>
      </c>
    </row>
    <row r="307" spans="1:5" x14ac:dyDescent="0.25">
      <c r="A307">
        <v>15317</v>
      </c>
      <c r="B307" s="5">
        <v>72429</v>
      </c>
      <c r="C307" s="5">
        <v>12295</v>
      </c>
      <c r="D307" s="5">
        <v>20700</v>
      </c>
      <c r="E307" s="5" t="e">
        <f>VLOOKUP(count[[#This Row],[hwycov_id]],check!$A$2:$P$26,16,FALSE)</f>
        <v>#N/A</v>
      </c>
    </row>
    <row r="308" spans="1:5" x14ac:dyDescent="0.25">
      <c r="A308">
        <v>15430</v>
      </c>
      <c r="B308" s="5">
        <v>123651</v>
      </c>
      <c r="C308" s="5">
        <v>28686</v>
      </c>
      <c r="D308" s="5">
        <v>24002</v>
      </c>
      <c r="E308" s="5" t="e">
        <f>VLOOKUP(count[[#This Row],[hwycov_id]],check!$A$2:$P$26,16,FALSE)</f>
        <v>#N/A</v>
      </c>
    </row>
    <row r="309" spans="1:5" x14ac:dyDescent="0.25">
      <c r="A309">
        <v>15432</v>
      </c>
      <c r="B309" s="5">
        <v>121345</v>
      </c>
      <c r="C309" s="5">
        <v>14610</v>
      </c>
      <c r="D309" s="5">
        <v>32123</v>
      </c>
      <c r="E309" s="5" t="e">
        <f>VLOOKUP(count[[#This Row],[hwycov_id]],check!$A$2:$P$26,16,FALSE)</f>
        <v>#N/A</v>
      </c>
    </row>
    <row r="310" spans="1:5" x14ac:dyDescent="0.25">
      <c r="A310">
        <v>15439</v>
      </c>
      <c r="B310" s="5">
        <v>113990</v>
      </c>
      <c r="C310" s="5">
        <v>26496</v>
      </c>
      <c r="D310" s="5">
        <v>22010</v>
      </c>
      <c r="E310" s="5" t="e">
        <f>VLOOKUP(count[[#This Row],[hwycov_id]],check!$A$2:$P$26,16,FALSE)</f>
        <v>#N/A</v>
      </c>
    </row>
    <row r="311" spans="1:5" x14ac:dyDescent="0.25">
      <c r="A311">
        <v>15442</v>
      </c>
      <c r="B311" s="5">
        <v>116873</v>
      </c>
      <c r="C311" s="5">
        <v>27332</v>
      </c>
      <c r="D311" s="5">
        <v>22776</v>
      </c>
      <c r="E311" s="5" t="e">
        <f>VLOOKUP(count[[#This Row],[hwycov_id]],check!$A$2:$P$26,16,FALSE)</f>
        <v>#N/A</v>
      </c>
    </row>
    <row r="312" spans="1:5" x14ac:dyDescent="0.25">
      <c r="A312">
        <v>15443</v>
      </c>
      <c r="B312" s="5">
        <v>118810</v>
      </c>
      <c r="C312" s="5">
        <v>14267</v>
      </c>
      <c r="D312" s="5">
        <v>32064</v>
      </c>
      <c r="E312" s="5" t="e">
        <f>VLOOKUP(count[[#This Row],[hwycov_id]],check!$A$2:$P$26,16,FALSE)</f>
        <v>#N/A</v>
      </c>
    </row>
    <row r="313" spans="1:5" x14ac:dyDescent="0.25">
      <c r="A313">
        <v>15456</v>
      </c>
      <c r="B313" s="5">
        <v>96878</v>
      </c>
      <c r="C313" s="5">
        <v>23694</v>
      </c>
      <c r="D313" s="5">
        <v>18202</v>
      </c>
      <c r="E313" s="5" t="e">
        <f>VLOOKUP(count[[#This Row],[hwycov_id]],check!$A$2:$P$26,16,FALSE)</f>
        <v>#N/A</v>
      </c>
    </row>
    <row r="314" spans="1:5" x14ac:dyDescent="0.25">
      <c r="A314">
        <v>15457</v>
      </c>
      <c r="B314" s="5">
        <v>101965</v>
      </c>
      <c r="C314" s="5">
        <v>11649</v>
      </c>
      <c r="D314" s="5">
        <v>28358</v>
      </c>
      <c r="E314" s="5" t="e">
        <f>VLOOKUP(count[[#This Row],[hwycov_id]],check!$A$2:$P$26,16,FALSE)</f>
        <v>#N/A</v>
      </c>
    </row>
    <row r="315" spans="1:5" x14ac:dyDescent="0.25">
      <c r="A315">
        <v>15458</v>
      </c>
      <c r="B315" s="5">
        <v>97668</v>
      </c>
      <c r="C315" s="5">
        <v>23077</v>
      </c>
      <c r="D315" s="5">
        <v>18996</v>
      </c>
      <c r="E315" s="5" t="e">
        <f>VLOOKUP(count[[#This Row],[hwycov_id]],check!$A$2:$P$26,16,FALSE)</f>
        <v>#N/A</v>
      </c>
    </row>
    <row r="316" spans="1:5" x14ac:dyDescent="0.25">
      <c r="A316">
        <v>15459</v>
      </c>
      <c r="B316" s="5">
        <v>100757</v>
      </c>
      <c r="C316" s="5">
        <v>11653</v>
      </c>
      <c r="D316" s="5">
        <v>28021</v>
      </c>
      <c r="E316" s="5" t="e">
        <f>VLOOKUP(count[[#This Row],[hwycov_id]],check!$A$2:$P$26,16,FALSE)</f>
        <v>#N/A</v>
      </c>
    </row>
    <row r="317" spans="1:5" x14ac:dyDescent="0.25">
      <c r="A317">
        <v>15699</v>
      </c>
      <c r="B317" s="5">
        <v>96252</v>
      </c>
      <c r="C317" s="5">
        <v>18909</v>
      </c>
      <c r="D317" s="5">
        <v>20109</v>
      </c>
      <c r="E317" s="5" t="e">
        <f>VLOOKUP(count[[#This Row],[hwycov_id]],check!$A$2:$P$26,16,FALSE)</f>
        <v>#N/A</v>
      </c>
    </row>
    <row r="318" spans="1:5" x14ac:dyDescent="0.25">
      <c r="A318">
        <v>15709</v>
      </c>
      <c r="B318" s="5">
        <v>73416</v>
      </c>
      <c r="C318" s="5">
        <v>14007</v>
      </c>
      <c r="D318" s="5">
        <v>16624</v>
      </c>
      <c r="E318" s="5" t="e">
        <f>VLOOKUP(count[[#This Row],[hwycov_id]],check!$A$2:$P$26,16,FALSE)</f>
        <v>#N/A</v>
      </c>
    </row>
    <row r="319" spans="1:5" x14ac:dyDescent="0.25">
      <c r="A319">
        <v>15714</v>
      </c>
      <c r="B319" s="5">
        <v>98668</v>
      </c>
      <c r="C319" s="5">
        <v>20641</v>
      </c>
      <c r="D319" s="5">
        <v>22349</v>
      </c>
      <c r="E319" s="5" t="e">
        <f>VLOOKUP(count[[#This Row],[hwycov_id]],check!$A$2:$P$26,16,FALSE)</f>
        <v>#N/A</v>
      </c>
    </row>
    <row r="320" spans="1:5" x14ac:dyDescent="0.25">
      <c r="A320">
        <v>15768</v>
      </c>
      <c r="B320" s="5">
        <v>101375</v>
      </c>
      <c r="C320" s="5">
        <v>14760</v>
      </c>
      <c r="D320" s="5">
        <v>27488</v>
      </c>
      <c r="E320" s="5" t="e">
        <f>VLOOKUP(count[[#This Row],[hwycov_id]],check!$A$2:$P$26,16,FALSE)</f>
        <v>#N/A</v>
      </c>
    </row>
    <row r="321" spans="1:5" x14ac:dyDescent="0.25">
      <c r="A321">
        <v>15776</v>
      </c>
      <c r="B321" s="5">
        <v>114510</v>
      </c>
      <c r="C321" s="5">
        <v>25967</v>
      </c>
      <c r="D321" s="5">
        <v>21966</v>
      </c>
      <c r="E321" s="5" t="e">
        <f>VLOOKUP(count[[#This Row],[hwycov_id]],check!$A$2:$P$26,16,FALSE)</f>
        <v>#N/A</v>
      </c>
    </row>
    <row r="322" spans="1:5" x14ac:dyDescent="0.25">
      <c r="A322">
        <v>15853</v>
      </c>
      <c r="B322" s="5">
        <v>79010</v>
      </c>
      <c r="C322" s="5">
        <v>6810</v>
      </c>
      <c r="D322" s="5">
        <v>24679</v>
      </c>
      <c r="E322" s="5" t="e">
        <f>VLOOKUP(count[[#This Row],[hwycov_id]],check!$A$2:$P$26,16,FALSE)</f>
        <v>#N/A</v>
      </c>
    </row>
    <row r="323" spans="1:5" x14ac:dyDescent="0.25">
      <c r="A323">
        <v>15854</v>
      </c>
      <c r="B323" s="5">
        <v>74507</v>
      </c>
      <c r="C323" s="5">
        <v>17736</v>
      </c>
      <c r="D323" s="5">
        <v>13214</v>
      </c>
      <c r="E323" s="5" t="e">
        <f>VLOOKUP(count[[#This Row],[hwycov_id]],check!$A$2:$P$26,16,FALSE)</f>
        <v>#N/A</v>
      </c>
    </row>
    <row r="324" spans="1:5" x14ac:dyDescent="0.25">
      <c r="A324">
        <v>15855</v>
      </c>
      <c r="B324" s="5">
        <v>70839</v>
      </c>
      <c r="C324" s="5">
        <v>5634</v>
      </c>
      <c r="D324" s="5">
        <v>22417</v>
      </c>
      <c r="E324" s="5" t="e">
        <f>VLOOKUP(count[[#This Row],[hwycov_id]],check!$A$2:$P$26,16,FALSE)</f>
        <v>#N/A</v>
      </c>
    </row>
    <row r="325" spans="1:5" x14ac:dyDescent="0.25">
      <c r="A325">
        <v>15856</v>
      </c>
      <c r="B325" s="5">
        <v>68183</v>
      </c>
      <c r="C325" s="5">
        <v>16029</v>
      </c>
      <c r="D325" s="5">
        <v>11871</v>
      </c>
      <c r="E325" s="5" t="e">
        <f>VLOOKUP(count[[#This Row],[hwycov_id]],check!$A$2:$P$26,16,FALSE)</f>
        <v>#N/A</v>
      </c>
    </row>
    <row r="326" spans="1:5" x14ac:dyDescent="0.25">
      <c r="A326">
        <v>15859</v>
      </c>
      <c r="B326" s="5">
        <v>66968</v>
      </c>
      <c r="C326" s="5">
        <v>5148</v>
      </c>
      <c r="D326" s="5">
        <v>21113</v>
      </c>
      <c r="E326" s="5" t="e">
        <f>VLOOKUP(count[[#This Row],[hwycov_id]],check!$A$2:$P$26,16,FALSE)</f>
        <v>#N/A</v>
      </c>
    </row>
    <row r="327" spans="1:5" x14ac:dyDescent="0.25">
      <c r="A327">
        <v>15862</v>
      </c>
      <c r="B327" s="5">
        <v>64850</v>
      </c>
      <c r="C327" s="5">
        <v>15637</v>
      </c>
      <c r="D327" s="5">
        <v>11090</v>
      </c>
      <c r="E327" s="5" t="e">
        <f>VLOOKUP(count[[#This Row],[hwycov_id]],check!$A$2:$P$26,16,FALSE)</f>
        <v>#N/A</v>
      </c>
    </row>
    <row r="328" spans="1:5" x14ac:dyDescent="0.25">
      <c r="A328">
        <v>15863</v>
      </c>
      <c r="B328" s="5">
        <v>28248</v>
      </c>
      <c r="C328" s="5">
        <v>8034</v>
      </c>
      <c r="D328" s="5">
        <v>4620</v>
      </c>
      <c r="E328" s="5" t="e">
        <f>VLOOKUP(count[[#This Row],[hwycov_id]],check!$A$2:$P$26,16,FALSE)</f>
        <v>#N/A</v>
      </c>
    </row>
    <row r="329" spans="1:5" x14ac:dyDescent="0.25">
      <c r="A329">
        <v>15914</v>
      </c>
      <c r="B329" s="5">
        <v>64941</v>
      </c>
      <c r="C329" s="5">
        <v>10617</v>
      </c>
      <c r="D329" s="5">
        <v>17423</v>
      </c>
      <c r="E329" s="5" t="e">
        <f>VLOOKUP(count[[#This Row],[hwycov_id]],check!$A$2:$P$26,16,FALSE)</f>
        <v>#N/A</v>
      </c>
    </row>
    <row r="330" spans="1:5" x14ac:dyDescent="0.25">
      <c r="A330">
        <v>16038</v>
      </c>
      <c r="B330" s="5">
        <v>92712</v>
      </c>
      <c r="C330" s="5">
        <v>16935</v>
      </c>
      <c r="D330" s="5">
        <v>21608</v>
      </c>
      <c r="E330" s="5" t="e">
        <f>VLOOKUP(count[[#This Row],[hwycov_id]],check!$A$2:$P$26,16,FALSE)</f>
        <v>#N/A</v>
      </c>
    </row>
    <row r="331" spans="1:5" x14ac:dyDescent="0.25">
      <c r="A331">
        <v>16045</v>
      </c>
      <c r="B331" s="5">
        <v>50181</v>
      </c>
      <c r="C331" s="5">
        <v>9858</v>
      </c>
      <c r="D331" s="5">
        <v>10546</v>
      </c>
      <c r="E331" s="5" t="e">
        <f>VLOOKUP(count[[#This Row],[hwycov_id]],check!$A$2:$P$26,16,FALSE)</f>
        <v>#N/A</v>
      </c>
    </row>
    <row r="332" spans="1:5" x14ac:dyDescent="0.25">
      <c r="A332">
        <v>16046</v>
      </c>
      <c r="B332" s="5">
        <v>55560</v>
      </c>
      <c r="C332" s="5">
        <v>10404</v>
      </c>
      <c r="D332" s="5">
        <v>12748</v>
      </c>
      <c r="E332" s="5" t="e">
        <f>VLOOKUP(count[[#This Row],[hwycov_id]],check!$A$2:$P$26,16,FALSE)</f>
        <v>#N/A</v>
      </c>
    </row>
    <row r="333" spans="1:5" x14ac:dyDescent="0.25">
      <c r="A333">
        <v>16085</v>
      </c>
      <c r="B333" s="5">
        <v>121000</v>
      </c>
      <c r="C333" s="5">
        <v>24672</v>
      </c>
      <c r="D333" s="5">
        <v>25461</v>
      </c>
      <c r="E333" s="5" t="e">
        <f>VLOOKUP(count[[#This Row],[hwycov_id]],check!$A$2:$P$26,16,FALSE)</f>
        <v>#N/A</v>
      </c>
    </row>
    <row r="334" spans="1:5" x14ac:dyDescent="0.25">
      <c r="A334">
        <v>16096</v>
      </c>
      <c r="B334" s="5">
        <v>81067</v>
      </c>
      <c r="C334" s="5">
        <v>8670</v>
      </c>
      <c r="D334" s="5">
        <v>22091</v>
      </c>
      <c r="E334" s="5" t="e">
        <f>VLOOKUP(count[[#This Row],[hwycov_id]],check!$A$2:$P$26,16,FALSE)</f>
        <v>#N/A</v>
      </c>
    </row>
    <row r="335" spans="1:5" x14ac:dyDescent="0.25">
      <c r="A335">
        <v>16127</v>
      </c>
      <c r="B335" s="5">
        <v>56592</v>
      </c>
      <c r="C335" s="5">
        <v>9944</v>
      </c>
      <c r="D335" s="5">
        <v>13149</v>
      </c>
      <c r="E335" s="5" t="e">
        <f>VLOOKUP(count[[#This Row],[hwycov_id]],check!$A$2:$P$26,16,FALSE)</f>
        <v>#N/A</v>
      </c>
    </row>
    <row r="336" spans="1:5" x14ac:dyDescent="0.25">
      <c r="A336">
        <v>16136</v>
      </c>
      <c r="B336" s="5">
        <v>70159</v>
      </c>
      <c r="C336" s="5">
        <v>13315</v>
      </c>
      <c r="D336" s="5">
        <v>16609</v>
      </c>
      <c r="E336" s="5" t="e">
        <f>VLOOKUP(count[[#This Row],[hwycov_id]],check!$A$2:$P$26,16,FALSE)</f>
        <v>#N/A</v>
      </c>
    </row>
    <row r="337" spans="1:5" x14ac:dyDescent="0.25">
      <c r="A337">
        <v>16144</v>
      </c>
      <c r="B337" s="5">
        <v>40194</v>
      </c>
      <c r="C337" s="5">
        <v>5693</v>
      </c>
      <c r="D337" s="5">
        <v>12403</v>
      </c>
      <c r="E337" s="5" t="e">
        <f>VLOOKUP(count[[#This Row],[hwycov_id]],check!$A$2:$P$26,16,FALSE)</f>
        <v>#N/A</v>
      </c>
    </row>
    <row r="338" spans="1:5" x14ac:dyDescent="0.25">
      <c r="A338">
        <v>16162</v>
      </c>
      <c r="B338" s="5">
        <v>84233</v>
      </c>
      <c r="C338" s="5">
        <v>20052</v>
      </c>
      <c r="D338" s="5">
        <v>20502</v>
      </c>
      <c r="E338" s="5" t="e">
        <f>VLOOKUP(count[[#This Row],[hwycov_id]],check!$A$2:$P$26,16,FALSE)</f>
        <v>#N/A</v>
      </c>
    </row>
    <row r="339" spans="1:5" x14ac:dyDescent="0.25">
      <c r="A339">
        <v>16163</v>
      </c>
      <c r="B339" s="5">
        <v>93567</v>
      </c>
      <c r="C339" s="5">
        <v>20938</v>
      </c>
      <c r="D339" s="5">
        <v>24233</v>
      </c>
      <c r="E339" s="5" t="e">
        <f>VLOOKUP(count[[#This Row],[hwycov_id]],check!$A$2:$P$26,16,FALSE)</f>
        <v>#N/A</v>
      </c>
    </row>
    <row r="340" spans="1:5" x14ac:dyDescent="0.25">
      <c r="A340">
        <v>16164</v>
      </c>
      <c r="B340" s="5">
        <v>83328</v>
      </c>
      <c r="C340" s="5">
        <v>19632</v>
      </c>
      <c r="D340" s="5">
        <v>20096</v>
      </c>
      <c r="E340" s="5" t="e">
        <f>VLOOKUP(count[[#This Row],[hwycov_id]],check!$A$2:$P$26,16,FALSE)</f>
        <v>#N/A</v>
      </c>
    </row>
    <row r="341" spans="1:5" x14ac:dyDescent="0.25">
      <c r="A341">
        <v>16183</v>
      </c>
      <c r="B341" s="5">
        <v>72222</v>
      </c>
      <c r="C341" s="5">
        <v>11550</v>
      </c>
      <c r="D341" s="5">
        <v>15795</v>
      </c>
      <c r="E341" s="5" t="e">
        <f>VLOOKUP(count[[#This Row],[hwycov_id]],check!$A$2:$P$26,16,FALSE)</f>
        <v>#N/A</v>
      </c>
    </row>
    <row r="342" spans="1:5" x14ac:dyDescent="0.25">
      <c r="A342">
        <v>16272</v>
      </c>
      <c r="B342" s="5">
        <v>104695</v>
      </c>
      <c r="C342" s="5">
        <v>17786</v>
      </c>
      <c r="D342" s="5">
        <v>21969</v>
      </c>
      <c r="E342" s="5" t="e">
        <f>VLOOKUP(count[[#This Row],[hwycov_id]],check!$A$2:$P$26,16,FALSE)</f>
        <v>#N/A</v>
      </c>
    </row>
    <row r="343" spans="1:5" x14ac:dyDescent="0.25">
      <c r="A343">
        <v>16275</v>
      </c>
      <c r="B343" s="5">
        <v>109782</v>
      </c>
      <c r="C343" s="5">
        <v>16725</v>
      </c>
      <c r="D343" s="5">
        <v>24411</v>
      </c>
      <c r="E343" s="5" t="e">
        <f>VLOOKUP(count[[#This Row],[hwycov_id]],check!$A$2:$P$26,16,FALSE)</f>
        <v>#N/A</v>
      </c>
    </row>
    <row r="344" spans="1:5" x14ac:dyDescent="0.25">
      <c r="A344">
        <v>16290</v>
      </c>
      <c r="B344" s="5">
        <v>98928</v>
      </c>
      <c r="C344" s="5">
        <v>15885</v>
      </c>
      <c r="D344" s="5">
        <v>21307</v>
      </c>
      <c r="E344" s="5" t="e">
        <f>VLOOKUP(count[[#This Row],[hwycov_id]],check!$A$2:$P$26,16,FALSE)</f>
        <v>#N/A</v>
      </c>
    </row>
    <row r="345" spans="1:5" x14ac:dyDescent="0.25">
      <c r="A345">
        <v>16291</v>
      </c>
      <c r="B345" s="5">
        <v>102468</v>
      </c>
      <c r="C345" s="5">
        <v>16284</v>
      </c>
      <c r="D345" s="5">
        <v>22060</v>
      </c>
      <c r="E345" s="5" t="e">
        <f>VLOOKUP(count[[#This Row],[hwycov_id]],check!$A$2:$P$26,16,FALSE)</f>
        <v>#N/A</v>
      </c>
    </row>
    <row r="346" spans="1:5" x14ac:dyDescent="0.25">
      <c r="A346">
        <v>16351</v>
      </c>
      <c r="B346" s="5">
        <v>35545</v>
      </c>
      <c r="C346" s="5">
        <v>9927</v>
      </c>
      <c r="D346" s="5">
        <v>5728</v>
      </c>
      <c r="E346" s="5" t="e">
        <f>VLOOKUP(count[[#This Row],[hwycov_id]],check!$A$2:$P$26,16,FALSE)</f>
        <v>#N/A</v>
      </c>
    </row>
    <row r="347" spans="1:5" x14ac:dyDescent="0.25">
      <c r="A347">
        <v>16352</v>
      </c>
      <c r="B347" s="5">
        <v>39527</v>
      </c>
      <c r="C347" s="5">
        <v>10942</v>
      </c>
      <c r="D347" s="5">
        <v>7385</v>
      </c>
      <c r="E347" s="5" t="e">
        <f>VLOOKUP(count[[#This Row],[hwycov_id]],check!$A$2:$P$26,16,FALSE)</f>
        <v>#N/A</v>
      </c>
    </row>
    <row r="348" spans="1:5" x14ac:dyDescent="0.25">
      <c r="A348">
        <v>16353</v>
      </c>
      <c r="B348" s="5">
        <v>38278</v>
      </c>
      <c r="C348" s="5">
        <v>4534</v>
      </c>
      <c r="D348" s="5">
        <v>12737</v>
      </c>
      <c r="E348" s="5" t="e">
        <f>VLOOKUP(count[[#This Row],[hwycov_id]],check!$A$2:$P$26,16,FALSE)</f>
        <v>#N/A</v>
      </c>
    </row>
    <row r="349" spans="1:5" x14ac:dyDescent="0.25">
      <c r="A349">
        <v>16356</v>
      </c>
      <c r="B349" s="5">
        <v>41638</v>
      </c>
      <c r="C349" s="5">
        <v>5037</v>
      </c>
      <c r="D349" s="5">
        <v>13298</v>
      </c>
      <c r="E349" s="5" t="e">
        <f>VLOOKUP(count[[#This Row],[hwycov_id]],check!$A$2:$P$26,16,FALSE)</f>
        <v>#N/A</v>
      </c>
    </row>
    <row r="350" spans="1:5" x14ac:dyDescent="0.25">
      <c r="A350">
        <v>16357</v>
      </c>
      <c r="B350" s="5">
        <v>37504</v>
      </c>
      <c r="C350" s="5">
        <v>10930</v>
      </c>
      <c r="D350" s="5">
        <v>5886</v>
      </c>
      <c r="E350" s="5" t="e">
        <f>VLOOKUP(count[[#This Row],[hwycov_id]],check!$A$2:$P$26,16,FALSE)</f>
        <v>#N/A</v>
      </c>
    </row>
    <row r="351" spans="1:5" x14ac:dyDescent="0.25">
      <c r="A351">
        <v>16358</v>
      </c>
      <c r="B351" s="5">
        <v>32989</v>
      </c>
      <c r="C351" s="5">
        <v>9685</v>
      </c>
      <c r="D351" s="5">
        <v>5188</v>
      </c>
      <c r="E351" s="5" t="e">
        <f>VLOOKUP(count[[#This Row],[hwycov_id]],check!$A$2:$P$26,16,FALSE)</f>
        <v>#N/A</v>
      </c>
    </row>
    <row r="352" spans="1:5" x14ac:dyDescent="0.25">
      <c r="A352">
        <v>16359</v>
      </c>
      <c r="B352" s="5">
        <v>31711</v>
      </c>
      <c r="C352" s="5">
        <v>9267</v>
      </c>
      <c r="D352" s="5">
        <v>4893</v>
      </c>
      <c r="E352" s="5" t="e">
        <f>VLOOKUP(count[[#This Row],[hwycov_id]],check!$A$2:$P$26,16,FALSE)</f>
        <v>#N/A</v>
      </c>
    </row>
    <row r="353" spans="1:5" x14ac:dyDescent="0.25">
      <c r="A353">
        <v>16360</v>
      </c>
      <c r="B353" s="5">
        <v>37676</v>
      </c>
      <c r="C353" s="5">
        <v>4034</v>
      </c>
      <c r="D353" s="5">
        <v>12653</v>
      </c>
      <c r="E353" s="5" t="e">
        <f>VLOOKUP(count[[#This Row],[hwycov_id]],check!$A$2:$P$26,16,FALSE)</f>
        <v>#N/A</v>
      </c>
    </row>
    <row r="354" spans="1:5" x14ac:dyDescent="0.25">
      <c r="A354">
        <v>16427</v>
      </c>
      <c r="B354" s="5">
        <v>75199</v>
      </c>
      <c r="C354" s="5">
        <v>12562</v>
      </c>
      <c r="D354" s="5">
        <v>18053</v>
      </c>
      <c r="E354" s="5" t="e">
        <f>VLOOKUP(count[[#This Row],[hwycov_id]],check!$A$2:$P$26,16,FALSE)</f>
        <v>#N/A</v>
      </c>
    </row>
    <row r="355" spans="1:5" x14ac:dyDescent="0.25">
      <c r="A355">
        <v>16428</v>
      </c>
      <c r="B355" s="5">
        <v>72061</v>
      </c>
      <c r="C355" s="5">
        <v>14402</v>
      </c>
      <c r="D355" s="5">
        <v>14152</v>
      </c>
      <c r="E355" s="5" t="e">
        <f>VLOOKUP(count[[#This Row],[hwycov_id]],check!$A$2:$P$26,16,FALSE)</f>
        <v>#N/A</v>
      </c>
    </row>
    <row r="356" spans="1:5" x14ac:dyDescent="0.25">
      <c r="A356">
        <v>16430</v>
      </c>
      <c r="B356" s="5">
        <v>57105</v>
      </c>
      <c r="C356" s="5">
        <v>10329</v>
      </c>
      <c r="D356" s="5">
        <v>13288</v>
      </c>
      <c r="E356" s="5" t="e">
        <f>VLOOKUP(count[[#This Row],[hwycov_id]],check!$A$2:$P$26,16,FALSE)</f>
        <v>#N/A</v>
      </c>
    </row>
    <row r="357" spans="1:5" x14ac:dyDescent="0.25">
      <c r="A357">
        <v>16446</v>
      </c>
      <c r="B357" s="5">
        <v>72465</v>
      </c>
      <c r="C357" s="5">
        <v>12735</v>
      </c>
      <c r="D357" s="5">
        <v>15255</v>
      </c>
      <c r="E357" s="5" t="e">
        <f>VLOOKUP(count[[#This Row],[hwycov_id]],check!$A$2:$P$26,16,FALSE)</f>
        <v>#N/A</v>
      </c>
    </row>
    <row r="358" spans="1:5" x14ac:dyDescent="0.25">
      <c r="A358">
        <v>16489</v>
      </c>
      <c r="B358" s="5">
        <v>69064</v>
      </c>
      <c r="C358" s="5">
        <v>9024</v>
      </c>
      <c r="D358" s="5">
        <v>17971</v>
      </c>
      <c r="E358" s="5" t="e">
        <f>VLOOKUP(count[[#This Row],[hwycov_id]],check!$A$2:$P$26,16,FALSE)</f>
        <v>#N/A</v>
      </c>
    </row>
    <row r="359" spans="1:5" x14ac:dyDescent="0.25">
      <c r="A359">
        <v>16523</v>
      </c>
      <c r="B359" s="5">
        <v>34665</v>
      </c>
      <c r="C359" s="5">
        <v>5411</v>
      </c>
      <c r="D359" s="5">
        <v>10101</v>
      </c>
      <c r="E359" s="5" t="e">
        <f>VLOOKUP(count[[#This Row],[hwycov_id]],check!$A$2:$P$26,16,FALSE)</f>
        <v>#N/A</v>
      </c>
    </row>
    <row r="360" spans="1:5" x14ac:dyDescent="0.25">
      <c r="A360">
        <v>16533</v>
      </c>
      <c r="B360" s="5">
        <v>76636</v>
      </c>
      <c r="C360" s="5">
        <v>18132</v>
      </c>
      <c r="D360" s="5">
        <v>14904</v>
      </c>
      <c r="E360" s="5" t="e">
        <f>VLOOKUP(count[[#This Row],[hwycov_id]],check!$A$2:$P$26,16,FALSE)</f>
        <v>#N/A</v>
      </c>
    </row>
    <row r="361" spans="1:5" x14ac:dyDescent="0.25">
      <c r="A361">
        <v>16565</v>
      </c>
      <c r="B361" s="5">
        <v>69059</v>
      </c>
      <c r="C361" s="5">
        <v>10925</v>
      </c>
      <c r="D361" s="5">
        <v>16661</v>
      </c>
      <c r="E361" s="5" t="e">
        <f>VLOOKUP(count[[#This Row],[hwycov_id]],check!$A$2:$P$26,16,FALSE)</f>
        <v>#N/A</v>
      </c>
    </row>
    <row r="362" spans="1:5" x14ac:dyDescent="0.25">
      <c r="A362">
        <v>16566</v>
      </c>
      <c r="B362" s="5">
        <v>54156</v>
      </c>
      <c r="C362" s="5">
        <v>8325</v>
      </c>
      <c r="D362" s="5">
        <v>13078</v>
      </c>
      <c r="E362" s="5" t="e">
        <f>VLOOKUP(count[[#This Row],[hwycov_id]],check!$A$2:$P$26,16,FALSE)</f>
        <v>#N/A</v>
      </c>
    </row>
    <row r="363" spans="1:5" x14ac:dyDescent="0.25">
      <c r="A363">
        <v>16570</v>
      </c>
      <c r="B363" s="5">
        <v>116277</v>
      </c>
      <c r="C363" s="5">
        <v>17069</v>
      </c>
      <c r="D363" s="5">
        <v>30787</v>
      </c>
      <c r="E363" s="5" t="e">
        <f>VLOOKUP(count[[#This Row],[hwycov_id]],check!$A$2:$P$26,16,FALSE)</f>
        <v>#N/A</v>
      </c>
    </row>
    <row r="364" spans="1:5" x14ac:dyDescent="0.25">
      <c r="A364">
        <v>16578</v>
      </c>
      <c r="B364" s="5">
        <v>97795</v>
      </c>
      <c r="C364" s="5">
        <v>15939</v>
      </c>
      <c r="D364" s="5">
        <v>21652</v>
      </c>
      <c r="E364" s="5" t="e">
        <f>VLOOKUP(count[[#This Row],[hwycov_id]],check!$A$2:$P$26,16,FALSE)</f>
        <v>#N/A</v>
      </c>
    </row>
    <row r="365" spans="1:5" x14ac:dyDescent="0.25">
      <c r="A365">
        <v>16584</v>
      </c>
      <c r="B365" s="5">
        <v>105413</v>
      </c>
      <c r="C365" s="5">
        <v>22875</v>
      </c>
      <c r="D365" s="5">
        <v>22327</v>
      </c>
      <c r="E365" s="5" t="e">
        <f>VLOOKUP(count[[#This Row],[hwycov_id]],check!$A$2:$P$26,16,FALSE)</f>
        <v>#N/A</v>
      </c>
    </row>
    <row r="366" spans="1:5" x14ac:dyDescent="0.25">
      <c r="A366">
        <v>19481</v>
      </c>
      <c r="B366" s="5">
        <v>45435</v>
      </c>
      <c r="C366" s="5">
        <v>5043</v>
      </c>
      <c r="D366" s="5">
        <v>14529</v>
      </c>
      <c r="E366" s="5" t="e">
        <f>VLOOKUP(count[[#This Row],[hwycov_id]],check!$A$2:$P$26,16,FALSE)</f>
        <v>#N/A</v>
      </c>
    </row>
    <row r="367" spans="1:5" x14ac:dyDescent="0.25">
      <c r="A367">
        <v>19571</v>
      </c>
      <c r="B367" s="5">
        <v>61208</v>
      </c>
      <c r="C367" s="5">
        <v>12396</v>
      </c>
      <c r="D367" s="5">
        <v>11294</v>
      </c>
      <c r="E367" s="5" t="e">
        <f>VLOOKUP(count[[#This Row],[hwycov_id]],check!$A$2:$P$26,16,FALSE)</f>
        <v>#N/A</v>
      </c>
    </row>
    <row r="368" spans="1:5" x14ac:dyDescent="0.25">
      <c r="A368">
        <v>20458</v>
      </c>
      <c r="B368" s="5">
        <v>71251</v>
      </c>
      <c r="C368" s="5">
        <v>14250</v>
      </c>
      <c r="D368" s="5">
        <v>14325</v>
      </c>
      <c r="E368" s="5" t="e">
        <f>VLOOKUP(count[[#This Row],[hwycov_id]],check!$A$2:$P$26,16,FALSE)</f>
        <v>#N/A</v>
      </c>
    </row>
    <row r="369" spans="1:5" x14ac:dyDescent="0.25">
      <c r="A369">
        <v>20463</v>
      </c>
      <c r="B369" s="5">
        <v>79828</v>
      </c>
      <c r="C369" s="5">
        <v>10779</v>
      </c>
      <c r="D369" s="5">
        <v>19487</v>
      </c>
      <c r="E369" s="5" t="e">
        <f>VLOOKUP(count[[#This Row],[hwycov_id]],check!$A$2:$P$26,16,FALSE)</f>
        <v>#N/A</v>
      </c>
    </row>
    <row r="370" spans="1:5" x14ac:dyDescent="0.25">
      <c r="A370">
        <v>20464</v>
      </c>
      <c r="B370" s="5">
        <v>75360</v>
      </c>
      <c r="C370" s="5">
        <v>14529</v>
      </c>
      <c r="D370" s="5">
        <v>13346</v>
      </c>
      <c r="E370" s="5" t="e">
        <f>VLOOKUP(count[[#This Row],[hwycov_id]],check!$A$2:$P$26,16,FALSE)</f>
        <v>#N/A</v>
      </c>
    </row>
    <row r="371" spans="1:5" x14ac:dyDescent="0.25">
      <c r="A371">
        <v>20466</v>
      </c>
      <c r="B371" s="5">
        <v>85705</v>
      </c>
      <c r="C371" s="5">
        <v>19989</v>
      </c>
      <c r="D371" s="5">
        <v>13885</v>
      </c>
      <c r="E371" s="5" t="e">
        <f>VLOOKUP(count[[#This Row],[hwycov_id]],check!$A$2:$P$26,16,FALSE)</f>
        <v>#N/A</v>
      </c>
    </row>
    <row r="372" spans="1:5" x14ac:dyDescent="0.25">
      <c r="A372">
        <v>20467</v>
      </c>
      <c r="B372" s="5">
        <v>81988</v>
      </c>
      <c r="C372" s="5">
        <v>20574</v>
      </c>
      <c r="D372" s="5">
        <v>13255</v>
      </c>
      <c r="E372" s="5" t="e">
        <f>VLOOKUP(count[[#This Row],[hwycov_id]],check!$A$2:$P$26,16,FALSE)</f>
        <v>#N/A</v>
      </c>
    </row>
    <row r="373" spans="1:5" x14ac:dyDescent="0.25">
      <c r="A373">
        <v>20471</v>
      </c>
      <c r="B373" s="5">
        <v>79401</v>
      </c>
      <c r="C373" s="5">
        <v>18372</v>
      </c>
      <c r="D373" s="5">
        <v>14973</v>
      </c>
      <c r="E373" s="5" t="e">
        <f>VLOOKUP(count[[#This Row],[hwycov_id]],check!$A$2:$P$26,16,FALSE)</f>
        <v>#N/A</v>
      </c>
    </row>
    <row r="374" spans="1:5" x14ac:dyDescent="0.25">
      <c r="A374">
        <v>20472</v>
      </c>
      <c r="B374" s="5">
        <v>88990</v>
      </c>
      <c r="C374" s="5">
        <v>20709</v>
      </c>
      <c r="D374" s="5">
        <v>16429</v>
      </c>
      <c r="E374" s="5" t="e">
        <f>VLOOKUP(count[[#This Row],[hwycov_id]],check!$A$2:$P$26,16,FALSE)</f>
        <v>#N/A</v>
      </c>
    </row>
    <row r="375" spans="1:5" x14ac:dyDescent="0.25">
      <c r="A375">
        <v>20529</v>
      </c>
      <c r="B375" s="5">
        <v>85111</v>
      </c>
      <c r="C375" s="5">
        <v>18033</v>
      </c>
      <c r="D375" s="5">
        <v>18162</v>
      </c>
      <c r="E375" s="5" t="e">
        <f>VLOOKUP(count[[#This Row],[hwycov_id]],check!$A$2:$P$26,16,FALSE)</f>
        <v>#N/A</v>
      </c>
    </row>
    <row r="376" spans="1:5" x14ac:dyDescent="0.25">
      <c r="A376">
        <v>20549</v>
      </c>
      <c r="B376" s="5">
        <v>87099</v>
      </c>
      <c r="C376" s="5">
        <v>18944</v>
      </c>
      <c r="D376" s="5">
        <v>17896</v>
      </c>
      <c r="E376" s="5" t="e">
        <f>VLOOKUP(count[[#This Row],[hwycov_id]],check!$A$2:$P$26,16,FALSE)</f>
        <v>#N/A</v>
      </c>
    </row>
    <row r="377" spans="1:5" x14ac:dyDescent="0.25">
      <c r="A377">
        <v>20588</v>
      </c>
      <c r="B377" s="5">
        <v>78365</v>
      </c>
      <c r="C377" s="5">
        <v>15951</v>
      </c>
      <c r="D377" s="5">
        <v>17021</v>
      </c>
      <c r="E377" s="5" t="e">
        <f>VLOOKUP(count[[#This Row],[hwycov_id]],check!$A$2:$P$26,16,FALSE)</f>
        <v>#N/A</v>
      </c>
    </row>
    <row r="378" spans="1:5" x14ac:dyDescent="0.25">
      <c r="A378">
        <v>20693</v>
      </c>
      <c r="B378" s="5">
        <v>68299</v>
      </c>
      <c r="C378" s="5">
        <v>12417</v>
      </c>
      <c r="D378" s="5">
        <v>14021</v>
      </c>
      <c r="E378" s="5" t="e">
        <f>VLOOKUP(count[[#This Row],[hwycov_id]],check!$A$2:$P$26,16,FALSE)</f>
        <v>#N/A</v>
      </c>
    </row>
    <row r="379" spans="1:5" x14ac:dyDescent="0.25">
      <c r="A379">
        <v>20694</v>
      </c>
      <c r="B379" s="5">
        <v>76554</v>
      </c>
      <c r="C379" s="5">
        <v>13448</v>
      </c>
      <c r="D379" s="5">
        <v>16676</v>
      </c>
      <c r="E379" s="5" t="e">
        <f>VLOOKUP(count[[#This Row],[hwycov_id]],check!$A$2:$P$26,16,FALSE)</f>
        <v>#N/A</v>
      </c>
    </row>
    <row r="380" spans="1:5" x14ac:dyDescent="0.25">
      <c r="A380">
        <v>20700</v>
      </c>
      <c r="B380" s="5">
        <v>79868</v>
      </c>
      <c r="C380" s="5">
        <v>10959</v>
      </c>
      <c r="D380" s="5">
        <v>19386</v>
      </c>
      <c r="E380" s="5" t="e">
        <f>VLOOKUP(count[[#This Row],[hwycov_id]],check!$A$2:$P$26,16,FALSE)</f>
        <v>#N/A</v>
      </c>
    </row>
    <row r="381" spans="1:5" x14ac:dyDescent="0.25">
      <c r="A381">
        <v>20709</v>
      </c>
      <c r="B381" s="5">
        <v>91229</v>
      </c>
      <c r="C381" s="5">
        <v>13374</v>
      </c>
      <c r="D381" s="5">
        <v>20376</v>
      </c>
      <c r="E381" s="5" t="e">
        <f>VLOOKUP(count[[#This Row],[hwycov_id]],check!$A$2:$P$26,16,FALSE)</f>
        <v>#N/A</v>
      </c>
    </row>
    <row r="382" spans="1:5" x14ac:dyDescent="0.25">
      <c r="A382">
        <v>20711</v>
      </c>
      <c r="B382" s="5">
        <v>78194</v>
      </c>
      <c r="C382" s="5">
        <v>7845</v>
      </c>
      <c r="D382" s="5">
        <v>20899</v>
      </c>
      <c r="E382" s="5" t="e">
        <f>VLOOKUP(count[[#This Row],[hwycov_id]],check!$A$2:$P$26,16,FALSE)</f>
        <v>#N/A</v>
      </c>
    </row>
    <row r="383" spans="1:5" x14ac:dyDescent="0.25">
      <c r="A383">
        <v>20717</v>
      </c>
      <c r="B383" s="5">
        <v>96160</v>
      </c>
      <c r="C383" s="5">
        <v>11682</v>
      </c>
      <c r="D383" s="5">
        <v>21818</v>
      </c>
      <c r="E383" s="5" t="e">
        <f>VLOOKUP(count[[#This Row],[hwycov_id]],check!$A$2:$P$26,16,FALSE)</f>
        <v>#N/A</v>
      </c>
    </row>
    <row r="384" spans="1:5" x14ac:dyDescent="0.25">
      <c r="A384">
        <v>20719</v>
      </c>
      <c r="B384" s="5">
        <v>83927</v>
      </c>
      <c r="C384" s="5">
        <v>10272</v>
      </c>
      <c r="D384" s="5">
        <v>23045</v>
      </c>
      <c r="E384" s="5" t="e">
        <f>VLOOKUP(count[[#This Row],[hwycov_id]],check!$A$2:$P$26,16,FALSE)</f>
        <v>#N/A</v>
      </c>
    </row>
    <row r="385" spans="1:5" x14ac:dyDescent="0.25">
      <c r="A385">
        <v>20727</v>
      </c>
      <c r="B385" s="5">
        <v>51970</v>
      </c>
      <c r="C385" s="5">
        <v>12006</v>
      </c>
      <c r="D385" s="5">
        <v>10067</v>
      </c>
      <c r="E385" s="5" t="e">
        <f>VLOOKUP(count[[#This Row],[hwycov_id]],check!$A$2:$P$26,16,FALSE)</f>
        <v>#N/A</v>
      </c>
    </row>
    <row r="386" spans="1:5" x14ac:dyDescent="0.25">
      <c r="A386">
        <v>20730</v>
      </c>
      <c r="B386" s="5">
        <v>86593</v>
      </c>
      <c r="C386" s="5">
        <v>18414</v>
      </c>
      <c r="D386" s="5">
        <v>18238</v>
      </c>
      <c r="E386" s="5" t="e">
        <f>VLOOKUP(count[[#This Row],[hwycov_id]],check!$A$2:$P$26,16,FALSE)</f>
        <v>#N/A</v>
      </c>
    </row>
    <row r="387" spans="1:5" x14ac:dyDescent="0.25">
      <c r="A387">
        <v>20731</v>
      </c>
      <c r="B387" s="5">
        <v>79200</v>
      </c>
      <c r="C387" s="5">
        <v>16560</v>
      </c>
      <c r="D387" s="5">
        <v>16177</v>
      </c>
      <c r="E387" s="5" t="e">
        <f>VLOOKUP(count[[#This Row],[hwycov_id]],check!$A$2:$P$26,16,FALSE)</f>
        <v>#N/A</v>
      </c>
    </row>
    <row r="388" spans="1:5" x14ac:dyDescent="0.25">
      <c r="A388">
        <v>20741</v>
      </c>
      <c r="B388" s="5">
        <v>112918</v>
      </c>
      <c r="C388" s="5">
        <v>21994</v>
      </c>
      <c r="D388" s="5">
        <v>21655</v>
      </c>
      <c r="E388" s="5" t="e">
        <f>VLOOKUP(count[[#This Row],[hwycov_id]],check!$A$2:$P$26,16,FALSE)</f>
        <v>#N/A</v>
      </c>
    </row>
    <row r="389" spans="1:5" x14ac:dyDescent="0.25">
      <c r="A389">
        <v>20743</v>
      </c>
      <c r="B389" s="5">
        <v>91540</v>
      </c>
      <c r="C389" s="5">
        <v>16839</v>
      </c>
      <c r="D389" s="5">
        <v>17466</v>
      </c>
      <c r="E389" s="5" t="e">
        <f>VLOOKUP(count[[#This Row],[hwycov_id]],check!$A$2:$P$26,16,FALSE)</f>
        <v>#N/A</v>
      </c>
    </row>
    <row r="390" spans="1:5" x14ac:dyDescent="0.25">
      <c r="A390">
        <v>20749</v>
      </c>
      <c r="B390" s="5">
        <v>124039</v>
      </c>
      <c r="C390" s="5">
        <v>25082</v>
      </c>
      <c r="D390" s="5">
        <v>22742</v>
      </c>
      <c r="E390" s="5" t="e">
        <f>VLOOKUP(count[[#This Row],[hwycov_id]],check!$A$2:$P$26,16,FALSE)</f>
        <v>#N/A</v>
      </c>
    </row>
    <row r="391" spans="1:5" x14ac:dyDescent="0.25">
      <c r="A391">
        <v>20750</v>
      </c>
      <c r="B391" s="5">
        <v>86854</v>
      </c>
      <c r="C391" s="5">
        <v>17196</v>
      </c>
      <c r="D391" s="5">
        <v>15022</v>
      </c>
      <c r="E391" s="5" t="e">
        <f>VLOOKUP(count[[#This Row],[hwycov_id]],check!$A$2:$P$26,16,FALSE)</f>
        <v>#N/A</v>
      </c>
    </row>
    <row r="392" spans="1:5" x14ac:dyDescent="0.25">
      <c r="A392">
        <v>20755</v>
      </c>
      <c r="B392" s="5">
        <v>77074</v>
      </c>
      <c r="C392" s="5">
        <v>19683</v>
      </c>
      <c r="D392" s="5">
        <v>12056</v>
      </c>
      <c r="E392" s="5" t="e">
        <f>VLOOKUP(count[[#This Row],[hwycov_id]],check!$A$2:$P$26,16,FALSE)</f>
        <v>#N/A</v>
      </c>
    </row>
    <row r="393" spans="1:5" x14ac:dyDescent="0.25">
      <c r="A393">
        <v>20781</v>
      </c>
      <c r="B393" s="5">
        <v>87684</v>
      </c>
      <c r="C393" s="5">
        <v>18844</v>
      </c>
      <c r="D393" s="5">
        <v>15531</v>
      </c>
      <c r="E393" s="5" t="e">
        <f>VLOOKUP(count[[#This Row],[hwycov_id]],check!$A$2:$P$26,16,FALSE)</f>
        <v>#N/A</v>
      </c>
    </row>
    <row r="394" spans="1:5" x14ac:dyDescent="0.25">
      <c r="A394">
        <v>20782</v>
      </c>
      <c r="B394" s="5">
        <v>76599</v>
      </c>
      <c r="C394" s="5">
        <v>7740</v>
      </c>
      <c r="D394" s="5">
        <v>21519</v>
      </c>
      <c r="E394" s="5" t="e">
        <f>VLOOKUP(count[[#This Row],[hwycov_id]],check!$A$2:$P$26,16,FALSE)</f>
        <v>#N/A</v>
      </c>
    </row>
    <row r="395" spans="1:5" x14ac:dyDescent="0.25">
      <c r="A395">
        <v>20787</v>
      </c>
      <c r="B395" s="5">
        <v>90022</v>
      </c>
      <c r="C395" s="5">
        <v>8853</v>
      </c>
      <c r="D395" s="5">
        <v>25337</v>
      </c>
      <c r="E395" s="5" t="e">
        <f>VLOOKUP(count[[#This Row],[hwycov_id]],check!$A$2:$P$26,16,FALSE)</f>
        <v>#N/A</v>
      </c>
    </row>
    <row r="396" spans="1:5" x14ac:dyDescent="0.25">
      <c r="A396">
        <v>20789</v>
      </c>
      <c r="B396" s="5">
        <v>102387</v>
      </c>
      <c r="C396" s="5">
        <v>12486</v>
      </c>
      <c r="D396" s="5">
        <v>25737</v>
      </c>
      <c r="E396" s="5" t="e">
        <f>VLOOKUP(count[[#This Row],[hwycov_id]],check!$A$2:$P$26,16,FALSE)</f>
        <v>#N/A</v>
      </c>
    </row>
    <row r="397" spans="1:5" x14ac:dyDescent="0.25">
      <c r="A397">
        <v>20790</v>
      </c>
      <c r="B397" s="5">
        <v>109314</v>
      </c>
      <c r="C397" s="5">
        <v>13212</v>
      </c>
      <c r="D397" s="5">
        <v>30384</v>
      </c>
      <c r="E397" s="5" t="e">
        <f>VLOOKUP(count[[#This Row],[hwycov_id]],check!$A$2:$P$26,16,FALSE)</f>
        <v>#N/A</v>
      </c>
    </row>
    <row r="398" spans="1:5" x14ac:dyDescent="0.25">
      <c r="A398">
        <v>21848</v>
      </c>
      <c r="B398" s="5">
        <v>53153</v>
      </c>
      <c r="C398" s="5">
        <v>9920</v>
      </c>
      <c r="D398" s="5">
        <v>11803</v>
      </c>
      <c r="E398" s="5" t="e">
        <f>VLOOKUP(count[[#This Row],[hwycov_id]],check!$A$2:$P$26,16,FALSE)</f>
        <v>#N/A</v>
      </c>
    </row>
    <row r="399" spans="1:5" x14ac:dyDescent="0.25">
      <c r="A399">
        <v>22157</v>
      </c>
      <c r="B399" s="5">
        <v>102194</v>
      </c>
      <c r="C399" s="5">
        <v>13023</v>
      </c>
      <c r="D399" s="5">
        <v>26386</v>
      </c>
      <c r="E399" s="5" t="e">
        <f>VLOOKUP(count[[#This Row],[hwycov_id]],check!$A$2:$P$26,16,FALSE)</f>
        <v>#N/A</v>
      </c>
    </row>
    <row r="400" spans="1:5" x14ac:dyDescent="0.25">
      <c r="A400">
        <v>22716</v>
      </c>
      <c r="B400" s="5">
        <v>74573</v>
      </c>
      <c r="C400" s="5">
        <v>8346</v>
      </c>
      <c r="D400" s="5">
        <v>17503</v>
      </c>
      <c r="E400" s="5" t="e">
        <f>VLOOKUP(count[[#This Row],[hwycov_id]],check!$A$2:$P$26,16,FALSE)</f>
        <v>#N/A</v>
      </c>
    </row>
    <row r="401" spans="1:5" x14ac:dyDescent="0.25">
      <c r="A401">
        <v>22740</v>
      </c>
      <c r="B401" s="5">
        <v>79398</v>
      </c>
      <c r="C401" s="5">
        <v>15387</v>
      </c>
      <c r="D401" s="5">
        <v>15967</v>
      </c>
      <c r="E401" s="5" t="e">
        <f>VLOOKUP(count[[#This Row],[hwycov_id]],check!$A$2:$P$26,16,FALSE)</f>
        <v>#N/A</v>
      </c>
    </row>
    <row r="402" spans="1:5" x14ac:dyDescent="0.25">
      <c r="A402">
        <v>22757</v>
      </c>
      <c r="B402" s="5">
        <v>48047</v>
      </c>
      <c r="C402" s="5">
        <v>8343</v>
      </c>
      <c r="D402" s="5">
        <v>13021</v>
      </c>
      <c r="E402" s="5" t="e">
        <f>VLOOKUP(count[[#This Row],[hwycov_id]],check!$A$2:$P$26,16,FALSE)</f>
        <v>#N/A</v>
      </c>
    </row>
    <row r="403" spans="1:5" x14ac:dyDescent="0.25">
      <c r="A403">
        <v>23044</v>
      </c>
      <c r="B403" s="5">
        <v>26840</v>
      </c>
      <c r="C403" s="5">
        <v>2993</v>
      </c>
      <c r="D403" s="5">
        <v>11668</v>
      </c>
      <c r="E403" s="5" t="e">
        <f>VLOOKUP(count[[#This Row],[hwycov_id]],check!$A$2:$P$26,16,FALSE)</f>
        <v>#N/A</v>
      </c>
    </row>
    <row r="404" spans="1:5" x14ac:dyDescent="0.25">
      <c r="A404">
        <v>23053</v>
      </c>
      <c r="B404" s="5">
        <v>26852</v>
      </c>
      <c r="C404" s="5">
        <v>1764</v>
      </c>
      <c r="D404" s="5">
        <v>12880</v>
      </c>
      <c r="E404" s="5" t="e">
        <f>VLOOKUP(count[[#This Row],[hwycov_id]],check!$A$2:$P$26,16,FALSE)</f>
        <v>#N/A</v>
      </c>
    </row>
    <row r="405" spans="1:5" x14ac:dyDescent="0.25">
      <c r="A405">
        <v>23128</v>
      </c>
      <c r="B405" s="5">
        <v>26786</v>
      </c>
      <c r="C405" s="5">
        <v>11275</v>
      </c>
      <c r="D405" s="5">
        <v>4267</v>
      </c>
      <c r="E405" s="5" t="e">
        <f>VLOOKUP(count[[#This Row],[hwycov_id]],check!$A$2:$P$26,16,FALSE)</f>
        <v>#N/A</v>
      </c>
    </row>
    <row r="406" spans="1:5" x14ac:dyDescent="0.25">
      <c r="A406">
        <v>23142</v>
      </c>
      <c r="B406" s="5">
        <v>29688</v>
      </c>
      <c r="C406" s="5">
        <v>10196</v>
      </c>
      <c r="D406" s="5">
        <v>6298</v>
      </c>
      <c r="E406" s="5" t="e">
        <f>VLOOKUP(count[[#This Row],[hwycov_id]],check!$A$2:$P$26,16,FALSE)</f>
        <v>#N/A</v>
      </c>
    </row>
    <row r="407" spans="1:5" x14ac:dyDescent="0.25">
      <c r="A407">
        <v>23851</v>
      </c>
      <c r="B407" s="5">
        <v>70732</v>
      </c>
      <c r="C407" s="5">
        <v>16377</v>
      </c>
      <c r="D407" s="5">
        <v>11943</v>
      </c>
      <c r="E407" s="5" t="e">
        <f>VLOOKUP(count[[#This Row],[hwycov_id]],check!$A$2:$P$26,16,FALSE)</f>
        <v>#N/A</v>
      </c>
    </row>
    <row r="408" spans="1:5" x14ac:dyDescent="0.25">
      <c r="A408">
        <v>23867</v>
      </c>
      <c r="B408" s="5">
        <v>43565</v>
      </c>
      <c r="C408" s="5">
        <v>14112</v>
      </c>
      <c r="D408" s="5">
        <v>6012</v>
      </c>
      <c r="E408" s="5" t="e">
        <f>VLOOKUP(count[[#This Row],[hwycov_id]],check!$A$2:$P$26,16,FALSE)</f>
        <v>#N/A</v>
      </c>
    </row>
    <row r="409" spans="1:5" x14ac:dyDescent="0.25">
      <c r="A409">
        <v>24091</v>
      </c>
      <c r="B409" s="5">
        <v>56148</v>
      </c>
      <c r="C409" s="5">
        <v>14126</v>
      </c>
      <c r="D409" s="5">
        <v>11348</v>
      </c>
      <c r="E409" s="5" t="e">
        <f>VLOOKUP(count[[#This Row],[hwycov_id]],check!$A$2:$P$26,16,FALSE)</f>
        <v>#N/A</v>
      </c>
    </row>
    <row r="410" spans="1:5" x14ac:dyDescent="0.25">
      <c r="A410">
        <v>24703</v>
      </c>
      <c r="B410" s="5">
        <v>69512</v>
      </c>
      <c r="C410" s="5">
        <v>10596</v>
      </c>
      <c r="D410" s="5">
        <v>14698</v>
      </c>
      <c r="E410" s="5" t="e">
        <f>VLOOKUP(count[[#This Row],[hwycov_id]],check!$A$2:$P$26,16,FALSE)</f>
        <v>#N/A</v>
      </c>
    </row>
    <row r="411" spans="1:5" x14ac:dyDescent="0.25">
      <c r="A411">
        <v>25025</v>
      </c>
      <c r="B411" s="5">
        <v>57077</v>
      </c>
      <c r="C411" s="5">
        <v>15897</v>
      </c>
      <c r="D411" s="5">
        <v>9018</v>
      </c>
      <c r="E411" s="5" t="e">
        <f>VLOOKUP(count[[#This Row],[hwycov_id]],check!$A$2:$P$26,16,FALSE)</f>
        <v>#N/A</v>
      </c>
    </row>
    <row r="412" spans="1:5" x14ac:dyDescent="0.25">
      <c r="A412">
        <v>25099</v>
      </c>
      <c r="B412" s="5">
        <v>122325</v>
      </c>
      <c r="C412" s="5">
        <v>21378</v>
      </c>
      <c r="D412" s="5">
        <v>29575</v>
      </c>
      <c r="E412" s="5" t="e">
        <f>VLOOKUP(count[[#This Row],[hwycov_id]],check!$A$2:$P$26,16,FALSE)</f>
        <v>#N/A</v>
      </c>
    </row>
    <row r="413" spans="1:5" x14ac:dyDescent="0.25">
      <c r="A413">
        <v>25142</v>
      </c>
      <c r="B413" s="5">
        <v>96247</v>
      </c>
      <c r="C413" s="5">
        <v>18728</v>
      </c>
      <c r="D413" s="5">
        <v>22351</v>
      </c>
      <c r="E413" s="5" t="e">
        <f>VLOOKUP(count[[#This Row],[hwycov_id]],check!$A$2:$P$26,16,FALSE)</f>
        <v>#N/A</v>
      </c>
    </row>
    <row r="414" spans="1:5" x14ac:dyDescent="0.25">
      <c r="A414">
        <v>25381</v>
      </c>
      <c r="B414" s="5">
        <v>9629</v>
      </c>
      <c r="C414" s="5">
        <v>1095</v>
      </c>
      <c r="D414" s="5">
        <v>3028</v>
      </c>
      <c r="E414" s="5" t="e">
        <f>VLOOKUP(count[[#This Row],[hwycov_id]],check!$A$2:$P$26,16,FALSE)</f>
        <v>#N/A</v>
      </c>
    </row>
    <row r="415" spans="1:5" x14ac:dyDescent="0.25">
      <c r="A415">
        <v>25749</v>
      </c>
      <c r="B415" s="5">
        <v>22469</v>
      </c>
      <c r="C415" s="5">
        <v>9986</v>
      </c>
      <c r="D415" s="5">
        <v>3117</v>
      </c>
      <c r="E415" s="5" t="e">
        <f>VLOOKUP(count[[#This Row],[hwycov_id]],check!$A$2:$P$26,16,FALSE)</f>
        <v>#N/A</v>
      </c>
    </row>
    <row r="416" spans="1:5" x14ac:dyDescent="0.25">
      <c r="A416">
        <v>25878</v>
      </c>
      <c r="B416" s="5">
        <v>77333</v>
      </c>
      <c r="C416" s="5">
        <v>12912</v>
      </c>
      <c r="D416" s="5">
        <v>17592</v>
      </c>
      <c r="E416" s="5" t="e">
        <f>VLOOKUP(count[[#This Row],[hwycov_id]],check!$A$2:$P$26,16,FALSE)</f>
        <v>#N/A</v>
      </c>
    </row>
    <row r="417" spans="1:5" x14ac:dyDescent="0.25">
      <c r="A417">
        <v>25938</v>
      </c>
      <c r="B417" s="5">
        <v>55889</v>
      </c>
      <c r="C417" s="5">
        <v>17092</v>
      </c>
      <c r="D417" s="5">
        <v>7928</v>
      </c>
      <c r="E417" s="5" t="e">
        <f>VLOOKUP(count[[#This Row],[hwycov_id]],check!$A$2:$P$26,16,FALSE)</f>
        <v>#N/A</v>
      </c>
    </row>
    <row r="418" spans="1:5" x14ac:dyDescent="0.25">
      <c r="A418">
        <v>26014</v>
      </c>
      <c r="B418" s="5">
        <v>102271</v>
      </c>
      <c r="C418" s="5">
        <v>24206</v>
      </c>
      <c r="D418" s="5">
        <v>19336</v>
      </c>
      <c r="E418" s="5" t="e">
        <f>VLOOKUP(count[[#This Row],[hwycov_id]],check!$A$2:$P$26,16,FALSE)</f>
        <v>#N/A</v>
      </c>
    </row>
    <row r="419" spans="1:5" x14ac:dyDescent="0.25">
      <c r="A419">
        <v>26065</v>
      </c>
      <c r="B419" s="5">
        <v>105583</v>
      </c>
      <c r="C419" s="5">
        <v>14540</v>
      </c>
      <c r="D419" s="5">
        <v>27538</v>
      </c>
      <c r="E419" s="5" t="e">
        <f>VLOOKUP(count[[#This Row],[hwycov_id]],check!$A$2:$P$26,16,FALSE)</f>
        <v>#N/A</v>
      </c>
    </row>
    <row r="420" spans="1:5" x14ac:dyDescent="0.25">
      <c r="A420">
        <v>26117</v>
      </c>
      <c r="B420" s="5">
        <v>7212</v>
      </c>
      <c r="C420" s="5">
        <v>1209</v>
      </c>
      <c r="D420" s="5">
        <v>1662</v>
      </c>
      <c r="E420" s="5" t="e">
        <f>VLOOKUP(count[[#This Row],[hwycov_id]],check!$A$2:$P$26,16,FALSE)</f>
        <v>#N/A</v>
      </c>
    </row>
    <row r="421" spans="1:5" x14ac:dyDescent="0.25">
      <c r="A421">
        <v>26523</v>
      </c>
      <c r="B421" s="5">
        <v>99944</v>
      </c>
      <c r="C421" s="5">
        <v>15840</v>
      </c>
      <c r="D421" s="5">
        <v>21673</v>
      </c>
      <c r="E421" s="5" t="e">
        <f>VLOOKUP(count[[#This Row],[hwycov_id]],check!$A$2:$P$26,16,FALSE)</f>
        <v>#N/A</v>
      </c>
    </row>
    <row r="422" spans="1:5" x14ac:dyDescent="0.25">
      <c r="A422">
        <v>26547</v>
      </c>
      <c r="B422" s="5">
        <v>99712</v>
      </c>
      <c r="C422" s="5">
        <v>13337</v>
      </c>
      <c r="D422" s="5">
        <v>24326</v>
      </c>
      <c r="E422" s="5" t="e">
        <f>VLOOKUP(count[[#This Row],[hwycov_id]],check!$A$2:$P$26,16,FALSE)</f>
        <v>#N/A</v>
      </c>
    </row>
    <row r="423" spans="1:5" x14ac:dyDescent="0.25">
      <c r="A423">
        <v>26562</v>
      </c>
      <c r="B423" s="5">
        <v>88967</v>
      </c>
      <c r="C423" s="5">
        <v>13983</v>
      </c>
      <c r="D423" s="5">
        <v>18877</v>
      </c>
      <c r="E423" s="5" t="e">
        <f>VLOOKUP(count[[#This Row],[hwycov_id]],check!$A$2:$P$26,16,FALSE)</f>
        <v>#N/A</v>
      </c>
    </row>
    <row r="424" spans="1:5" x14ac:dyDescent="0.25">
      <c r="A424">
        <v>26563</v>
      </c>
      <c r="B424" s="5">
        <v>95123</v>
      </c>
      <c r="C424" s="5">
        <v>18174</v>
      </c>
      <c r="D424" s="5">
        <v>17554</v>
      </c>
      <c r="E424" s="5" t="e">
        <f>VLOOKUP(count[[#This Row],[hwycov_id]],check!$A$2:$P$26,16,FALSE)</f>
        <v>#N/A</v>
      </c>
    </row>
    <row r="425" spans="1:5" x14ac:dyDescent="0.25">
      <c r="A425">
        <v>26623</v>
      </c>
      <c r="B425" s="5">
        <v>64624</v>
      </c>
      <c r="C425" s="5">
        <v>8061</v>
      </c>
      <c r="D425" s="5">
        <v>14490</v>
      </c>
      <c r="E425" s="5" t="e">
        <f>VLOOKUP(count[[#This Row],[hwycov_id]],check!$A$2:$P$26,16,FALSE)</f>
        <v>#N/A</v>
      </c>
    </row>
    <row r="426" spans="1:5" x14ac:dyDescent="0.25">
      <c r="A426">
        <v>26667</v>
      </c>
      <c r="B426" s="5">
        <v>65973</v>
      </c>
      <c r="C426" s="5">
        <v>6499</v>
      </c>
      <c r="D426" s="5">
        <v>19555</v>
      </c>
      <c r="E426" s="5" t="e">
        <f>VLOOKUP(count[[#This Row],[hwycov_id]],check!$A$2:$P$26,16,FALSE)</f>
        <v>#N/A</v>
      </c>
    </row>
    <row r="427" spans="1:5" x14ac:dyDescent="0.25">
      <c r="A427">
        <v>26675</v>
      </c>
      <c r="B427" s="5">
        <v>72017</v>
      </c>
      <c r="C427" s="5">
        <v>17698</v>
      </c>
      <c r="D427" s="5">
        <v>10880</v>
      </c>
      <c r="E427" s="5" t="e">
        <f>VLOOKUP(count[[#This Row],[hwycov_id]],check!$A$2:$P$26,16,FALSE)</f>
        <v>#N/A</v>
      </c>
    </row>
    <row r="428" spans="1:5" x14ac:dyDescent="0.25">
      <c r="A428">
        <v>26879</v>
      </c>
      <c r="B428" s="5">
        <v>100977</v>
      </c>
      <c r="C428" s="5">
        <v>22758</v>
      </c>
      <c r="D428" s="5">
        <v>19411</v>
      </c>
      <c r="E428" s="5" t="e">
        <f>VLOOKUP(count[[#This Row],[hwycov_id]],check!$A$2:$P$26,16,FALSE)</f>
        <v>#N/A</v>
      </c>
    </row>
    <row r="429" spans="1:5" x14ac:dyDescent="0.25">
      <c r="A429">
        <v>27166</v>
      </c>
      <c r="B429" s="5">
        <v>56246</v>
      </c>
      <c r="C429" s="5">
        <v>6282</v>
      </c>
      <c r="D429" s="5">
        <v>14592</v>
      </c>
      <c r="E429" s="5" t="e">
        <f>VLOOKUP(count[[#This Row],[hwycov_id]],check!$A$2:$P$26,16,FALSE)</f>
        <v>#N/A</v>
      </c>
    </row>
    <row r="430" spans="1:5" x14ac:dyDescent="0.25">
      <c r="A430">
        <v>27172</v>
      </c>
      <c r="B430" s="5">
        <v>67916</v>
      </c>
      <c r="C430" s="5">
        <v>16287</v>
      </c>
      <c r="D430" s="5">
        <v>10056</v>
      </c>
      <c r="E430" s="5" t="e">
        <f>VLOOKUP(count[[#This Row],[hwycov_id]],check!$A$2:$P$26,16,FALSE)</f>
        <v>#N/A</v>
      </c>
    </row>
    <row r="431" spans="1:5" x14ac:dyDescent="0.25">
      <c r="A431">
        <v>27181</v>
      </c>
      <c r="B431" s="5">
        <v>68576</v>
      </c>
      <c r="C431" s="5">
        <v>6939</v>
      </c>
      <c r="D431" s="5">
        <v>20135</v>
      </c>
      <c r="E431" s="5" t="e">
        <f>VLOOKUP(count[[#This Row],[hwycov_id]],check!$A$2:$P$26,16,FALSE)</f>
        <v>#N/A</v>
      </c>
    </row>
    <row r="432" spans="1:5" x14ac:dyDescent="0.25">
      <c r="A432">
        <v>27184</v>
      </c>
      <c r="B432" s="5">
        <v>76030</v>
      </c>
      <c r="C432" s="5">
        <v>18423</v>
      </c>
      <c r="D432" s="5">
        <v>12520</v>
      </c>
      <c r="E432" s="5" t="e">
        <f>VLOOKUP(count[[#This Row],[hwycov_id]],check!$A$2:$P$26,16,FALSE)</f>
        <v>#N/A</v>
      </c>
    </row>
    <row r="433" spans="1:5" x14ac:dyDescent="0.25">
      <c r="A433">
        <v>27193</v>
      </c>
      <c r="B433" s="5">
        <v>68241</v>
      </c>
      <c r="C433" s="5">
        <v>7572</v>
      </c>
      <c r="D433" s="5">
        <v>18193</v>
      </c>
      <c r="E433" s="5" t="e">
        <f>VLOOKUP(count[[#This Row],[hwycov_id]],check!$A$2:$P$26,16,FALSE)</f>
        <v>#N/A</v>
      </c>
    </row>
    <row r="434" spans="1:5" x14ac:dyDescent="0.25">
      <c r="A434">
        <v>27195</v>
      </c>
      <c r="B434" s="5">
        <v>74066</v>
      </c>
      <c r="C434" s="5">
        <v>7960</v>
      </c>
      <c r="D434" s="5">
        <v>19986</v>
      </c>
      <c r="E434" s="5" t="e">
        <f>VLOOKUP(count[[#This Row],[hwycov_id]],check!$A$2:$P$26,16,FALSE)</f>
        <v>#N/A</v>
      </c>
    </row>
    <row r="435" spans="1:5" x14ac:dyDescent="0.25">
      <c r="A435">
        <v>27196</v>
      </c>
      <c r="B435" s="5">
        <v>75487</v>
      </c>
      <c r="C435" s="5">
        <v>17709</v>
      </c>
      <c r="D435" s="5">
        <v>11871</v>
      </c>
      <c r="E435" s="5" t="e">
        <f>VLOOKUP(count[[#This Row],[hwycov_id]],check!$A$2:$P$26,16,FALSE)</f>
        <v>#N/A</v>
      </c>
    </row>
    <row r="436" spans="1:5" x14ac:dyDescent="0.25">
      <c r="A436">
        <v>27223</v>
      </c>
      <c r="B436" s="5">
        <v>40655</v>
      </c>
      <c r="C436" s="5">
        <v>8288</v>
      </c>
      <c r="D436" s="5">
        <v>8170</v>
      </c>
      <c r="E436" s="5" t="e">
        <f>VLOOKUP(count[[#This Row],[hwycov_id]],check!$A$2:$P$26,16,FALSE)</f>
        <v>#N/A</v>
      </c>
    </row>
    <row r="437" spans="1:5" x14ac:dyDescent="0.25">
      <c r="A437">
        <v>27229</v>
      </c>
      <c r="B437" s="5">
        <v>42647</v>
      </c>
      <c r="C437" s="5">
        <v>4805</v>
      </c>
      <c r="D437" s="5">
        <v>12478</v>
      </c>
      <c r="E437" s="5" t="e">
        <f>VLOOKUP(count[[#This Row],[hwycov_id]],check!$A$2:$P$26,16,FALSE)</f>
        <v>#N/A</v>
      </c>
    </row>
    <row r="438" spans="1:5" x14ac:dyDescent="0.25">
      <c r="A438">
        <v>27241</v>
      </c>
      <c r="B438" s="5">
        <v>41819</v>
      </c>
      <c r="C438" s="5">
        <v>8132</v>
      </c>
      <c r="D438" s="5">
        <v>8710</v>
      </c>
      <c r="E438" s="5" t="e">
        <f>VLOOKUP(count[[#This Row],[hwycov_id]],check!$A$2:$P$26,16,FALSE)</f>
        <v>#N/A</v>
      </c>
    </row>
    <row r="439" spans="1:5" x14ac:dyDescent="0.25">
      <c r="A439">
        <v>27245</v>
      </c>
      <c r="B439" s="5">
        <v>53705</v>
      </c>
      <c r="C439" s="5">
        <v>7431</v>
      </c>
      <c r="D439" s="5">
        <v>13545</v>
      </c>
      <c r="E439" s="5" t="e">
        <f>VLOOKUP(count[[#This Row],[hwycov_id]],check!$A$2:$P$26,16,FALSE)</f>
        <v>#N/A</v>
      </c>
    </row>
    <row r="440" spans="1:5" x14ac:dyDescent="0.25">
      <c r="A440">
        <v>27247</v>
      </c>
      <c r="B440" s="5">
        <v>56305</v>
      </c>
      <c r="C440" s="5">
        <v>10446</v>
      </c>
      <c r="D440" s="5">
        <v>11620</v>
      </c>
      <c r="E440" s="5" t="e">
        <f>VLOOKUP(count[[#This Row],[hwycov_id]],check!$A$2:$P$26,16,FALSE)</f>
        <v>#N/A</v>
      </c>
    </row>
    <row r="441" spans="1:5" x14ac:dyDescent="0.25">
      <c r="A441">
        <v>27248</v>
      </c>
      <c r="B441" s="5">
        <v>52494</v>
      </c>
      <c r="C441" s="5">
        <v>9372</v>
      </c>
      <c r="D441" s="5">
        <v>12296</v>
      </c>
      <c r="E441" s="5" t="e">
        <f>VLOOKUP(count[[#This Row],[hwycov_id]],check!$A$2:$P$26,16,FALSE)</f>
        <v>#N/A</v>
      </c>
    </row>
    <row r="442" spans="1:5" x14ac:dyDescent="0.25">
      <c r="A442">
        <v>27351</v>
      </c>
      <c r="B442" s="5">
        <v>63870</v>
      </c>
      <c r="C442" s="5">
        <v>16358</v>
      </c>
      <c r="D442" s="5">
        <v>10396</v>
      </c>
      <c r="E442" s="5" t="e">
        <f>VLOOKUP(count[[#This Row],[hwycov_id]],check!$A$2:$P$26,16,FALSE)</f>
        <v>#N/A</v>
      </c>
    </row>
    <row r="443" spans="1:5" x14ac:dyDescent="0.25">
      <c r="A443">
        <v>27352</v>
      </c>
      <c r="B443" s="5">
        <v>69280</v>
      </c>
      <c r="C443" s="5">
        <v>7118</v>
      </c>
      <c r="D443" s="5">
        <v>20665</v>
      </c>
      <c r="E443" s="5" t="e">
        <f>VLOOKUP(count[[#This Row],[hwycov_id]],check!$A$2:$P$26,16,FALSE)</f>
        <v>#N/A</v>
      </c>
    </row>
    <row r="444" spans="1:5" x14ac:dyDescent="0.25">
      <c r="A444">
        <v>27505</v>
      </c>
      <c r="B444" s="5">
        <v>39322</v>
      </c>
      <c r="C444" s="5">
        <v>4710</v>
      </c>
      <c r="D444" s="5">
        <v>11621</v>
      </c>
      <c r="E444" s="5" t="e">
        <f>VLOOKUP(count[[#This Row],[hwycov_id]],check!$A$2:$P$26,16,FALSE)</f>
        <v>#N/A</v>
      </c>
    </row>
    <row r="445" spans="1:5" x14ac:dyDescent="0.25">
      <c r="A445">
        <v>27507</v>
      </c>
      <c r="B445" s="5">
        <v>44209</v>
      </c>
      <c r="C445" s="5">
        <v>5196</v>
      </c>
      <c r="D445" s="5">
        <v>13771</v>
      </c>
      <c r="E445" s="5" t="e">
        <f>VLOOKUP(count[[#This Row],[hwycov_id]],check!$A$2:$P$26,16,FALSE)</f>
        <v>#N/A</v>
      </c>
    </row>
    <row r="446" spans="1:5" x14ac:dyDescent="0.25">
      <c r="A446">
        <v>27539</v>
      </c>
      <c r="B446" s="5">
        <v>7355</v>
      </c>
      <c r="C446" s="5">
        <v>902</v>
      </c>
      <c r="D446" s="5">
        <v>1608</v>
      </c>
      <c r="E446" s="5" t="e">
        <f>VLOOKUP(count[[#This Row],[hwycov_id]],check!$A$2:$P$26,16,FALSE)</f>
        <v>#N/A</v>
      </c>
    </row>
    <row r="447" spans="1:5" x14ac:dyDescent="0.25">
      <c r="A447">
        <v>27540</v>
      </c>
      <c r="B447" s="5">
        <v>7157</v>
      </c>
      <c r="C447" s="5">
        <v>761</v>
      </c>
      <c r="D447" s="5">
        <v>1614</v>
      </c>
      <c r="E447" s="5" t="e">
        <f>VLOOKUP(count[[#This Row],[hwycov_id]],check!$A$2:$P$26,16,FALSE)</f>
        <v>#N/A</v>
      </c>
    </row>
    <row r="448" spans="1:5" x14ac:dyDescent="0.25">
      <c r="A448">
        <v>27543</v>
      </c>
      <c r="B448" s="5">
        <v>65262</v>
      </c>
      <c r="C448" s="5">
        <v>13178</v>
      </c>
      <c r="D448" s="5">
        <v>13713</v>
      </c>
      <c r="E448" s="5" t="e">
        <f>VLOOKUP(count[[#This Row],[hwycov_id]],check!$A$2:$P$26,16,FALSE)</f>
        <v>#N/A</v>
      </c>
    </row>
    <row r="449" spans="1:5" x14ac:dyDescent="0.25">
      <c r="A449">
        <v>27544</v>
      </c>
      <c r="B449" s="5">
        <v>63736</v>
      </c>
      <c r="C449" s="5">
        <v>8792</v>
      </c>
      <c r="D449" s="5">
        <v>16132</v>
      </c>
      <c r="E449" s="5" t="e">
        <f>VLOOKUP(count[[#This Row],[hwycov_id]],check!$A$2:$P$26,16,FALSE)</f>
        <v>#N/A</v>
      </c>
    </row>
    <row r="450" spans="1:5" x14ac:dyDescent="0.25">
      <c r="A450">
        <v>27555</v>
      </c>
      <c r="B450" s="5">
        <v>100844</v>
      </c>
      <c r="C450" s="5">
        <v>13693</v>
      </c>
      <c r="D450" s="5">
        <v>25127</v>
      </c>
      <c r="E450" s="5" t="e">
        <f>VLOOKUP(count[[#This Row],[hwycov_id]],check!$A$2:$P$26,16,FALSE)</f>
        <v>#N/A</v>
      </c>
    </row>
    <row r="451" spans="1:5" x14ac:dyDescent="0.25">
      <c r="A451">
        <v>27578</v>
      </c>
      <c r="B451" s="5">
        <v>79145</v>
      </c>
      <c r="C451" s="5">
        <v>16200</v>
      </c>
      <c r="D451" s="5">
        <v>15383</v>
      </c>
      <c r="E451" s="5" t="e">
        <f>VLOOKUP(count[[#This Row],[hwycov_id]],check!$A$2:$P$26,16,FALSE)</f>
        <v>#N/A</v>
      </c>
    </row>
    <row r="452" spans="1:5" x14ac:dyDescent="0.25">
      <c r="A452">
        <v>27597</v>
      </c>
      <c r="B452" s="5">
        <v>64793</v>
      </c>
      <c r="C452" s="5">
        <v>11771</v>
      </c>
      <c r="D452" s="5">
        <v>11613</v>
      </c>
      <c r="E452" s="5" t="e">
        <f>VLOOKUP(count[[#This Row],[hwycov_id]],check!$A$2:$P$26,16,FALSE)</f>
        <v>#N/A</v>
      </c>
    </row>
    <row r="453" spans="1:5" x14ac:dyDescent="0.25">
      <c r="A453">
        <v>27598</v>
      </c>
      <c r="B453" s="5">
        <v>64727</v>
      </c>
      <c r="C453" s="5">
        <v>8206</v>
      </c>
      <c r="D453" s="5">
        <v>14524</v>
      </c>
      <c r="E453" s="5" t="e">
        <f>VLOOKUP(count[[#This Row],[hwycov_id]],check!$A$2:$P$26,16,FALSE)</f>
        <v>#N/A</v>
      </c>
    </row>
    <row r="454" spans="1:5" x14ac:dyDescent="0.25">
      <c r="A454">
        <v>27600</v>
      </c>
      <c r="B454" s="5">
        <v>92477</v>
      </c>
      <c r="C454" s="5">
        <v>18336</v>
      </c>
      <c r="D454" s="5">
        <v>19978</v>
      </c>
      <c r="E454" s="5" t="e">
        <f>VLOOKUP(count[[#This Row],[hwycov_id]],check!$A$2:$P$26,16,FALSE)</f>
        <v>#N/A</v>
      </c>
    </row>
    <row r="455" spans="1:5" x14ac:dyDescent="0.25">
      <c r="A455">
        <v>27603</v>
      </c>
      <c r="B455" s="5">
        <v>100716</v>
      </c>
      <c r="C455" s="5">
        <v>13888</v>
      </c>
      <c r="D455" s="5">
        <v>24913</v>
      </c>
      <c r="E455" s="5" t="e">
        <f>VLOOKUP(count[[#This Row],[hwycov_id]],check!$A$2:$P$26,16,FALSE)</f>
        <v>#N/A</v>
      </c>
    </row>
    <row r="456" spans="1:5" x14ac:dyDescent="0.25">
      <c r="A456">
        <v>27605</v>
      </c>
      <c r="B456" s="5">
        <v>100980</v>
      </c>
      <c r="C456" s="5">
        <v>13701</v>
      </c>
      <c r="D456" s="5">
        <v>24920</v>
      </c>
      <c r="E456" s="5" t="e">
        <f>VLOOKUP(count[[#This Row],[hwycov_id]],check!$A$2:$P$26,16,FALSE)</f>
        <v>#N/A</v>
      </c>
    </row>
    <row r="457" spans="1:5" x14ac:dyDescent="0.25">
      <c r="A457">
        <v>27607</v>
      </c>
      <c r="B457" s="5">
        <v>69346</v>
      </c>
      <c r="C457" s="5">
        <v>7149</v>
      </c>
      <c r="D457" s="5">
        <v>18862</v>
      </c>
      <c r="E457" s="5" t="e">
        <f>VLOOKUP(count[[#This Row],[hwycov_id]],check!$A$2:$P$26,16,FALSE)</f>
        <v>#N/A</v>
      </c>
    </row>
    <row r="458" spans="1:5" x14ac:dyDescent="0.25">
      <c r="A458">
        <v>27614</v>
      </c>
      <c r="B458" s="5">
        <v>84581</v>
      </c>
      <c r="C458" s="5">
        <v>21309</v>
      </c>
      <c r="D458" s="5">
        <v>14272</v>
      </c>
      <c r="E458" s="5" t="e">
        <f>VLOOKUP(count[[#This Row],[hwycov_id]],check!$A$2:$P$26,16,FALSE)</f>
        <v>#N/A</v>
      </c>
    </row>
    <row r="459" spans="1:5" x14ac:dyDescent="0.25">
      <c r="A459">
        <v>27694</v>
      </c>
      <c r="B459" s="5">
        <v>21018</v>
      </c>
      <c r="C459" s="5">
        <v>3305</v>
      </c>
      <c r="D459" s="5">
        <v>3216</v>
      </c>
      <c r="E459" s="5" t="e">
        <f>VLOOKUP(count[[#This Row],[hwycov_id]],check!$A$2:$P$26,16,FALSE)</f>
        <v>#N/A</v>
      </c>
    </row>
    <row r="460" spans="1:5" x14ac:dyDescent="0.25">
      <c r="A460">
        <v>27720</v>
      </c>
      <c r="B460" s="5">
        <v>29091</v>
      </c>
      <c r="C460" s="5">
        <v>5011</v>
      </c>
      <c r="D460" s="5">
        <v>6599</v>
      </c>
      <c r="E460" s="5" t="e">
        <f>VLOOKUP(count[[#This Row],[hwycov_id]],check!$A$2:$P$26,16,FALSE)</f>
        <v>#N/A</v>
      </c>
    </row>
    <row r="461" spans="1:5" x14ac:dyDescent="0.25">
      <c r="A461">
        <v>27721</v>
      </c>
      <c r="B461" s="5">
        <v>35065</v>
      </c>
      <c r="C461" s="5">
        <v>4637</v>
      </c>
      <c r="D461" s="5">
        <v>7984</v>
      </c>
      <c r="E461" s="5" t="e">
        <f>VLOOKUP(count[[#This Row],[hwycov_id]],check!$A$2:$P$26,16,FALSE)</f>
        <v>#N/A</v>
      </c>
    </row>
    <row r="462" spans="1:5" x14ac:dyDescent="0.25">
      <c r="A462">
        <v>27781</v>
      </c>
      <c r="B462" s="5">
        <v>66356</v>
      </c>
      <c r="C462" s="5">
        <v>6837</v>
      </c>
      <c r="D462" s="5">
        <v>17359</v>
      </c>
      <c r="E462" s="5" t="e">
        <f>VLOOKUP(count[[#This Row],[hwycov_id]],check!$A$2:$P$26,16,FALSE)</f>
        <v>#N/A</v>
      </c>
    </row>
    <row r="463" spans="1:5" x14ac:dyDescent="0.25">
      <c r="A463">
        <v>27792</v>
      </c>
      <c r="B463" s="5">
        <v>90378</v>
      </c>
      <c r="C463" s="5">
        <v>20361</v>
      </c>
      <c r="D463" s="5">
        <v>17066</v>
      </c>
      <c r="E463" s="5" t="e">
        <f>VLOOKUP(count[[#This Row],[hwycov_id]],check!$A$2:$P$26,16,FALSE)</f>
        <v>#N/A</v>
      </c>
    </row>
    <row r="464" spans="1:5" x14ac:dyDescent="0.25">
      <c r="A464">
        <v>27806</v>
      </c>
      <c r="B464" s="5">
        <v>93489</v>
      </c>
      <c r="C464" s="5">
        <v>13681</v>
      </c>
      <c r="D464" s="5">
        <v>22374</v>
      </c>
      <c r="E464" s="5" t="e">
        <f>VLOOKUP(count[[#This Row],[hwycov_id]],check!$A$2:$P$26,16,FALSE)</f>
        <v>#N/A</v>
      </c>
    </row>
    <row r="465" spans="1:5" x14ac:dyDescent="0.25">
      <c r="A465">
        <v>27807</v>
      </c>
      <c r="B465" s="5">
        <v>93934</v>
      </c>
      <c r="C465" s="5">
        <v>22231</v>
      </c>
      <c r="D465" s="5">
        <v>17981</v>
      </c>
      <c r="E465" s="5" t="e">
        <f>VLOOKUP(count[[#This Row],[hwycov_id]],check!$A$2:$P$26,16,FALSE)</f>
        <v>#N/A</v>
      </c>
    </row>
    <row r="466" spans="1:5" x14ac:dyDescent="0.25">
      <c r="A466">
        <v>27824</v>
      </c>
      <c r="B466" s="5">
        <v>98769</v>
      </c>
      <c r="C466" s="5">
        <v>11448</v>
      </c>
      <c r="D466" s="5">
        <v>26000</v>
      </c>
      <c r="E466" s="5" t="e">
        <f>VLOOKUP(count[[#This Row],[hwycov_id]],check!$A$2:$P$26,16,FALSE)</f>
        <v>#N/A</v>
      </c>
    </row>
    <row r="467" spans="1:5" x14ac:dyDescent="0.25">
      <c r="A467">
        <v>27834</v>
      </c>
      <c r="B467" s="5">
        <v>98139</v>
      </c>
      <c r="C467" s="5">
        <v>11814</v>
      </c>
      <c r="D467" s="5">
        <v>25184</v>
      </c>
      <c r="E467" s="5" t="e">
        <f>VLOOKUP(count[[#This Row],[hwycov_id]],check!$A$2:$P$26,16,FALSE)</f>
        <v>#N/A</v>
      </c>
    </row>
    <row r="468" spans="1:5" x14ac:dyDescent="0.25">
      <c r="A468">
        <v>27855</v>
      </c>
      <c r="B468" s="5">
        <v>29656</v>
      </c>
      <c r="C468" s="5">
        <v>4997</v>
      </c>
      <c r="D468" s="5">
        <v>8022</v>
      </c>
      <c r="E468" s="5" t="e">
        <f>VLOOKUP(count[[#This Row],[hwycov_id]],check!$A$2:$P$26,16,FALSE)</f>
        <v>#N/A</v>
      </c>
    </row>
    <row r="469" spans="1:5" x14ac:dyDescent="0.25">
      <c r="A469">
        <v>27856</v>
      </c>
      <c r="B469" s="5">
        <v>32272</v>
      </c>
      <c r="C469" s="5">
        <v>5855</v>
      </c>
      <c r="D469" s="5">
        <v>7458</v>
      </c>
      <c r="E469" s="5" t="e">
        <f>VLOOKUP(count[[#This Row],[hwycov_id]],check!$A$2:$P$26,16,FALSE)</f>
        <v>#N/A</v>
      </c>
    </row>
    <row r="470" spans="1:5" x14ac:dyDescent="0.25">
      <c r="A470">
        <v>27877</v>
      </c>
      <c r="B470" s="5">
        <v>37103</v>
      </c>
      <c r="C470" s="5">
        <v>6393</v>
      </c>
      <c r="D470" s="5">
        <v>6468</v>
      </c>
      <c r="E470" s="5" t="e">
        <f>VLOOKUP(count[[#This Row],[hwycov_id]],check!$A$2:$P$26,16,FALSE)</f>
        <v>#N/A</v>
      </c>
    </row>
    <row r="471" spans="1:5" x14ac:dyDescent="0.25">
      <c r="A471">
        <v>27878</v>
      </c>
      <c r="B471" s="5">
        <v>35024</v>
      </c>
      <c r="C471" s="5">
        <v>2226</v>
      </c>
      <c r="D471" s="5">
        <v>10886</v>
      </c>
      <c r="E471" s="5" t="e">
        <f>VLOOKUP(count[[#This Row],[hwycov_id]],check!$A$2:$P$26,16,FALSE)</f>
        <v>#N/A</v>
      </c>
    </row>
    <row r="472" spans="1:5" x14ac:dyDescent="0.25">
      <c r="A472">
        <v>27880</v>
      </c>
      <c r="B472" s="5">
        <v>37496</v>
      </c>
      <c r="C472" s="5">
        <v>6438</v>
      </c>
      <c r="D472" s="5">
        <v>6405</v>
      </c>
      <c r="E472" s="5" t="e">
        <f>VLOOKUP(count[[#This Row],[hwycov_id]],check!$A$2:$P$26,16,FALSE)</f>
        <v>#N/A</v>
      </c>
    </row>
    <row r="473" spans="1:5" x14ac:dyDescent="0.25">
      <c r="A473">
        <v>27884</v>
      </c>
      <c r="B473" s="5">
        <v>29573</v>
      </c>
      <c r="C473" s="5">
        <v>4317</v>
      </c>
      <c r="D473" s="5">
        <v>5003</v>
      </c>
      <c r="E473" s="5" t="e">
        <f>VLOOKUP(count[[#This Row],[hwycov_id]],check!$A$2:$P$26,16,FALSE)</f>
        <v>#N/A</v>
      </c>
    </row>
    <row r="474" spans="1:5" x14ac:dyDescent="0.25">
      <c r="A474">
        <v>27898</v>
      </c>
      <c r="B474" s="5">
        <v>53148</v>
      </c>
      <c r="C474" s="5">
        <v>4530</v>
      </c>
      <c r="D474" s="5">
        <v>16349</v>
      </c>
      <c r="E474" s="5" t="e">
        <f>VLOOKUP(count[[#This Row],[hwycov_id]],check!$A$2:$P$26,16,FALSE)</f>
        <v>#N/A</v>
      </c>
    </row>
    <row r="475" spans="1:5" x14ac:dyDescent="0.25">
      <c r="A475">
        <v>27903</v>
      </c>
      <c r="B475" s="5">
        <v>51616</v>
      </c>
      <c r="C475" s="5">
        <v>9534</v>
      </c>
      <c r="D475" s="5">
        <v>9513</v>
      </c>
      <c r="E475" s="5" t="e">
        <f>VLOOKUP(count[[#This Row],[hwycov_id]],check!$A$2:$P$26,16,FALSE)</f>
        <v>#N/A</v>
      </c>
    </row>
    <row r="476" spans="1:5" x14ac:dyDescent="0.25">
      <c r="A476">
        <v>27914</v>
      </c>
      <c r="B476" s="5">
        <v>82885</v>
      </c>
      <c r="C476" s="5">
        <v>15423</v>
      </c>
      <c r="D476" s="5">
        <v>15901</v>
      </c>
      <c r="E476" s="5" t="e">
        <f>VLOOKUP(count[[#This Row],[hwycov_id]],check!$A$2:$P$26,16,FALSE)</f>
        <v>#N/A</v>
      </c>
    </row>
    <row r="477" spans="1:5" x14ac:dyDescent="0.25">
      <c r="A477">
        <v>27915</v>
      </c>
      <c r="B477" s="5">
        <v>82654</v>
      </c>
      <c r="C477" s="5">
        <v>8192</v>
      </c>
      <c r="D477" s="5">
        <v>24174</v>
      </c>
      <c r="E477" s="5" t="e">
        <f>VLOOKUP(count[[#This Row],[hwycov_id]],check!$A$2:$P$26,16,FALSE)</f>
        <v>#N/A</v>
      </c>
    </row>
    <row r="478" spans="1:5" x14ac:dyDescent="0.25">
      <c r="A478">
        <v>27916</v>
      </c>
      <c r="B478" s="5">
        <v>81280</v>
      </c>
      <c r="C478" s="5">
        <v>13887</v>
      </c>
      <c r="D478" s="5">
        <v>14924</v>
      </c>
      <c r="E478" s="5" t="e">
        <f>VLOOKUP(count[[#This Row],[hwycov_id]],check!$A$2:$P$26,16,FALSE)</f>
        <v>#N/A</v>
      </c>
    </row>
    <row r="479" spans="1:5" x14ac:dyDescent="0.25">
      <c r="A479">
        <v>27921</v>
      </c>
      <c r="B479" s="5">
        <v>71430</v>
      </c>
      <c r="C479" s="5">
        <v>13506</v>
      </c>
      <c r="D479" s="5">
        <v>13241</v>
      </c>
      <c r="E479" s="5" t="e">
        <f>VLOOKUP(count[[#This Row],[hwycov_id]],check!$A$2:$P$26,16,FALSE)</f>
        <v>#N/A</v>
      </c>
    </row>
    <row r="480" spans="1:5" x14ac:dyDescent="0.25">
      <c r="A480">
        <v>27924</v>
      </c>
      <c r="B480" s="5">
        <v>81832</v>
      </c>
      <c r="C480" s="5">
        <v>9063</v>
      </c>
      <c r="D480" s="5">
        <v>22829</v>
      </c>
      <c r="E480" s="5" t="e">
        <f>VLOOKUP(count[[#This Row],[hwycov_id]],check!$A$2:$P$26,16,FALSE)</f>
        <v>#N/A</v>
      </c>
    </row>
    <row r="481" spans="1:5" x14ac:dyDescent="0.25">
      <c r="A481">
        <v>27925</v>
      </c>
      <c r="B481" s="5">
        <v>85067</v>
      </c>
      <c r="C481" s="5">
        <v>15843</v>
      </c>
      <c r="D481" s="5">
        <v>15899</v>
      </c>
      <c r="E481" s="5" t="e">
        <f>VLOOKUP(count[[#This Row],[hwycov_id]],check!$A$2:$P$26,16,FALSE)</f>
        <v>#N/A</v>
      </c>
    </row>
    <row r="482" spans="1:5" x14ac:dyDescent="0.25">
      <c r="A482">
        <v>27929</v>
      </c>
      <c r="B482" s="5">
        <v>74448</v>
      </c>
      <c r="C482" s="5">
        <v>14022</v>
      </c>
      <c r="D482" s="5">
        <v>13748</v>
      </c>
      <c r="E482" s="5" t="e">
        <f>VLOOKUP(count[[#This Row],[hwycov_id]],check!$A$2:$P$26,16,FALSE)</f>
        <v>#N/A</v>
      </c>
    </row>
    <row r="483" spans="1:5" x14ac:dyDescent="0.25">
      <c r="A483">
        <v>27933</v>
      </c>
      <c r="B483" s="5">
        <v>84946</v>
      </c>
      <c r="C483" s="5">
        <v>15549</v>
      </c>
      <c r="D483" s="5">
        <v>15736</v>
      </c>
      <c r="E483" s="5" t="e">
        <f>VLOOKUP(count[[#This Row],[hwycov_id]],check!$A$2:$P$26,16,FALSE)</f>
        <v>#N/A</v>
      </c>
    </row>
    <row r="484" spans="1:5" x14ac:dyDescent="0.25">
      <c r="A484">
        <v>27934</v>
      </c>
      <c r="B484" s="5">
        <v>75287</v>
      </c>
      <c r="C484" s="5">
        <v>8745</v>
      </c>
      <c r="D484" s="5">
        <v>20041</v>
      </c>
      <c r="E484" s="5" t="e">
        <f>VLOOKUP(count[[#This Row],[hwycov_id]],check!$A$2:$P$26,16,FALSE)</f>
        <v>#N/A</v>
      </c>
    </row>
    <row r="485" spans="1:5" x14ac:dyDescent="0.25">
      <c r="A485">
        <v>27940</v>
      </c>
      <c r="B485" s="5">
        <v>78145</v>
      </c>
      <c r="C485" s="5">
        <v>8796</v>
      </c>
      <c r="D485" s="5">
        <v>22228</v>
      </c>
      <c r="E485" s="5" t="e">
        <f>VLOOKUP(count[[#This Row],[hwycov_id]],check!$A$2:$P$26,16,FALSE)</f>
        <v>#N/A</v>
      </c>
    </row>
    <row r="486" spans="1:5" x14ac:dyDescent="0.25">
      <c r="A486">
        <v>27941</v>
      </c>
      <c r="B486" s="5">
        <v>86274</v>
      </c>
      <c r="C486" s="5">
        <v>15936</v>
      </c>
      <c r="D486" s="5">
        <v>16284</v>
      </c>
      <c r="E486" s="5" t="e">
        <f>VLOOKUP(count[[#This Row],[hwycov_id]],check!$A$2:$P$26,16,FALSE)</f>
        <v>#N/A</v>
      </c>
    </row>
    <row r="487" spans="1:5" x14ac:dyDescent="0.25">
      <c r="A487">
        <v>27946</v>
      </c>
      <c r="B487" s="5">
        <v>87296</v>
      </c>
      <c r="C487" s="5">
        <v>15423</v>
      </c>
      <c r="D487" s="5">
        <v>16433</v>
      </c>
      <c r="E487" s="5" t="e">
        <f>VLOOKUP(count[[#This Row],[hwycov_id]],check!$A$2:$P$26,16,FALSE)</f>
        <v>#N/A</v>
      </c>
    </row>
    <row r="488" spans="1:5" x14ac:dyDescent="0.25">
      <c r="A488">
        <v>27951</v>
      </c>
      <c r="B488" s="5">
        <v>75059</v>
      </c>
      <c r="C488" s="5">
        <v>9480</v>
      </c>
      <c r="D488" s="5">
        <v>18388</v>
      </c>
      <c r="E488" s="5" t="e">
        <f>VLOOKUP(count[[#This Row],[hwycov_id]],check!$A$2:$P$26,16,FALSE)</f>
        <v>#N/A</v>
      </c>
    </row>
    <row r="489" spans="1:5" x14ac:dyDescent="0.25">
      <c r="A489">
        <v>27952</v>
      </c>
      <c r="B489" s="5">
        <v>87132</v>
      </c>
      <c r="C489" s="5">
        <v>10347</v>
      </c>
      <c r="D489" s="5">
        <v>22546</v>
      </c>
      <c r="E489" s="5" t="e">
        <f>VLOOKUP(count[[#This Row],[hwycov_id]],check!$A$2:$P$26,16,FALSE)</f>
        <v>#N/A</v>
      </c>
    </row>
    <row r="490" spans="1:5" x14ac:dyDescent="0.25">
      <c r="A490">
        <v>27956</v>
      </c>
      <c r="B490" s="5">
        <v>54044</v>
      </c>
      <c r="C490" s="5">
        <v>11281</v>
      </c>
      <c r="D490" s="5">
        <v>10619</v>
      </c>
      <c r="E490" s="5" t="e">
        <f>VLOOKUP(count[[#This Row],[hwycov_id]],check!$A$2:$P$26,16,FALSE)</f>
        <v>#N/A</v>
      </c>
    </row>
    <row r="491" spans="1:5" x14ac:dyDescent="0.25">
      <c r="A491">
        <v>27959</v>
      </c>
      <c r="B491" s="5">
        <v>57110</v>
      </c>
      <c r="C491" s="5">
        <v>6772</v>
      </c>
      <c r="D491" s="5">
        <v>15496</v>
      </c>
      <c r="E491" s="5" t="e">
        <f>VLOOKUP(count[[#This Row],[hwycov_id]],check!$A$2:$P$26,16,FALSE)</f>
        <v>#N/A</v>
      </c>
    </row>
    <row r="492" spans="1:5" x14ac:dyDescent="0.25">
      <c r="A492">
        <v>27980</v>
      </c>
      <c r="B492" s="5">
        <v>77759</v>
      </c>
      <c r="C492" s="5">
        <v>17574</v>
      </c>
      <c r="D492" s="5">
        <v>14247</v>
      </c>
      <c r="E492" s="5" t="e">
        <f>VLOOKUP(count[[#This Row],[hwycov_id]],check!$A$2:$P$26,16,FALSE)</f>
        <v>#N/A</v>
      </c>
    </row>
    <row r="493" spans="1:5" x14ac:dyDescent="0.25">
      <c r="A493">
        <v>27985</v>
      </c>
      <c r="B493" s="5">
        <v>65055</v>
      </c>
      <c r="C493" s="5">
        <v>14814</v>
      </c>
      <c r="D493" s="5">
        <v>12943</v>
      </c>
      <c r="E493" s="5" t="e">
        <f>VLOOKUP(count[[#This Row],[hwycov_id]],check!$A$2:$P$26,16,FALSE)</f>
        <v>#N/A</v>
      </c>
    </row>
    <row r="494" spans="1:5" x14ac:dyDescent="0.25">
      <c r="A494">
        <v>27988</v>
      </c>
      <c r="B494" s="5">
        <v>71782</v>
      </c>
      <c r="C494" s="5">
        <v>17421</v>
      </c>
      <c r="D494" s="5">
        <v>12949</v>
      </c>
      <c r="E494" s="5" t="e">
        <f>VLOOKUP(count[[#This Row],[hwycov_id]],check!$A$2:$P$26,16,FALSE)</f>
        <v>#N/A</v>
      </c>
    </row>
    <row r="495" spans="1:5" x14ac:dyDescent="0.25">
      <c r="A495">
        <v>27993</v>
      </c>
      <c r="B495" s="5">
        <v>60885</v>
      </c>
      <c r="C495" s="5">
        <v>6516</v>
      </c>
      <c r="D495" s="5">
        <v>18419</v>
      </c>
      <c r="E495" s="5" t="e">
        <f>VLOOKUP(count[[#This Row],[hwycov_id]],check!$A$2:$P$26,16,FALSE)</f>
        <v>#N/A</v>
      </c>
    </row>
    <row r="496" spans="1:5" x14ac:dyDescent="0.25">
      <c r="A496">
        <v>28000</v>
      </c>
      <c r="B496" s="5">
        <v>78513</v>
      </c>
      <c r="C496" s="5">
        <v>17714</v>
      </c>
      <c r="D496" s="5">
        <v>15038</v>
      </c>
      <c r="E496" s="5" t="e">
        <f>VLOOKUP(count[[#This Row],[hwycov_id]],check!$A$2:$P$26,16,FALSE)</f>
        <v>#N/A</v>
      </c>
    </row>
    <row r="497" spans="1:5" x14ac:dyDescent="0.25">
      <c r="A497">
        <v>28002</v>
      </c>
      <c r="B497" s="5">
        <v>72360</v>
      </c>
      <c r="C497" s="5">
        <v>8231</v>
      </c>
      <c r="D497" s="5">
        <v>21485</v>
      </c>
      <c r="E497" s="5" t="e">
        <f>VLOOKUP(count[[#This Row],[hwycov_id]],check!$A$2:$P$26,16,FALSE)</f>
        <v>#N/A</v>
      </c>
    </row>
    <row r="498" spans="1:5" x14ac:dyDescent="0.25">
      <c r="A498">
        <v>28007</v>
      </c>
      <c r="B498" s="5">
        <v>69392</v>
      </c>
      <c r="C498" s="5">
        <v>16368</v>
      </c>
      <c r="D498" s="5">
        <v>12793</v>
      </c>
      <c r="E498" s="5" t="e">
        <f>VLOOKUP(count[[#This Row],[hwycov_id]],check!$A$2:$P$26,16,FALSE)</f>
        <v>#N/A</v>
      </c>
    </row>
    <row r="499" spans="1:5" x14ac:dyDescent="0.25">
      <c r="A499">
        <v>28011</v>
      </c>
      <c r="B499" s="5">
        <v>75054</v>
      </c>
      <c r="C499" s="5">
        <v>17062</v>
      </c>
      <c r="D499" s="5">
        <v>14243</v>
      </c>
      <c r="E499" s="5" t="e">
        <f>VLOOKUP(count[[#This Row],[hwycov_id]],check!$A$2:$P$26,16,FALSE)</f>
        <v>#N/A</v>
      </c>
    </row>
    <row r="500" spans="1:5" x14ac:dyDescent="0.25">
      <c r="A500">
        <v>28012</v>
      </c>
      <c r="B500" s="5">
        <v>74942</v>
      </c>
      <c r="C500" s="5">
        <v>9226</v>
      </c>
      <c r="D500" s="5">
        <v>21715</v>
      </c>
      <c r="E500" s="5" t="e">
        <f>VLOOKUP(count[[#This Row],[hwycov_id]],check!$A$2:$P$26,16,FALSE)</f>
        <v>#N/A</v>
      </c>
    </row>
    <row r="501" spans="1:5" x14ac:dyDescent="0.25">
      <c r="A501">
        <v>28016</v>
      </c>
      <c r="B501" s="5">
        <v>56511</v>
      </c>
      <c r="C501" s="5">
        <v>12441</v>
      </c>
      <c r="D501" s="5">
        <v>10635</v>
      </c>
      <c r="E501" s="5" t="e">
        <f>VLOOKUP(count[[#This Row],[hwycov_id]],check!$A$2:$P$26,16,FALSE)</f>
        <v>#N/A</v>
      </c>
    </row>
    <row r="502" spans="1:5" x14ac:dyDescent="0.25">
      <c r="A502">
        <v>28085</v>
      </c>
      <c r="B502" s="5">
        <v>50770</v>
      </c>
      <c r="C502" s="5">
        <v>8350</v>
      </c>
      <c r="D502" s="5">
        <v>12722</v>
      </c>
      <c r="E502" s="5" t="e">
        <f>VLOOKUP(count[[#This Row],[hwycov_id]],check!$A$2:$P$26,16,FALSE)</f>
        <v>#N/A</v>
      </c>
    </row>
    <row r="503" spans="1:5" x14ac:dyDescent="0.25">
      <c r="A503">
        <v>28086</v>
      </c>
      <c r="B503" s="5">
        <v>50807</v>
      </c>
      <c r="C503" s="5">
        <v>9776</v>
      </c>
      <c r="D503" s="5">
        <v>10052</v>
      </c>
      <c r="E503" s="5" t="e">
        <f>VLOOKUP(count[[#This Row],[hwycov_id]],check!$A$2:$P$26,16,FALSE)</f>
        <v>#N/A</v>
      </c>
    </row>
    <row r="504" spans="1:5" x14ac:dyDescent="0.25">
      <c r="A504">
        <v>28106</v>
      </c>
      <c r="B504" s="5">
        <v>88545</v>
      </c>
      <c r="C504" s="5">
        <v>9237</v>
      </c>
      <c r="D504" s="5">
        <v>22989</v>
      </c>
      <c r="E504" s="5" t="e">
        <f>VLOOKUP(count[[#This Row],[hwycov_id]],check!$A$2:$P$26,16,FALSE)</f>
        <v>#N/A</v>
      </c>
    </row>
    <row r="505" spans="1:5" x14ac:dyDescent="0.25">
      <c r="A505">
        <v>28118</v>
      </c>
      <c r="B505" s="5">
        <v>87625</v>
      </c>
      <c r="C505" s="5">
        <v>20253</v>
      </c>
      <c r="D505" s="5">
        <v>17225</v>
      </c>
      <c r="E505" s="5" t="e">
        <f>VLOOKUP(count[[#This Row],[hwycov_id]],check!$A$2:$P$26,16,FALSE)</f>
        <v>#N/A</v>
      </c>
    </row>
    <row r="506" spans="1:5" x14ac:dyDescent="0.25">
      <c r="A506">
        <v>28119</v>
      </c>
      <c r="B506" s="5">
        <v>99237</v>
      </c>
      <c r="C506" s="5">
        <v>11643</v>
      </c>
      <c r="D506" s="5">
        <v>26509</v>
      </c>
      <c r="E506" s="5" t="e">
        <f>VLOOKUP(count[[#This Row],[hwycov_id]],check!$A$2:$P$26,16,FALSE)</f>
        <v>#N/A</v>
      </c>
    </row>
    <row r="507" spans="1:5" x14ac:dyDescent="0.25">
      <c r="A507">
        <v>28120</v>
      </c>
      <c r="B507" s="5">
        <v>95740</v>
      </c>
      <c r="C507" s="5">
        <v>21687</v>
      </c>
      <c r="D507" s="5">
        <v>18896</v>
      </c>
      <c r="E507" s="5" t="e">
        <f>VLOOKUP(count[[#This Row],[hwycov_id]],check!$A$2:$P$26,16,FALSE)</f>
        <v>#N/A</v>
      </c>
    </row>
    <row r="508" spans="1:5" x14ac:dyDescent="0.25">
      <c r="A508">
        <v>28123</v>
      </c>
      <c r="B508" s="5">
        <v>85602</v>
      </c>
      <c r="C508" s="5">
        <v>10263</v>
      </c>
      <c r="D508" s="5">
        <v>23673</v>
      </c>
      <c r="E508" s="5" t="e">
        <f>VLOOKUP(count[[#This Row],[hwycov_id]],check!$A$2:$P$26,16,FALSE)</f>
        <v>#N/A</v>
      </c>
    </row>
    <row r="509" spans="1:5" x14ac:dyDescent="0.25">
      <c r="A509">
        <v>28124</v>
      </c>
      <c r="B509" s="5">
        <v>82686</v>
      </c>
      <c r="C509" s="5">
        <v>18201</v>
      </c>
      <c r="D509" s="5">
        <v>16615</v>
      </c>
      <c r="E509" s="5" t="e">
        <f>VLOOKUP(count[[#This Row],[hwycov_id]],check!$A$2:$P$26,16,FALSE)</f>
        <v>#N/A</v>
      </c>
    </row>
    <row r="510" spans="1:5" x14ac:dyDescent="0.25">
      <c r="A510">
        <v>28143</v>
      </c>
      <c r="B510" s="5">
        <v>99542</v>
      </c>
      <c r="C510" s="5">
        <v>12532</v>
      </c>
      <c r="D510" s="5">
        <v>26961</v>
      </c>
      <c r="E510" s="5" t="e">
        <f>VLOOKUP(count[[#This Row],[hwycov_id]],check!$A$2:$P$26,16,FALSE)</f>
        <v>#N/A</v>
      </c>
    </row>
    <row r="511" spans="1:5" x14ac:dyDescent="0.25">
      <c r="A511">
        <v>28144</v>
      </c>
      <c r="B511" s="5">
        <v>96859</v>
      </c>
      <c r="C511" s="5">
        <v>19447</v>
      </c>
      <c r="D511" s="5">
        <v>20572</v>
      </c>
      <c r="E511" s="5" t="e">
        <f>VLOOKUP(count[[#This Row],[hwycov_id]],check!$A$2:$P$26,16,FALSE)</f>
        <v>#N/A</v>
      </c>
    </row>
    <row r="512" spans="1:5" x14ac:dyDescent="0.25">
      <c r="A512">
        <v>28178</v>
      </c>
      <c r="B512" s="5">
        <v>52274</v>
      </c>
      <c r="C512" s="5">
        <v>12267</v>
      </c>
      <c r="D512" s="5">
        <v>10007</v>
      </c>
      <c r="E512" s="5" t="e">
        <f>VLOOKUP(count[[#This Row],[hwycov_id]],check!$A$2:$P$26,16,FALSE)</f>
        <v>#N/A</v>
      </c>
    </row>
    <row r="513" spans="1:5" x14ac:dyDescent="0.25">
      <c r="A513">
        <v>28179</v>
      </c>
      <c r="B513" s="5">
        <v>59476</v>
      </c>
      <c r="C513" s="5">
        <v>7377</v>
      </c>
      <c r="D513" s="5">
        <v>15750</v>
      </c>
      <c r="E513" s="5" t="e">
        <f>VLOOKUP(count[[#This Row],[hwycov_id]],check!$A$2:$P$26,16,FALSE)</f>
        <v>#N/A</v>
      </c>
    </row>
    <row r="514" spans="1:5" x14ac:dyDescent="0.25">
      <c r="A514">
        <v>28182</v>
      </c>
      <c r="B514" s="5">
        <v>63425</v>
      </c>
      <c r="C514" s="5">
        <v>14139</v>
      </c>
      <c r="D514" s="5">
        <v>12095</v>
      </c>
      <c r="E514" s="5" t="e">
        <f>VLOOKUP(count[[#This Row],[hwycov_id]],check!$A$2:$P$26,16,FALSE)</f>
        <v>#N/A</v>
      </c>
    </row>
    <row r="515" spans="1:5" x14ac:dyDescent="0.25">
      <c r="A515">
        <v>28184</v>
      </c>
      <c r="B515" s="5">
        <v>58170</v>
      </c>
      <c r="C515" s="5">
        <v>7074</v>
      </c>
      <c r="D515" s="5">
        <v>15602</v>
      </c>
      <c r="E515" s="5" t="e">
        <f>VLOOKUP(count[[#This Row],[hwycov_id]],check!$A$2:$P$26,16,FALSE)</f>
        <v>#N/A</v>
      </c>
    </row>
    <row r="516" spans="1:5" x14ac:dyDescent="0.25">
      <c r="A516">
        <v>28186</v>
      </c>
      <c r="B516" s="5">
        <v>60910</v>
      </c>
      <c r="C516" s="5">
        <v>7407</v>
      </c>
      <c r="D516" s="5">
        <v>16338</v>
      </c>
      <c r="E516" s="5" t="e">
        <f>VLOOKUP(count[[#This Row],[hwycov_id]],check!$A$2:$P$26,16,FALSE)</f>
        <v>#N/A</v>
      </c>
    </row>
    <row r="517" spans="1:5" x14ac:dyDescent="0.25">
      <c r="A517">
        <v>28188</v>
      </c>
      <c r="B517" s="5">
        <v>66330</v>
      </c>
      <c r="C517" s="5">
        <v>14634</v>
      </c>
      <c r="D517" s="5">
        <v>12759</v>
      </c>
      <c r="E517" s="5" t="e">
        <f>VLOOKUP(count[[#This Row],[hwycov_id]],check!$A$2:$P$26,16,FALSE)</f>
        <v>#N/A</v>
      </c>
    </row>
    <row r="518" spans="1:5" x14ac:dyDescent="0.25">
      <c r="A518">
        <v>28195</v>
      </c>
      <c r="B518" s="5">
        <v>50393</v>
      </c>
      <c r="C518" s="5">
        <v>11169</v>
      </c>
      <c r="D518" s="5">
        <v>9806</v>
      </c>
      <c r="E518" s="5" t="e">
        <f>VLOOKUP(count[[#This Row],[hwycov_id]],check!$A$2:$P$26,16,FALSE)</f>
        <v>#N/A</v>
      </c>
    </row>
    <row r="519" spans="1:5" x14ac:dyDescent="0.25">
      <c r="A519">
        <v>28197</v>
      </c>
      <c r="B519" s="5">
        <v>49969</v>
      </c>
      <c r="C519" s="5">
        <v>10868</v>
      </c>
      <c r="D519" s="5">
        <v>9752</v>
      </c>
      <c r="E519" s="5" t="e">
        <f>VLOOKUP(count[[#This Row],[hwycov_id]],check!$A$2:$P$26,16,FALSE)</f>
        <v>#N/A</v>
      </c>
    </row>
    <row r="520" spans="1:5" x14ac:dyDescent="0.25">
      <c r="A520">
        <v>28199</v>
      </c>
      <c r="B520" s="5">
        <v>47339</v>
      </c>
      <c r="C520" s="5">
        <v>5564</v>
      </c>
      <c r="D520" s="5">
        <v>13115</v>
      </c>
      <c r="E520" s="5" t="e">
        <f>VLOOKUP(count[[#This Row],[hwycov_id]],check!$A$2:$P$26,16,FALSE)</f>
        <v>#N/A</v>
      </c>
    </row>
    <row r="521" spans="1:5" x14ac:dyDescent="0.25">
      <c r="A521">
        <v>28200</v>
      </c>
      <c r="B521" s="5">
        <v>39333</v>
      </c>
      <c r="C521" s="5">
        <v>8541</v>
      </c>
      <c r="D521" s="5">
        <v>7643</v>
      </c>
      <c r="E521" s="5" t="e">
        <f>VLOOKUP(count[[#This Row],[hwycov_id]],check!$A$2:$P$26,16,FALSE)</f>
        <v>#N/A</v>
      </c>
    </row>
    <row r="522" spans="1:5" x14ac:dyDescent="0.25">
      <c r="A522">
        <v>28203</v>
      </c>
      <c r="B522" s="5">
        <v>30996</v>
      </c>
      <c r="C522" s="5">
        <v>3864</v>
      </c>
      <c r="D522" s="5">
        <v>8438</v>
      </c>
      <c r="E522" s="5" t="e">
        <f>VLOOKUP(count[[#This Row],[hwycov_id]],check!$A$2:$P$26,16,FALSE)</f>
        <v>#N/A</v>
      </c>
    </row>
    <row r="523" spans="1:5" x14ac:dyDescent="0.25">
      <c r="A523">
        <v>28211</v>
      </c>
      <c r="B523" s="5">
        <v>25490</v>
      </c>
      <c r="C523" s="5">
        <v>5055</v>
      </c>
      <c r="D523" s="5">
        <v>4977</v>
      </c>
      <c r="E523" s="5" t="e">
        <f>VLOOKUP(count[[#This Row],[hwycov_id]],check!$A$2:$P$26,16,FALSE)</f>
        <v>#N/A</v>
      </c>
    </row>
    <row r="524" spans="1:5" x14ac:dyDescent="0.25">
      <c r="A524">
        <v>28214</v>
      </c>
      <c r="B524" s="5">
        <v>27992</v>
      </c>
      <c r="C524" s="5">
        <v>3351</v>
      </c>
      <c r="D524" s="5">
        <v>7857</v>
      </c>
      <c r="E524" s="5" t="e">
        <f>VLOOKUP(count[[#This Row],[hwycov_id]],check!$A$2:$P$26,16,FALSE)</f>
        <v>#N/A</v>
      </c>
    </row>
    <row r="525" spans="1:5" x14ac:dyDescent="0.25">
      <c r="A525">
        <v>28215</v>
      </c>
      <c r="B525" s="5">
        <v>29297</v>
      </c>
      <c r="C525" s="5">
        <v>6146</v>
      </c>
      <c r="D525" s="5">
        <v>5692</v>
      </c>
      <c r="E525" s="5" t="e">
        <f>VLOOKUP(count[[#This Row],[hwycov_id]],check!$A$2:$P$26,16,FALSE)</f>
        <v>#N/A</v>
      </c>
    </row>
    <row r="526" spans="1:5" x14ac:dyDescent="0.25">
      <c r="A526">
        <v>28216</v>
      </c>
      <c r="B526" s="5">
        <v>29209</v>
      </c>
      <c r="C526" s="5">
        <v>3509</v>
      </c>
      <c r="D526" s="5">
        <v>8246</v>
      </c>
      <c r="E526" s="5" t="e">
        <f>VLOOKUP(count[[#This Row],[hwycov_id]],check!$A$2:$P$26,16,FALSE)</f>
        <v>#N/A</v>
      </c>
    </row>
    <row r="527" spans="1:5" x14ac:dyDescent="0.25">
      <c r="A527">
        <v>28254</v>
      </c>
      <c r="B527" s="5">
        <v>10533</v>
      </c>
      <c r="C527" s="5">
        <v>1575</v>
      </c>
      <c r="D527" s="5">
        <v>2191</v>
      </c>
      <c r="E527" s="5" t="e">
        <f>VLOOKUP(count[[#This Row],[hwycov_id]],check!$A$2:$P$26,16,FALSE)</f>
        <v>#N/A</v>
      </c>
    </row>
    <row r="528" spans="1:5" x14ac:dyDescent="0.25">
      <c r="A528">
        <v>28269</v>
      </c>
      <c r="B528" s="5">
        <v>8499</v>
      </c>
      <c r="C528" s="5">
        <v>1090</v>
      </c>
      <c r="D528" s="5">
        <v>1915</v>
      </c>
      <c r="E528" s="5" t="e">
        <f>VLOOKUP(count[[#This Row],[hwycov_id]],check!$A$2:$P$26,16,FALSE)</f>
        <v>#N/A</v>
      </c>
    </row>
    <row r="529" spans="1:5" x14ac:dyDescent="0.25">
      <c r="A529">
        <v>28270</v>
      </c>
      <c r="B529" s="5">
        <v>8138</v>
      </c>
      <c r="C529" s="5">
        <v>950</v>
      </c>
      <c r="D529" s="5">
        <v>1811</v>
      </c>
      <c r="E529" s="5" t="e">
        <f>VLOOKUP(count[[#This Row],[hwycov_id]],check!$A$2:$P$26,16,FALSE)</f>
        <v>#N/A</v>
      </c>
    </row>
    <row r="530" spans="1:5" x14ac:dyDescent="0.25">
      <c r="A530">
        <v>28276</v>
      </c>
      <c r="B530" s="5">
        <v>36958</v>
      </c>
      <c r="C530" s="5">
        <v>5187</v>
      </c>
      <c r="D530" s="5">
        <v>9428</v>
      </c>
      <c r="E530" s="5" t="e">
        <f>VLOOKUP(count[[#This Row],[hwycov_id]],check!$A$2:$P$26,16,FALSE)</f>
        <v>#N/A</v>
      </c>
    </row>
    <row r="531" spans="1:5" x14ac:dyDescent="0.25">
      <c r="A531">
        <v>28279</v>
      </c>
      <c r="B531" s="5">
        <v>35719</v>
      </c>
      <c r="C531" s="5">
        <v>7314</v>
      </c>
      <c r="D531" s="5">
        <v>7752</v>
      </c>
      <c r="E531" s="5" t="e">
        <f>VLOOKUP(count[[#This Row],[hwycov_id]],check!$A$2:$P$26,16,FALSE)</f>
        <v>#N/A</v>
      </c>
    </row>
    <row r="532" spans="1:5" x14ac:dyDescent="0.25">
      <c r="A532">
        <v>28280</v>
      </c>
      <c r="B532" s="5">
        <v>43540</v>
      </c>
      <c r="C532" s="5">
        <v>8451</v>
      </c>
      <c r="D532" s="5">
        <v>10159</v>
      </c>
      <c r="E532" s="5" t="e">
        <f>VLOOKUP(count[[#This Row],[hwycov_id]],check!$A$2:$P$26,16,FALSE)</f>
        <v>#N/A</v>
      </c>
    </row>
    <row r="533" spans="1:5" x14ac:dyDescent="0.25">
      <c r="A533">
        <v>28379</v>
      </c>
      <c r="B533" s="5">
        <v>46360</v>
      </c>
      <c r="C533" s="5">
        <v>10497</v>
      </c>
      <c r="D533" s="5">
        <v>8828</v>
      </c>
      <c r="E533" s="5" t="e">
        <f>VLOOKUP(count[[#This Row],[hwycov_id]],check!$A$2:$P$26,16,FALSE)</f>
        <v>#N/A</v>
      </c>
    </row>
    <row r="534" spans="1:5" x14ac:dyDescent="0.25">
      <c r="A534">
        <v>28380</v>
      </c>
      <c r="B534" s="5">
        <v>40552</v>
      </c>
      <c r="C534" s="5">
        <v>4638</v>
      </c>
      <c r="D534" s="5">
        <v>11333</v>
      </c>
      <c r="E534" s="5" t="e">
        <f>VLOOKUP(count[[#This Row],[hwycov_id]],check!$A$2:$P$26,16,FALSE)</f>
        <v>#N/A</v>
      </c>
    </row>
    <row r="535" spans="1:5" x14ac:dyDescent="0.25">
      <c r="A535">
        <v>28390</v>
      </c>
      <c r="B535" s="5">
        <v>77975</v>
      </c>
      <c r="C535" s="5">
        <v>9927</v>
      </c>
      <c r="D535" s="5">
        <v>20842</v>
      </c>
      <c r="E535" s="5" t="e">
        <f>VLOOKUP(count[[#This Row],[hwycov_id]],check!$A$2:$P$26,16,FALSE)</f>
        <v>#N/A</v>
      </c>
    </row>
    <row r="536" spans="1:5" x14ac:dyDescent="0.25">
      <c r="A536">
        <v>28397</v>
      </c>
      <c r="B536" s="5">
        <v>89663</v>
      </c>
      <c r="C536" s="5">
        <v>18567</v>
      </c>
      <c r="D536" s="5">
        <v>18726</v>
      </c>
      <c r="E536" s="5" t="e">
        <f>VLOOKUP(count[[#This Row],[hwycov_id]],check!$A$2:$P$26,16,FALSE)</f>
        <v>#N/A</v>
      </c>
    </row>
    <row r="537" spans="1:5" x14ac:dyDescent="0.25">
      <c r="A537">
        <v>28417</v>
      </c>
      <c r="B537" s="5">
        <v>67570</v>
      </c>
      <c r="C537" s="5">
        <v>12063</v>
      </c>
      <c r="D537" s="5">
        <v>16187</v>
      </c>
      <c r="E537" s="5" t="e">
        <f>VLOOKUP(count[[#This Row],[hwycov_id]],check!$A$2:$P$26,16,FALSE)</f>
        <v>#N/A</v>
      </c>
    </row>
    <row r="538" spans="1:5" x14ac:dyDescent="0.25">
      <c r="A538">
        <v>28455</v>
      </c>
      <c r="B538" s="5">
        <v>25021</v>
      </c>
      <c r="C538" s="5">
        <v>5153</v>
      </c>
      <c r="D538" s="5">
        <v>4773</v>
      </c>
      <c r="E538" s="5" t="e">
        <f>VLOOKUP(count[[#This Row],[hwycov_id]],check!$A$2:$P$26,16,FALSE)</f>
        <v>#N/A</v>
      </c>
    </row>
    <row r="539" spans="1:5" x14ac:dyDescent="0.25">
      <c r="A539">
        <v>28486</v>
      </c>
      <c r="B539" s="5">
        <v>63700</v>
      </c>
      <c r="C539" s="5">
        <v>11577</v>
      </c>
      <c r="D539" s="5">
        <v>11270</v>
      </c>
      <c r="E539" s="5" t="e">
        <f>VLOOKUP(count[[#This Row],[hwycov_id]],check!$A$2:$P$26,16,FALSE)</f>
        <v>#N/A</v>
      </c>
    </row>
    <row r="540" spans="1:5" x14ac:dyDescent="0.25">
      <c r="A540">
        <v>28490</v>
      </c>
      <c r="B540" s="5">
        <v>86225</v>
      </c>
      <c r="C540" s="5">
        <v>12802</v>
      </c>
      <c r="D540" s="5">
        <v>19293</v>
      </c>
      <c r="E540" s="5" t="e">
        <f>VLOOKUP(count[[#This Row],[hwycov_id]],check!$A$2:$P$26,16,FALSE)</f>
        <v>#N/A</v>
      </c>
    </row>
    <row r="541" spans="1:5" x14ac:dyDescent="0.25">
      <c r="A541">
        <v>28493</v>
      </c>
      <c r="B541" s="5">
        <v>81984</v>
      </c>
      <c r="C541" s="5">
        <v>12309</v>
      </c>
      <c r="D541" s="5">
        <v>17697</v>
      </c>
      <c r="E541" s="5" t="e">
        <f>VLOOKUP(count[[#This Row],[hwycov_id]],check!$A$2:$P$26,16,FALSE)</f>
        <v>#N/A</v>
      </c>
    </row>
    <row r="542" spans="1:5" x14ac:dyDescent="0.25">
      <c r="A542">
        <v>28495</v>
      </c>
      <c r="B542" s="5">
        <v>79259</v>
      </c>
      <c r="C542" s="5">
        <v>13485</v>
      </c>
      <c r="D542" s="5">
        <v>15599</v>
      </c>
      <c r="E542" s="5" t="e">
        <f>VLOOKUP(count[[#This Row],[hwycov_id]],check!$A$2:$P$26,16,FALSE)</f>
        <v>#N/A</v>
      </c>
    </row>
    <row r="543" spans="1:5" x14ac:dyDescent="0.25">
      <c r="A543">
        <v>28511</v>
      </c>
      <c r="B543" s="5">
        <v>82332</v>
      </c>
      <c r="C543" s="5">
        <v>14347</v>
      </c>
      <c r="D543" s="5">
        <v>16392</v>
      </c>
      <c r="E543" s="5" t="e">
        <f>VLOOKUP(count[[#This Row],[hwycov_id]],check!$A$2:$P$26,16,FALSE)</f>
        <v>#N/A</v>
      </c>
    </row>
    <row r="544" spans="1:5" x14ac:dyDescent="0.25">
      <c r="A544">
        <v>28512</v>
      </c>
      <c r="B544" s="5">
        <v>72445</v>
      </c>
      <c r="C544" s="5">
        <v>13131</v>
      </c>
      <c r="D544" s="5">
        <v>13227</v>
      </c>
      <c r="E544" s="5" t="e">
        <f>VLOOKUP(count[[#This Row],[hwycov_id]],check!$A$2:$P$26,16,FALSE)</f>
        <v>#N/A</v>
      </c>
    </row>
    <row r="545" spans="1:5" x14ac:dyDescent="0.25">
      <c r="A545">
        <v>28515</v>
      </c>
      <c r="B545" s="5">
        <v>69482</v>
      </c>
      <c r="C545" s="5">
        <v>9090</v>
      </c>
      <c r="D545" s="5">
        <v>15863</v>
      </c>
      <c r="E545" s="5" t="e">
        <f>VLOOKUP(count[[#This Row],[hwycov_id]],check!$A$2:$P$26,16,FALSE)</f>
        <v>#N/A</v>
      </c>
    </row>
    <row r="546" spans="1:5" x14ac:dyDescent="0.25">
      <c r="A546">
        <v>28534</v>
      </c>
      <c r="B546" s="5">
        <v>56729</v>
      </c>
      <c r="C546" s="5">
        <v>11613</v>
      </c>
      <c r="D546" s="5">
        <v>11505</v>
      </c>
      <c r="E546" s="5" t="e">
        <f>VLOOKUP(count[[#This Row],[hwycov_id]],check!$A$2:$P$26,16,FALSE)</f>
        <v>#N/A</v>
      </c>
    </row>
    <row r="547" spans="1:5" x14ac:dyDescent="0.25">
      <c r="A547">
        <v>28535</v>
      </c>
      <c r="B547" s="5">
        <v>55239</v>
      </c>
      <c r="C547" s="5">
        <v>7974</v>
      </c>
      <c r="D547" s="5">
        <v>14738</v>
      </c>
      <c r="E547" s="5" t="e">
        <f>VLOOKUP(count[[#This Row],[hwycov_id]],check!$A$2:$P$26,16,FALSE)</f>
        <v>#N/A</v>
      </c>
    </row>
    <row r="548" spans="1:5" x14ac:dyDescent="0.25">
      <c r="A548">
        <v>28540</v>
      </c>
      <c r="B548" s="5">
        <v>54977</v>
      </c>
      <c r="C548" s="5">
        <v>11502</v>
      </c>
      <c r="D548" s="5">
        <v>11378</v>
      </c>
      <c r="E548" s="5" t="e">
        <f>VLOOKUP(count[[#This Row],[hwycov_id]],check!$A$2:$P$26,16,FALSE)</f>
        <v>#N/A</v>
      </c>
    </row>
    <row r="549" spans="1:5" x14ac:dyDescent="0.25">
      <c r="A549">
        <v>28569</v>
      </c>
      <c r="B549" s="5">
        <v>62111</v>
      </c>
      <c r="C549" s="5">
        <v>14824</v>
      </c>
      <c r="D549" s="5">
        <v>9864</v>
      </c>
      <c r="E549" s="5" t="e">
        <f>VLOOKUP(count[[#This Row],[hwycov_id]],check!$A$2:$P$26,16,FALSE)</f>
        <v>#N/A</v>
      </c>
    </row>
    <row r="550" spans="1:5" x14ac:dyDescent="0.25">
      <c r="A550">
        <v>28587</v>
      </c>
      <c r="B550" s="5">
        <v>94384</v>
      </c>
      <c r="C550" s="5">
        <v>18990</v>
      </c>
      <c r="D550" s="5">
        <v>18732</v>
      </c>
      <c r="E550" s="5" t="e">
        <f>VLOOKUP(count[[#This Row],[hwycov_id]],check!$A$2:$P$26,16,FALSE)</f>
        <v>#N/A</v>
      </c>
    </row>
    <row r="551" spans="1:5" x14ac:dyDescent="0.25">
      <c r="A551">
        <v>28588</v>
      </c>
      <c r="B551" s="5">
        <v>99699</v>
      </c>
      <c r="C551" s="5">
        <v>13659</v>
      </c>
      <c r="D551" s="5">
        <v>25315</v>
      </c>
      <c r="E551" s="5" t="e">
        <f>VLOOKUP(count[[#This Row],[hwycov_id]],check!$A$2:$P$26,16,FALSE)</f>
        <v>#N/A</v>
      </c>
    </row>
    <row r="552" spans="1:5" x14ac:dyDescent="0.25">
      <c r="A552">
        <v>28623</v>
      </c>
      <c r="B552" s="5">
        <v>30556</v>
      </c>
      <c r="C552" s="5">
        <v>4287</v>
      </c>
      <c r="D552" s="5">
        <v>8655</v>
      </c>
      <c r="E552" s="5" t="e">
        <f>VLOOKUP(count[[#This Row],[hwycov_id]],check!$A$2:$P$26,16,FALSE)</f>
        <v>#N/A</v>
      </c>
    </row>
    <row r="553" spans="1:5" x14ac:dyDescent="0.25">
      <c r="A553">
        <v>28636</v>
      </c>
      <c r="B553" s="5">
        <v>43102</v>
      </c>
      <c r="C553" s="5">
        <v>5173</v>
      </c>
      <c r="D553" s="5">
        <v>11862</v>
      </c>
      <c r="E553" s="5" t="e">
        <f>VLOOKUP(count[[#This Row],[hwycov_id]],check!$A$2:$P$26,16,FALSE)</f>
        <v>#N/A</v>
      </c>
    </row>
    <row r="554" spans="1:5" x14ac:dyDescent="0.25">
      <c r="A554">
        <v>28637</v>
      </c>
      <c r="B554" s="5">
        <v>43615</v>
      </c>
      <c r="C554" s="5">
        <v>9505</v>
      </c>
      <c r="D554" s="5">
        <v>8666</v>
      </c>
      <c r="E554" s="5" t="e">
        <f>VLOOKUP(count[[#This Row],[hwycov_id]],check!$A$2:$P$26,16,FALSE)</f>
        <v>#N/A</v>
      </c>
    </row>
    <row r="555" spans="1:5" x14ac:dyDescent="0.25">
      <c r="A555">
        <v>28638</v>
      </c>
      <c r="B555" s="5">
        <v>34029</v>
      </c>
      <c r="C555" s="5">
        <v>7401</v>
      </c>
      <c r="D555" s="5">
        <v>6666</v>
      </c>
      <c r="E555" s="5" t="e">
        <f>VLOOKUP(count[[#This Row],[hwycov_id]],check!$A$2:$P$26,16,FALSE)</f>
        <v>#N/A</v>
      </c>
    </row>
    <row r="556" spans="1:5" x14ac:dyDescent="0.25">
      <c r="A556">
        <v>28675</v>
      </c>
      <c r="B556" s="5">
        <v>64086</v>
      </c>
      <c r="C556" s="5">
        <v>14409</v>
      </c>
      <c r="D556" s="5">
        <v>13551</v>
      </c>
      <c r="E556" s="5" t="e">
        <f>VLOOKUP(count[[#This Row],[hwycov_id]],check!$A$2:$P$26,16,FALSE)</f>
        <v>#N/A</v>
      </c>
    </row>
    <row r="557" spans="1:5" x14ac:dyDescent="0.25">
      <c r="A557">
        <v>28676</v>
      </c>
      <c r="B557" s="5">
        <v>70212</v>
      </c>
      <c r="C557" s="5">
        <v>9294</v>
      </c>
      <c r="D557" s="5">
        <v>18999</v>
      </c>
      <c r="E557" s="5" t="e">
        <f>VLOOKUP(count[[#This Row],[hwycov_id]],check!$A$2:$P$26,16,FALSE)</f>
        <v>#N/A</v>
      </c>
    </row>
    <row r="558" spans="1:5" x14ac:dyDescent="0.25">
      <c r="A558">
        <v>28677</v>
      </c>
      <c r="B558" s="5">
        <v>73385</v>
      </c>
      <c r="C558" s="5">
        <v>16443</v>
      </c>
      <c r="D558" s="5">
        <v>15465</v>
      </c>
      <c r="E558" s="5" t="e">
        <f>VLOOKUP(count[[#This Row],[hwycov_id]],check!$A$2:$P$26,16,FALSE)</f>
        <v>#N/A</v>
      </c>
    </row>
    <row r="559" spans="1:5" x14ac:dyDescent="0.25">
      <c r="A559">
        <v>28678</v>
      </c>
      <c r="B559" s="5">
        <v>59617</v>
      </c>
      <c r="C559" s="5">
        <v>8328</v>
      </c>
      <c r="D559" s="5">
        <v>15676</v>
      </c>
      <c r="E559" s="5" t="e">
        <f>VLOOKUP(count[[#This Row],[hwycov_id]],check!$A$2:$P$26,16,FALSE)</f>
        <v>#N/A</v>
      </c>
    </row>
    <row r="560" spans="1:5" x14ac:dyDescent="0.25">
      <c r="A560">
        <v>28695</v>
      </c>
      <c r="B560" s="5">
        <v>80770</v>
      </c>
      <c r="C560" s="5">
        <v>16731</v>
      </c>
      <c r="D560" s="5">
        <v>13768</v>
      </c>
      <c r="E560" s="5" t="e">
        <f>VLOOKUP(count[[#This Row],[hwycov_id]],check!$A$2:$P$26,16,FALSE)</f>
        <v>#N/A</v>
      </c>
    </row>
    <row r="561" spans="1:5" x14ac:dyDescent="0.25">
      <c r="A561">
        <v>28706</v>
      </c>
      <c r="B561" s="5">
        <v>78827</v>
      </c>
      <c r="C561" s="5">
        <v>8103</v>
      </c>
      <c r="D561" s="5">
        <v>22009</v>
      </c>
      <c r="E561" s="5" t="e">
        <f>VLOOKUP(count[[#This Row],[hwycov_id]],check!$A$2:$P$26,16,FALSE)</f>
        <v>#N/A</v>
      </c>
    </row>
    <row r="562" spans="1:5" x14ac:dyDescent="0.25">
      <c r="A562">
        <v>28717</v>
      </c>
      <c r="B562" s="5">
        <v>96037</v>
      </c>
      <c r="C562" s="5">
        <v>11667</v>
      </c>
      <c r="D562" s="5">
        <v>25081</v>
      </c>
      <c r="E562" s="5" t="e">
        <f>VLOOKUP(count[[#This Row],[hwycov_id]],check!$A$2:$P$26,16,FALSE)</f>
        <v>#N/A</v>
      </c>
    </row>
    <row r="563" spans="1:5" x14ac:dyDescent="0.25">
      <c r="A563">
        <v>28718</v>
      </c>
      <c r="B563" s="5">
        <v>85520</v>
      </c>
      <c r="C563" s="5">
        <v>16923</v>
      </c>
      <c r="D563" s="5">
        <v>15172</v>
      </c>
      <c r="E563" s="5" t="e">
        <f>VLOOKUP(count[[#This Row],[hwycov_id]],check!$A$2:$P$26,16,FALSE)</f>
        <v>#N/A</v>
      </c>
    </row>
    <row r="564" spans="1:5" x14ac:dyDescent="0.25">
      <c r="A564">
        <v>28726</v>
      </c>
      <c r="B564" s="5">
        <v>105471</v>
      </c>
      <c r="C564" s="5">
        <v>12352</v>
      </c>
      <c r="D564" s="5">
        <v>28405</v>
      </c>
      <c r="E564" s="5" t="e">
        <f>VLOOKUP(count[[#This Row],[hwycov_id]],check!$A$2:$P$26,16,FALSE)</f>
        <v>#N/A</v>
      </c>
    </row>
    <row r="565" spans="1:5" x14ac:dyDescent="0.25">
      <c r="A565">
        <v>28727</v>
      </c>
      <c r="B565" s="5">
        <v>102763</v>
      </c>
      <c r="C565" s="5">
        <v>22219</v>
      </c>
      <c r="D565" s="5">
        <v>18512</v>
      </c>
      <c r="E565" s="5" t="e">
        <f>VLOOKUP(count[[#This Row],[hwycov_id]],check!$A$2:$P$26,16,FALSE)</f>
        <v>#N/A</v>
      </c>
    </row>
    <row r="566" spans="1:5" x14ac:dyDescent="0.25">
      <c r="A566">
        <v>28730</v>
      </c>
      <c r="B566" s="5">
        <v>107911</v>
      </c>
      <c r="C566" s="5">
        <v>25059</v>
      </c>
      <c r="D566" s="5">
        <v>19154</v>
      </c>
      <c r="E566" s="5" t="e">
        <f>VLOOKUP(count[[#This Row],[hwycov_id]],check!$A$2:$P$26,16,FALSE)</f>
        <v>#N/A</v>
      </c>
    </row>
    <row r="567" spans="1:5" x14ac:dyDescent="0.25">
      <c r="A567">
        <v>28735</v>
      </c>
      <c r="B567" s="5">
        <v>90923</v>
      </c>
      <c r="C567" s="5">
        <v>21995</v>
      </c>
      <c r="D567" s="5">
        <v>14788</v>
      </c>
      <c r="E567" s="5" t="e">
        <f>VLOOKUP(count[[#This Row],[hwycov_id]],check!$A$2:$P$26,16,FALSE)</f>
        <v>#N/A</v>
      </c>
    </row>
    <row r="568" spans="1:5" x14ac:dyDescent="0.25">
      <c r="A568">
        <v>28736</v>
      </c>
      <c r="B568" s="5">
        <v>85598</v>
      </c>
      <c r="C568" s="5">
        <v>8698</v>
      </c>
      <c r="D568" s="5">
        <v>22846</v>
      </c>
      <c r="E568" s="5" t="e">
        <f>VLOOKUP(count[[#This Row],[hwycov_id]],check!$A$2:$P$26,16,FALSE)</f>
        <v>#N/A</v>
      </c>
    </row>
    <row r="569" spans="1:5" x14ac:dyDescent="0.25">
      <c r="A569">
        <v>28745</v>
      </c>
      <c r="B569" s="5">
        <v>75545</v>
      </c>
      <c r="C569" s="5">
        <v>8508</v>
      </c>
      <c r="D569" s="5">
        <v>18868</v>
      </c>
      <c r="E569" s="5" t="e">
        <f>VLOOKUP(count[[#This Row],[hwycov_id]],check!$A$2:$P$26,16,FALSE)</f>
        <v>#N/A</v>
      </c>
    </row>
    <row r="570" spans="1:5" x14ac:dyDescent="0.25">
      <c r="A570">
        <v>28747</v>
      </c>
      <c r="B570" s="5">
        <v>96012</v>
      </c>
      <c r="C570" s="5">
        <v>24213</v>
      </c>
      <c r="D570" s="5">
        <v>15802</v>
      </c>
      <c r="E570" s="5" t="e">
        <f>VLOOKUP(count[[#This Row],[hwycov_id]],check!$A$2:$P$26,16,FALSE)</f>
        <v>#N/A</v>
      </c>
    </row>
    <row r="571" spans="1:5" x14ac:dyDescent="0.25">
      <c r="A571">
        <v>28809</v>
      </c>
      <c r="B571" s="5">
        <v>120405</v>
      </c>
      <c r="C571" s="5">
        <v>25506</v>
      </c>
      <c r="D571" s="5">
        <v>23954</v>
      </c>
      <c r="E571" s="5" t="e">
        <f>VLOOKUP(count[[#This Row],[hwycov_id]],check!$A$2:$P$26,16,FALSE)</f>
        <v>#N/A</v>
      </c>
    </row>
    <row r="572" spans="1:5" x14ac:dyDescent="0.25">
      <c r="A572">
        <v>28849</v>
      </c>
      <c r="B572" s="5">
        <v>62058</v>
      </c>
      <c r="C572" s="5">
        <v>11334</v>
      </c>
      <c r="D572" s="5">
        <v>14271</v>
      </c>
      <c r="E572" s="5" t="e">
        <f>VLOOKUP(count[[#This Row],[hwycov_id]],check!$A$2:$P$26,16,FALSE)</f>
        <v>#N/A</v>
      </c>
    </row>
    <row r="573" spans="1:5" x14ac:dyDescent="0.25">
      <c r="A573">
        <v>28868</v>
      </c>
      <c r="B573" s="5">
        <v>36551</v>
      </c>
      <c r="C573" s="5">
        <v>6726</v>
      </c>
      <c r="D573" s="5">
        <v>8758</v>
      </c>
      <c r="E573" s="5" t="e">
        <f>VLOOKUP(count[[#This Row],[hwycov_id]],check!$A$2:$P$26,16,FALSE)</f>
        <v>#N/A</v>
      </c>
    </row>
    <row r="574" spans="1:5" x14ac:dyDescent="0.25">
      <c r="A574">
        <v>28904</v>
      </c>
      <c r="B574" s="5">
        <v>29859</v>
      </c>
      <c r="C574" s="5">
        <v>3459</v>
      </c>
      <c r="D574" s="5">
        <v>6375</v>
      </c>
      <c r="E574" s="5" t="e">
        <f>VLOOKUP(count[[#This Row],[hwycov_id]],check!$A$2:$P$26,16,FALSE)</f>
        <v>#N/A</v>
      </c>
    </row>
    <row r="575" spans="1:5" x14ac:dyDescent="0.25">
      <c r="A575">
        <v>28923</v>
      </c>
      <c r="B575" s="5">
        <v>12707</v>
      </c>
      <c r="C575" s="5">
        <v>2472</v>
      </c>
      <c r="D575" s="5">
        <v>3190</v>
      </c>
      <c r="E575" s="5" t="e">
        <f>VLOOKUP(count[[#This Row],[hwycov_id]],check!$A$2:$P$26,16,FALSE)</f>
        <v>#N/A</v>
      </c>
    </row>
    <row r="576" spans="1:5" x14ac:dyDescent="0.25">
      <c r="A576">
        <v>28924</v>
      </c>
      <c r="B576" s="5">
        <v>38996</v>
      </c>
      <c r="C576" s="5">
        <v>8118</v>
      </c>
      <c r="D576" s="5">
        <v>8862</v>
      </c>
      <c r="E576" s="5" t="e">
        <f>VLOOKUP(count[[#This Row],[hwycov_id]],check!$A$2:$P$26,16,FALSE)</f>
        <v>#N/A</v>
      </c>
    </row>
    <row r="577" spans="1:5" x14ac:dyDescent="0.25">
      <c r="A577">
        <v>28925</v>
      </c>
      <c r="B577" s="5">
        <v>21459</v>
      </c>
      <c r="C577" s="5">
        <v>3895</v>
      </c>
      <c r="D577" s="5">
        <v>5340</v>
      </c>
      <c r="E577" s="5" t="e">
        <f>VLOOKUP(count[[#This Row],[hwycov_id]],check!$A$2:$P$26,16,FALSE)</f>
        <v>#N/A</v>
      </c>
    </row>
    <row r="578" spans="1:5" x14ac:dyDescent="0.25">
      <c r="A578">
        <v>28938</v>
      </c>
      <c r="B578" s="5">
        <v>39547</v>
      </c>
      <c r="C578" s="5">
        <v>6048</v>
      </c>
      <c r="D578" s="5">
        <v>10673</v>
      </c>
      <c r="E578" s="5" t="e">
        <f>VLOOKUP(count[[#This Row],[hwycov_id]],check!$A$2:$P$26,16,FALSE)</f>
        <v>#N/A</v>
      </c>
    </row>
    <row r="579" spans="1:5" x14ac:dyDescent="0.25">
      <c r="A579">
        <v>28939</v>
      </c>
      <c r="B579" s="5">
        <v>39716</v>
      </c>
      <c r="C579" s="5">
        <v>8913</v>
      </c>
      <c r="D579" s="5">
        <v>8903</v>
      </c>
      <c r="E579" s="5" t="e">
        <f>VLOOKUP(count[[#This Row],[hwycov_id]],check!$A$2:$P$26,16,FALSE)</f>
        <v>#N/A</v>
      </c>
    </row>
    <row r="580" spans="1:5" x14ac:dyDescent="0.25">
      <c r="A580">
        <v>28940</v>
      </c>
      <c r="B580" s="5">
        <v>48956</v>
      </c>
      <c r="C580" s="5">
        <v>10538</v>
      </c>
      <c r="D580" s="5">
        <v>11341</v>
      </c>
      <c r="E580" s="5" t="e">
        <f>VLOOKUP(count[[#This Row],[hwycov_id]],check!$A$2:$P$26,16,FALSE)</f>
        <v>#N/A</v>
      </c>
    </row>
    <row r="581" spans="1:5" x14ac:dyDescent="0.25">
      <c r="A581">
        <v>28941</v>
      </c>
      <c r="B581" s="5">
        <v>49326</v>
      </c>
      <c r="C581" s="5">
        <v>7943</v>
      </c>
      <c r="D581" s="5">
        <v>13100</v>
      </c>
      <c r="E581" s="5" t="e">
        <f>VLOOKUP(count[[#This Row],[hwycov_id]],check!$A$2:$P$26,16,FALSE)</f>
        <v>#N/A</v>
      </c>
    </row>
    <row r="582" spans="1:5" x14ac:dyDescent="0.25">
      <c r="A582">
        <v>28945</v>
      </c>
      <c r="B582" s="5">
        <v>30068</v>
      </c>
      <c r="C582" s="5">
        <v>6588</v>
      </c>
      <c r="D582" s="5">
        <v>6788</v>
      </c>
      <c r="E582" s="5" t="e">
        <f>VLOOKUP(count[[#This Row],[hwycov_id]],check!$A$2:$P$26,16,FALSE)</f>
        <v>#N/A</v>
      </c>
    </row>
    <row r="583" spans="1:5" x14ac:dyDescent="0.25">
      <c r="A583">
        <v>28949</v>
      </c>
      <c r="B583" s="5">
        <v>25504</v>
      </c>
      <c r="C583" s="5">
        <v>3822</v>
      </c>
      <c r="D583" s="5">
        <v>7573</v>
      </c>
      <c r="E583" s="5" t="e">
        <f>VLOOKUP(count[[#This Row],[hwycov_id]],check!$A$2:$P$26,16,FALSE)</f>
        <v>#N/A</v>
      </c>
    </row>
    <row r="584" spans="1:5" x14ac:dyDescent="0.25">
      <c r="A584">
        <v>28950</v>
      </c>
      <c r="B584" s="5">
        <v>35263</v>
      </c>
      <c r="C584" s="5">
        <v>5236</v>
      </c>
      <c r="D584" s="5">
        <v>10546</v>
      </c>
      <c r="E584" s="5" t="e">
        <f>VLOOKUP(count[[#This Row],[hwycov_id]],check!$A$2:$P$26,16,FALSE)</f>
        <v>#N/A</v>
      </c>
    </row>
    <row r="585" spans="1:5" x14ac:dyDescent="0.25">
      <c r="A585">
        <v>29016</v>
      </c>
      <c r="B585" s="5">
        <v>82896</v>
      </c>
      <c r="C585" s="5">
        <v>18228</v>
      </c>
      <c r="D585" s="5">
        <v>15515</v>
      </c>
      <c r="E585" s="5" t="e">
        <f>VLOOKUP(count[[#This Row],[hwycov_id]],check!$A$2:$P$26,16,FALSE)</f>
        <v>#N/A</v>
      </c>
    </row>
    <row r="586" spans="1:5" x14ac:dyDescent="0.25">
      <c r="A586">
        <v>29023</v>
      </c>
      <c r="B586" s="5">
        <v>89203</v>
      </c>
      <c r="C586" s="5">
        <v>9129</v>
      </c>
      <c r="D586" s="5">
        <v>26603</v>
      </c>
      <c r="E586" s="5" t="e">
        <f>VLOOKUP(count[[#This Row],[hwycov_id]],check!$A$2:$P$26,16,FALSE)</f>
        <v>#N/A</v>
      </c>
    </row>
    <row r="587" spans="1:5" x14ac:dyDescent="0.25">
      <c r="A587">
        <v>29024</v>
      </c>
      <c r="B587" s="5">
        <v>85638</v>
      </c>
      <c r="C587" s="5">
        <v>19335</v>
      </c>
      <c r="D587" s="5">
        <v>15580</v>
      </c>
      <c r="E587" s="5" t="e">
        <f>VLOOKUP(count[[#This Row],[hwycov_id]],check!$A$2:$P$26,16,FALSE)</f>
        <v>#N/A</v>
      </c>
    </row>
    <row r="588" spans="1:5" x14ac:dyDescent="0.25">
      <c r="A588">
        <v>29025</v>
      </c>
      <c r="B588" s="5">
        <v>79978</v>
      </c>
      <c r="C588" s="5">
        <v>8913</v>
      </c>
      <c r="D588" s="5">
        <v>22695</v>
      </c>
      <c r="E588" s="5" t="e">
        <f>VLOOKUP(count[[#This Row],[hwycov_id]],check!$A$2:$P$26,16,FALSE)</f>
        <v>#N/A</v>
      </c>
    </row>
    <row r="589" spans="1:5" x14ac:dyDescent="0.25">
      <c r="A589">
        <v>29027</v>
      </c>
      <c r="B589" s="5">
        <v>92082</v>
      </c>
      <c r="C589" s="5">
        <v>9425</v>
      </c>
      <c r="D589" s="5">
        <v>27704</v>
      </c>
      <c r="E589" s="5" t="e">
        <f>VLOOKUP(count[[#This Row],[hwycov_id]],check!$A$2:$P$26,16,FALSE)</f>
        <v>#N/A</v>
      </c>
    </row>
    <row r="590" spans="1:5" x14ac:dyDescent="0.25">
      <c r="A590">
        <v>29028</v>
      </c>
      <c r="B590" s="5">
        <v>88676</v>
      </c>
      <c r="C590" s="5">
        <v>20331</v>
      </c>
      <c r="D590" s="5">
        <v>16129</v>
      </c>
      <c r="E590" s="5" t="e">
        <f>VLOOKUP(count[[#This Row],[hwycov_id]],check!$A$2:$P$26,16,FALSE)</f>
        <v>#N/A</v>
      </c>
    </row>
    <row r="591" spans="1:5" x14ac:dyDescent="0.25">
      <c r="A591">
        <v>29033</v>
      </c>
      <c r="B591" s="5">
        <v>82976</v>
      </c>
      <c r="C591" s="5">
        <v>18999</v>
      </c>
      <c r="D591" s="5">
        <v>14905</v>
      </c>
      <c r="E591" s="5" t="e">
        <f>VLOOKUP(count[[#This Row],[hwycov_id]],check!$A$2:$P$26,16,FALSE)</f>
        <v>#N/A</v>
      </c>
    </row>
    <row r="592" spans="1:5" x14ac:dyDescent="0.25">
      <c r="A592">
        <v>29035</v>
      </c>
      <c r="B592" s="5">
        <v>86581</v>
      </c>
      <c r="C592" s="5">
        <v>8523</v>
      </c>
      <c r="D592" s="5">
        <v>26037</v>
      </c>
      <c r="E592" s="5" t="e">
        <f>VLOOKUP(count[[#This Row],[hwycov_id]],check!$A$2:$P$26,16,FALSE)</f>
        <v>#N/A</v>
      </c>
    </row>
    <row r="593" spans="1:5" x14ac:dyDescent="0.25">
      <c r="A593">
        <v>29039</v>
      </c>
      <c r="B593" s="5">
        <v>101664</v>
      </c>
      <c r="C593" s="5">
        <v>10752</v>
      </c>
      <c r="D593" s="5">
        <v>29117</v>
      </c>
      <c r="E593" s="5" t="e">
        <f>VLOOKUP(count[[#This Row],[hwycov_id]],check!$A$2:$P$26,16,FALSE)</f>
        <v>#N/A</v>
      </c>
    </row>
    <row r="594" spans="1:5" x14ac:dyDescent="0.25">
      <c r="A594">
        <v>29041</v>
      </c>
      <c r="B594" s="5">
        <v>99110</v>
      </c>
      <c r="C594" s="5">
        <v>21783</v>
      </c>
      <c r="D594" s="5">
        <v>18373</v>
      </c>
      <c r="E594" s="5" t="e">
        <f>VLOOKUP(count[[#This Row],[hwycov_id]],check!$A$2:$P$26,16,FALSE)</f>
        <v>#N/A</v>
      </c>
    </row>
    <row r="595" spans="1:5" x14ac:dyDescent="0.25">
      <c r="A595">
        <v>29049</v>
      </c>
      <c r="B595" s="5">
        <v>75678</v>
      </c>
      <c r="C595" s="5">
        <v>19419</v>
      </c>
      <c r="D595" s="5">
        <v>12464</v>
      </c>
      <c r="E595" s="5" t="e">
        <f>VLOOKUP(count[[#This Row],[hwycov_id]],check!$A$2:$P$26,16,FALSE)</f>
        <v>#N/A</v>
      </c>
    </row>
    <row r="596" spans="1:5" x14ac:dyDescent="0.25">
      <c r="A596">
        <v>29051</v>
      </c>
      <c r="B596" s="5">
        <v>68299</v>
      </c>
      <c r="C596" s="5">
        <v>17382</v>
      </c>
      <c r="D596" s="5">
        <v>11686</v>
      </c>
      <c r="E596" s="5" t="e">
        <f>VLOOKUP(count[[#This Row],[hwycov_id]],check!$A$2:$P$26,16,FALSE)</f>
        <v>#N/A</v>
      </c>
    </row>
    <row r="597" spans="1:5" x14ac:dyDescent="0.25">
      <c r="A597">
        <v>29052</v>
      </c>
      <c r="B597" s="5">
        <v>58478</v>
      </c>
      <c r="C597" s="5">
        <v>4962</v>
      </c>
      <c r="D597" s="5">
        <v>18850</v>
      </c>
      <c r="E597" s="5" t="e">
        <f>VLOOKUP(count[[#This Row],[hwycov_id]],check!$A$2:$P$26,16,FALSE)</f>
        <v>#N/A</v>
      </c>
    </row>
    <row r="598" spans="1:5" x14ac:dyDescent="0.25">
      <c r="A598">
        <v>29082</v>
      </c>
      <c r="B598" s="5">
        <v>101337</v>
      </c>
      <c r="C598" s="5">
        <v>20797</v>
      </c>
      <c r="D598" s="5">
        <v>21819</v>
      </c>
      <c r="E598" s="5" t="e">
        <f>VLOOKUP(count[[#This Row],[hwycov_id]],check!$A$2:$P$26,16,FALSE)</f>
        <v>#N/A</v>
      </c>
    </row>
    <row r="599" spans="1:5" x14ac:dyDescent="0.25">
      <c r="A599">
        <v>29086</v>
      </c>
      <c r="B599" s="5">
        <v>101974</v>
      </c>
      <c r="C599" s="5">
        <v>20808</v>
      </c>
      <c r="D599" s="5">
        <v>21767</v>
      </c>
      <c r="E599" s="5" t="e">
        <f>VLOOKUP(count[[#This Row],[hwycov_id]],check!$A$2:$P$26,16,FALSE)</f>
        <v>#N/A</v>
      </c>
    </row>
    <row r="600" spans="1:5" x14ac:dyDescent="0.25">
      <c r="A600">
        <v>29089</v>
      </c>
      <c r="B600" s="5">
        <v>98249</v>
      </c>
      <c r="C600" s="5">
        <v>13176</v>
      </c>
      <c r="D600" s="5">
        <v>24622</v>
      </c>
      <c r="E600" s="5" t="e">
        <f>VLOOKUP(count[[#This Row],[hwycov_id]],check!$A$2:$P$26,16,FALSE)</f>
        <v>#N/A</v>
      </c>
    </row>
    <row r="601" spans="1:5" x14ac:dyDescent="0.25">
      <c r="A601">
        <v>29090</v>
      </c>
      <c r="B601" s="5">
        <v>103593</v>
      </c>
      <c r="C601" s="5">
        <v>21265</v>
      </c>
      <c r="D601" s="5">
        <v>22331</v>
      </c>
      <c r="E601" s="5" t="e">
        <f>VLOOKUP(count[[#This Row],[hwycov_id]],check!$A$2:$P$26,16,FALSE)</f>
        <v>#N/A</v>
      </c>
    </row>
    <row r="602" spans="1:5" x14ac:dyDescent="0.25">
      <c r="A602">
        <v>29095</v>
      </c>
      <c r="B602" s="5">
        <v>101415</v>
      </c>
      <c r="C602" s="5">
        <v>21306</v>
      </c>
      <c r="D602" s="5">
        <v>21479</v>
      </c>
      <c r="E602" s="5" t="e">
        <f>VLOOKUP(count[[#This Row],[hwycov_id]],check!$A$2:$P$26,16,FALSE)</f>
        <v>#N/A</v>
      </c>
    </row>
    <row r="603" spans="1:5" x14ac:dyDescent="0.25">
      <c r="A603">
        <v>29108</v>
      </c>
      <c r="B603" s="5">
        <v>109606</v>
      </c>
      <c r="C603" s="5">
        <v>11031</v>
      </c>
      <c r="D603" s="5">
        <v>29759</v>
      </c>
      <c r="E603" s="5" t="e">
        <f>VLOOKUP(count[[#This Row],[hwycov_id]],check!$A$2:$P$26,16,FALSE)</f>
        <v>#N/A</v>
      </c>
    </row>
    <row r="604" spans="1:5" x14ac:dyDescent="0.25">
      <c r="A604">
        <v>29167</v>
      </c>
      <c r="B604" s="5">
        <v>35351</v>
      </c>
      <c r="C604" s="5">
        <v>10632</v>
      </c>
      <c r="D604" s="5">
        <v>5055</v>
      </c>
      <c r="E604" s="5" t="e">
        <f>VLOOKUP(count[[#This Row],[hwycov_id]],check!$A$2:$P$26,16,FALSE)</f>
        <v>#N/A</v>
      </c>
    </row>
    <row r="605" spans="1:5" x14ac:dyDescent="0.25">
      <c r="A605">
        <v>29168</v>
      </c>
      <c r="B605" s="5">
        <v>34885</v>
      </c>
      <c r="C605" s="5">
        <v>4032</v>
      </c>
      <c r="D605" s="5">
        <v>10501</v>
      </c>
      <c r="E605" s="5" t="e">
        <f>VLOOKUP(count[[#This Row],[hwycov_id]],check!$A$2:$P$26,16,FALSE)</f>
        <v>#N/A</v>
      </c>
    </row>
    <row r="606" spans="1:5" x14ac:dyDescent="0.25">
      <c r="A606">
        <v>29172</v>
      </c>
      <c r="B606" s="5">
        <v>29841</v>
      </c>
      <c r="C606" s="5">
        <v>8718</v>
      </c>
      <c r="D606" s="5">
        <v>4817</v>
      </c>
      <c r="E606" s="5" t="e">
        <f>VLOOKUP(count[[#This Row],[hwycov_id]],check!$A$2:$P$26,16,FALSE)</f>
        <v>#N/A</v>
      </c>
    </row>
    <row r="607" spans="1:5" x14ac:dyDescent="0.25">
      <c r="A607">
        <v>29182</v>
      </c>
      <c r="B607" s="5">
        <v>61635</v>
      </c>
      <c r="C607" s="5">
        <v>12513</v>
      </c>
      <c r="D607" s="5">
        <v>11855</v>
      </c>
      <c r="E607" s="5" t="e">
        <f>VLOOKUP(count[[#This Row],[hwycov_id]],check!$A$2:$P$26,16,FALSE)</f>
        <v>#N/A</v>
      </c>
    </row>
    <row r="608" spans="1:5" x14ac:dyDescent="0.25">
      <c r="A608">
        <v>29183</v>
      </c>
      <c r="B608" s="5">
        <v>56540</v>
      </c>
      <c r="C608" s="5">
        <v>10245</v>
      </c>
      <c r="D608" s="5">
        <v>13126</v>
      </c>
      <c r="E608" s="5" t="e">
        <f>VLOOKUP(count[[#This Row],[hwycov_id]],check!$A$2:$P$26,16,FALSE)</f>
        <v>#N/A</v>
      </c>
    </row>
    <row r="609" spans="1:5" x14ac:dyDescent="0.25">
      <c r="A609">
        <v>29215</v>
      </c>
      <c r="B609" s="5">
        <v>10818</v>
      </c>
      <c r="C609" s="5">
        <v>1350</v>
      </c>
      <c r="D609" s="5">
        <v>2708</v>
      </c>
      <c r="E609" s="5" t="e">
        <f>VLOOKUP(count[[#This Row],[hwycov_id]],check!$A$2:$P$26,16,FALSE)</f>
        <v>#N/A</v>
      </c>
    </row>
    <row r="610" spans="1:5" x14ac:dyDescent="0.25">
      <c r="A610">
        <v>29232</v>
      </c>
      <c r="B610" s="5">
        <v>90476</v>
      </c>
      <c r="C610" s="5">
        <v>22137</v>
      </c>
      <c r="D610" s="5">
        <v>16190</v>
      </c>
      <c r="E610" s="5" t="e">
        <f>VLOOKUP(count[[#This Row],[hwycov_id]],check!$A$2:$P$26,16,FALSE)</f>
        <v>#N/A</v>
      </c>
    </row>
    <row r="611" spans="1:5" x14ac:dyDescent="0.25">
      <c r="A611">
        <v>29368</v>
      </c>
      <c r="B611" s="5">
        <v>18511</v>
      </c>
      <c r="C611" s="5">
        <v>1440</v>
      </c>
      <c r="D611" s="5">
        <v>8054</v>
      </c>
      <c r="E611" s="5" t="e">
        <f>VLOOKUP(count[[#This Row],[hwycov_id]],check!$A$2:$P$26,16,FALSE)</f>
        <v>#N/A</v>
      </c>
    </row>
    <row r="612" spans="1:5" x14ac:dyDescent="0.25">
      <c r="A612">
        <v>29415</v>
      </c>
      <c r="B612" s="5">
        <v>59498</v>
      </c>
      <c r="C612" s="5">
        <v>16065</v>
      </c>
      <c r="D612" s="5">
        <v>12654</v>
      </c>
      <c r="E612" s="5" t="e">
        <f>VLOOKUP(count[[#This Row],[hwycov_id]],check!$A$2:$P$26,16,FALSE)</f>
        <v>#N/A</v>
      </c>
    </row>
    <row r="613" spans="1:5" x14ac:dyDescent="0.25">
      <c r="A613">
        <v>29442</v>
      </c>
      <c r="B613" s="5">
        <v>27194</v>
      </c>
      <c r="C613" s="5">
        <v>11516</v>
      </c>
      <c r="D613" s="5">
        <v>4028</v>
      </c>
      <c r="E613" s="5" t="e">
        <f>VLOOKUP(count[[#This Row],[hwycov_id]],check!$A$2:$P$26,16,FALSE)</f>
        <v>#N/A</v>
      </c>
    </row>
    <row r="614" spans="1:5" x14ac:dyDescent="0.25">
      <c r="A614">
        <v>29565</v>
      </c>
      <c r="B614" s="5">
        <v>10402</v>
      </c>
      <c r="C614" s="5">
        <v>1164</v>
      </c>
      <c r="D614" s="5">
        <v>3416</v>
      </c>
      <c r="E614" s="5" t="e">
        <f>VLOOKUP(count[[#This Row],[hwycov_id]],check!$A$2:$P$26,16,FALSE)</f>
        <v>#N/A</v>
      </c>
    </row>
    <row r="615" spans="1:5" x14ac:dyDescent="0.25">
      <c r="A615">
        <v>29571</v>
      </c>
      <c r="B615" s="5">
        <v>9864</v>
      </c>
      <c r="C615" s="5">
        <v>1335</v>
      </c>
      <c r="D615" s="5">
        <v>2536</v>
      </c>
      <c r="E615" s="5" t="e">
        <f>VLOOKUP(count[[#This Row],[hwycov_id]],check!$A$2:$P$26,16,FALSE)</f>
        <v>#N/A</v>
      </c>
    </row>
    <row r="616" spans="1:5" x14ac:dyDescent="0.25">
      <c r="A616">
        <v>29756</v>
      </c>
      <c r="B616" s="5">
        <v>85722</v>
      </c>
      <c r="C616" s="5">
        <v>20634</v>
      </c>
      <c r="D616" s="5">
        <v>16718</v>
      </c>
      <c r="E616" s="5" t="e">
        <f>VLOOKUP(count[[#This Row],[hwycov_id]],check!$A$2:$P$26,16,FALSE)</f>
        <v>#N/A</v>
      </c>
    </row>
    <row r="617" spans="1:5" x14ac:dyDescent="0.25">
      <c r="A617">
        <v>30080</v>
      </c>
      <c r="B617" s="5">
        <v>76322</v>
      </c>
      <c r="C617" s="5">
        <v>15135</v>
      </c>
      <c r="D617" s="5">
        <v>16023</v>
      </c>
      <c r="E617" s="5" t="e">
        <f>VLOOKUP(count[[#This Row],[hwycov_id]],check!$A$2:$P$26,16,FALSE)</f>
        <v>#N/A</v>
      </c>
    </row>
    <row r="618" spans="1:5" x14ac:dyDescent="0.25">
      <c r="A618">
        <v>30776</v>
      </c>
      <c r="B618" s="5">
        <v>102978</v>
      </c>
      <c r="C618" s="5">
        <v>20341</v>
      </c>
      <c r="D618" s="5">
        <v>18486</v>
      </c>
      <c r="E618" s="5" t="e">
        <f>VLOOKUP(count[[#This Row],[hwycov_id]],check!$A$2:$P$26,16,FALSE)</f>
        <v>#N/A</v>
      </c>
    </row>
    <row r="619" spans="1:5" x14ac:dyDescent="0.25">
      <c r="A619">
        <v>30782</v>
      </c>
      <c r="B619" s="5">
        <v>15613</v>
      </c>
      <c r="C619" s="5">
        <v>2374</v>
      </c>
      <c r="D619" s="5">
        <v>5332</v>
      </c>
      <c r="E619" s="5" t="e">
        <f>VLOOKUP(count[[#This Row],[hwycov_id]],check!$A$2:$P$26,16,FALSE)</f>
        <v>#N/A</v>
      </c>
    </row>
    <row r="620" spans="1:5" x14ac:dyDescent="0.25">
      <c r="A620">
        <v>30792</v>
      </c>
      <c r="B620" s="5">
        <v>69095</v>
      </c>
      <c r="C620" s="5">
        <v>13356</v>
      </c>
      <c r="D620" s="5">
        <v>12866</v>
      </c>
      <c r="E620" s="5" t="e">
        <f>VLOOKUP(count[[#This Row],[hwycov_id]],check!$A$2:$P$26,16,FALSE)</f>
        <v>#N/A</v>
      </c>
    </row>
    <row r="621" spans="1:5" x14ac:dyDescent="0.25">
      <c r="A621">
        <v>30813</v>
      </c>
      <c r="B621" s="5">
        <v>100260</v>
      </c>
      <c r="C621" s="5">
        <v>18573</v>
      </c>
      <c r="D621" s="5">
        <v>21245</v>
      </c>
      <c r="E621" s="5" t="e">
        <f>VLOOKUP(count[[#This Row],[hwycov_id]],check!$A$2:$P$26,16,FALSE)</f>
        <v>#N/A</v>
      </c>
    </row>
    <row r="622" spans="1:5" x14ac:dyDescent="0.25">
      <c r="A622">
        <v>30816</v>
      </c>
      <c r="B622" s="5">
        <v>115085</v>
      </c>
      <c r="C622" s="5">
        <v>18335</v>
      </c>
      <c r="D622" s="5">
        <v>29375</v>
      </c>
      <c r="E622" s="5" t="e">
        <f>VLOOKUP(count[[#This Row],[hwycov_id]],check!$A$2:$P$26,16,FALSE)</f>
        <v>#N/A</v>
      </c>
    </row>
    <row r="623" spans="1:5" x14ac:dyDescent="0.25">
      <c r="A623">
        <v>31171</v>
      </c>
      <c r="B623" s="5">
        <v>66466</v>
      </c>
      <c r="C623" s="5">
        <v>15351</v>
      </c>
      <c r="D623" s="5">
        <v>13336</v>
      </c>
      <c r="E623" s="5" t="e">
        <f>VLOOKUP(count[[#This Row],[hwycov_id]],check!$A$2:$P$26,16,FALSE)</f>
        <v>#N/A</v>
      </c>
    </row>
    <row r="624" spans="1:5" x14ac:dyDescent="0.25">
      <c r="A624">
        <v>31184</v>
      </c>
      <c r="B624" s="5">
        <v>92507</v>
      </c>
      <c r="C624" s="5">
        <v>17838</v>
      </c>
      <c r="D624" s="5">
        <v>20426</v>
      </c>
      <c r="E624" s="5" t="e">
        <f>VLOOKUP(count[[#This Row],[hwycov_id]],check!$A$2:$P$26,16,FALSE)</f>
        <v>#N/A</v>
      </c>
    </row>
    <row r="625" spans="1:5" x14ac:dyDescent="0.25">
      <c r="A625">
        <v>31193</v>
      </c>
      <c r="B625" s="5">
        <v>73452</v>
      </c>
      <c r="C625" s="5">
        <v>18300</v>
      </c>
      <c r="D625" s="5">
        <v>12404</v>
      </c>
      <c r="E625" s="5" t="e">
        <f>VLOOKUP(count[[#This Row],[hwycov_id]],check!$A$2:$P$26,16,FALSE)</f>
        <v>#N/A</v>
      </c>
    </row>
    <row r="626" spans="1:5" x14ac:dyDescent="0.25">
      <c r="A626">
        <v>31198</v>
      </c>
      <c r="B626" s="5">
        <v>83328</v>
      </c>
      <c r="C626" s="5">
        <v>12896</v>
      </c>
      <c r="D626" s="5">
        <v>21359</v>
      </c>
      <c r="E626" s="5" t="e">
        <f>VLOOKUP(count[[#This Row],[hwycov_id]],check!$A$2:$P$26,16,FALSE)</f>
        <v>#N/A</v>
      </c>
    </row>
    <row r="627" spans="1:5" x14ac:dyDescent="0.25">
      <c r="A627">
        <v>31206</v>
      </c>
      <c r="B627" s="5">
        <v>111199</v>
      </c>
      <c r="C627" s="5">
        <v>15606</v>
      </c>
      <c r="D627" s="5">
        <v>29001</v>
      </c>
      <c r="E627" s="5" t="e">
        <f>VLOOKUP(count[[#This Row],[hwycov_id]],check!$A$2:$P$26,16,FALSE)</f>
        <v>#N/A</v>
      </c>
    </row>
    <row r="628" spans="1:5" x14ac:dyDescent="0.25">
      <c r="A628">
        <v>31207</v>
      </c>
      <c r="B628" s="5">
        <v>113135</v>
      </c>
      <c r="C628" s="5">
        <v>26270</v>
      </c>
      <c r="D628" s="5">
        <v>21278</v>
      </c>
      <c r="E628" s="5" t="e">
        <f>VLOOKUP(count[[#This Row],[hwycov_id]],check!$A$2:$P$26,16,FALSE)</f>
        <v>#N/A</v>
      </c>
    </row>
    <row r="629" spans="1:5" x14ac:dyDescent="0.25">
      <c r="A629">
        <v>31212</v>
      </c>
      <c r="B629" s="5">
        <v>78033</v>
      </c>
      <c r="C629" s="5">
        <v>6742</v>
      </c>
      <c r="D629" s="5">
        <v>24639</v>
      </c>
      <c r="E629" s="5" t="e">
        <f>VLOOKUP(count[[#This Row],[hwycov_id]],check!$A$2:$P$26,16,FALSE)</f>
        <v>#N/A</v>
      </c>
    </row>
    <row r="630" spans="1:5" hidden="1" x14ac:dyDescent="0.25">
      <c r="A630" s="394">
        <v>20725</v>
      </c>
      <c r="B630" s="395">
        <v>78518</v>
      </c>
      <c r="C630" s="395">
        <v>10974</v>
      </c>
      <c r="D630" s="395">
        <v>20538</v>
      </c>
      <c r="E630" s="395">
        <f>VLOOKUP(count[[#This Row],[hwycov_id]],check!$A$2:$P$26,16,FALSE)</f>
        <v>2</v>
      </c>
    </row>
    <row r="631" spans="1:5" hidden="1" x14ac:dyDescent="0.25">
      <c r="A631" s="394">
        <v>29573</v>
      </c>
      <c r="B631" s="395">
        <v>11929</v>
      </c>
      <c r="C631" s="395">
        <v>2022</v>
      </c>
      <c r="D631" s="395">
        <v>2559</v>
      </c>
      <c r="E631" s="395">
        <f>VLOOKUP(count[[#This Row],[hwycov_id]],check!$A$2:$P$26,16,FALSE)</f>
        <v>2</v>
      </c>
    </row>
    <row r="632" spans="1:5" hidden="1" x14ac:dyDescent="0.25">
      <c r="A632" s="394">
        <v>29577</v>
      </c>
      <c r="B632" s="395">
        <v>9573</v>
      </c>
      <c r="C632" s="395">
        <v>1617</v>
      </c>
      <c r="D632" s="395">
        <v>2213</v>
      </c>
      <c r="E632" s="395">
        <f>VLOOKUP(count[[#This Row],[hwycov_id]],check!$A$2:$P$26,16,FALSE)</f>
        <v>2</v>
      </c>
    </row>
    <row r="633" spans="1:5" hidden="1" x14ac:dyDescent="0.25">
      <c r="A633" s="394">
        <v>29761</v>
      </c>
      <c r="B633" s="395">
        <v>46156</v>
      </c>
      <c r="C633" s="395">
        <v>7248</v>
      </c>
      <c r="D633" s="395">
        <v>10013</v>
      </c>
      <c r="E633" s="395">
        <f>VLOOKUP(count[[#This Row],[hwycov_id]],check!$A$2:$P$26,16,FALSE)</f>
        <v>2</v>
      </c>
    </row>
    <row r="634" spans="1:5" hidden="1" x14ac:dyDescent="0.25">
      <c r="A634" s="394">
        <v>748</v>
      </c>
      <c r="B634" s="395">
        <v>67534</v>
      </c>
      <c r="C634" s="395">
        <v>15897</v>
      </c>
      <c r="D634" s="395">
        <v>11272</v>
      </c>
      <c r="E634" s="395">
        <f>VLOOKUP(count[[#This Row],[hwycov_id]],check!$A$2:$P$26,16,FALSE)</f>
        <v>1</v>
      </c>
    </row>
    <row r="635" spans="1:5" hidden="1" x14ac:dyDescent="0.25">
      <c r="A635" s="394">
        <v>7636</v>
      </c>
      <c r="B635" s="395">
        <v>48692</v>
      </c>
      <c r="C635" s="395">
        <v>5962</v>
      </c>
      <c r="D635" s="395">
        <v>15453</v>
      </c>
      <c r="E635" s="395">
        <f>VLOOKUP(count[[#This Row],[hwycov_id]],check!$A$2:$P$26,16,FALSE)</f>
        <v>1</v>
      </c>
    </row>
    <row r="636" spans="1:5" hidden="1" x14ac:dyDescent="0.25">
      <c r="A636" s="394">
        <v>11100</v>
      </c>
      <c r="B636" s="395">
        <v>39243</v>
      </c>
      <c r="C636" s="395">
        <v>8349</v>
      </c>
      <c r="D636" s="395">
        <v>8072</v>
      </c>
      <c r="E636" s="395">
        <f>VLOOKUP(count[[#This Row],[hwycov_id]],check!$A$2:$P$26,16,FALSE)</f>
        <v>1</v>
      </c>
    </row>
    <row r="637" spans="1:5" hidden="1" x14ac:dyDescent="0.25">
      <c r="A637" s="394">
        <v>14515</v>
      </c>
      <c r="B637" s="395">
        <v>78498</v>
      </c>
      <c r="C637" s="395">
        <v>8970</v>
      </c>
      <c r="D637" s="395">
        <v>20521</v>
      </c>
      <c r="E637" s="395">
        <f>VLOOKUP(count[[#This Row],[hwycov_id]],check!$A$2:$P$26,16,FALSE)</f>
        <v>1</v>
      </c>
    </row>
    <row r="638" spans="1:5" hidden="1" x14ac:dyDescent="0.25">
      <c r="A638" s="394">
        <v>14647</v>
      </c>
      <c r="B638" s="395">
        <v>154335</v>
      </c>
      <c r="C638" s="395">
        <v>37128</v>
      </c>
      <c r="D638" s="395">
        <v>37856</v>
      </c>
      <c r="E638" s="395">
        <f>VLOOKUP(count[[#This Row],[hwycov_id]],check!$A$2:$P$26,16,FALSE)</f>
        <v>1</v>
      </c>
    </row>
    <row r="639" spans="1:5" hidden="1" x14ac:dyDescent="0.25">
      <c r="A639" s="394">
        <v>15187</v>
      </c>
      <c r="B639" s="395">
        <v>125504</v>
      </c>
      <c r="C639" s="395">
        <v>23658</v>
      </c>
      <c r="D639" s="395">
        <v>28973</v>
      </c>
      <c r="E639" s="395">
        <f>VLOOKUP(count[[#This Row],[hwycov_id]],check!$A$2:$P$26,16,FALSE)</f>
        <v>1</v>
      </c>
    </row>
    <row r="640" spans="1:5" hidden="1" x14ac:dyDescent="0.25">
      <c r="A640" s="394">
        <v>16167</v>
      </c>
      <c r="B640" s="395">
        <v>98172</v>
      </c>
      <c r="C640" s="395">
        <v>14136</v>
      </c>
      <c r="D640" s="395">
        <v>25921</v>
      </c>
      <c r="E640" s="395">
        <f>VLOOKUP(count[[#This Row],[hwycov_id]],check!$A$2:$P$26,16,FALSE)</f>
        <v>1</v>
      </c>
    </row>
    <row r="641" spans="1:5" hidden="1" x14ac:dyDescent="0.25">
      <c r="A641" s="394">
        <v>16564</v>
      </c>
      <c r="B641" s="395">
        <v>70899</v>
      </c>
      <c r="C641" s="395">
        <v>13257</v>
      </c>
      <c r="D641" s="395">
        <v>16037</v>
      </c>
      <c r="E641" s="395">
        <f>VLOOKUP(count[[#This Row],[hwycov_id]],check!$A$2:$P$26,16,FALSE)</f>
        <v>1</v>
      </c>
    </row>
    <row r="642" spans="1:5" hidden="1" x14ac:dyDescent="0.25">
      <c r="A642" s="394">
        <v>20600</v>
      </c>
      <c r="B642" s="395">
        <v>84230</v>
      </c>
      <c r="C642" s="395">
        <v>15360</v>
      </c>
      <c r="D642" s="395">
        <v>17666</v>
      </c>
      <c r="E642" s="395">
        <f>VLOOKUP(count[[#This Row],[hwycov_id]],check!$A$2:$P$26,16,FALSE)</f>
        <v>1</v>
      </c>
    </row>
    <row r="643" spans="1:5" hidden="1" x14ac:dyDescent="0.25">
      <c r="A643" s="394">
        <v>20706</v>
      </c>
      <c r="B643" s="395">
        <v>59326</v>
      </c>
      <c r="C643" s="395">
        <v>8235</v>
      </c>
      <c r="D643" s="395">
        <v>14205</v>
      </c>
      <c r="E643" s="395">
        <f>VLOOKUP(count[[#This Row],[hwycov_id]],check!$A$2:$P$26,16,FALSE)</f>
        <v>1</v>
      </c>
    </row>
    <row r="644" spans="1:5" hidden="1" x14ac:dyDescent="0.25">
      <c r="A644" s="394">
        <v>21822</v>
      </c>
      <c r="B644" s="395">
        <v>95103</v>
      </c>
      <c r="C644" s="395">
        <v>19071</v>
      </c>
      <c r="D644" s="395">
        <v>20546</v>
      </c>
      <c r="E644" s="395">
        <f>VLOOKUP(count[[#This Row],[hwycov_id]],check!$A$2:$P$26,16,FALSE)</f>
        <v>1</v>
      </c>
    </row>
    <row r="645" spans="1:5" hidden="1" x14ac:dyDescent="0.25">
      <c r="A645" s="394">
        <v>21850</v>
      </c>
      <c r="B645" s="395">
        <v>11201</v>
      </c>
      <c r="C645" s="395">
        <v>1815</v>
      </c>
      <c r="D645" s="395">
        <v>3126</v>
      </c>
      <c r="E645" s="395">
        <f>VLOOKUP(count[[#This Row],[hwycov_id]],check!$A$2:$P$26,16,FALSE)</f>
        <v>1</v>
      </c>
    </row>
    <row r="646" spans="1:5" hidden="1" x14ac:dyDescent="0.25">
      <c r="A646" s="394">
        <v>27155</v>
      </c>
      <c r="B646" s="395">
        <v>23144</v>
      </c>
      <c r="C646" s="395">
        <v>1317</v>
      </c>
      <c r="D646" s="395">
        <v>7807</v>
      </c>
      <c r="E646" s="395">
        <f>VLOOKUP(count[[#This Row],[hwycov_id]],check!$A$2:$P$26,16,FALSE)</f>
        <v>1</v>
      </c>
    </row>
    <row r="647" spans="1:5" hidden="1" x14ac:dyDescent="0.25">
      <c r="A647" s="394">
        <v>27165</v>
      </c>
      <c r="B647" s="395">
        <v>74931</v>
      </c>
      <c r="C647" s="395">
        <v>7524</v>
      </c>
      <c r="D647" s="395">
        <v>22453</v>
      </c>
      <c r="E647" s="395">
        <f>VLOOKUP(count[[#This Row],[hwycov_id]],check!$A$2:$P$26,16,FALSE)</f>
        <v>1</v>
      </c>
    </row>
    <row r="648" spans="1:5" hidden="1" x14ac:dyDescent="0.25">
      <c r="A648" s="394">
        <v>27791</v>
      </c>
      <c r="B648" s="395">
        <v>71305</v>
      </c>
      <c r="C648" s="395">
        <v>10164</v>
      </c>
      <c r="D648" s="395">
        <v>16732</v>
      </c>
      <c r="E648" s="395">
        <f>VLOOKUP(count[[#This Row],[hwycov_id]],check!$A$2:$P$26,16,FALSE)</f>
        <v>1</v>
      </c>
    </row>
    <row r="649" spans="1:5" hidden="1" x14ac:dyDescent="0.25">
      <c r="A649" s="394">
        <v>27887</v>
      </c>
      <c r="B649" s="395">
        <v>27766</v>
      </c>
      <c r="C649" s="395">
        <v>1644</v>
      </c>
      <c r="D649" s="395">
        <v>8991</v>
      </c>
      <c r="E649" s="395">
        <f>VLOOKUP(count[[#This Row],[hwycov_id]],check!$A$2:$P$26,16,FALSE)</f>
        <v>1</v>
      </c>
    </row>
    <row r="650" spans="1:5" hidden="1" x14ac:dyDescent="0.25">
      <c r="A650" s="394">
        <v>27928</v>
      </c>
      <c r="B650" s="395">
        <v>41046</v>
      </c>
      <c r="C650" s="395">
        <v>4392</v>
      </c>
      <c r="D650" s="395">
        <v>12167</v>
      </c>
      <c r="E650" s="395">
        <f>VLOOKUP(count[[#This Row],[hwycov_id]],check!$A$2:$P$26,16,FALSE)</f>
        <v>1</v>
      </c>
    </row>
    <row r="651" spans="1:5" hidden="1" x14ac:dyDescent="0.25">
      <c r="A651" s="394">
        <v>28453</v>
      </c>
      <c r="B651" s="395">
        <v>23802</v>
      </c>
      <c r="C651" s="395">
        <v>4072</v>
      </c>
      <c r="D651" s="395">
        <v>5940</v>
      </c>
      <c r="E651" s="395">
        <f>VLOOKUP(count[[#This Row],[hwycov_id]],check!$A$2:$P$26,16,FALSE)</f>
        <v>1</v>
      </c>
    </row>
    <row r="652" spans="1:5" hidden="1" x14ac:dyDescent="0.25">
      <c r="A652" s="394">
        <v>31192</v>
      </c>
      <c r="B652" s="395">
        <v>62205</v>
      </c>
      <c r="C652" s="395">
        <v>6300</v>
      </c>
      <c r="D652" s="395">
        <v>19089</v>
      </c>
      <c r="E652" s="395">
        <f>VLOOKUP(count[[#This Row],[hwycov_id]],check!$A$2:$P$26,16,FALSE)</f>
        <v>1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9"/>
  <sheetViews>
    <sheetView workbookViewId="0">
      <selection activeCell="F648" sqref="F648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370" t="s">
        <v>412</v>
      </c>
      <c r="B1" s="5" t="s">
        <v>413</v>
      </c>
      <c r="C1" s="5" t="s">
        <v>414</v>
      </c>
      <c r="D1" s="5" t="s">
        <v>415</v>
      </c>
      <c r="E1" s="5" t="s">
        <v>416</v>
      </c>
      <c r="F1" s="5" t="s">
        <v>277</v>
      </c>
      <c r="G1" s="371" t="s">
        <v>417</v>
      </c>
      <c r="H1" s="370" t="s">
        <v>299</v>
      </c>
      <c r="I1" s="5" t="s">
        <v>418</v>
      </c>
      <c r="J1" s="8" t="s">
        <v>42</v>
      </c>
      <c r="K1" s="7" t="s">
        <v>206</v>
      </c>
      <c r="L1" s="7" t="s">
        <v>419</v>
      </c>
      <c r="M1" s="5" t="s">
        <v>420</v>
      </c>
      <c r="N1" s="5" t="s">
        <v>278</v>
      </c>
      <c r="O1" s="5" t="s">
        <v>421</v>
      </c>
      <c r="P1" s="5" t="s">
        <v>422</v>
      </c>
    </row>
    <row r="2" spans="1:16" x14ac:dyDescent="0.25">
      <c r="A2" s="372">
        <v>748</v>
      </c>
      <c r="B2" s="373" t="s">
        <v>19</v>
      </c>
      <c r="C2" s="373" t="s">
        <v>21</v>
      </c>
      <c r="D2" s="373" t="s">
        <v>133</v>
      </c>
      <c r="E2" s="373" t="s">
        <v>423</v>
      </c>
      <c r="F2" s="373">
        <v>1</v>
      </c>
      <c r="G2" s="374">
        <v>0.40239200000000003</v>
      </c>
      <c r="H2" s="372">
        <v>67534</v>
      </c>
      <c r="I2" s="373" t="s">
        <v>424</v>
      </c>
      <c r="J2" s="375">
        <v>92709.898436999996</v>
      </c>
      <c r="K2" s="376">
        <v>0.37278849819400001</v>
      </c>
      <c r="L2" s="376">
        <v>0.37278849819400001</v>
      </c>
      <c r="M2" s="373" t="s">
        <v>425</v>
      </c>
      <c r="N2" s="373">
        <v>16</v>
      </c>
      <c r="O2" s="373" t="s">
        <v>426</v>
      </c>
      <c r="P2" s="377">
        <f t="shared" ref="P2:P21" si="0">FIND("REMOVE",O2)</f>
        <v>1</v>
      </c>
    </row>
    <row r="3" spans="1:16" x14ac:dyDescent="0.25">
      <c r="A3" s="372">
        <v>3419</v>
      </c>
      <c r="B3" s="373" t="s">
        <v>427</v>
      </c>
      <c r="C3" s="377"/>
      <c r="D3" s="377"/>
      <c r="E3" s="373" t="s">
        <v>428</v>
      </c>
      <c r="F3" s="373">
        <v>1</v>
      </c>
      <c r="G3" s="374">
        <v>0.31432300000000002</v>
      </c>
      <c r="H3" s="372">
        <v>44056</v>
      </c>
      <c r="I3" s="373" t="s">
        <v>424</v>
      </c>
      <c r="J3" s="375">
        <v>21690.309265</v>
      </c>
      <c r="K3" s="376">
        <v>-0.50766503393399998</v>
      </c>
      <c r="L3" s="376">
        <v>0.50766503393399998</v>
      </c>
      <c r="M3" s="373" t="s">
        <v>429</v>
      </c>
      <c r="N3" s="373">
        <v>30</v>
      </c>
      <c r="O3" s="373" t="s">
        <v>430</v>
      </c>
      <c r="P3" s="377">
        <f t="shared" si="0"/>
        <v>1</v>
      </c>
    </row>
    <row r="4" spans="1:16" x14ac:dyDescent="0.25">
      <c r="A4" s="372">
        <v>7636</v>
      </c>
      <c r="B4" s="373" t="s">
        <v>0</v>
      </c>
      <c r="C4" s="373" t="s">
        <v>154</v>
      </c>
      <c r="D4" s="373" t="s">
        <v>170</v>
      </c>
      <c r="E4" s="373" t="s">
        <v>431</v>
      </c>
      <c r="F4" s="373">
        <v>1</v>
      </c>
      <c r="G4" s="374">
        <v>0.17438000000000001</v>
      </c>
      <c r="H4" s="372">
        <v>48692</v>
      </c>
      <c r="I4" s="373" t="s">
        <v>432</v>
      </c>
      <c r="J4" s="375">
        <v>23761.594024000002</v>
      </c>
      <c r="K4" s="376">
        <v>-0.51200209430700006</v>
      </c>
      <c r="L4" s="376">
        <v>0.51200209430700006</v>
      </c>
      <c r="M4" s="373" t="s">
        <v>433</v>
      </c>
      <c r="N4" s="373">
        <v>0</v>
      </c>
      <c r="O4" s="373" t="s">
        <v>434</v>
      </c>
      <c r="P4" s="377">
        <f t="shared" si="0"/>
        <v>1</v>
      </c>
    </row>
    <row r="5" spans="1:16" x14ac:dyDescent="0.25">
      <c r="A5" s="372">
        <v>11100</v>
      </c>
      <c r="B5" s="373" t="s">
        <v>36</v>
      </c>
      <c r="C5" s="373" t="s">
        <v>19</v>
      </c>
      <c r="D5" s="373" t="s">
        <v>19</v>
      </c>
      <c r="E5" s="373" t="s">
        <v>435</v>
      </c>
      <c r="F5" s="373">
        <v>1</v>
      </c>
      <c r="G5" s="374">
        <v>0.67438900000000002</v>
      </c>
      <c r="H5" s="372">
        <v>39243</v>
      </c>
      <c r="I5" s="373" t="s">
        <v>424</v>
      </c>
      <c r="J5" s="375">
        <v>25262.415039</v>
      </c>
      <c r="K5" s="376">
        <v>-0.356256783656</v>
      </c>
      <c r="L5" s="376">
        <v>0.356256783656</v>
      </c>
      <c r="M5" s="373" t="s">
        <v>436</v>
      </c>
      <c r="N5" s="373">
        <v>4</v>
      </c>
      <c r="O5" s="373" t="s">
        <v>437</v>
      </c>
      <c r="P5" s="377">
        <f t="shared" si="0"/>
        <v>1</v>
      </c>
    </row>
    <row r="6" spans="1:16" x14ac:dyDescent="0.25">
      <c r="A6" s="372">
        <v>14515</v>
      </c>
      <c r="B6" s="373" t="s">
        <v>5</v>
      </c>
      <c r="C6" s="373" t="s">
        <v>67</v>
      </c>
      <c r="D6" s="373" t="s">
        <v>187</v>
      </c>
      <c r="E6" s="373" t="s">
        <v>438</v>
      </c>
      <c r="F6" s="373">
        <v>1</v>
      </c>
      <c r="G6" s="374">
        <v>0.165854</v>
      </c>
      <c r="H6" s="372">
        <v>78498</v>
      </c>
      <c r="I6" s="373" t="s">
        <v>424</v>
      </c>
      <c r="J6" s="375">
        <v>114411.86279299999</v>
      </c>
      <c r="K6" s="376">
        <v>0.45751309323799999</v>
      </c>
      <c r="L6" s="376">
        <v>0.45751309323799999</v>
      </c>
      <c r="M6" s="373" t="s">
        <v>439</v>
      </c>
      <c r="N6" s="373">
        <v>6</v>
      </c>
      <c r="O6" s="373" t="s">
        <v>440</v>
      </c>
      <c r="P6" s="377">
        <f t="shared" si="0"/>
        <v>1</v>
      </c>
    </row>
    <row r="7" spans="1:16" x14ac:dyDescent="0.25">
      <c r="A7" s="372">
        <v>14647</v>
      </c>
      <c r="B7" s="373" t="s">
        <v>168</v>
      </c>
      <c r="C7" s="373" t="s">
        <v>1</v>
      </c>
      <c r="D7" s="373" t="s">
        <v>31</v>
      </c>
      <c r="E7" s="373" t="s">
        <v>441</v>
      </c>
      <c r="F7" s="373">
        <v>1</v>
      </c>
      <c r="G7" s="374">
        <v>0.52996200000000004</v>
      </c>
      <c r="H7" s="372">
        <v>154335</v>
      </c>
      <c r="I7" s="373" t="s">
        <v>442</v>
      </c>
      <c r="J7" s="375">
        <v>105915.541992</v>
      </c>
      <c r="K7" s="376">
        <v>-0.31372960124400001</v>
      </c>
      <c r="L7" s="376">
        <v>0.31372960124400001</v>
      </c>
      <c r="M7" s="373" t="s">
        <v>443</v>
      </c>
      <c r="N7" s="373">
        <v>20</v>
      </c>
      <c r="O7" s="373" t="s">
        <v>444</v>
      </c>
      <c r="P7" s="377">
        <f t="shared" si="0"/>
        <v>1</v>
      </c>
    </row>
    <row r="8" spans="1:16" x14ac:dyDescent="0.25">
      <c r="A8" s="372">
        <v>15187</v>
      </c>
      <c r="B8" s="373" t="s">
        <v>168</v>
      </c>
      <c r="C8" s="373" t="s">
        <v>35</v>
      </c>
      <c r="D8" s="373" t="s">
        <v>11</v>
      </c>
      <c r="E8" s="373" t="s">
        <v>441</v>
      </c>
      <c r="F8" s="373">
        <v>1</v>
      </c>
      <c r="G8" s="374">
        <v>0.71371399999999996</v>
      </c>
      <c r="H8" s="372">
        <v>125504</v>
      </c>
      <c r="I8" s="373" t="s">
        <v>442</v>
      </c>
      <c r="J8" s="375">
        <v>81239.765625999993</v>
      </c>
      <c r="K8" s="376">
        <v>-0.35269182156700002</v>
      </c>
      <c r="L8" s="376">
        <v>0.35269182156700002</v>
      </c>
      <c r="M8" s="373" t="s">
        <v>445</v>
      </c>
      <c r="N8" s="373">
        <v>12</v>
      </c>
      <c r="O8" s="373" t="s">
        <v>446</v>
      </c>
      <c r="P8" s="377">
        <f t="shared" si="0"/>
        <v>1</v>
      </c>
    </row>
    <row r="9" spans="1:16" x14ac:dyDescent="0.25">
      <c r="A9" s="372">
        <v>16167</v>
      </c>
      <c r="B9" s="373" t="s">
        <v>168</v>
      </c>
      <c r="C9" s="373" t="s">
        <v>11</v>
      </c>
      <c r="D9" s="373" t="s">
        <v>12</v>
      </c>
      <c r="E9" s="373" t="s">
        <v>441</v>
      </c>
      <c r="F9" s="373">
        <v>1</v>
      </c>
      <c r="G9" s="374">
        <v>0.32053199999999998</v>
      </c>
      <c r="H9" s="372">
        <v>98172</v>
      </c>
      <c r="I9" s="373" t="s">
        <v>442</v>
      </c>
      <c r="J9" s="375">
        <v>140275.46630900001</v>
      </c>
      <c r="K9" s="376">
        <v>0.42887448874400003</v>
      </c>
      <c r="L9" s="376">
        <v>0.42887448874400003</v>
      </c>
      <c r="M9" s="373" t="s">
        <v>447</v>
      </c>
      <c r="N9" s="373">
        <v>12</v>
      </c>
      <c r="O9" s="373" t="s">
        <v>444</v>
      </c>
      <c r="P9" s="377">
        <f t="shared" si="0"/>
        <v>1</v>
      </c>
    </row>
    <row r="10" spans="1:16" x14ac:dyDescent="0.25">
      <c r="A10" s="372">
        <v>16564</v>
      </c>
      <c r="B10" s="373" t="s">
        <v>9</v>
      </c>
      <c r="C10" s="373" t="s">
        <v>156</v>
      </c>
      <c r="D10" s="373" t="s">
        <v>156</v>
      </c>
      <c r="E10" s="373" t="s">
        <v>448</v>
      </c>
      <c r="F10" s="373">
        <v>1</v>
      </c>
      <c r="G10" s="374">
        <v>0.52047200000000005</v>
      </c>
      <c r="H10" s="372">
        <v>70899</v>
      </c>
      <c r="I10" s="373" t="s">
        <v>432</v>
      </c>
      <c r="J10" s="375">
        <v>49068.432130000001</v>
      </c>
      <c r="K10" s="376">
        <v>-0.30791080085799999</v>
      </c>
      <c r="L10" s="376">
        <v>0.30791080085799999</v>
      </c>
      <c r="M10" s="373" t="s">
        <v>449</v>
      </c>
      <c r="N10" s="373">
        <v>4</v>
      </c>
      <c r="O10" s="373" t="s">
        <v>450</v>
      </c>
      <c r="P10" s="377">
        <f t="shared" si="0"/>
        <v>1</v>
      </c>
    </row>
    <row r="11" spans="1:16" x14ac:dyDescent="0.25">
      <c r="A11" s="372">
        <v>20600</v>
      </c>
      <c r="B11" s="373" t="s">
        <v>39</v>
      </c>
      <c r="C11" s="373" t="s">
        <v>5</v>
      </c>
      <c r="D11" s="373" t="s">
        <v>82</v>
      </c>
      <c r="E11" s="373" t="s">
        <v>428</v>
      </c>
      <c r="F11" s="373">
        <v>1</v>
      </c>
      <c r="G11" s="374">
        <v>0.41339300000000001</v>
      </c>
      <c r="H11" s="372">
        <v>84230</v>
      </c>
      <c r="I11" s="373" t="s">
        <v>424</v>
      </c>
      <c r="J11" s="375">
        <v>58708.962646</v>
      </c>
      <c r="K11" s="376">
        <v>-0.30299225162100002</v>
      </c>
      <c r="L11" s="376">
        <v>0.30299225162100002</v>
      </c>
      <c r="M11" s="373" t="s">
        <v>451</v>
      </c>
      <c r="N11" s="373">
        <v>19</v>
      </c>
      <c r="O11" s="373" t="s">
        <v>452</v>
      </c>
      <c r="P11" s="377">
        <f t="shared" si="0"/>
        <v>1</v>
      </c>
    </row>
    <row r="12" spans="1:16" x14ac:dyDescent="0.25">
      <c r="A12" s="372">
        <v>20706</v>
      </c>
      <c r="B12" s="373" t="s">
        <v>49</v>
      </c>
      <c r="C12" s="373" t="s">
        <v>74</v>
      </c>
      <c r="D12" s="373" t="s">
        <v>73</v>
      </c>
      <c r="E12" s="373" t="s">
        <v>428</v>
      </c>
      <c r="F12" s="373">
        <v>1</v>
      </c>
      <c r="G12" s="374">
        <v>0.27687400000000001</v>
      </c>
      <c r="H12" s="372">
        <v>59326</v>
      </c>
      <c r="I12" s="373" t="s">
        <v>424</v>
      </c>
      <c r="J12" s="375">
        <v>80420.864501999997</v>
      </c>
      <c r="K12" s="376">
        <v>0.355575371709</v>
      </c>
      <c r="L12" s="376">
        <v>0.355575371709</v>
      </c>
      <c r="M12" s="373" t="s">
        <v>453</v>
      </c>
      <c r="N12" s="373">
        <v>15</v>
      </c>
      <c r="O12" s="373" t="s">
        <v>426</v>
      </c>
      <c r="P12" s="377">
        <f t="shared" si="0"/>
        <v>1</v>
      </c>
    </row>
    <row r="13" spans="1:16" x14ac:dyDescent="0.25">
      <c r="A13" s="372">
        <v>21822</v>
      </c>
      <c r="B13" s="373" t="s">
        <v>11</v>
      </c>
      <c r="C13" s="373" t="s">
        <v>38</v>
      </c>
      <c r="D13" s="373" t="s">
        <v>22</v>
      </c>
      <c r="E13" s="373" t="s">
        <v>454</v>
      </c>
      <c r="F13" s="373">
        <v>1</v>
      </c>
      <c r="G13" s="374">
        <v>0.13639899999999999</v>
      </c>
      <c r="H13" s="372">
        <v>95103</v>
      </c>
      <c r="I13" s="373" t="s">
        <v>424</v>
      </c>
      <c r="J13" s="375">
        <v>51845.793212999997</v>
      </c>
      <c r="K13" s="376">
        <v>-0.45484587013</v>
      </c>
      <c r="L13" s="376">
        <v>0.45484587013</v>
      </c>
      <c r="M13" s="373" t="s">
        <v>455</v>
      </c>
      <c r="N13" s="373">
        <v>4</v>
      </c>
      <c r="O13" s="373" t="s">
        <v>456</v>
      </c>
      <c r="P13" s="377">
        <f t="shared" si="0"/>
        <v>1</v>
      </c>
    </row>
    <row r="14" spans="1:16" x14ac:dyDescent="0.25">
      <c r="A14" s="372">
        <v>21850</v>
      </c>
      <c r="B14" s="373" t="s">
        <v>47</v>
      </c>
      <c r="C14" s="373" t="s">
        <v>39</v>
      </c>
      <c r="D14" s="373" t="s">
        <v>332</v>
      </c>
      <c r="E14" s="373" t="s">
        <v>454</v>
      </c>
      <c r="F14" s="373">
        <v>1</v>
      </c>
      <c r="G14" s="374">
        <v>0.65900199999999998</v>
      </c>
      <c r="H14" s="372">
        <v>11201</v>
      </c>
      <c r="I14" s="373" t="s">
        <v>432</v>
      </c>
      <c r="J14" s="375">
        <v>16116.429382</v>
      </c>
      <c r="K14" s="376">
        <v>0.43883844138900002</v>
      </c>
      <c r="L14" s="376">
        <v>0.43883844138900002</v>
      </c>
      <c r="M14" s="373" t="s">
        <v>457</v>
      </c>
      <c r="N14" s="373">
        <v>1</v>
      </c>
      <c r="O14" s="373" t="s">
        <v>458</v>
      </c>
      <c r="P14" s="377">
        <f t="shared" si="0"/>
        <v>1</v>
      </c>
    </row>
    <row r="15" spans="1:16" x14ac:dyDescent="0.25">
      <c r="A15" s="372">
        <v>27155</v>
      </c>
      <c r="B15" s="373" t="s">
        <v>49</v>
      </c>
      <c r="C15" s="373" t="s">
        <v>51</v>
      </c>
      <c r="D15" s="373" t="s">
        <v>408</v>
      </c>
      <c r="E15" s="373" t="s">
        <v>428</v>
      </c>
      <c r="F15" s="373">
        <v>1</v>
      </c>
      <c r="G15" s="374">
        <v>0.37691599999999997</v>
      </c>
      <c r="H15" s="372">
        <v>23144</v>
      </c>
      <c r="I15" s="373" t="s">
        <v>432</v>
      </c>
      <c r="J15" s="375">
        <v>13690.610611</v>
      </c>
      <c r="K15" s="376">
        <v>-0.40845961756799998</v>
      </c>
      <c r="L15" s="376">
        <v>0.40845961756799998</v>
      </c>
      <c r="M15" s="373" t="s">
        <v>459</v>
      </c>
      <c r="N15" s="373">
        <v>1</v>
      </c>
      <c r="O15" s="373" t="s">
        <v>460</v>
      </c>
      <c r="P15" s="377">
        <f t="shared" si="0"/>
        <v>1</v>
      </c>
    </row>
    <row r="16" spans="1:16" x14ac:dyDescent="0.25">
      <c r="A16" s="372">
        <v>27165</v>
      </c>
      <c r="B16" s="373" t="s">
        <v>168</v>
      </c>
      <c r="C16" s="373" t="s">
        <v>40</v>
      </c>
      <c r="D16" s="373" t="s">
        <v>40</v>
      </c>
      <c r="E16" s="373" t="s">
        <v>441</v>
      </c>
      <c r="F16" s="373">
        <v>1</v>
      </c>
      <c r="G16" s="374">
        <v>0.70303199999999999</v>
      </c>
      <c r="H16" s="372">
        <v>74931</v>
      </c>
      <c r="I16" s="373" t="s">
        <v>432</v>
      </c>
      <c r="J16" s="375">
        <v>50829.237304000002</v>
      </c>
      <c r="K16" s="376">
        <v>-0.32165275648300001</v>
      </c>
      <c r="L16" s="376">
        <v>0.32165275648300001</v>
      </c>
      <c r="M16" s="373" t="s">
        <v>461</v>
      </c>
      <c r="N16" s="373">
        <v>33</v>
      </c>
      <c r="O16" s="373" t="s">
        <v>462</v>
      </c>
      <c r="P16" s="377">
        <f t="shared" si="0"/>
        <v>1</v>
      </c>
    </row>
    <row r="17" spans="1:16" x14ac:dyDescent="0.25">
      <c r="A17" s="372">
        <v>27791</v>
      </c>
      <c r="B17" s="373" t="s">
        <v>49</v>
      </c>
      <c r="C17" s="373" t="s">
        <v>27</v>
      </c>
      <c r="D17" s="373" t="s">
        <v>119</v>
      </c>
      <c r="E17" s="373" t="s">
        <v>428</v>
      </c>
      <c r="F17" s="373">
        <v>1</v>
      </c>
      <c r="G17" s="374">
        <v>0.120786</v>
      </c>
      <c r="H17" s="372">
        <v>71305</v>
      </c>
      <c r="I17" s="373" t="s">
        <v>424</v>
      </c>
      <c r="J17" s="375">
        <v>94318.149414</v>
      </c>
      <c r="K17" s="376">
        <v>0.32274243621100002</v>
      </c>
      <c r="L17" s="376">
        <v>0.32274243621100002</v>
      </c>
      <c r="M17" s="373" t="s">
        <v>463</v>
      </c>
      <c r="N17" s="373">
        <v>14</v>
      </c>
      <c r="O17" s="373" t="s">
        <v>426</v>
      </c>
      <c r="P17" s="377">
        <f t="shared" si="0"/>
        <v>1</v>
      </c>
    </row>
    <row r="18" spans="1:16" x14ac:dyDescent="0.25">
      <c r="A18" s="372">
        <v>27887</v>
      </c>
      <c r="B18" s="373" t="s">
        <v>49</v>
      </c>
      <c r="C18" s="373" t="s">
        <v>123</v>
      </c>
      <c r="D18" s="373" t="s">
        <v>123</v>
      </c>
      <c r="E18" s="373" t="s">
        <v>428</v>
      </c>
      <c r="F18" s="373">
        <v>1</v>
      </c>
      <c r="G18" s="374">
        <v>0.43827500000000003</v>
      </c>
      <c r="H18" s="372">
        <v>27766</v>
      </c>
      <c r="I18" s="373" t="s">
        <v>424</v>
      </c>
      <c r="J18" s="375">
        <v>19115.987303999998</v>
      </c>
      <c r="K18" s="376">
        <v>-0.31153254685600001</v>
      </c>
      <c r="L18" s="376">
        <v>0.31153254685600001</v>
      </c>
      <c r="M18" s="373" t="s">
        <v>464</v>
      </c>
      <c r="N18" s="373">
        <v>2</v>
      </c>
      <c r="O18" s="373" t="s">
        <v>465</v>
      </c>
      <c r="P18" s="377">
        <f t="shared" si="0"/>
        <v>1</v>
      </c>
    </row>
    <row r="19" spans="1:16" x14ac:dyDescent="0.25">
      <c r="A19" s="372">
        <v>27928</v>
      </c>
      <c r="B19" s="373" t="s">
        <v>49</v>
      </c>
      <c r="C19" s="373" t="s">
        <v>121</v>
      </c>
      <c r="D19" s="373" t="s">
        <v>121</v>
      </c>
      <c r="E19" s="373" t="s">
        <v>428</v>
      </c>
      <c r="F19" s="373">
        <v>1</v>
      </c>
      <c r="G19" s="374">
        <v>0.35037800000000002</v>
      </c>
      <c r="H19" s="372">
        <v>41046</v>
      </c>
      <c r="I19" s="373" t="s">
        <v>424</v>
      </c>
      <c r="J19" s="375">
        <v>66362.493042000002</v>
      </c>
      <c r="K19" s="376">
        <v>0.61678343911699995</v>
      </c>
      <c r="L19" s="376">
        <v>0.61678343911699995</v>
      </c>
      <c r="M19" s="373" t="s">
        <v>466</v>
      </c>
      <c r="N19" s="373">
        <v>6</v>
      </c>
      <c r="O19" s="373" t="s">
        <v>426</v>
      </c>
      <c r="P19" s="377">
        <f t="shared" si="0"/>
        <v>1</v>
      </c>
    </row>
    <row r="20" spans="1:16" x14ac:dyDescent="0.25">
      <c r="A20" s="372">
        <v>28453</v>
      </c>
      <c r="B20" s="373" t="s">
        <v>38</v>
      </c>
      <c r="C20" s="373" t="s">
        <v>350</v>
      </c>
      <c r="D20" s="373" t="s">
        <v>351</v>
      </c>
      <c r="E20" s="373" t="s">
        <v>438</v>
      </c>
      <c r="F20" s="373">
        <v>1</v>
      </c>
      <c r="G20" s="374">
        <v>1.1466590000000001</v>
      </c>
      <c r="H20" s="372">
        <v>23802</v>
      </c>
      <c r="I20" s="373" t="s">
        <v>432</v>
      </c>
      <c r="J20" s="375">
        <v>35625.268737999999</v>
      </c>
      <c r="K20" s="376">
        <v>0.49673425502099999</v>
      </c>
      <c r="L20" s="376">
        <v>0.49673425502099999</v>
      </c>
      <c r="M20" s="373" t="s">
        <v>467</v>
      </c>
      <c r="N20" s="373">
        <v>1</v>
      </c>
      <c r="O20" s="373" t="s">
        <v>468</v>
      </c>
      <c r="P20" s="377">
        <f t="shared" si="0"/>
        <v>1</v>
      </c>
    </row>
    <row r="21" spans="1:16" x14ac:dyDescent="0.25">
      <c r="A21" s="372">
        <v>31192</v>
      </c>
      <c r="B21" s="373" t="s">
        <v>168</v>
      </c>
      <c r="C21" s="373" t="s">
        <v>9</v>
      </c>
      <c r="D21" s="373" t="s">
        <v>10</v>
      </c>
      <c r="E21" s="373" t="s">
        <v>441</v>
      </c>
      <c r="F21" s="373">
        <v>1</v>
      </c>
      <c r="G21" s="374">
        <v>0.22740199999999999</v>
      </c>
      <c r="H21" s="372">
        <v>62205</v>
      </c>
      <c r="I21" s="373" t="s">
        <v>442</v>
      </c>
      <c r="J21" s="375">
        <v>37015.274659000002</v>
      </c>
      <c r="K21" s="376">
        <v>-0.40494695508400003</v>
      </c>
      <c r="L21" s="376">
        <v>0.40494695508400003</v>
      </c>
      <c r="M21" s="373" t="s">
        <v>469</v>
      </c>
      <c r="N21" s="373">
        <v>31</v>
      </c>
      <c r="O21" s="373" t="s">
        <v>444</v>
      </c>
      <c r="P21" s="377">
        <f t="shared" si="0"/>
        <v>1</v>
      </c>
    </row>
    <row r="22" spans="1:16" x14ac:dyDescent="0.25">
      <c r="A22" s="378">
        <v>29761</v>
      </c>
      <c r="B22" s="378" t="s">
        <v>19</v>
      </c>
      <c r="C22" s="378" t="s">
        <v>53</v>
      </c>
      <c r="D22" s="378" t="s">
        <v>54</v>
      </c>
      <c r="E22" s="378" t="s">
        <v>423</v>
      </c>
      <c r="F22" s="378">
        <v>1</v>
      </c>
      <c r="G22" s="379">
        <v>0.17888399999999999</v>
      </c>
      <c r="H22" s="378">
        <v>46156</v>
      </c>
      <c r="I22" s="378" t="s">
        <v>424</v>
      </c>
      <c r="J22" s="380">
        <v>29421.561157</v>
      </c>
      <c r="K22" s="381">
        <v>-0.36256258867800001</v>
      </c>
      <c r="L22" s="381">
        <v>0.36256258867800001</v>
      </c>
      <c r="M22" s="378" t="s">
        <v>470</v>
      </c>
      <c r="N22" s="378">
        <v>2</v>
      </c>
      <c r="O22" s="378" t="s">
        <v>471</v>
      </c>
      <c r="P22" s="382">
        <v>2</v>
      </c>
    </row>
    <row r="23" spans="1:16" x14ac:dyDescent="0.25">
      <c r="A23" s="378">
        <v>20725</v>
      </c>
      <c r="B23" s="378" t="s">
        <v>5</v>
      </c>
      <c r="C23" s="378" t="s">
        <v>181</v>
      </c>
      <c r="D23" s="378" t="s">
        <v>179</v>
      </c>
      <c r="E23" s="378" t="s">
        <v>438</v>
      </c>
      <c r="F23" s="378">
        <v>1</v>
      </c>
      <c r="G23" s="379">
        <v>0.11776200000000001</v>
      </c>
      <c r="H23" s="378">
        <v>78518</v>
      </c>
      <c r="I23" s="378" t="s">
        <v>424</v>
      </c>
      <c r="J23" s="380">
        <v>45754.065673999998</v>
      </c>
      <c r="K23" s="381">
        <v>-0.41727927769399997</v>
      </c>
      <c r="L23" s="381">
        <v>0.41727927769399997</v>
      </c>
      <c r="M23" s="378" t="s">
        <v>472</v>
      </c>
      <c r="N23" s="378">
        <v>15</v>
      </c>
      <c r="O23" s="378" t="s">
        <v>473</v>
      </c>
      <c r="P23" s="382">
        <v>2</v>
      </c>
    </row>
    <row r="24" spans="1:16" x14ac:dyDescent="0.25">
      <c r="A24" s="383">
        <v>29573</v>
      </c>
      <c r="B24" s="384" t="s">
        <v>474</v>
      </c>
      <c r="C24" s="384" t="s">
        <v>90</v>
      </c>
      <c r="D24" s="384" t="s">
        <v>90</v>
      </c>
      <c r="E24" s="384" t="s">
        <v>428</v>
      </c>
      <c r="F24" s="384">
        <v>1</v>
      </c>
      <c r="G24" s="385">
        <v>0.60030899999999998</v>
      </c>
      <c r="H24" s="383">
        <v>11929</v>
      </c>
      <c r="I24" s="384" t="s">
        <v>424</v>
      </c>
      <c r="J24" s="386">
        <v>23544.226073999998</v>
      </c>
      <c r="K24" s="387">
        <v>0.97369654405200001</v>
      </c>
      <c r="L24" s="387">
        <v>0.97369654405200001</v>
      </c>
      <c r="M24" s="384" t="s">
        <v>475</v>
      </c>
      <c r="N24" s="384">
        <v>33</v>
      </c>
      <c r="O24" s="384" t="s">
        <v>476</v>
      </c>
      <c r="P24" s="388">
        <v>2</v>
      </c>
    </row>
    <row r="25" spans="1:16" x14ac:dyDescent="0.25">
      <c r="A25" s="383">
        <v>29577</v>
      </c>
      <c r="B25" s="384" t="s">
        <v>474</v>
      </c>
      <c r="C25" s="384" t="s">
        <v>92</v>
      </c>
      <c r="D25" s="384" t="s">
        <v>92</v>
      </c>
      <c r="E25" s="384" t="s">
        <v>428</v>
      </c>
      <c r="F25" s="384">
        <v>1</v>
      </c>
      <c r="G25" s="385">
        <v>0.62116199999999999</v>
      </c>
      <c r="H25" s="383">
        <v>9573</v>
      </c>
      <c r="I25" s="384" t="s">
        <v>424</v>
      </c>
      <c r="J25" s="386">
        <v>23544.226073999998</v>
      </c>
      <c r="K25" s="387">
        <v>1.45944072642</v>
      </c>
      <c r="L25" s="387">
        <v>1.45944072642</v>
      </c>
      <c r="M25" s="384" t="s">
        <v>477</v>
      </c>
      <c r="N25" s="384">
        <v>34</v>
      </c>
      <c r="O25" s="384" t="s">
        <v>478</v>
      </c>
      <c r="P25" s="388">
        <v>2</v>
      </c>
    </row>
    <row r="26" spans="1:16" x14ac:dyDescent="0.25">
      <c r="A26" s="383">
        <v>28779</v>
      </c>
      <c r="B26" s="384" t="s">
        <v>479</v>
      </c>
      <c r="C26" s="347"/>
      <c r="D26" s="347"/>
      <c r="E26" s="384" t="s">
        <v>428</v>
      </c>
      <c r="F26" s="384">
        <v>1</v>
      </c>
      <c r="G26" s="385">
        <v>3.1115E-2</v>
      </c>
      <c r="H26" s="383">
        <v>23122</v>
      </c>
      <c r="I26" s="384" t="s">
        <v>424</v>
      </c>
      <c r="J26" s="386">
        <v>7020.7220610000004</v>
      </c>
      <c r="K26" s="387">
        <v>-0.69636181727400004</v>
      </c>
      <c r="L26" s="387">
        <v>0.69636181727400004</v>
      </c>
      <c r="M26" s="384" t="s">
        <v>480</v>
      </c>
      <c r="N26" s="384">
        <v>32</v>
      </c>
      <c r="O26" s="384" t="s">
        <v>481</v>
      </c>
      <c r="P26" s="388">
        <v>2</v>
      </c>
    </row>
    <row r="27" spans="1:16" s="393" customFormat="1" x14ac:dyDescent="0.25">
      <c r="A27" s="389">
        <v>27855</v>
      </c>
      <c r="B27" s="389" t="s">
        <v>53</v>
      </c>
      <c r="C27" s="389" t="s">
        <v>49</v>
      </c>
      <c r="D27" s="389" t="s">
        <v>380</v>
      </c>
      <c r="E27" s="389" t="s">
        <v>482</v>
      </c>
      <c r="F27" s="389">
        <v>1</v>
      </c>
      <c r="G27" s="390">
        <v>0.116105</v>
      </c>
      <c r="H27" s="389">
        <v>29656</v>
      </c>
      <c r="I27" s="389" t="s">
        <v>432</v>
      </c>
      <c r="J27" s="391">
        <v>19803.072387</v>
      </c>
      <c r="K27" s="392">
        <v>-0.33224061279299999</v>
      </c>
      <c r="L27" s="392">
        <v>0.33224061279299999</v>
      </c>
      <c r="M27" s="389" t="s">
        <v>483</v>
      </c>
      <c r="N27" s="389">
        <v>3</v>
      </c>
      <c r="O27" s="389" t="s">
        <v>484</v>
      </c>
      <c r="P27" s="393" t="e">
        <f t="shared" ref="P27:P39" si="1">FIND("REMOVE",O27)</f>
        <v>#VALUE!</v>
      </c>
    </row>
    <row r="28" spans="1:16" s="393" customFormat="1" x14ac:dyDescent="0.25">
      <c r="A28" s="389">
        <v>27856</v>
      </c>
      <c r="B28" s="389" t="s">
        <v>54</v>
      </c>
      <c r="C28" s="389" t="s">
        <v>380</v>
      </c>
      <c r="D28" s="389" t="s">
        <v>39</v>
      </c>
      <c r="E28" s="389" t="s">
        <v>482</v>
      </c>
      <c r="F28" s="389">
        <v>1</v>
      </c>
      <c r="G28" s="390">
        <v>0.19090399999999999</v>
      </c>
      <c r="H28" s="389">
        <v>32272</v>
      </c>
      <c r="I28" s="389" t="s">
        <v>432</v>
      </c>
      <c r="J28" s="391">
        <v>20474.519165000002</v>
      </c>
      <c r="K28" s="392">
        <v>-0.36556398224499997</v>
      </c>
      <c r="L28" s="392">
        <v>0.36556398224499997</v>
      </c>
      <c r="M28" s="389" t="s">
        <v>485</v>
      </c>
      <c r="N28" s="389">
        <v>3</v>
      </c>
      <c r="O28" s="389" t="s">
        <v>484</v>
      </c>
      <c r="P28" s="393" t="e">
        <f t="shared" si="1"/>
        <v>#VALUE!</v>
      </c>
    </row>
    <row r="29" spans="1:16" s="393" customFormat="1" x14ac:dyDescent="0.25">
      <c r="A29" s="389">
        <v>29415</v>
      </c>
      <c r="B29" s="389" t="s">
        <v>44</v>
      </c>
      <c r="C29" s="389" t="s">
        <v>46</v>
      </c>
      <c r="D29" s="389" t="s">
        <v>12</v>
      </c>
      <c r="E29" s="389" t="s">
        <v>441</v>
      </c>
      <c r="F29" s="389">
        <v>1</v>
      </c>
      <c r="G29" s="390">
        <v>1.544343</v>
      </c>
      <c r="H29" s="389">
        <v>59498</v>
      </c>
      <c r="I29" s="389" t="s">
        <v>442</v>
      </c>
      <c r="J29" s="391">
        <v>37624.396240000002</v>
      </c>
      <c r="K29" s="392">
        <v>-0.36763595011599998</v>
      </c>
      <c r="L29" s="392">
        <v>0.36763595011599998</v>
      </c>
      <c r="M29" s="389" t="s">
        <v>486</v>
      </c>
      <c r="N29" s="389">
        <v>11</v>
      </c>
      <c r="O29" s="389" t="s">
        <v>487</v>
      </c>
      <c r="P29" s="393" t="e">
        <f t="shared" si="1"/>
        <v>#VALUE!</v>
      </c>
    </row>
    <row r="30" spans="1:16" s="393" customFormat="1" x14ac:dyDescent="0.25">
      <c r="A30" s="389">
        <v>702</v>
      </c>
      <c r="B30" s="389" t="s">
        <v>19</v>
      </c>
      <c r="C30" s="389" t="s">
        <v>58</v>
      </c>
      <c r="D30" s="389" t="s">
        <v>126</v>
      </c>
      <c r="E30" s="389" t="s">
        <v>423</v>
      </c>
      <c r="F30" s="389">
        <v>1</v>
      </c>
      <c r="G30" s="390">
        <v>0.50182599999999999</v>
      </c>
      <c r="H30" s="389">
        <v>87410</v>
      </c>
      <c r="I30" s="389" t="s">
        <v>432</v>
      </c>
      <c r="J30" s="391">
        <v>57585.091064</v>
      </c>
      <c r="K30" s="392">
        <v>-0.34120705795700002</v>
      </c>
      <c r="L30" s="392">
        <v>0.34120705795700002</v>
      </c>
      <c r="M30" s="389" t="s">
        <v>488</v>
      </c>
      <c r="N30" s="389">
        <v>6</v>
      </c>
      <c r="O30" s="389" t="s">
        <v>489</v>
      </c>
      <c r="P30" s="393" t="e">
        <f t="shared" si="1"/>
        <v>#VALUE!</v>
      </c>
    </row>
    <row r="31" spans="1:16" s="393" customFormat="1" x14ac:dyDescent="0.25">
      <c r="A31" s="389">
        <v>843</v>
      </c>
      <c r="B31" s="389" t="s">
        <v>48</v>
      </c>
      <c r="C31" s="389" t="s">
        <v>126</v>
      </c>
      <c r="D31" s="389" t="s">
        <v>58</v>
      </c>
      <c r="E31" s="389" t="s">
        <v>423</v>
      </c>
      <c r="F31" s="389">
        <v>1</v>
      </c>
      <c r="G31" s="390">
        <v>0.54157299999999997</v>
      </c>
      <c r="H31" s="389">
        <v>85672</v>
      </c>
      <c r="I31" s="389" t="s">
        <v>432</v>
      </c>
      <c r="J31" s="391">
        <v>59851.847654999998</v>
      </c>
      <c r="K31" s="392">
        <v>-0.30138379336299997</v>
      </c>
      <c r="L31" s="392">
        <v>0.30138379336299997</v>
      </c>
      <c r="M31" s="389" t="s">
        <v>490</v>
      </c>
      <c r="N31" s="389">
        <v>5</v>
      </c>
      <c r="O31" s="389" t="s">
        <v>489</v>
      </c>
      <c r="P31" s="393" t="e">
        <f t="shared" si="1"/>
        <v>#VALUE!</v>
      </c>
    </row>
    <row r="32" spans="1:16" x14ac:dyDescent="0.25">
      <c r="A32" s="370">
        <v>1768</v>
      </c>
      <c r="B32" s="5" t="s">
        <v>479</v>
      </c>
      <c r="E32" s="5" t="s">
        <v>428</v>
      </c>
      <c r="F32" s="5">
        <v>0</v>
      </c>
      <c r="G32" s="371">
        <v>0</v>
      </c>
      <c r="H32" s="370">
        <v>0</v>
      </c>
      <c r="J32" s="8">
        <v>7020.7220610000004</v>
      </c>
      <c r="K32" s="7">
        <v>0</v>
      </c>
      <c r="L32" s="7">
        <v>0</v>
      </c>
      <c r="M32" s="5" t="s">
        <v>491</v>
      </c>
      <c r="N32" s="5">
        <v>32</v>
      </c>
      <c r="O32" s="5" t="s">
        <v>492</v>
      </c>
      <c r="P32" t="e">
        <f t="shared" si="1"/>
        <v>#VALUE!</v>
      </c>
    </row>
    <row r="33" spans="1:16" x14ac:dyDescent="0.25">
      <c r="A33" s="370">
        <v>14949</v>
      </c>
      <c r="B33" s="5" t="s">
        <v>5</v>
      </c>
      <c r="C33" s="5" t="s">
        <v>181</v>
      </c>
      <c r="D33" s="5" t="s">
        <v>179</v>
      </c>
      <c r="E33" s="5" t="s">
        <v>438</v>
      </c>
      <c r="F33" s="5">
        <v>0</v>
      </c>
      <c r="G33" s="371">
        <v>0</v>
      </c>
      <c r="H33" s="370">
        <v>0</v>
      </c>
      <c r="J33" s="8">
        <v>67781.813232999993</v>
      </c>
      <c r="K33" s="7">
        <v>0</v>
      </c>
      <c r="L33" s="7">
        <v>0</v>
      </c>
      <c r="M33" s="5" t="s">
        <v>493</v>
      </c>
      <c r="N33" s="5">
        <v>15</v>
      </c>
      <c r="O33" s="5" t="s">
        <v>492</v>
      </c>
      <c r="P33" t="e">
        <f t="shared" si="1"/>
        <v>#VALUE!</v>
      </c>
    </row>
    <row r="34" spans="1:16" x14ac:dyDescent="0.25">
      <c r="A34" s="370">
        <v>524</v>
      </c>
      <c r="B34" s="5" t="s">
        <v>44</v>
      </c>
      <c r="C34" s="5" t="s">
        <v>31</v>
      </c>
      <c r="D34" s="5" t="s">
        <v>0</v>
      </c>
      <c r="E34" s="5" t="s">
        <v>441</v>
      </c>
      <c r="F34" s="5">
        <v>0</v>
      </c>
      <c r="G34" s="371">
        <v>0</v>
      </c>
      <c r="H34" s="370">
        <v>0</v>
      </c>
      <c r="J34" s="8">
        <v>22410.838135000002</v>
      </c>
      <c r="K34" s="7">
        <v>0</v>
      </c>
      <c r="L34" s="7">
        <v>0</v>
      </c>
      <c r="M34" s="5" t="s">
        <v>494</v>
      </c>
      <c r="N34" s="5">
        <v>17</v>
      </c>
      <c r="O34" s="5" t="s">
        <v>492</v>
      </c>
      <c r="P34" t="e">
        <f t="shared" si="1"/>
        <v>#VALUE!</v>
      </c>
    </row>
    <row r="35" spans="1:16" x14ac:dyDescent="0.25">
      <c r="A35" s="370">
        <v>525</v>
      </c>
      <c r="B35" s="5" t="s">
        <v>44</v>
      </c>
      <c r="C35" s="5" t="s">
        <v>167</v>
      </c>
      <c r="D35" s="5" t="s">
        <v>45</v>
      </c>
      <c r="E35" s="5" t="s">
        <v>441</v>
      </c>
      <c r="F35" s="5">
        <v>1</v>
      </c>
      <c r="G35" s="371">
        <v>1.6515390000000001</v>
      </c>
      <c r="H35" s="370">
        <v>41937</v>
      </c>
      <c r="I35" s="5" t="s">
        <v>442</v>
      </c>
      <c r="J35" s="8">
        <v>28807.641112000001</v>
      </c>
      <c r="K35" s="7">
        <v>-0.313073393137</v>
      </c>
      <c r="L35" s="7">
        <v>0.313073393137</v>
      </c>
      <c r="M35" s="5" t="s">
        <v>495</v>
      </c>
      <c r="N35" s="5">
        <v>17</v>
      </c>
      <c r="O35" s="5" t="s">
        <v>492</v>
      </c>
      <c r="P35" t="e">
        <f t="shared" si="1"/>
        <v>#VALUE!</v>
      </c>
    </row>
    <row r="36" spans="1:16" x14ac:dyDescent="0.25">
      <c r="A36" s="370">
        <v>16096</v>
      </c>
      <c r="B36" s="5" t="s">
        <v>5</v>
      </c>
      <c r="C36" s="5" t="s">
        <v>68</v>
      </c>
      <c r="D36" s="5" t="s">
        <v>68</v>
      </c>
      <c r="E36" s="5" t="s">
        <v>438</v>
      </c>
      <c r="F36" s="5">
        <v>1</v>
      </c>
      <c r="G36" s="371">
        <v>0.848831</v>
      </c>
      <c r="H36" s="370">
        <v>81067</v>
      </c>
      <c r="I36" s="5" t="s">
        <v>424</v>
      </c>
      <c r="J36" s="8">
        <v>74750.030518</v>
      </c>
      <c r="K36" s="7">
        <v>-7.7922822874900002E-2</v>
      </c>
      <c r="L36" s="7">
        <v>7.7922822874900002E-2</v>
      </c>
      <c r="M36" s="5" t="s">
        <v>496</v>
      </c>
      <c r="N36" s="5">
        <v>6</v>
      </c>
      <c r="O36" s="5" t="s">
        <v>492</v>
      </c>
      <c r="P36" t="e">
        <f t="shared" si="1"/>
        <v>#VALUE!</v>
      </c>
    </row>
    <row r="37" spans="1:16" x14ac:dyDescent="0.25">
      <c r="A37" s="370">
        <v>20709</v>
      </c>
      <c r="B37" s="5" t="s">
        <v>49</v>
      </c>
      <c r="C37" s="5" t="s">
        <v>73</v>
      </c>
      <c r="D37" s="5" t="s">
        <v>118</v>
      </c>
      <c r="E37" s="5" t="s">
        <v>428</v>
      </c>
      <c r="F37" s="5">
        <v>1</v>
      </c>
      <c r="G37" s="371">
        <v>0.180286</v>
      </c>
      <c r="H37" s="370">
        <v>91229</v>
      </c>
      <c r="I37" s="5" t="s">
        <v>424</v>
      </c>
      <c r="J37" s="8">
        <v>88654.864746000007</v>
      </c>
      <c r="K37" s="7">
        <v>-2.8216195003800001E-2</v>
      </c>
      <c r="L37" s="7">
        <v>2.8216195003800001E-2</v>
      </c>
      <c r="M37" s="5" t="s">
        <v>497</v>
      </c>
      <c r="N37" s="5">
        <v>15</v>
      </c>
      <c r="O37" s="5" t="s">
        <v>492</v>
      </c>
      <c r="P37" t="e">
        <f t="shared" si="1"/>
        <v>#VALUE!</v>
      </c>
    </row>
    <row r="38" spans="1:16" x14ac:dyDescent="0.25">
      <c r="A38" s="370">
        <v>20750</v>
      </c>
      <c r="B38" s="5" t="s">
        <v>19</v>
      </c>
      <c r="C38" s="5" t="s">
        <v>21</v>
      </c>
      <c r="D38" s="5" t="s">
        <v>21</v>
      </c>
      <c r="E38" s="5" t="s">
        <v>423</v>
      </c>
      <c r="F38" s="5">
        <v>1</v>
      </c>
      <c r="G38" s="371">
        <v>0.35076499999999999</v>
      </c>
      <c r="H38" s="370">
        <v>86854</v>
      </c>
      <c r="I38" s="5" t="s">
        <v>424</v>
      </c>
      <c r="J38" s="8">
        <v>82138.691405000005</v>
      </c>
      <c r="K38" s="7">
        <v>-5.4290056819499999E-2</v>
      </c>
      <c r="L38" s="7">
        <v>5.4290056819499999E-2</v>
      </c>
      <c r="M38" s="5" t="s">
        <v>498</v>
      </c>
      <c r="N38" s="5">
        <v>16</v>
      </c>
      <c r="O38" s="5" t="s">
        <v>492</v>
      </c>
      <c r="P38" t="e">
        <f t="shared" si="1"/>
        <v>#VALUE!</v>
      </c>
    </row>
    <row r="39" spans="1:16" x14ac:dyDescent="0.25">
      <c r="A39" s="370">
        <v>28792</v>
      </c>
      <c r="B39" s="5" t="s">
        <v>427</v>
      </c>
      <c r="C39" s="5" t="s">
        <v>297</v>
      </c>
      <c r="E39" s="5" t="s">
        <v>428</v>
      </c>
      <c r="F39" s="5">
        <v>1</v>
      </c>
      <c r="G39" s="371">
        <v>0.63069500000000001</v>
      </c>
      <c r="H39" s="370">
        <v>43340</v>
      </c>
      <c r="I39" s="5" t="s">
        <v>424</v>
      </c>
      <c r="J39" s="8">
        <v>41348.550049999998</v>
      </c>
      <c r="K39" s="7">
        <v>-4.5949468158699998E-2</v>
      </c>
      <c r="L39" s="7">
        <v>4.5949468158699998E-2</v>
      </c>
      <c r="M39" s="5" t="s">
        <v>499</v>
      </c>
      <c r="N39" s="5">
        <v>31</v>
      </c>
      <c r="O39" s="5" t="s">
        <v>492</v>
      </c>
      <c r="P39" t="e">
        <f t="shared" si="1"/>
        <v>#VALUE!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3"/>
  <sheetViews>
    <sheetView workbookViewId="0">
      <selection activeCell="M43" sqref="M43"/>
    </sheetView>
  </sheetViews>
  <sheetFormatPr defaultRowHeight="15" x14ac:dyDescent="0.25"/>
  <sheetData>
    <row r="1" spans="1:4" x14ac:dyDescent="0.25">
      <c r="A1" s="347">
        <v>1</v>
      </c>
      <c r="B1" s="347">
        <f>COUNTIF(ws[corridor],$A1)</f>
        <v>74</v>
      </c>
      <c r="C1" s="347">
        <v>1</v>
      </c>
      <c r="D1" s="347">
        <f>C1+B1-1</f>
        <v>74</v>
      </c>
    </row>
    <row r="2" spans="1:4" x14ac:dyDescent="0.25">
      <c r="A2" s="347">
        <v>2</v>
      </c>
      <c r="B2" s="347">
        <f>COUNTIF(ws[corridor],$A2)</f>
        <v>59</v>
      </c>
      <c r="C2" s="347">
        <f>D1+1</f>
        <v>75</v>
      </c>
      <c r="D2" s="347">
        <f t="shared" ref="D2:D32" si="0">C2+B2-1</f>
        <v>133</v>
      </c>
    </row>
    <row r="3" spans="1:4" x14ac:dyDescent="0.25">
      <c r="A3" s="347">
        <v>3</v>
      </c>
      <c r="B3" s="347">
        <f>COUNTIF(ws[corridor],$A3)</f>
        <v>29</v>
      </c>
      <c r="C3" s="347">
        <f t="shared" ref="C3:C32" si="1">D2+1</f>
        <v>134</v>
      </c>
      <c r="D3" s="347">
        <f t="shared" si="0"/>
        <v>162</v>
      </c>
    </row>
    <row r="4" spans="1:4" x14ac:dyDescent="0.25">
      <c r="A4" s="347">
        <v>4</v>
      </c>
      <c r="B4" s="347">
        <f>COUNTIF(ws[corridor],$A4)</f>
        <v>10</v>
      </c>
      <c r="C4" s="347">
        <f t="shared" si="1"/>
        <v>163</v>
      </c>
      <c r="D4" s="347">
        <f t="shared" si="0"/>
        <v>172</v>
      </c>
    </row>
    <row r="5" spans="1:4" x14ac:dyDescent="0.25">
      <c r="A5" s="347">
        <v>5</v>
      </c>
      <c r="B5" s="347">
        <f>COUNTIF(ws[corridor],$A5)</f>
        <v>17</v>
      </c>
      <c r="C5" s="347">
        <f t="shared" si="1"/>
        <v>173</v>
      </c>
      <c r="D5" s="347">
        <f t="shared" si="0"/>
        <v>189</v>
      </c>
    </row>
    <row r="6" spans="1:4" x14ac:dyDescent="0.25">
      <c r="A6" s="347">
        <v>6</v>
      </c>
      <c r="B6" s="347">
        <f>COUNTIF(ws[corridor],$A6)</f>
        <v>3</v>
      </c>
      <c r="C6" s="347">
        <f t="shared" si="1"/>
        <v>190</v>
      </c>
      <c r="D6" s="347">
        <f t="shared" si="0"/>
        <v>192</v>
      </c>
    </row>
    <row r="7" spans="1:4" x14ac:dyDescent="0.25">
      <c r="A7" s="347">
        <v>7</v>
      </c>
      <c r="B7" s="347">
        <f>COUNTIF(ws[corridor],$A7)</f>
        <v>1</v>
      </c>
      <c r="C7" s="347">
        <f t="shared" si="1"/>
        <v>193</v>
      </c>
      <c r="D7" s="347">
        <f t="shared" si="0"/>
        <v>193</v>
      </c>
    </row>
    <row r="8" spans="1:4" x14ac:dyDescent="0.25">
      <c r="A8" s="347">
        <v>29</v>
      </c>
      <c r="B8" s="347">
        <f>COUNTIF(ws[corridor],$A8)</f>
        <v>13</v>
      </c>
      <c r="C8" s="347">
        <f t="shared" si="1"/>
        <v>194</v>
      </c>
      <c r="D8" s="347">
        <f t="shared" si="0"/>
        <v>206</v>
      </c>
    </row>
    <row r="9" spans="1:4" x14ac:dyDescent="0.25">
      <c r="A9" s="347">
        <v>31</v>
      </c>
      <c r="B9" s="347">
        <f>COUNTIF(ws[corridor],$A9)</f>
        <v>3</v>
      </c>
      <c r="C9" s="347">
        <f t="shared" si="1"/>
        <v>207</v>
      </c>
      <c r="D9" s="347">
        <f t="shared" si="0"/>
        <v>209</v>
      </c>
    </row>
    <row r="10" spans="1:4" x14ac:dyDescent="0.25">
      <c r="A10" s="348">
        <v>8</v>
      </c>
      <c r="B10" s="348">
        <f>COUNTIF(ws[corridor],$A10)</f>
        <v>72</v>
      </c>
      <c r="C10" s="348">
        <f t="shared" si="1"/>
        <v>210</v>
      </c>
      <c r="D10" s="348">
        <f t="shared" si="0"/>
        <v>281</v>
      </c>
    </row>
    <row r="11" spans="1:4" x14ac:dyDescent="0.25">
      <c r="A11" s="348">
        <v>9</v>
      </c>
      <c r="B11" s="348">
        <f>COUNTIF(ws[corridor],$A11)</f>
        <v>57</v>
      </c>
      <c r="C11" s="348">
        <f t="shared" si="1"/>
        <v>282</v>
      </c>
      <c r="D11" s="348">
        <f t="shared" si="0"/>
        <v>338</v>
      </c>
    </row>
    <row r="12" spans="1:4" x14ac:dyDescent="0.25">
      <c r="A12" s="348">
        <v>10</v>
      </c>
      <c r="B12" s="348">
        <f>COUNTIF(ws[corridor],$A12)</f>
        <v>34</v>
      </c>
      <c r="C12" s="348">
        <f t="shared" si="1"/>
        <v>339</v>
      </c>
      <c r="D12" s="348">
        <f t="shared" si="0"/>
        <v>372</v>
      </c>
    </row>
    <row r="13" spans="1:4" x14ac:dyDescent="0.25">
      <c r="A13" s="348">
        <v>11</v>
      </c>
      <c r="B13" s="348">
        <f>COUNTIF(ws[corridor],$A13)</f>
        <v>11</v>
      </c>
      <c r="C13" s="348">
        <f t="shared" si="1"/>
        <v>373</v>
      </c>
      <c r="D13" s="348">
        <f t="shared" si="0"/>
        <v>383</v>
      </c>
    </row>
    <row r="14" spans="1:4" x14ac:dyDescent="0.25">
      <c r="A14" s="348">
        <v>12</v>
      </c>
      <c r="B14" s="348">
        <f>COUNTIF(ws[corridor],$A14)</f>
        <v>17</v>
      </c>
      <c r="C14" s="348">
        <f t="shared" si="1"/>
        <v>384</v>
      </c>
      <c r="D14" s="348">
        <f t="shared" si="0"/>
        <v>400</v>
      </c>
    </row>
    <row r="15" spans="1:4" x14ac:dyDescent="0.25">
      <c r="A15" s="348">
        <v>13</v>
      </c>
      <c r="B15" s="348">
        <f>COUNTIF(ws[corridor],$A15)</f>
        <v>2</v>
      </c>
      <c r="C15" s="348">
        <f t="shared" si="1"/>
        <v>401</v>
      </c>
      <c r="D15" s="348">
        <f t="shared" si="0"/>
        <v>402</v>
      </c>
    </row>
    <row r="16" spans="1:4" x14ac:dyDescent="0.25">
      <c r="A16" s="348">
        <v>14</v>
      </c>
      <c r="B16" s="348">
        <f>COUNTIF(ws[corridor],$A16)</f>
        <v>1</v>
      </c>
      <c r="C16" s="348">
        <f t="shared" si="1"/>
        <v>403</v>
      </c>
      <c r="D16" s="348">
        <f t="shared" si="0"/>
        <v>403</v>
      </c>
    </row>
    <row r="17" spans="1:4" x14ac:dyDescent="0.25">
      <c r="A17" s="348">
        <v>30</v>
      </c>
      <c r="B17" s="348">
        <f>COUNTIF(ws[corridor],$A17)</f>
        <v>10</v>
      </c>
      <c r="C17" s="348">
        <f t="shared" si="1"/>
        <v>404</v>
      </c>
      <c r="D17" s="348">
        <f t="shared" si="0"/>
        <v>413</v>
      </c>
    </row>
    <row r="18" spans="1:4" x14ac:dyDescent="0.25">
      <c r="A18" s="348">
        <v>32</v>
      </c>
      <c r="B18" s="348">
        <f>COUNTIF(ws[corridor],$A18)</f>
        <v>3</v>
      </c>
      <c r="C18" s="348">
        <f t="shared" si="1"/>
        <v>414</v>
      </c>
      <c r="D18" s="348">
        <f t="shared" si="0"/>
        <v>416</v>
      </c>
    </row>
    <row r="19" spans="1:4" x14ac:dyDescent="0.25">
      <c r="A19" s="368">
        <v>15</v>
      </c>
      <c r="B19" s="368">
        <f>COUNTIF(ws[corridor],$A19)</f>
        <v>43</v>
      </c>
      <c r="C19" s="368">
        <f t="shared" si="1"/>
        <v>417</v>
      </c>
      <c r="D19" s="368">
        <f t="shared" si="0"/>
        <v>459</v>
      </c>
    </row>
    <row r="20" spans="1:4" x14ac:dyDescent="0.25">
      <c r="A20" s="368">
        <v>16</v>
      </c>
      <c r="B20" s="368">
        <f>COUNTIF(ws[corridor],$A20)</f>
        <v>25</v>
      </c>
      <c r="C20" s="368">
        <f t="shared" si="1"/>
        <v>460</v>
      </c>
      <c r="D20" s="368">
        <f t="shared" si="0"/>
        <v>484</v>
      </c>
    </row>
    <row r="21" spans="1:4" x14ac:dyDescent="0.25">
      <c r="A21" s="368">
        <v>17</v>
      </c>
      <c r="B21" s="368">
        <f>COUNTIF(ws[corridor],$A21)</f>
        <v>17</v>
      </c>
      <c r="C21" s="368">
        <f t="shared" si="1"/>
        <v>485</v>
      </c>
      <c r="D21" s="368">
        <f t="shared" si="0"/>
        <v>501</v>
      </c>
    </row>
    <row r="22" spans="1:4" x14ac:dyDescent="0.25">
      <c r="A22" s="368">
        <v>18</v>
      </c>
      <c r="B22" s="368">
        <f>COUNTIF(ws[corridor],$A22)</f>
        <v>6</v>
      </c>
      <c r="C22" s="368">
        <f t="shared" si="1"/>
        <v>502</v>
      </c>
      <c r="D22" s="368">
        <f t="shared" si="0"/>
        <v>507</v>
      </c>
    </row>
    <row r="23" spans="1:4" x14ac:dyDescent="0.25">
      <c r="A23" s="368">
        <v>19</v>
      </c>
      <c r="B23" s="368">
        <f>COUNTIF(ws[corridor],$A23)</f>
        <v>12</v>
      </c>
      <c r="C23" s="368">
        <f t="shared" si="1"/>
        <v>508</v>
      </c>
      <c r="D23" s="368">
        <f t="shared" si="0"/>
        <v>519</v>
      </c>
    </row>
    <row r="24" spans="1:4" x14ac:dyDescent="0.25">
      <c r="A24" s="368">
        <v>20</v>
      </c>
      <c r="B24" s="368">
        <f>COUNTIF(ws[corridor],$A24)</f>
        <v>5</v>
      </c>
      <c r="C24" s="368">
        <f t="shared" si="1"/>
        <v>520</v>
      </c>
      <c r="D24" s="368">
        <f t="shared" si="0"/>
        <v>524</v>
      </c>
    </row>
    <row r="25" spans="1:4" x14ac:dyDescent="0.25">
      <c r="A25" s="368">
        <v>21</v>
      </c>
      <c r="B25" s="368">
        <f>COUNTIF(ws[corridor],$A25)</f>
        <v>20</v>
      </c>
      <c r="C25" s="368">
        <f t="shared" si="1"/>
        <v>525</v>
      </c>
      <c r="D25" s="368">
        <f t="shared" si="0"/>
        <v>544</v>
      </c>
    </row>
    <row r="26" spans="1:4" x14ac:dyDescent="0.25">
      <c r="A26" s="369">
        <v>22</v>
      </c>
      <c r="B26" s="369">
        <f>COUNTIF(ws[corridor],$A26)</f>
        <v>39</v>
      </c>
      <c r="C26" s="369">
        <f t="shared" si="1"/>
        <v>545</v>
      </c>
      <c r="D26" s="369">
        <f t="shared" si="0"/>
        <v>583</v>
      </c>
    </row>
    <row r="27" spans="1:4" x14ac:dyDescent="0.25">
      <c r="A27" s="369">
        <v>23</v>
      </c>
      <c r="B27" s="369">
        <f>COUNTIF(ws[corridor],$A27)</f>
        <v>21</v>
      </c>
      <c r="C27" s="369">
        <f t="shared" si="1"/>
        <v>584</v>
      </c>
      <c r="D27" s="369">
        <f t="shared" si="0"/>
        <v>604</v>
      </c>
    </row>
    <row r="28" spans="1:4" x14ac:dyDescent="0.25">
      <c r="A28" s="369">
        <v>24</v>
      </c>
      <c r="B28" s="369">
        <f>COUNTIF(ws[corridor],$A28)</f>
        <v>13</v>
      </c>
      <c r="C28" s="369">
        <f t="shared" si="1"/>
        <v>605</v>
      </c>
      <c r="D28" s="369">
        <f t="shared" si="0"/>
        <v>617</v>
      </c>
    </row>
    <row r="29" spans="1:4" x14ac:dyDescent="0.25">
      <c r="A29" s="369">
        <v>25</v>
      </c>
      <c r="B29" s="369">
        <f>COUNTIF(ws[corridor],$A29)</f>
        <v>6</v>
      </c>
      <c r="C29" s="369">
        <f t="shared" si="1"/>
        <v>618</v>
      </c>
      <c r="D29" s="369">
        <f t="shared" si="0"/>
        <v>623</v>
      </c>
    </row>
    <row r="30" spans="1:4" x14ac:dyDescent="0.25">
      <c r="A30" s="369">
        <v>26</v>
      </c>
      <c r="B30" s="369">
        <f>COUNTIF(ws[corridor],$A30)</f>
        <v>9</v>
      </c>
      <c r="C30" s="369">
        <f t="shared" si="1"/>
        <v>624</v>
      </c>
      <c r="D30" s="369">
        <f t="shared" si="0"/>
        <v>632</v>
      </c>
    </row>
    <row r="31" spans="1:4" x14ac:dyDescent="0.25">
      <c r="A31" s="369">
        <v>27</v>
      </c>
      <c r="B31" s="369">
        <f>COUNTIF(ws[corridor],$A31)</f>
        <v>5</v>
      </c>
      <c r="C31" s="369">
        <f t="shared" si="1"/>
        <v>633</v>
      </c>
      <c r="D31" s="369">
        <f t="shared" si="0"/>
        <v>637</v>
      </c>
    </row>
    <row r="32" spans="1:4" x14ac:dyDescent="0.25">
      <c r="A32" s="369">
        <v>28</v>
      </c>
      <c r="B32" s="369">
        <f>COUNTIF(ws[corridor],$A32)</f>
        <v>14</v>
      </c>
      <c r="C32" s="369">
        <f t="shared" si="1"/>
        <v>638</v>
      </c>
      <c r="D32" s="369">
        <f t="shared" si="0"/>
        <v>651</v>
      </c>
    </row>
    <row r="33" spans="2:2" x14ac:dyDescent="0.25">
      <c r="B33">
        <f>SUM(B1:B32)</f>
        <v>651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43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0" baseType="lpstr">
      <vt:lpstr>readme</vt:lpstr>
      <vt:lpstr>keylocation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ref</vt:lpstr>
      <vt:lpstr>count</vt:lpstr>
      <vt:lpstr>check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Ma, Yun</cp:lastModifiedBy>
  <cp:lastPrinted>2018-01-23T23:22:28Z</cp:lastPrinted>
  <dcterms:created xsi:type="dcterms:W3CDTF">2016-02-07T16:24:01Z</dcterms:created>
  <dcterms:modified xsi:type="dcterms:W3CDTF">2019-02-14T06:45:53Z</dcterms:modified>
</cp:coreProperties>
</file>