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VY-Projects\SANDAG_CVM\calibration_targets_data\"/>
    </mc:Choice>
  </mc:AlternateContent>
  <xr:revisionPtr revIDLastSave="0" documentId="13_ncr:1_{A53AFA01-CC3F-49A5-B3FB-1B020D23E8BE}" xr6:coauthVersionLast="47" xr6:coauthVersionMax="47" xr10:uidLastSave="{00000000-0000-0000-0000-000000000000}"/>
  <bookViews>
    <workbookView xWindow="-2413" yWindow="9507" windowWidth="25786" windowHeight="13986" tabRatio="854" firstSheet="1" activeTab="8" xr2:uid="{00000000-000D-0000-FFFF-FFFF00000000}"/>
  </bookViews>
  <sheets>
    <sheet name="Household Attractor" sheetId="6" r:id="rId1"/>
    <sheet name="Establishment Attractor" sheetId="7" r:id="rId2"/>
    <sheet name="Route Generation" sheetId="9" r:id="rId3"/>
    <sheet name="Route Generation TNC" sheetId="10" r:id="rId4"/>
    <sheet name="Route Purp Vehicle" sheetId="4" r:id="rId5"/>
    <sheet name="Route Start Time" sheetId="11" r:id="rId6"/>
    <sheet name="Route OriginationTerminal" sheetId="12" r:id="rId7"/>
    <sheet name="Next StopPurpose" sheetId="14" r:id="rId8"/>
    <sheet name="Stop Location" sheetId="15" r:id="rId9"/>
    <sheet name="ModelData" sheetId="2" r:id="rId10"/>
    <sheet name="SurveyData" sheetId="16"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5" l="1"/>
  <c r="H21" i="15"/>
  <c r="H22" i="15"/>
  <c r="H20" i="15"/>
  <c r="I8" i="15"/>
  <c r="I9" i="15"/>
  <c r="I10" i="15"/>
  <c r="I11" i="15"/>
  <c r="I7" i="15"/>
  <c r="AE51" i="14"/>
  <c r="AE47" i="14"/>
  <c r="AE48" i="14"/>
  <c r="AE49" i="14"/>
  <c r="AE50" i="14"/>
  <c r="AE46" i="14"/>
  <c r="AE5" i="14"/>
  <c r="AE6" i="14"/>
  <c r="AE7" i="14"/>
  <c r="AE8" i="14"/>
  <c r="AE4" i="14"/>
  <c r="L54" i="14"/>
  <c r="D54" i="14"/>
  <c r="E46" i="14"/>
  <c r="F46" i="14"/>
  <c r="G46" i="14"/>
  <c r="H46" i="14"/>
  <c r="I46" i="14"/>
  <c r="J46" i="14"/>
  <c r="K46" i="14"/>
  <c r="E47" i="14"/>
  <c r="F47" i="14"/>
  <c r="G47" i="14"/>
  <c r="H47" i="14"/>
  <c r="I47" i="14"/>
  <c r="J47" i="14"/>
  <c r="K47" i="14"/>
  <c r="E48" i="14"/>
  <c r="F48" i="14"/>
  <c r="G48" i="14"/>
  <c r="H48" i="14"/>
  <c r="I48" i="14"/>
  <c r="J48" i="14"/>
  <c r="K48" i="14"/>
  <c r="E49" i="14"/>
  <c r="F49" i="14"/>
  <c r="G49" i="14"/>
  <c r="H49" i="14"/>
  <c r="I49" i="14"/>
  <c r="J49" i="14"/>
  <c r="K49" i="14"/>
  <c r="E50" i="14"/>
  <c r="F50" i="14"/>
  <c r="G50" i="14"/>
  <c r="H50" i="14"/>
  <c r="I50" i="14"/>
  <c r="J50" i="14"/>
  <c r="K50" i="14"/>
  <c r="E51" i="14"/>
  <c r="F51" i="14"/>
  <c r="G51" i="14"/>
  <c r="H51" i="14"/>
  <c r="I51" i="14"/>
  <c r="J51" i="14"/>
  <c r="K51" i="14"/>
  <c r="E52" i="14"/>
  <c r="F52" i="14"/>
  <c r="G52" i="14"/>
  <c r="H52" i="14"/>
  <c r="I52" i="14"/>
  <c r="J52" i="14"/>
  <c r="K52" i="14"/>
  <c r="E53" i="14"/>
  <c r="F53" i="14"/>
  <c r="G53" i="14"/>
  <c r="H53" i="14"/>
  <c r="I53" i="14"/>
  <c r="J53" i="14"/>
  <c r="K53" i="14"/>
  <c r="D47" i="14"/>
  <c r="D48" i="14"/>
  <c r="D49" i="14"/>
  <c r="D50" i="14"/>
  <c r="D51" i="14"/>
  <c r="D52" i="14"/>
  <c r="D53" i="14"/>
  <c r="D46" i="14"/>
  <c r="L12" i="14"/>
  <c r="L5" i="14"/>
  <c r="L6" i="14"/>
  <c r="L7" i="14"/>
  <c r="L8" i="14"/>
  <c r="L9" i="14"/>
  <c r="L10" i="14"/>
  <c r="L4" i="14"/>
  <c r="E12" i="14"/>
  <c r="F12" i="14"/>
  <c r="G12" i="14"/>
  <c r="H12" i="14"/>
  <c r="I12" i="14"/>
  <c r="J12" i="14"/>
  <c r="K12" i="14"/>
  <c r="D12" i="14"/>
  <c r="E4" i="14"/>
  <c r="F4" i="14"/>
  <c r="G4" i="14"/>
  <c r="H4" i="14"/>
  <c r="I4" i="14"/>
  <c r="J4" i="14"/>
  <c r="K4" i="14"/>
  <c r="E5" i="14"/>
  <c r="F5" i="14"/>
  <c r="G5" i="14"/>
  <c r="H5" i="14"/>
  <c r="I5" i="14"/>
  <c r="J5" i="14"/>
  <c r="K5" i="14"/>
  <c r="E6" i="14"/>
  <c r="F6" i="14"/>
  <c r="G6" i="14"/>
  <c r="H6" i="14"/>
  <c r="I6" i="14"/>
  <c r="J6" i="14"/>
  <c r="K6" i="14"/>
  <c r="E7" i="14"/>
  <c r="F7" i="14"/>
  <c r="G7" i="14"/>
  <c r="H7" i="14"/>
  <c r="I7" i="14"/>
  <c r="J7" i="14"/>
  <c r="K7" i="14"/>
  <c r="E8" i="14"/>
  <c r="F8" i="14"/>
  <c r="G8" i="14"/>
  <c r="H8" i="14"/>
  <c r="I8" i="14"/>
  <c r="J8" i="14"/>
  <c r="K8" i="14"/>
  <c r="E9" i="14"/>
  <c r="F9" i="14"/>
  <c r="G9" i="14"/>
  <c r="H9" i="14"/>
  <c r="I9" i="14"/>
  <c r="J9" i="14"/>
  <c r="K9" i="14"/>
  <c r="E10" i="14"/>
  <c r="F10" i="14"/>
  <c r="G10" i="14"/>
  <c r="H10" i="14"/>
  <c r="I10" i="14"/>
  <c r="J10" i="14"/>
  <c r="K10" i="14"/>
  <c r="E11" i="14"/>
  <c r="F11" i="14"/>
  <c r="G11" i="14"/>
  <c r="H11" i="14"/>
  <c r="I11" i="14"/>
  <c r="J11" i="14"/>
  <c r="K11" i="14"/>
  <c r="D5" i="14"/>
  <c r="D6" i="14"/>
  <c r="D7" i="14"/>
  <c r="D8" i="14"/>
  <c r="D9" i="14"/>
  <c r="D10" i="14"/>
  <c r="D11" i="14"/>
  <c r="D4" i="14"/>
  <c r="E32" i="12"/>
  <c r="E33" i="12"/>
  <c r="E31" i="12"/>
  <c r="E22" i="12"/>
  <c r="E23" i="12"/>
  <c r="E24" i="12"/>
  <c r="E21" i="12"/>
  <c r="E14" i="12"/>
  <c r="E15" i="12"/>
  <c r="E13" i="12"/>
  <c r="E9" i="12"/>
  <c r="E6" i="12"/>
  <c r="E7" i="12"/>
  <c r="E8" i="12"/>
  <c r="E5" i="12"/>
  <c r="J18" i="11"/>
  <c r="J19" i="11"/>
  <c r="J20" i="11"/>
  <c r="J21" i="11"/>
  <c r="J17" i="11"/>
  <c r="H31" i="4"/>
  <c r="H9" i="4"/>
  <c r="H6" i="4"/>
  <c r="H7" i="4"/>
  <c r="H8" i="4"/>
  <c r="H10" i="4"/>
  <c r="H11" i="4"/>
  <c r="H12" i="4"/>
  <c r="H13" i="4"/>
  <c r="H14" i="4"/>
  <c r="H15" i="4"/>
  <c r="H16" i="4"/>
  <c r="H17" i="4"/>
  <c r="H18" i="4"/>
  <c r="H19" i="4"/>
  <c r="H20" i="4"/>
  <c r="H21" i="4"/>
  <c r="H22" i="4"/>
  <c r="H23" i="4"/>
  <c r="H24" i="4"/>
  <c r="H25" i="4"/>
  <c r="H5" i="4"/>
  <c r="E5" i="4"/>
  <c r="F8" i="10"/>
  <c r="F9" i="10"/>
  <c r="F7" i="10"/>
  <c r="E15" i="9"/>
  <c r="E16" i="9"/>
  <c r="E17" i="9"/>
  <c r="E18" i="9"/>
  <c r="E19" i="9"/>
  <c r="E20" i="9"/>
  <c r="E21" i="9"/>
  <c r="E22" i="9"/>
  <c r="E23" i="9"/>
  <c r="E24" i="9"/>
  <c r="E14" i="9"/>
  <c r="E17" i="7"/>
  <c r="E18" i="7"/>
  <c r="E19" i="7"/>
  <c r="E20" i="7"/>
  <c r="E21" i="7"/>
  <c r="E22" i="7"/>
  <c r="E23" i="7"/>
  <c r="E24" i="7"/>
  <c r="E25" i="7"/>
  <c r="E26" i="7"/>
  <c r="E16" i="7"/>
  <c r="G8" i="7"/>
  <c r="G9" i="7"/>
  <c r="G10" i="7"/>
  <c r="G7" i="7"/>
  <c r="J14" i="6"/>
  <c r="J15" i="6"/>
  <c r="J16" i="6"/>
  <c r="J17" i="6"/>
  <c r="J13" i="6"/>
  <c r="I14" i="6"/>
  <c r="I15" i="6"/>
  <c r="I16" i="6"/>
  <c r="I17" i="6"/>
  <c r="I13" i="6"/>
  <c r="H14" i="6"/>
  <c r="H15" i="6"/>
  <c r="H16" i="6"/>
  <c r="H17" i="6"/>
  <c r="H13" i="6"/>
  <c r="D14" i="6"/>
  <c r="E6" i="6"/>
  <c r="E7" i="6"/>
  <c r="E5" i="6"/>
  <c r="F7" i="7"/>
  <c r="E14" i="6"/>
  <c r="AC46" i="14" l="1"/>
  <c r="H7" i="7"/>
  <c r="D13" i="12"/>
  <c r="AC47" i="14"/>
  <c r="AC48" i="14"/>
  <c r="AC49" i="14"/>
  <c r="AC50" i="14"/>
  <c r="G8" i="15"/>
  <c r="G9" i="15"/>
  <c r="G10" i="15"/>
  <c r="G11" i="15"/>
  <c r="G7" i="15"/>
  <c r="I12" i="15"/>
  <c r="J8" i="15" s="1"/>
  <c r="H18" i="11"/>
  <c r="H19" i="11"/>
  <c r="H20" i="11"/>
  <c r="H21" i="11"/>
  <c r="H17" i="11"/>
  <c r="J22" i="11"/>
  <c r="K18" i="11" s="1"/>
  <c r="J10" i="11"/>
  <c r="G28" i="15"/>
  <c r="I28" i="15" s="1"/>
  <c r="K54" i="14"/>
  <c r="E54" i="14"/>
  <c r="F54" i="14"/>
  <c r="G54" i="14"/>
  <c r="H54" i="14"/>
  <c r="I54" i="14"/>
  <c r="J54" i="14"/>
  <c r="L48" i="14"/>
  <c r="L49" i="14"/>
  <c r="L50" i="14"/>
  <c r="L51" i="14"/>
  <c r="L52" i="14"/>
  <c r="L53" i="14"/>
  <c r="L47" i="14"/>
  <c r="D59" i="14"/>
  <c r="E59" i="14"/>
  <c r="F59" i="14"/>
  <c r="G59" i="14"/>
  <c r="H59" i="14"/>
  <c r="I59" i="14"/>
  <c r="J59" i="14"/>
  <c r="K59" i="14"/>
  <c r="D60" i="14"/>
  <c r="E60" i="14"/>
  <c r="F60" i="14"/>
  <c r="G60" i="14"/>
  <c r="H60" i="14"/>
  <c r="I60" i="14"/>
  <c r="J60" i="14"/>
  <c r="K60" i="14"/>
  <c r="D61" i="14"/>
  <c r="E61" i="14"/>
  <c r="F61" i="14"/>
  <c r="G61" i="14"/>
  <c r="H61" i="14"/>
  <c r="I61" i="14"/>
  <c r="J61" i="14"/>
  <c r="K61" i="14"/>
  <c r="D62" i="14"/>
  <c r="E62" i="14"/>
  <c r="F62" i="14"/>
  <c r="G62" i="14"/>
  <c r="H62" i="14"/>
  <c r="I62" i="14"/>
  <c r="J62" i="14"/>
  <c r="K62" i="14"/>
  <c r="D63" i="14"/>
  <c r="E63" i="14"/>
  <c r="F63" i="14"/>
  <c r="G63" i="14"/>
  <c r="H63" i="14"/>
  <c r="I63" i="14"/>
  <c r="J63" i="14"/>
  <c r="K63" i="14"/>
  <c r="D64" i="14"/>
  <c r="E64" i="14"/>
  <c r="F64" i="14"/>
  <c r="G64" i="14"/>
  <c r="H64" i="14"/>
  <c r="I64" i="14"/>
  <c r="J64" i="14"/>
  <c r="K64" i="14"/>
  <c r="D65" i="14"/>
  <c r="E65" i="14"/>
  <c r="F65" i="14"/>
  <c r="G65" i="14"/>
  <c r="H65" i="14"/>
  <c r="I65" i="14"/>
  <c r="J65" i="14"/>
  <c r="K65" i="14"/>
  <c r="E58" i="14"/>
  <c r="F58" i="14"/>
  <c r="G58" i="14"/>
  <c r="H58" i="14"/>
  <c r="I58" i="14"/>
  <c r="J58" i="14"/>
  <c r="K58" i="14"/>
  <c r="D58" i="14"/>
  <c r="AF47" i="14"/>
  <c r="G22" i="15"/>
  <c r="I22" i="15" s="1"/>
  <c r="G21" i="15"/>
  <c r="I21" i="15" s="1"/>
  <c r="G20" i="15"/>
  <c r="I20" i="15" s="1"/>
  <c r="AE9" i="14"/>
  <c r="AC5" i="14"/>
  <c r="AC6" i="14"/>
  <c r="AC7" i="14"/>
  <c r="AC8" i="14"/>
  <c r="AC4" i="14"/>
  <c r="O5" i="14"/>
  <c r="P5" i="14"/>
  <c r="Q5" i="14"/>
  <c r="R5" i="14"/>
  <c r="S5" i="14"/>
  <c r="T5" i="14"/>
  <c r="U5" i="14"/>
  <c r="V5" i="14"/>
  <c r="W5" i="14"/>
  <c r="O6" i="14"/>
  <c r="P6" i="14"/>
  <c r="Q6" i="14"/>
  <c r="R6" i="14"/>
  <c r="S6" i="14"/>
  <c r="T6" i="14"/>
  <c r="U6" i="14"/>
  <c r="V6" i="14"/>
  <c r="W6" i="14"/>
  <c r="O7" i="14"/>
  <c r="P7" i="14"/>
  <c r="Q7" i="14"/>
  <c r="R7" i="14"/>
  <c r="S7" i="14"/>
  <c r="T7" i="14"/>
  <c r="U7" i="14"/>
  <c r="V7" i="14"/>
  <c r="W7" i="14"/>
  <c r="O8" i="14"/>
  <c r="P8" i="14"/>
  <c r="Q8" i="14"/>
  <c r="R8" i="14"/>
  <c r="S8" i="14"/>
  <c r="T8" i="14"/>
  <c r="U8" i="14"/>
  <c r="V8" i="14"/>
  <c r="W8" i="14"/>
  <c r="O9" i="14"/>
  <c r="P9" i="14"/>
  <c r="Q9" i="14"/>
  <c r="R9" i="14"/>
  <c r="S9" i="14"/>
  <c r="T9" i="14"/>
  <c r="U9" i="14"/>
  <c r="V9" i="14"/>
  <c r="W9" i="14"/>
  <c r="O10" i="14"/>
  <c r="P10" i="14"/>
  <c r="Q10" i="14"/>
  <c r="R10" i="14"/>
  <c r="S10" i="14"/>
  <c r="T10" i="14"/>
  <c r="U10" i="14"/>
  <c r="V10" i="14"/>
  <c r="W10" i="14"/>
  <c r="O11" i="14"/>
  <c r="P11" i="14"/>
  <c r="Q11" i="14"/>
  <c r="R11" i="14"/>
  <c r="S11" i="14"/>
  <c r="T11" i="14"/>
  <c r="U11" i="14"/>
  <c r="V11" i="14"/>
  <c r="W11" i="14"/>
  <c r="O12" i="14"/>
  <c r="P12" i="14"/>
  <c r="Q12" i="14"/>
  <c r="R12" i="14"/>
  <c r="S12" i="14"/>
  <c r="T12" i="14"/>
  <c r="U12" i="14"/>
  <c r="V12" i="14"/>
  <c r="W12" i="14"/>
  <c r="P4" i="14"/>
  <c r="Q4" i="14"/>
  <c r="R4" i="14"/>
  <c r="S4" i="14"/>
  <c r="T4" i="14"/>
  <c r="U4" i="14"/>
  <c r="V4" i="14"/>
  <c r="W4" i="14"/>
  <c r="O4" i="14"/>
  <c r="D18" i="14"/>
  <c r="E18" i="14"/>
  <c r="F18" i="14"/>
  <c r="G18" i="14"/>
  <c r="H18" i="14"/>
  <c r="I18" i="14"/>
  <c r="J18" i="14"/>
  <c r="K18" i="14"/>
  <c r="D19" i="14"/>
  <c r="E19" i="14"/>
  <c r="F19" i="14"/>
  <c r="G19" i="14"/>
  <c r="H19" i="14"/>
  <c r="I19" i="14"/>
  <c r="J19" i="14"/>
  <c r="K19" i="14"/>
  <c r="D20" i="14"/>
  <c r="E20" i="14"/>
  <c r="F20" i="14"/>
  <c r="G20" i="14"/>
  <c r="H20" i="14"/>
  <c r="I20" i="14"/>
  <c r="J20" i="14"/>
  <c r="K20" i="14"/>
  <c r="D21" i="14"/>
  <c r="E21" i="14"/>
  <c r="F21" i="14"/>
  <c r="G21" i="14"/>
  <c r="H21" i="14"/>
  <c r="I21" i="14"/>
  <c r="J21" i="14"/>
  <c r="K21" i="14"/>
  <c r="D22" i="14"/>
  <c r="E22" i="14"/>
  <c r="F22" i="14"/>
  <c r="G22" i="14"/>
  <c r="H22" i="14"/>
  <c r="I22" i="14"/>
  <c r="J22" i="14"/>
  <c r="K22" i="14"/>
  <c r="D23" i="14"/>
  <c r="E23" i="14"/>
  <c r="F23" i="14"/>
  <c r="G23" i="14"/>
  <c r="H23" i="14"/>
  <c r="I23" i="14"/>
  <c r="J23" i="14"/>
  <c r="K23" i="14"/>
  <c r="D24" i="14"/>
  <c r="E24" i="14"/>
  <c r="F24" i="14"/>
  <c r="G24" i="14"/>
  <c r="H24" i="14"/>
  <c r="I24" i="14"/>
  <c r="J24" i="14"/>
  <c r="K24" i="14"/>
  <c r="E17" i="14"/>
  <c r="F17" i="14"/>
  <c r="G17" i="14"/>
  <c r="H17" i="14"/>
  <c r="I17" i="14"/>
  <c r="J17" i="14"/>
  <c r="K17" i="14"/>
  <c r="D17" i="14"/>
  <c r="D5" i="12"/>
  <c r="D31" i="12"/>
  <c r="F31" i="12" s="1"/>
  <c r="D32" i="12"/>
  <c r="F32" i="12" s="1"/>
  <c r="D33" i="12"/>
  <c r="F33" i="12" s="1"/>
  <c r="E25" i="12"/>
  <c r="G21" i="12" s="1"/>
  <c r="G5" i="12"/>
  <c r="G6" i="12"/>
  <c r="G7" i="12"/>
  <c r="G8" i="12"/>
  <c r="D22" i="12"/>
  <c r="D23" i="12"/>
  <c r="D24" i="12"/>
  <c r="D21" i="12"/>
  <c r="F13" i="12"/>
  <c r="D14" i="12"/>
  <c r="F14" i="12" s="1"/>
  <c r="D15" i="12"/>
  <c r="F15" i="12" s="1"/>
  <c r="D6" i="12"/>
  <c r="D7" i="12"/>
  <c r="D8" i="12"/>
  <c r="E6" i="7"/>
  <c r="E8" i="10"/>
  <c r="E9" i="10"/>
  <c r="E7" i="10"/>
  <c r="F10" i="10"/>
  <c r="E15" i="6"/>
  <c r="M15" i="6" s="1"/>
  <c r="H6" i="11"/>
  <c r="H7" i="11"/>
  <c r="H8" i="11"/>
  <c r="H9" i="11"/>
  <c r="H5"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3" i="11"/>
  <c r="F15" i="6"/>
  <c r="N15" i="6" s="1"/>
  <c r="F16" i="6"/>
  <c r="N16" i="6" s="1"/>
  <c r="F17" i="6"/>
  <c r="N17" i="6" s="1"/>
  <c r="E16" i="6"/>
  <c r="M16" i="6" s="1"/>
  <c r="E17" i="6"/>
  <c r="M17" i="6" s="1"/>
  <c r="D15" i="6"/>
  <c r="L15" i="6" s="1"/>
  <c r="D16" i="6"/>
  <c r="L16" i="6" s="1"/>
  <c r="D17" i="6"/>
  <c r="L17" i="6" s="1"/>
  <c r="F14" i="6"/>
  <c r="N14" i="6" s="1"/>
  <c r="M14" i="6"/>
  <c r="L14" i="6"/>
  <c r="D6" i="6"/>
  <c r="F6" i="6" s="1"/>
  <c r="D7" i="6"/>
  <c r="F7" i="6" s="1"/>
  <c r="D5" i="6"/>
  <c r="F5" i="6" s="1"/>
  <c r="J7" i="15" l="1"/>
  <c r="J11" i="15"/>
  <c r="J10" i="15"/>
  <c r="J9" i="15"/>
  <c r="S54" i="14"/>
  <c r="AF46" i="14"/>
  <c r="AF50" i="14"/>
  <c r="AF49" i="14"/>
  <c r="AF48" i="14"/>
  <c r="G12" i="15"/>
  <c r="K19" i="11"/>
  <c r="K20" i="11"/>
  <c r="K21" i="11"/>
  <c r="K22" i="11"/>
  <c r="K17" i="11"/>
  <c r="K6" i="11"/>
  <c r="K7" i="11"/>
  <c r="K8" i="11"/>
  <c r="K9" i="11"/>
  <c r="K10" i="11"/>
  <c r="K5" i="11"/>
  <c r="H22" i="11"/>
  <c r="L58" i="14"/>
  <c r="D66" i="14"/>
  <c r="K66" i="14"/>
  <c r="J66" i="14"/>
  <c r="I66" i="14"/>
  <c r="H66" i="14"/>
  <c r="G66" i="14"/>
  <c r="F66" i="14"/>
  <c r="E66" i="14"/>
  <c r="L65" i="14"/>
  <c r="L64" i="14"/>
  <c r="L63" i="14"/>
  <c r="L62" i="14"/>
  <c r="L61" i="14"/>
  <c r="L60" i="14"/>
  <c r="L59" i="14"/>
  <c r="AC51" i="14"/>
  <c r="AC9" i="14"/>
  <c r="AD5" i="14" s="1"/>
  <c r="AD4" i="14"/>
  <c r="AD8" i="14"/>
  <c r="AD7" i="14"/>
  <c r="AD6" i="14"/>
  <c r="AF5" i="14"/>
  <c r="AF6" i="14"/>
  <c r="AF7" i="14"/>
  <c r="AF8" i="14"/>
  <c r="AF9" i="14"/>
  <c r="AF4" i="14"/>
  <c r="D25" i="14"/>
  <c r="L17" i="14"/>
  <c r="K25" i="14"/>
  <c r="J25" i="14"/>
  <c r="I25" i="14"/>
  <c r="H25" i="14"/>
  <c r="G25" i="14"/>
  <c r="F25" i="14"/>
  <c r="E25" i="14"/>
  <c r="L24" i="14"/>
  <c r="L23" i="14"/>
  <c r="L22" i="14"/>
  <c r="L21" i="14"/>
  <c r="L20" i="14"/>
  <c r="L19" i="14"/>
  <c r="L18" i="14"/>
  <c r="D9" i="12"/>
  <c r="G24" i="12"/>
  <c r="G23" i="12"/>
  <c r="G22" i="12"/>
  <c r="D25" i="12"/>
  <c r="E10" i="10"/>
  <c r="D51" i="11"/>
  <c r="E31" i="11" s="1"/>
  <c r="H10" i="11"/>
  <c r="H7" i="15" l="1"/>
  <c r="K7" i="15" s="1"/>
  <c r="H11" i="15"/>
  <c r="K11" i="15" s="1"/>
  <c r="H10" i="15"/>
  <c r="K10" i="15" s="1"/>
  <c r="H9" i="15"/>
  <c r="K9" i="15" s="1"/>
  <c r="H8" i="15"/>
  <c r="K8" i="15" s="1"/>
  <c r="W50" i="14"/>
  <c r="W53" i="14"/>
  <c r="W47" i="14"/>
  <c r="Q54" i="14"/>
  <c r="U46" i="14"/>
  <c r="U47" i="14"/>
  <c r="U48" i="14"/>
  <c r="U49" i="14"/>
  <c r="U50" i="14"/>
  <c r="U51" i="14"/>
  <c r="U52" i="14"/>
  <c r="U53" i="14"/>
  <c r="O52" i="14"/>
  <c r="V46" i="14"/>
  <c r="V47" i="14"/>
  <c r="V48" i="14"/>
  <c r="V49" i="14"/>
  <c r="V50" i="14"/>
  <c r="V51" i="14"/>
  <c r="V52" i="14"/>
  <c r="V53" i="14"/>
  <c r="V54" i="14"/>
  <c r="O53" i="14"/>
  <c r="W46" i="14"/>
  <c r="W48" i="14"/>
  <c r="W49" i="14"/>
  <c r="W51" i="14"/>
  <c r="W52" i="14"/>
  <c r="W54" i="14"/>
  <c r="O54" i="14"/>
  <c r="P46" i="14"/>
  <c r="P47" i="14"/>
  <c r="P48" i="14"/>
  <c r="P49" i="14"/>
  <c r="P50" i="14"/>
  <c r="P51" i="14"/>
  <c r="P52" i="14"/>
  <c r="P53" i="14"/>
  <c r="P54" i="14"/>
  <c r="O47" i="14"/>
  <c r="O46" i="14"/>
  <c r="Q46" i="14"/>
  <c r="Q47" i="14"/>
  <c r="Q48" i="14"/>
  <c r="Q49" i="14"/>
  <c r="Q50" i="14"/>
  <c r="Q51" i="14"/>
  <c r="Q52" i="14"/>
  <c r="Q53" i="14"/>
  <c r="O48" i="14"/>
  <c r="R46" i="14"/>
  <c r="R47" i="14"/>
  <c r="R48" i="14"/>
  <c r="R49" i="14"/>
  <c r="R50" i="14"/>
  <c r="R51" i="14"/>
  <c r="R52" i="14"/>
  <c r="R53" i="14"/>
  <c r="R54" i="14"/>
  <c r="O49" i="14"/>
  <c r="S46" i="14"/>
  <c r="S47" i="14"/>
  <c r="S48" i="14"/>
  <c r="S49" i="14"/>
  <c r="S50" i="14"/>
  <c r="S51" i="14"/>
  <c r="S52" i="14"/>
  <c r="S53" i="14"/>
  <c r="O50" i="14"/>
  <c r="T46" i="14"/>
  <c r="T47" i="14"/>
  <c r="T48" i="14"/>
  <c r="T49" i="14"/>
  <c r="T50" i="14"/>
  <c r="T51" i="14"/>
  <c r="T52" i="14"/>
  <c r="T53" i="14"/>
  <c r="T54" i="14"/>
  <c r="O51" i="14"/>
  <c r="U54" i="14"/>
  <c r="I22" i="11"/>
  <c r="L22" i="11" s="1"/>
  <c r="I17" i="11"/>
  <c r="L17" i="11" s="1"/>
  <c r="I21" i="11"/>
  <c r="L21" i="11" s="1"/>
  <c r="I20" i="11"/>
  <c r="L20" i="11" s="1"/>
  <c r="I19" i="11"/>
  <c r="L19" i="11" s="1"/>
  <c r="I18" i="11"/>
  <c r="L18" i="11" s="1"/>
  <c r="I8" i="11"/>
  <c r="L8" i="11" s="1"/>
  <c r="AD46" i="14"/>
  <c r="AG46" i="14" s="1"/>
  <c r="AD50" i="14"/>
  <c r="AG50" i="14" s="1"/>
  <c r="AD49" i="14"/>
  <c r="AG49" i="14" s="1"/>
  <c r="AD48" i="14"/>
  <c r="AG48" i="14" s="1"/>
  <c r="AD47" i="14"/>
  <c r="AG47" i="14" s="1"/>
  <c r="AD9" i="14"/>
  <c r="L66" i="14"/>
  <c r="W58" i="14" s="1"/>
  <c r="AG5" i="14"/>
  <c r="AG6" i="14"/>
  <c r="AG7" i="14"/>
  <c r="AG8" i="14"/>
  <c r="AG4" i="14"/>
  <c r="L25" i="14"/>
  <c r="F21" i="12"/>
  <c r="H21" i="12" s="1"/>
  <c r="F24" i="12"/>
  <c r="H24" i="12" s="1"/>
  <c r="F23" i="12"/>
  <c r="H23" i="12" s="1"/>
  <c r="F22" i="12"/>
  <c r="H22" i="12"/>
  <c r="F6" i="12"/>
  <c r="H6" i="12" s="1"/>
  <c r="F7" i="12"/>
  <c r="H7" i="12" s="1"/>
  <c r="F8" i="12"/>
  <c r="H8" i="12" s="1"/>
  <c r="F5" i="12"/>
  <c r="H5" i="12" s="1"/>
  <c r="E18" i="11"/>
  <c r="E24" i="11"/>
  <c r="E29" i="11"/>
  <c r="E25" i="11"/>
  <c r="E16" i="11"/>
  <c r="E30" i="11"/>
  <c r="E37" i="11"/>
  <c r="E22" i="11"/>
  <c r="E36" i="11"/>
  <c r="E7" i="11"/>
  <c r="E15" i="11"/>
  <c r="E38" i="11"/>
  <c r="E4" i="11"/>
  <c r="E33" i="11"/>
  <c r="E10" i="11"/>
  <c r="E41" i="11"/>
  <c r="E40" i="11"/>
  <c r="E5" i="11"/>
  <c r="E49" i="11"/>
  <c r="E14" i="11"/>
  <c r="E34" i="11"/>
  <c r="E48" i="11"/>
  <c r="E13" i="11"/>
  <c r="E42" i="11"/>
  <c r="E50" i="11"/>
  <c r="E21" i="11"/>
  <c r="I5" i="11"/>
  <c r="L5" i="11" s="1"/>
  <c r="E19" i="11"/>
  <c r="E28" i="11"/>
  <c r="E35" i="11"/>
  <c r="E47" i="11"/>
  <c r="E9" i="11"/>
  <c r="E27" i="11"/>
  <c r="E20" i="11"/>
  <c r="E44" i="11"/>
  <c r="E39" i="11"/>
  <c r="E17" i="11"/>
  <c r="E43" i="11"/>
  <c r="E12" i="11"/>
  <c r="E8" i="11"/>
  <c r="E45" i="11"/>
  <c r="E46" i="11"/>
  <c r="I9" i="11"/>
  <c r="L9" i="11" s="1"/>
  <c r="E3" i="11"/>
  <c r="E11" i="11"/>
  <c r="E6" i="11"/>
  <c r="E26" i="11"/>
  <c r="E32" i="11"/>
  <c r="E23" i="11"/>
  <c r="I6" i="11"/>
  <c r="L6" i="11" s="1"/>
  <c r="I7" i="11"/>
  <c r="L7" i="11" s="1"/>
  <c r="W72" i="14" l="1"/>
  <c r="W66" i="14"/>
  <c r="W80" i="14" s="1"/>
  <c r="O58" i="14"/>
  <c r="O72" i="14" s="1"/>
  <c r="V58" i="14"/>
  <c r="V72" i="14" s="1"/>
  <c r="U58" i="14"/>
  <c r="U72" i="14" s="1"/>
  <c r="T58" i="14"/>
  <c r="T72" i="14" s="1"/>
  <c r="S58" i="14"/>
  <c r="S72" i="14" s="1"/>
  <c r="R58" i="14"/>
  <c r="R72" i="14" s="1"/>
  <c r="Q58" i="14"/>
  <c r="Q72" i="14" s="1"/>
  <c r="P58" i="14"/>
  <c r="P72" i="14" s="1"/>
  <c r="V65" i="14"/>
  <c r="V79" i="14" s="1"/>
  <c r="U65" i="14"/>
  <c r="U79" i="14" s="1"/>
  <c r="T65" i="14"/>
  <c r="T79" i="14" s="1"/>
  <c r="S65" i="14"/>
  <c r="S79" i="14" s="1"/>
  <c r="R65" i="14"/>
  <c r="R79" i="14" s="1"/>
  <c r="Q65" i="14"/>
  <c r="Q79" i="14" s="1"/>
  <c r="P65" i="14"/>
  <c r="P79" i="14" s="1"/>
  <c r="O65" i="14"/>
  <c r="O79" i="14" s="1"/>
  <c r="V64" i="14"/>
  <c r="V78" i="14" s="1"/>
  <c r="U64" i="14"/>
  <c r="U78" i="14" s="1"/>
  <c r="T64" i="14"/>
  <c r="T78" i="14" s="1"/>
  <c r="S64" i="14"/>
  <c r="S78" i="14" s="1"/>
  <c r="R64" i="14"/>
  <c r="R78" i="14" s="1"/>
  <c r="Q64" i="14"/>
  <c r="Q78" i="14" s="1"/>
  <c r="P64" i="14"/>
  <c r="P78" i="14" s="1"/>
  <c r="O64" i="14"/>
  <c r="O78" i="14" s="1"/>
  <c r="V63" i="14"/>
  <c r="V77" i="14" s="1"/>
  <c r="U63" i="14"/>
  <c r="U77" i="14" s="1"/>
  <c r="T63" i="14"/>
  <c r="T77" i="14" s="1"/>
  <c r="S63" i="14"/>
  <c r="S77" i="14" s="1"/>
  <c r="R63" i="14"/>
  <c r="R77" i="14" s="1"/>
  <c r="Q63" i="14"/>
  <c r="Q77" i="14" s="1"/>
  <c r="P63" i="14"/>
  <c r="P77" i="14" s="1"/>
  <c r="O63" i="14"/>
  <c r="O77" i="14" s="1"/>
  <c r="V62" i="14"/>
  <c r="V76" i="14" s="1"/>
  <c r="U62" i="14"/>
  <c r="U76" i="14" s="1"/>
  <c r="T62" i="14"/>
  <c r="T76" i="14" s="1"/>
  <c r="S62" i="14"/>
  <c r="S76" i="14" s="1"/>
  <c r="R62" i="14"/>
  <c r="R76" i="14" s="1"/>
  <c r="Q62" i="14"/>
  <c r="Q76" i="14" s="1"/>
  <c r="P62" i="14"/>
  <c r="P76" i="14" s="1"/>
  <c r="O62" i="14"/>
  <c r="O76" i="14" s="1"/>
  <c r="V61" i="14"/>
  <c r="V75" i="14" s="1"/>
  <c r="U61" i="14"/>
  <c r="U75" i="14" s="1"/>
  <c r="T61" i="14"/>
  <c r="T75" i="14" s="1"/>
  <c r="S61" i="14"/>
  <c r="S75" i="14" s="1"/>
  <c r="R61" i="14"/>
  <c r="R75" i="14" s="1"/>
  <c r="Q61" i="14"/>
  <c r="Q75" i="14" s="1"/>
  <c r="P61" i="14"/>
  <c r="P75" i="14" s="1"/>
  <c r="O61" i="14"/>
  <c r="O75" i="14" s="1"/>
  <c r="V60" i="14"/>
  <c r="V74" i="14" s="1"/>
  <c r="U60" i="14"/>
  <c r="U74" i="14" s="1"/>
  <c r="T60" i="14"/>
  <c r="T74" i="14" s="1"/>
  <c r="S60" i="14"/>
  <c r="S74" i="14" s="1"/>
  <c r="R60" i="14"/>
  <c r="R74" i="14" s="1"/>
  <c r="Q60" i="14"/>
  <c r="Q74" i="14" s="1"/>
  <c r="P60" i="14"/>
  <c r="P74" i="14" s="1"/>
  <c r="O60" i="14"/>
  <c r="O74" i="14" s="1"/>
  <c r="V59" i="14"/>
  <c r="V73" i="14" s="1"/>
  <c r="U59" i="14"/>
  <c r="U73" i="14" s="1"/>
  <c r="T59" i="14"/>
  <c r="T73" i="14" s="1"/>
  <c r="S59" i="14"/>
  <c r="S73" i="14" s="1"/>
  <c r="R59" i="14"/>
  <c r="R73" i="14" s="1"/>
  <c r="Q59" i="14"/>
  <c r="Q73" i="14" s="1"/>
  <c r="P59" i="14"/>
  <c r="P73" i="14" s="1"/>
  <c r="O59" i="14"/>
  <c r="O73" i="14" s="1"/>
  <c r="W59" i="14"/>
  <c r="W73" i="14" s="1"/>
  <c r="W60" i="14"/>
  <c r="W74" i="14" s="1"/>
  <c r="W61" i="14"/>
  <c r="W75" i="14" s="1"/>
  <c r="W62" i="14"/>
  <c r="W76" i="14" s="1"/>
  <c r="W63" i="14"/>
  <c r="W77" i="14" s="1"/>
  <c r="W64" i="14"/>
  <c r="W78" i="14" s="1"/>
  <c r="W65" i="14"/>
  <c r="W79" i="14" s="1"/>
  <c r="P66" i="14"/>
  <c r="P80" i="14" s="1"/>
  <c r="Q66" i="14"/>
  <c r="Q80" i="14" s="1"/>
  <c r="R66" i="14"/>
  <c r="R80" i="14" s="1"/>
  <c r="S66" i="14"/>
  <c r="S80" i="14" s="1"/>
  <c r="T66" i="14"/>
  <c r="T80" i="14" s="1"/>
  <c r="U66" i="14"/>
  <c r="U80" i="14" s="1"/>
  <c r="V66" i="14"/>
  <c r="V80" i="14" s="1"/>
  <c r="O66" i="14"/>
  <c r="O80" i="14" s="1"/>
  <c r="W25" i="14"/>
  <c r="W38" i="14" s="1"/>
  <c r="O17" i="14"/>
  <c r="O30" i="14" s="1"/>
  <c r="V17" i="14"/>
  <c r="V30" i="14" s="1"/>
  <c r="U17" i="14"/>
  <c r="U30" i="14" s="1"/>
  <c r="T17" i="14"/>
  <c r="T30" i="14" s="1"/>
  <c r="S17" i="14"/>
  <c r="S30" i="14" s="1"/>
  <c r="R17" i="14"/>
  <c r="R30" i="14" s="1"/>
  <c r="Q17" i="14"/>
  <c r="Q30" i="14" s="1"/>
  <c r="P17" i="14"/>
  <c r="P30" i="14" s="1"/>
  <c r="V24" i="14"/>
  <c r="V37" i="14" s="1"/>
  <c r="U24" i="14"/>
  <c r="U37" i="14" s="1"/>
  <c r="T24" i="14"/>
  <c r="T37" i="14" s="1"/>
  <c r="S24" i="14"/>
  <c r="S37" i="14" s="1"/>
  <c r="R24" i="14"/>
  <c r="R37" i="14" s="1"/>
  <c r="Q24" i="14"/>
  <c r="Q37" i="14" s="1"/>
  <c r="P24" i="14"/>
  <c r="P37" i="14" s="1"/>
  <c r="O24" i="14"/>
  <c r="O37" i="14" s="1"/>
  <c r="V23" i="14"/>
  <c r="V36" i="14" s="1"/>
  <c r="U23" i="14"/>
  <c r="U36" i="14" s="1"/>
  <c r="T23" i="14"/>
  <c r="T36" i="14" s="1"/>
  <c r="S23" i="14"/>
  <c r="S36" i="14" s="1"/>
  <c r="R23" i="14"/>
  <c r="R36" i="14" s="1"/>
  <c r="Q23" i="14"/>
  <c r="Q36" i="14" s="1"/>
  <c r="P23" i="14"/>
  <c r="P36" i="14" s="1"/>
  <c r="O23" i="14"/>
  <c r="O36" i="14" s="1"/>
  <c r="V22" i="14"/>
  <c r="V35" i="14" s="1"/>
  <c r="U22" i="14"/>
  <c r="U35" i="14" s="1"/>
  <c r="T22" i="14"/>
  <c r="T35" i="14" s="1"/>
  <c r="S22" i="14"/>
  <c r="S35" i="14" s="1"/>
  <c r="R22" i="14"/>
  <c r="R35" i="14" s="1"/>
  <c r="Q22" i="14"/>
  <c r="Q35" i="14" s="1"/>
  <c r="P22" i="14"/>
  <c r="P35" i="14" s="1"/>
  <c r="O22" i="14"/>
  <c r="O35" i="14" s="1"/>
  <c r="V21" i="14"/>
  <c r="V34" i="14" s="1"/>
  <c r="U21" i="14"/>
  <c r="U34" i="14" s="1"/>
  <c r="T21" i="14"/>
  <c r="T34" i="14" s="1"/>
  <c r="S21" i="14"/>
  <c r="S34" i="14" s="1"/>
  <c r="R21" i="14"/>
  <c r="R34" i="14" s="1"/>
  <c r="Q21" i="14"/>
  <c r="Q34" i="14" s="1"/>
  <c r="P21" i="14"/>
  <c r="P34" i="14" s="1"/>
  <c r="O21" i="14"/>
  <c r="O34" i="14" s="1"/>
  <c r="V20" i="14"/>
  <c r="V33" i="14" s="1"/>
  <c r="U20" i="14"/>
  <c r="U33" i="14" s="1"/>
  <c r="T20" i="14"/>
  <c r="T33" i="14" s="1"/>
  <c r="S20" i="14"/>
  <c r="S33" i="14" s="1"/>
  <c r="R20" i="14"/>
  <c r="R33" i="14" s="1"/>
  <c r="Q20" i="14"/>
  <c r="Q33" i="14" s="1"/>
  <c r="P20" i="14"/>
  <c r="P33" i="14" s="1"/>
  <c r="O20" i="14"/>
  <c r="O33" i="14" s="1"/>
  <c r="V19" i="14"/>
  <c r="V32" i="14" s="1"/>
  <c r="U19" i="14"/>
  <c r="U32" i="14" s="1"/>
  <c r="T19" i="14"/>
  <c r="T32" i="14" s="1"/>
  <c r="S19" i="14"/>
  <c r="S32" i="14" s="1"/>
  <c r="R19" i="14"/>
  <c r="R32" i="14" s="1"/>
  <c r="Q19" i="14"/>
  <c r="Q32" i="14" s="1"/>
  <c r="P19" i="14"/>
  <c r="P32" i="14" s="1"/>
  <c r="O19" i="14"/>
  <c r="O32" i="14" s="1"/>
  <c r="V18" i="14"/>
  <c r="V31" i="14" s="1"/>
  <c r="U18" i="14"/>
  <c r="U31" i="14" s="1"/>
  <c r="T18" i="14"/>
  <c r="T31" i="14" s="1"/>
  <c r="S18" i="14"/>
  <c r="S31" i="14" s="1"/>
  <c r="R18" i="14"/>
  <c r="R31" i="14" s="1"/>
  <c r="Q18" i="14"/>
  <c r="Q31" i="14" s="1"/>
  <c r="P18" i="14"/>
  <c r="P31" i="14" s="1"/>
  <c r="O18" i="14"/>
  <c r="O31" i="14" s="1"/>
  <c r="W18" i="14"/>
  <c r="W31" i="14" s="1"/>
  <c r="W19" i="14"/>
  <c r="W32" i="14" s="1"/>
  <c r="W20" i="14"/>
  <c r="W33" i="14" s="1"/>
  <c r="W21" i="14"/>
  <c r="W34" i="14" s="1"/>
  <c r="W22" i="14"/>
  <c r="W35" i="14" s="1"/>
  <c r="W23" i="14"/>
  <c r="W36" i="14" s="1"/>
  <c r="W24" i="14"/>
  <c r="W37" i="14" s="1"/>
  <c r="P25" i="14"/>
  <c r="P38" i="14" s="1"/>
  <c r="Q25" i="14"/>
  <c r="Q38" i="14" s="1"/>
  <c r="R25" i="14"/>
  <c r="R38" i="14" s="1"/>
  <c r="S25" i="14"/>
  <c r="S38" i="14" s="1"/>
  <c r="T25" i="14"/>
  <c r="T38" i="14" s="1"/>
  <c r="U25" i="14"/>
  <c r="U38" i="14" s="1"/>
  <c r="V25" i="14"/>
  <c r="V38" i="14" s="1"/>
  <c r="W17" i="14"/>
  <c r="W30" i="14" s="1"/>
  <c r="O25" i="14"/>
  <c r="O38" i="14" s="1"/>
  <c r="E51" i="11"/>
  <c r="I10" i="11"/>
  <c r="L10" i="11" s="1"/>
  <c r="H40" i="4"/>
  <c r="H44" i="4"/>
  <c r="H45" i="4"/>
  <c r="H46" i="4"/>
  <c r="H37" i="4"/>
  <c r="H38" i="4"/>
  <c r="H39" i="4"/>
  <c r="H32" i="4"/>
  <c r="H33" i="4"/>
  <c r="I6" i="4"/>
  <c r="I7" i="4"/>
  <c r="I8" i="4"/>
  <c r="I9" i="4"/>
  <c r="I10" i="4"/>
  <c r="I11" i="4"/>
  <c r="I12" i="4"/>
  <c r="I13" i="4"/>
  <c r="I14" i="4"/>
  <c r="I15" i="4"/>
  <c r="I16" i="4"/>
  <c r="I17" i="4"/>
  <c r="I18" i="4"/>
  <c r="I19" i="4"/>
  <c r="I20" i="4"/>
  <c r="I21" i="4"/>
  <c r="I22" i="4"/>
  <c r="I23" i="4"/>
  <c r="I24" i="4"/>
  <c r="I25" i="4"/>
  <c r="I5" i="4"/>
  <c r="E6" i="4"/>
  <c r="L6" i="4" s="1"/>
  <c r="E7" i="4"/>
  <c r="L7" i="4" s="1"/>
  <c r="E8" i="4"/>
  <c r="L8" i="4" s="1"/>
  <c r="E9" i="4"/>
  <c r="L9" i="4" s="1"/>
  <c r="E10" i="4"/>
  <c r="L10" i="4" s="1"/>
  <c r="E11" i="4"/>
  <c r="L11" i="4" s="1"/>
  <c r="E12" i="4"/>
  <c r="L12" i="4" s="1"/>
  <c r="E13" i="4"/>
  <c r="L13" i="4" s="1"/>
  <c r="E14" i="4"/>
  <c r="L14" i="4" s="1"/>
  <c r="E15" i="4"/>
  <c r="L15" i="4" s="1"/>
  <c r="E16" i="4"/>
  <c r="L16" i="4" s="1"/>
  <c r="E17" i="4"/>
  <c r="L17" i="4" s="1"/>
  <c r="E18" i="4"/>
  <c r="L18" i="4" s="1"/>
  <c r="E19" i="4"/>
  <c r="L19" i="4" s="1"/>
  <c r="E20" i="4"/>
  <c r="L20" i="4" s="1"/>
  <c r="E21" i="4"/>
  <c r="L21" i="4" s="1"/>
  <c r="E22" i="4"/>
  <c r="L22" i="4" s="1"/>
  <c r="E23" i="4"/>
  <c r="L23" i="4" s="1"/>
  <c r="E24" i="4"/>
  <c r="L24" i="4" s="1"/>
  <c r="E25" i="4"/>
  <c r="L25" i="4" s="1"/>
  <c r="L5" i="4"/>
  <c r="E26" i="9"/>
  <c r="D15" i="9"/>
  <c r="F15" i="9" s="1"/>
  <c r="D16" i="9"/>
  <c r="F16" i="9" s="1"/>
  <c r="D17" i="9"/>
  <c r="F17" i="9" s="1"/>
  <c r="D18" i="9"/>
  <c r="F18" i="9" s="1"/>
  <c r="D19" i="9"/>
  <c r="F19" i="9" s="1"/>
  <c r="D20" i="9"/>
  <c r="F20" i="9" s="1"/>
  <c r="D21" i="9"/>
  <c r="F21" i="9" s="1"/>
  <c r="D22" i="9"/>
  <c r="F22" i="9" s="1"/>
  <c r="D23" i="9"/>
  <c r="F23" i="9" s="1"/>
  <c r="D24" i="9"/>
  <c r="F24" i="9" s="1"/>
  <c r="D25" i="9"/>
  <c r="D14" i="9"/>
  <c r="F14" i="9" s="1"/>
  <c r="E5" i="9"/>
  <c r="E6" i="9"/>
  <c r="E7" i="9"/>
  <c r="E8" i="9"/>
  <c r="E4" i="9"/>
  <c r="D5" i="9"/>
  <c r="D6" i="9"/>
  <c r="D7" i="9"/>
  <c r="D8" i="9"/>
  <c r="D4" i="9"/>
  <c r="D17" i="7"/>
  <c r="F17" i="7" s="1"/>
  <c r="D18" i="7"/>
  <c r="F18" i="7" s="1"/>
  <c r="D19" i="7"/>
  <c r="F19" i="7" s="1"/>
  <c r="D20" i="7"/>
  <c r="F20" i="7" s="1"/>
  <c r="D21" i="7"/>
  <c r="F21" i="7" s="1"/>
  <c r="D22" i="7"/>
  <c r="F22" i="7" s="1"/>
  <c r="D23" i="7"/>
  <c r="F23" i="7" s="1"/>
  <c r="D24" i="7"/>
  <c r="F24" i="7" s="1"/>
  <c r="D25" i="7"/>
  <c r="F25" i="7" s="1"/>
  <c r="D26" i="7"/>
  <c r="F26" i="7" s="1"/>
  <c r="D27" i="7"/>
  <c r="D16" i="7"/>
  <c r="F16" i="7" s="1"/>
  <c r="E7" i="7"/>
  <c r="E8" i="7"/>
  <c r="E9" i="7"/>
  <c r="E10" i="7"/>
  <c r="D7" i="7"/>
  <c r="D8" i="7"/>
  <c r="D9" i="7"/>
  <c r="D10" i="7"/>
  <c r="D6" i="7"/>
  <c r="H41" i="4" l="1"/>
  <c r="I40" i="4"/>
  <c r="I39" i="4"/>
  <c r="H47" i="4"/>
  <c r="I45" i="4"/>
  <c r="I38" i="4"/>
  <c r="I44" i="4"/>
  <c r="I33" i="4"/>
  <c r="I46" i="4"/>
  <c r="F7" i="9"/>
  <c r="H7" i="9" s="1"/>
  <c r="F6" i="9"/>
  <c r="H6" i="9" s="1"/>
  <c r="F5" i="9"/>
  <c r="H5" i="9" s="1"/>
  <c r="F6" i="7"/>
  <c r="F8" i="9"/>
  <c r="H8" i="9" s="1"/>
  <c r="D9" i="9"/>
  <c r="D26" i="9"/>
  <c r="L40" i="4"/>
  <c r="F10" i="7"/>
  <c r="H10" i="7" s="1"/>
  <c r="D11" i="7"/>
  <c r="E11" i="7"/>
  <c r="F9" i="7"/>
  <c r="H9" i="7" s="1"/>
  <c r="F8" i="7"/>
  <c r="H8" i="7" s="1"/>
  <c r="E32" i="4"/>
  <c r="L32" i="4" s="1"/>
  <c r="E31" i="4"/>
  <c r="L31" i="4" s="1"/>
  <c r="E33" i="4"/>
  <c r="L33" i="4" s="1"/>
  <c r="E40" i="4"/>
  <c r="E37" i="4"/>
  <c r="L37" i="4" s="1"/>
  <c r="I32" i="4"/>
  <c r="I37" i="4"/>
  <c r="E45" i="4"/>
  <c r="L45" i="4" s="1"/>
  <c r="E38" i="4"/>
  <c r="L38" i="4" s="1"/>
  <c r="H34" i="4"/>
  <c r="I31" i="4"/>
  <c r="E39" i="4"/>
  <c r="L39" i="4" s="1"/>
  <c r="E44" i="4"/>
  <c r="E46" i="4"/>
  <c r="L46" i="4" s="1"/>
  <c r="I26" i="4"/>
  <c r="E26" i="4"/>
  <c r="L26" i="4" s="1"/>
  <c r="E9" i="9"/>
  <c r="I41" i="4" l="1"/>
  <c r="I47" i="4"/>
  <c r="F11" i="7"/>
  <c r="E41" i="4"/>
  <c r="L41" i="4" s="1"/>
  <c r="E34" i="4"/>
  <c r="L34" i="4" s="1"/>
  <c r="L44" i="4"/>
  <c r="E47" i="4"/>
  <c r="L47" i="4" s="1"/>
  <c r="I34" i="4"/>
  <c r="F9" i="4"/>
  <c r="K9" i="4" s="1"/>
  <c r="F18" i="4"/>
  <c r="K18" i="4" s="1"/>
  <c r="F7" i="4"/>
  <c r="F8" i="4"/>
  <c r="F16" i="4"/>
  <c r="K16" i="4" s="1"/>
  <c r="F24" i="4"/>
  <c r="K24" i="4" s="1"/>
  <c r="F6" i="4"/>
  <c r="F5" i="4"/>
  <c r="F12" i="4"/>
  <c r="K12" i="4" s="1"/>
  <c r="F20" i="4"/>
  <c r="K20" i="4" s="1"/>
  <c r="F13" i="4"/>
  <c r="K13" i="4" s="1"/>
  <c r="F21" i="4"/>
  <c r="K21" i="4" s="1"/>
  <c r="F17" i="4"/>
  <c r="F25" i="4"/>
  <c r="K25" i="4" s="1"/>
  <c r="F22" i="4"/>
  <c r="K22" i="4" s="1"/>
  <c r="F15" i="4"/>
  <c r="K15" i="4" s="1"/>
  <c r="F23" i="4"/>
  <c r="K23" i="4" s="1"/>
  <c r="F19" i="4"/>
  <c r="K19" i="4" s="1"/>
  <c r="F11" i="4"/>
  <c r="F10" i="4"/>
  <c r="K10" i="4" s="1"/>
  <c r="F14" i="4"/>
  <c r="F44" i="4" l="1"/>
  <c r="K44" i="4" s="1"/>
  <c r="F37" i="4"/>
  <c r="F31" i="4"/>
  <c r="K6" i="4"/>
  <c r="F45" i="4"/>
  <c r="K14" i="4"/>
  <c r="K40" i="4" s="1"/>
  <c r="F40" i="4"/>
  <c r="F32" i="4"/>
  <c r="K32" i="4" s="1"/>
  <c r="K17" i="4"/>
  <c r="F33" i="4"/>
  <c r="K33" i="4" s="1"/>
  <c r="K11" i="4"/>
  <c r="F38" i="4"/>
  <c r="K7" i="4"/>
  <c r="F46" i="4"/>
  <c r="K46" i="4" s="1"/>
  <c r="K8" i="4"/>
  <c r="F39" i="4"/>
  <c r="K39" i="4" s="1"/>
  <c r="F26" i="4"/>
  <c r="K26" i="4" s="1"/>
  <c r="K5" i="4"/>
  <c r="K37" i="4" l="1"/>
  <c r="F41" i="4"/>
  <c r="K41" i="4" s="1"/>
  <c r="F47" i="4"/>
  <c r="K47" i="4" s="1"/>
  <c r="K45" i="4"/>
  <c r="K38" i="4"/>
  <c r="F34" i="4"/>
  <c r="K34" i="4" s="1"/>
  <c r="K31" i="4"/>
</calcChain>
</file>

<file path=xl/sharedStrings.xml><?xml version="1.0" encoding="utf-8"?>
<sst xmlns="http://schemas.openxmlformats.org/spreadsheetml/2006/main" count="1373" uniqueCount="275">
  <si>
    <t>Percent of Household days upon which food, service or package received at home</t>
  </si>
  <si>
    <t>All Households</t>
  </si>
  <si>
    <t>Model</t>
  </si>
  <si>
    <t>Survey</t>
  </si>
  <si>
    <t>Difference</t>
  </si>
  <si>
    <t>Food</t>
  </si>
  <si>
    <t>Service</t>
  </si>
  <si>
    <t>Package</t>
  </si>
  <si>
    <t>Household Income Group</t>
  </si>
  <si>
    <t>Not Reported</t>
  </si>
  <si>
    <t>less than $50,000</t>
  </si>
  <si>
    <t>$50,000-$99,999</t>
  </si>
  <si>
    <t>$100,000-$199,999</t>
  </si>
  <si>
    <t>$200,000 or more</t>
  </si>
  <si>
    <t xml:space="preserve">Note: The numbers highlighted in green are calibrated in the model </t>
  </si>
  <si>
    <t>* Due to non-reported income groups, it was not possible to perfectly align the rates by income group with the overall rates. The models were calibrated to the overall rates.</t>
  </si>
  <si>
    <t>** Due to the small number of observations, it was not possible to estimate stastically significan income parameters for Food deliveries to households. Therefore, the calibration focused only on total deliveries per household.</t>
  </si>
  <si>
    <t>Establishments Attracting Goods Deliveries or Service Visits</t>
  </si>
  <si>
    <t>Establishments with at least 1 attractor</t>
  </si>
  <si>
    <t>Percent</t>
  </si>
  <si>
    <t>Insutry Group</t>
  </si>
  <si>
    <t>% Difference</t>
  </si>
  <si>
    <t>MIL</t>
  </si>
  <si>
    <t>MFG, WHL, RET</t>
  </si>
  <si>
    <t>IUT, LAF</t>
  </si>
  <si>
    <t>AGM, CON, TRN, EPO, MHS</t>
  </si>
  <si>
    <t>IFO</t>
  </si>
  <si>
    <t>Total</t>
  </si>
  <si>
    <t>Mean Attractions given at least 1</t>
  </si>
  <si>
    <t>Industry</t>
  </si>
  <si>
    <t>Agriculture Mining</t>
  </si>
  <si>
    <t>Manufacturing</t>
  </si>
  <si>
    <t>Industry Utilities</t>
  </si>
  <si>
    <t>Retail</t>
  </si>
  <si>
    <t>Wholesale</t>
  </si>
  <si>
    <t>Construction</t>
  </si>
  <si>
    <t>Transportation</t>
  </si>
  <si>
    <t>Info Finance Insurance Real Estate professional</t>
  </si>
  <si>
    <t>Education Public Services</t>
  </si>
  <si>
    <t>Medical health</t>
  </si>
  <si>
    <t>Leisure Accomodation Food</t>
  </si>
  <si>
    <t>Military</t>
  </si>
  <si>
    <t>Commercial Vehicle Routes (Vehicle Days)</t>
  </si>
  <si>
    <t>Industry Group</t>
  </si>
  <si>
    <t>Number of Establishments</t>
  </si>
  <si>
    <t>Establishments with atleast 1 Route</t>
  </si>
  <si>
    <t>AGM, MFG, WHL</t>
  </si>
  <si>
    <t>IUT, RET, CON</t>
  </si>
  <si>
    <t>IFR, LAF</t>
  </si>
  <si>
    <t>EPO, MHS</t>
  </si>
  <si>
    <t>Total Routes</t>
  </si>
  <si>
    <t>Total TNC Routes per day in model region</t>
  </si>
  <si>
    <t>TNC Client Group Category</t>
  </si>
  <si>
    <t>routes</t>
  </si>
  <si>
    <t>routes_wtd</t>
  </si>
  <si>
    <t>TNCNRR</t>
  </si>
  <si>
    <t>Not Restaurant or Retail</t>
  </si>
  <si>
    <t>TNCRES</t>
  </si>
  <si>
    <t>Restaurant</t>
  </si>
  <si>
    <t>TNCRET</t>
  </si>
  <si>
    <t>Route Choice of Primary Purpose, Customer Type, and Vehicle Type</t>
  </si>
  <si>
    <t>Altname</t>
  </si>
  <si>
    <t>All Joint Alternatives</t>
  </si>
  <si>
    <t>vpcAltN</t>
  </si>
  <si>
    <t>Model - % Share</t>
  </si>
  <si>
    <t>Survey - % Share</t>
  </si>
  <si>
    <t>% Share Difference</t>
  </si>
  <si>
    <t>Alt1_GML</t>
  </si>
  <si>
    <t>Goods_Mixed_LCV</t>
  </si>
  <si>
    <t>Alt2_GMM</t>
  </si>
  <si>
    <t>Goods_Mixed_MUT</t>
  </si>
  <si>
    <t>Alt3_GMS</t>
  </si>
  <si>
    <t>Goods_Mixed_SUT</t>
  </si>
  <si>
    <t>Alt4_GNL</t>
  </si>
  <si>
    <t>Goods_NonRes_LCV</t>
  </si>
  <si>
    <t>Alt5_GNM</t>
  </si>
  <si>
    <t>Goods_NonRes_MUT</t>
  </si>
  <si>
    <t>Alt6_GNS</t>
  </si>
  <si>
    <t>Goods_NonRes_SUT</t>
  </si>
  <si>
    <t>Alt7_GRL</t>
  </si>
  <si>
    <t>Goods_Res_LCV</t>
  </si>
  <si>
    <t>Alt8_GRM</t>
  </si>
  <si>
    <t>Goods_Res_MUT</t>
  </si>
  <si>
    <t>Alt9_GRS</t>
  </si>
  <si>
    <t>Goods_Res_SUT</t>
  </si>
  <si>
    <t>Alt10_ML</t>
  </si>
  <si>
    <t>Maintenance_LCV</t>
  </si>
  <si>
    <t>Alt11_MM</t>
  </si>
  <si>
    <t>Maintenance_MUT</t>
  </si>
  <si>
    <t>Alt12_MS</t>
  </si>
  <si>
    <t>Maintenance_SUT</t>
  </si>
  <si>
    <t>Alt13_SML</t>
  </si>
  <si>
    <t>Service_Mixed_LCV</t>
  </si>
  <si>
    <t>Alt14_SMM</t>
  </si>
  <si>
    <t>Service_Mixed_MUT</t>
  </si>
  <si>
    <t>Alt15_SMS</t>
  </si>
  <si>
    <t>Service_Mixed_SUT</t>
  </si>
  <si>
    <t>Alt16_SNL</t>
  </si>
  <si>
    <t>Service_NonRes_LCV</t>
  </si>
  <si>
    <t>Alt17_SNM</t>
  </si>
  <si>
    <t>Service_NonRes_MUT</t>
  </si>
  <si>
    <t>Alt18_SNS</t>
  </si>
  <si>
    <t>Service_NonRes_SUT</t>
  </si>
  <si>
    <t>Alt19_SRL</t>
  </si>
  <si>
    <t>Service_Res_LCV</t>
  </si>
  <si>
    <t>Alt20_SRM</t>
  </si>
  <si>
    <t>Service_Res_MUT</t>
  </si>
  <si>
    <t>Alt21_SRS</t>
  </si>
  <si>
    <t>Service_Res_SUT</t>
  </si>
  <si>
    <t>Marginal Summaries</t>
  </si>
  <si>
    <t>Purpose</t>
  </si>
  <si>
    <t>Goods</t>
  </si>
  <si>
    <t>Maintenance</t>
  </si>
  <si>
    <t>Customer Type</t>
  </si>
  <si>
    <t>Mixed</t>
  </si>
  <si>
    <t>Residential</t>
  </si>
  <si>
    <t>Non-Residential</t>
  </si>
  <si>
    <t>NA</t>
  </si>
  <si>
    <t>Vehicles</t>
  </si>
  <si>
    <t>LCV</t>
  </si>
  <si>
    <t>MUT</t>
  </si>
  <si>
    <t>SUT</t>
  </si>
  <si>
    <t>Start Time</t>
  </si>
  <si>
    <t xml:space="preserve">Time </t>
  </si>
  <si>
    <t>Total Routes (CVM + TNC)</t>
  </si>
  <si>
    <t>% Share</t>
  </si>
  <si>
    <t>CVM Trips</t>
  </si>
  <si>
    <t>Time Period</t>
  </si>
  <si>
    <t>Model Routes</t>
  </si>
  <si>
    <t>Model % Share</t>
  </si>
  <si>
    <t>Survey - Routes</t>
  </si>
  <si>
    <t>Survey % Share</t>
  </si>
  <si>
    <t>AM</t>
  </si>
  <si>
    <t>MD</t>
  </si>
  <si>
    <t>PM</t>
  </si>
  <si>
    <t>EV</t>
  </si>
  <si>
    <t>EA</t>
  </si>
  <si>
    <t>TNC</t>
  </si>
  <si>
    <t>Origination Type</t>
  </si>
  <si>
    <t>Routes</t>
  </si>
  <si>
    <t>Shares</t>
  </si>
  <si>
    <t>Model Keys</t>
  </si>
  <si>
    <t>Survey Keys</t>
  </si>
  <si>
    <t>base</t>
  </si>
  <si>
    <t>Base</t>
  </si>
  <si>
    <t>warehouse</t>
  </si>
  <si>
    <t>Warehouse</t>
  </si>
  <si>
    <t>residential</t>
  </si>
  <si>
    <t>commercial</t>
  </si>
  <si>
    <t>OtherNonResidential</t>
  </si>
  <si>
    <t>Origin Distance</t>
  </si>
  <si>
    <t>Terminal Type</t>
  </si>
  <si>
    <t>Destination Distance</t>
  </si>
  <si>
    <t>Terminal Distance</t>
  </si>
  <si>
    <t>Establishment Trips</t>
  </si>
  <si>
    <t>CVM Trips - By origin and destination trips</t>
  </si>
  <si>
    <t>Trips by Time Period</t>
  </si>
  <si>
    <t>Survey Trips</t>
  </si>
  <si>
    <t>Trip Origin Purpose\Trip Destination Purpose</t>
  </si>
  <si>
    <t>Goods_Delivery</t>
  </si>
  <si>
    <t>Goods_Pickup</t>
  </si>
  <si>
    <t>Home</t>
  </si>
  <si>
    <t>Maintenance/Other</t>
  </si>
  <si>
    <t>Originate</t>
  </si>
  <si>
    <t>Terminal Destination</t>
  </si>
  <si>
    <t>Model Share</t>
  </si>
  <si>
    <t>Survey Share</t>
  </si>
  <si>
    <t>Serive</t>
  </si>
  <si>
    <t xml:space="preserve">                                       -  </t>
  </si>
  <si>
    <t>Model Trips</t>
  </si>
  <si>
    <t>goods_delivery</t>
  </si>
  <si>
    <t>goods_pickup</t>
  </si>
  <si>
    <t>home</t>
  </si>
  <si>
    <t>maintenance</t>
  </si>
  <si>
    <t>originate</t>
  </si>
  <si>
    <t>service</t>
  </si>
  <si>
    <t>terminate</t>
  </si>
  <si>
    <t>TNC Trips - By origin and destination trips</t>
  </si>
  <si>
    <t>TNC Trips</t>
  </si>
  <si>
    <t>Trips by Destination type</t>
  </si>
  <si>
    <t>Survey - Destination type</t>
  </si>
  <si>
    <t>Model - Destination Type</t>
  </si>
  <si>
    <t xml:space="preserve"> Model </t>
  </si>
  <si>
    <t xml:space="preserve"> Model Share </t>
  </si>
  <si>
    <t xml:space="preserve"> Survey </t>
  </si>
  <si>
    <t xml:space="preserve"> Survey Share </t>
  </si>
  <si>
    <t xml:space="preserve"> Difference </t>
  </si>
  <si>
    <t>TransportNode</t>
  </si>
  <si>
    <t>intermodal</t>
  </si>
  <si>
    <t> </t>
  </si>
  <si>
    <t>Estblishments Average distance by vehicle type</t>
  </si>
  <si>
    <t>Vehicle Type</t>
  </si>
  <si>
    <t>TNC Average distance by vehicle type</t>
  </si>
  <si>
    <t>Route Start Time</t>
  </si>
  <si>
    <t>Route Generation TNC</t>
  </si>
  <si>
    <t>Route Origination</t>
  </si>
  <si>
    <t>CVM trips</t>
  </si>
  <si>
    <t>Attractor</t>
  </si>
  <si>
    <t>Value</t>
  </si>
  <si>
    <t>Income_Group</t>
  </si>
  <si>
    <t>Age_Group_1</t>
  </si>
  <si>
    <t>Age_Group_2</t>
  </si>
  <si>
    <t>Age_Group_3</t>
  </si>
  <si>
    <t>industry_group2</t>
  </si>
  <si>
    <t>count</t>
  </si>
  <si>
    <t>attraction_count</t>
  </si>
  <si>
    <t>industry_number</t>
  </si>
  <si>
    <t>sum_attractions</t>
  </si>
  <si>
    <t>mean_attractions</t>
  </si>
  <si>
    <t>industry_group_num</t>
  </si>
  <si>
    <t>has_generation</t>
  </si>
  <si>
    <t>total_routes</t>
  </si>
  <si>
    <t>vpc_alt</t>
  </si>
  <si>
    <t>group</t>
  </si>
  <si>
    <t>route_id</t>
  </si>
  <si>
    <t>start_time</t>
  </si>
  <si>
    <t>origination_stop_type</t>
  </si>
  <si>
    <t>business_type</t>
  </si>
  <si>
    <t>vehicle_type</t>
  </si>
  <si>
    <t>dist_estab2orig</t>
  </si>
  <si>
    <t>terminal_stop_type</t>
  </si>
  <si>
    <t>dist_estab2dest</t>
  </si>
  <si>
    <t>trip_origin_purpose</t>
  </si>
  <si>
    <t>trip_destination_type</t>
  </si>
  <si>
    <t>_dist</t>
  </si>
  <si>
    <t>trip_start_time_period</t>
  </si>
  <si>
    <t>AGM</t>
  </si>
  <si>
    <t>CON</t>
  </si>
  <si>
    <t>EPO</t>
  </si>
  <si>
    <t>IFR</t>
  </si>
  <si>
    <t>IUT</t>
  </si>
  <si>
    <t>LAF</t>
  </si>
  <si>
    <t>MFG</t>
  </si>
  <si>
    <t>MHS</t>
  </si>
  <si>
    <t>RET</t>
  </si>
  <si>
    <t>TRN</t>
  </si>
  <si>
    <t>WHL</t>
  </si>
  <si>
    <t>trip_tod</t>
  </si>
  <si>
    <t>index</t>
  </si>
  <si>
    <t>Percentage</t>
  </si>
  <si>
    <t>ind_aggregate</t>
  </si>
  <si>
    <t>aggr_industries</t>
  </si>
  <si>
    <t>pct_nonzero_del</t>
  </si>
  <si>
    <t>base_location_Industry Group</t>
  </si>
  <si>
    <t>Industry_Group_Name</t>
  </si>
  <si>
    <t>avg_num_deliveries</t>
  </si>
  <si>
    <t>mean_routes</t>
  </si>
  <si>
    <t>industry_num</t>
  </si>
  <si>
    <t>expnsn_factor</t>
  </si>
  <si>
    <t>TOD</t>
  </si>
  <si>
    <t>industry_group</t>
  </si>
  <si>
    <t>orig_type</t>
  </si>
  <si>
    <t>veh_type</t>
  </si>
  <si>
    <t>mean_dist</t>
  </si>
  <si>
    <t>dest_type</t>
  </si>
  <si>
    <t>o_act_seg_name</t>
  </si>
  <si>
    <t>tod</t>
  </si>
  <si>
    <t>['MFG', 'RET', 'WHL']</t>
  </si>
  <si>
    <t>TNC_NonRestRetl</t>
  </si>
  <si>
    <t>Agriculture/Mining</t>
  </si>
  <si>
    <t>['IUT', 'LAF']</t>
  </si>
  <si>
    <t>TNC_Restaurant</t>
  </si>
  <si>
    <t xml:space="preserve">Construction </t>
  </si>
  <si>
    <t>['AGM', 'CON', 'EPO', 'MHS', 'TRN']</t>
  </si>
  <si>
    <t>TNC_Retail</t>
  </si>
  <si>
    <t>Education/Other public services</t>
  </si>
  <si>
    <t>['IFR']</t>
  </si>
  <si>
    <t>Industrial/Utilities</t>
  </si>
  <si>
    <t>Info/Finance/Insurance/Real Estate/Professional services</t>
  </si>
  <si>
    <t>Leisure/Accommodations and Food</t>
  </si>
  <si>
    <t xml:space="preserve">Manufacturing </t>
  </si>
  <si>
    <t>Medical/Health Services</t>
  </si>
  <si>
    <t xml:space="preserve">Retail </t>
  </si>
  <si>
    <t xml:space="preserve">Transportation </t>
  </si>
  <si>
    <t xml:space="preserve">Wholesale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</si>
</sst>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00_);_(* \(#,##0.000\);_(* &quot;-&quot;??_);_(@_)"/>
    <numFmt numFmtId="167" formatCode="_(* #,##0.0000_);_(* \(#,##0.0000\);_(* &quot;-&quot;??_);_(@_)"/>
    <numFmt numFmtId="168" formatCode="0.000"/>
  </numFmts>
  <fonts count="32"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1"/>
      <color rgb="FF000000"/>
      <name val="Aptos Narrow"/>
      <family val="2"/>
    </font>
    <font>
      <b/>
      <sz val="11"/>
      <color rgb="FF00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rgb="FF000000"/>
      <name val="Aptos Narrow"/>
      <family val="2"/>
    </font>
    <font>
      <b/>
      <sz val="11"/>
      <name val="Calibri"/>
    </font>
    <font>
      <sz val="11"/>
      <color rgb="FF000000"/>
      <name val="Calibri"/>
      <family val="2"/>
    </font>
    <font>
      <b/>
      <sz val="18"/>
      <color rgb="FF000000"/>
      <name val="Calibri"/>
      <family val="2"/>
    </font>
    <font>
      <b/>
      <sz val="11"/>
      <color rgb="FF000000"/>
      <name val="Calibri"/>
      <family val="2"/>
    </font>
    <font>
      <b/>
      <sz val="12"/>
      <color rgb="FF000000"/>
      <name val="Calibri"/>
      <family val="2"/>
    </font>
    <font>
      <b/>
      <sz val="12"/>
      <color theme="1"/>
      <name val="Calibri"/>
      <family val="2"/>
      <scheme val="minor"/>
    </font>
    <font>
      <b/>
      <sz val="14"/>
      <color theme="1"/>
      <name val="Calibri"/>
      <family val="2"/>
      <scheme val="minor"/>
    </font>
    <font>
      <b/>
      <sz val="11"/>
      <name val="Calibri"/>
      <family val="2"/>
    </font>
    <font>
      <b/>
      <sz val="72"/>
      <color theme="1"/>
      <name val="Calibri"/>
      <family val="2"/>
      <scheme val="minor"/>
    </font>
    <font>
      <b/>
      <sz val="11"/>
      <color rgb="FF000000"/>
      <name val="Calibri"/>
    </font>
  </fonts>
  <fills count="42">
    <fill>
      <patternFill patternType="none"/>
    </fill>
    <fill>
      <patternFill patternType="gray125"/>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rgb="FFFFF2CC"/>
        <bgColor rgb="FF000000"/>
      </patternFill>
    </fill>
    <fill>
      <patternFill patternType="solid">
        <fgColor rgb="FFDDEBF7"/>
        <bgColor rgb="FF000000"/>
      </patternFill>
    </fill>
    <fill>
      <patternFill patternType="solid">
        <fgColor rgb="FFFCFCFF"/>
        <bgColor rgb="FF000000"/>
      </patternFill>
    </fill>
    <fill>
      <patternFill patternType="solid">
        <fgColor rgb="FFF86C6E"/>
        <bgColor rgb="FF000000"/>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thin">
        <color rgb="FF000000"/>
      </left>
      <right style="thin">
        <color rgb="FF000000"/>
      </right>
      <top/>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8" fillId="0" borderId="5" applyNumberFormat="0" applyFill="0" applyAlignment="0" applyProtection="0"/>
    <xf numFmtId="0" fontId="9" fillId="0" borderId="6"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7" applyNumberFormat="0" applyAlignment="0" applyProtection="0"/>
    <xf numFmtId="0" fontId="14" fillId="7" borderId="8" applyNumberFormat="0" applyAlignment="0" applyProtection="0"/>
    <xf numFmtId="0" fontId="15" fillId="7" borderId="7" applyNumberFormat="0" applyAlignment="0" applyProtection="0"/>
    <xf numFmtId="0" fontId="16" fillId="0" borderId="9" applyNumberFormat="0" applyFill="0" applyAlignment="0" applyProtection="0"/>
    <xf numFmtId="0" fontId="17" fillId="8" borderId="10" applyNumberFormat="0" applyAlignment="0" applyProtection="0"/>
    <xf numFmtId="0" fontId="18" fillId="0" borderId="0" applyNumberFormat="0" applyFill="0" applyBorder="0" applyAlignment="0" applyProtection="0"/>
    <xf numFmtId="0" fontId="1" fillId="9" borderId="11" applyNumberFormat="0" applyFont="0" applyAlignment="0" applyProtection="0"/>
    <xf numFmtId="0" fontId="19" fillId="0" borderId="0" applyNumberFormat="0" applyFill="0" applyBorder="0" applyAlignment="0" applyProtection="0"/>
    <xf numFmtId="0" fontId="3" fillId="0" borderId="12"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147">
    <xf numFmtId="0" fontId="0" fillId="0" borderId="0" xfId="0"/>
    <xf numFmtId="0" fontId="2" fillId="0" borderId="0" xfId="0" applyFont="1"/>
    <xf numFmtId="164" fontId="0" fillId="0" borderId="0" xfId="1" applyNumberFormat="1" applyFont="1"/>
    <xf numFmtId="9" fontId="0" fillId="0" borderId="0" xfId="2" applyFont="1"/>
    <xf numFmtId="164" fontId="0" fillId="0" borderId="0" xfId="0" applyNumberFormat="1"/>
    <xf numFmtId="165" fontId="0" fillId="0" borderId="0" xfId="2" applyNumberFormat="1" applyFont="1"/>
    <xf numFmtId="0" fontId="2" fillId="0" borderId="1" xfId="0" applyFont="1" applyBorder="1"/>
    <xf numFmtId="164" fontId="0" fillId="0" borderId="1" xfId="1" applyNumberFormat="1" applyFont="1" applyBorder="1"/>
    <xf numFmtId="164" fontId="2" fillId="0" borderId="1" xfId="1" applyNumberFormat="1" applyFont="1" applyBorder="1"/>
    <xf numFmtId="9" fontId="0" fillId="0" borderId="1" xfId="2" applyFont="1" applyBorder="1"/>
    <xf numFmtId="0" fontId="0" fillId="0" borderId="1" xfId="0" applyBorder="1"/>
    <xf numFmtId="0" fontId="4" fillId="0" borderId="1" xfId="0" applyFont="1" applyBorder="1"/>
    <xf numFmtId="43" fontId="0" fillId="0" borderId="0" xfId="0" applyNumberFormat="1"/>
    <xf numFmtId="10" fontId="0" fillId="0" borderId="0" xfId="2" applyNumberFormat="1" applyFont="1"/>
    <xf numFmtId="167" fontId="0" fillId="0" borderId="1" xfId="1" applyNumberFormat="1" applyFont="1" applyBorder="1"/>
    <xf numFmtId="10" fontId="0" fillId="0" borderId="1" xfId="2" applyNumberFormat="1" applyFont="1" applyBorder="1"/>
    <xf numFmtId="166" fontId="0" fillId="0" borderId="1" xfId="1" applyNumberFormat="1" applyFont="1" applyBorder="1"/>
    <xf numFmtId="166" fontId="4" fillId="0" borderId="0" xfId="1" applyNumberFormat="1" applyFont="1"/>
    <xf numFmtId="0" fontId="3" fillId="0" borderId="1" xfId="0" applyFont="1" applyBorder="1"/>
    <xf numFmtId="164" fontId="3" fillId="0" borderId="1" xfId="1" applyNumberFormat="1" applyFont="1" applyBorder="1"/>
    <xf numFmtId="167" fontId="3" fillId="0" borderId="1" xfId="1" applyNumberFormat="1" applyFont="1" applyBorder="1"/>
    <xf numFmtId="0" fontId="4" fillId="0" borderId="2" xfId="0" applyFont="1" applyBorder="1"/>
    <xf numFmtId="165" fontId="2" fillId="0" borderId="1" xfId="2" applyNumberFormat="1" applyFont="1" applyBorder="1"/>
    <xf numFmtId="165" fontId="2" fillId="0" borderId="1" xfId="0" applyNumberFormat="1" applyFont="1" applyBorder="1"/>
    <xf numFmtId="165" fontId="0" fillId="0" borderId="1" xfId="2" applyNumberFormat="1" applyFont="1" applyBorder="1"/>
    <xf numFmtId="0" fontId="3" fillId="0" borderId="0" xfId="0" applyFont="1"/>
    <xf numFmtId="0" fontId="5" fillId="0" borderId="3" xfId="0" applyFont="1" applyBorder="1"/>
    <xf numFmtId="0" fontId="2" fillId="0" borderId="3" xfId="0" applyFont="1" applyBorder="1"/>
    <xf numFmtId="0" fontId="3" fillId="2" borderId="1" xfId="0" applyFont="1" applyFill="1" applyBorder="1"/>
    <xf numFmtId="0" fontId="3" fillId="2" borderId="1" xfId="0" applyFont="1" applyFill="1" applyBorder="1" applyAlignment="1">
      <alignment wrapText="1"/>
    </xf>
    <xf numFmtId="0" fontId="0" fillId="2" borderId="1" xfId="0" applyFill="1" applyBorder="1"/>
    <xf numFmtId="0" fontId="5" fillId="2" borderId="1" xfId="0" applyFont="1" applyFill="1" applyBorder="1"/>
    <xf numFmtId="164" fontId="5" fillId="2" borderId="1" xfId="1" applyNumberFormat="1" applyFont="1" applyFill="1" applyBorder="1"/>
    <xf numFmtId="9" fontId="3" fillId="2" borderId="1" xfId="2" applyFont="1" applyFill="1" applyBorder="1" applyAlignment="1">
      <alignment wrapText="1"/>
    </xf>
    <xf numFmtId="165" fontId="5" fillId="2" borderId="1" xfId="2" applyNumberFormat="1" applyFont="1" applyFill="1" applyBorder="1" applyAlignment="1">
      <alignment horizontal="center"/>
    </xf>
    <xf numFmtId="165" fontId="5" fillId="2" borderId="1" xfId="2" applyNumberFormat="1" applyFont="1" applyFill="1" applyBorder="1"/>
    <xf numFmtId="164" fontId="0" fillId="0" borderId="1" xfId="0" applyNumberFormat="1" applyBorder="1"/>
    <xf numFmtId="43" fontId="0" fillId="0" borderId="1" xfId="0" applyNumberFormat="1" applyBorder="1"/>
    <xf numFmtId="164" fontId="3" fillId="0" borderId="1" xfId="0" applyNumberFormat="1" applyFont="1" applyBorder="1"/>
    <xf numFmtId="165" fontId="3" fillId="0" borderId="1" xfId="2" applyNumberFormat="1" applyFont="1" applyBorder="1"/>
    <xf numFmtId="43" fontId="3" fillId="0" borderId="1" xfId="0" applyNumberFormat="1" applyFont="1" applyBorder="1"/>
    <xf numFmtId="10" fontId="3" fillId="0" borderId="1" xfId="2" applyNumberFormat="1" applyFont="1" applyBorder="1"/>
    <xf numFmtId="9" fontId="3" fillId="0" borderId="1" xfId="2" applyFont="1" applyBorder="1"/>
    <xf numFmtId="0" fontId="3" fillId="2" borderId="1" xfId="0" applyFont="1" applyFill="1" applyBorder="1" applyAlignment="1">
      <alignment horizontal="center"/>
    </xf>
    <xf numFmtId="3" fontId="0" fillId="0" borderId="0" xfId="0" applyNumberFormat="1"/>
    <xf numFmtId="168" fontId="0" fillId="0" borderId="1" xfId="2" applyNumberFormat="1" applyFont="1" applyBorder="1"/>
    <xf numFmtId="165" fontId="0" fillId="34" borderId="1" xfId="2" applyNumberFormat="1" applyFont="1" applyFill="1" applyBorder="1"/>
    <xf numFmtId="0" fontId="0" fillId="0" borderId="1" xfId="0" applyBorder="1" applyAlignment="1">
      <alignment vertical="top"/>
    </xf>
    <xf numFmtId="164" fontId="3" fillId="0" borderId="0" xfId="1" applyNumberFormat="1" applyFont="1"/>
    <xf numFmtId="0" fontId="3" fillId="34" borderId="1" xfId="0" applyFont="1" applyFill="1" applyBorder="1" applyAlignment="1">
      <alignment horizontal="center"/>
    </xf>
    <xf numFmtId="0" fontId="0" fillId="0" borderId="1" xfId="0" applyBorder="1" applyAlignment="1">
      <alignment vertical="top" wrapText="1"/>
    </xf>
    <xf numFmtId="164" fontId="0" fillId="0" borderId="1" xfId="1" applyNumberFormat="1" applyFont="1" applyBorder="1" applyAlignment="1">
      <alignment vertical="top"/>
    </xf>
    <xf numFmtId="20" fontId="0" fillId="0" borderId="1" xfId="0" applyNumberFormat="1" applyBorder="1"/>
    <xf numFmtId="0" fontId="21" fillId="0" borderId="1" xfId="0" applyFont="1" applyBorder="1"/>
    <xf numFmtId="0" fontId="3" fillId="34" borderId="1" xfId="0" applyFont="1" applyFill="1" applyBorder="1"/>
    <xf numFmtId="0" fontId="3" fillId="0" borderId="1" xfId="0" applyFont="1" applyBorder="1" applyAlignment="1">
      <alignment vertical="top"/>
    </xf>
    <xf numFmtId="165" fontId="3" fillId="0" borderId="1" xfId="0" applyNumberFormat="1" applyFont="1" applyBorder="1"/>
    <xf numFmtId="0" fontId="3" fillId="34" borderId="1" xfId="0" applyFont="1" applyFill="1" applyBorder="1" applyAlignment="1">
      <alignment wrapText="1"/>
    </xf>
    <xf numFmtId="0" fontId="3" fillId="0" borderId="1" xfId="0" applyFont="1" applyBorder="1" applyAlignment="1">
      <alignment horizontal="center"/>
    </xf>
    <xf numFmtId="0" fontId="3" fillId="2" borderId="1" xfId="0" applyFont="1" applyFill="1" applyBorder="1" applyAlignment="1">
      <alignment horizontal="center" wrapText="1"/>
    </xf>
    <xf numFmtId="0" fontId="5" fillId="0" borderId="0" xfId="0" applyFont="1"/>
    <xf numFmtId="0" fontId="3" fillId="0" borderId="1" xfId="0" applyFont="1" applyBorder="1" applyAlignment="1">
      <alignment horizontal="left" indent="1"/>
    </xf>
    <xf numFmtId="165" fontId="0" fillId="34" borderId="1" xfId="0" applyNumberFormat="1" applyFill="1" applyBorder="1"/>
    <xf numFmtId="0" fontId="22" fillId="0" borderId="1" xfId="0" applyFont="1" applyBorder="1" applyAlignment="1">
      <alignment horizontal="center" vertical="top"/>
    </xf>
    <xf numFmtId="43" fontId="0" fillId="0" borderId="1" xfId="1" applyFont="1" applyBorder="1"/>
    <xf numFmtId="0" fontId="22" fillId="0" borderId="15" xfId="0" applyFont="1" applyBorder="1"/>
    <xf numFmtId="0" fontId="23" fillId="0" borderId="0" xfId="0" applyFont="1"/>
    <xf numFmtId="0" fontId="25" fillId="0" borderId="15" xfId="0" applyFont="1" applyBorder="1" applyAlignment="1">
      <alignment wrapText="1"/>
    </xf>
    <xf numFmtId="0" fontId="25" fillId="0" borderId="15" xfId="0" applyFont="1" applyBorder="1"/>
    <xf numFmtId="0" fontId="25" fillId="0" borderId="1" xfId="0" applyFont="1" applyBorder="1" applyAlignment="1">
      <alignment wrapText="1"/>
    </xf>
    <xf numFmtId="0" fontId="25" fillId="0" borderId="0" xfId="0" applyFont="1"/>
    <xf numFmtId="0" fontId="23" fillId="0" borderId="14" xfId="0" applyFont="1" applyBorder="1"/>
    <xf numFmtId="3" fontId="23" fillId="0" borderId="17" xfId="0" applyNumberFormat="1" applyFont="1" applyBorder="1"/>
    <xf numFmtId="0" fontId="25" fillId="0" borderId="14" xfId="0" applyFont="1" applyBorder="1"/>
    <xf numFmtId="10" fontId="23" fillId="0" borderId="17" xfId="0" applyNumberFormat="1" applyFont="1" applyBorder="1"/>
    <xf numFmtId="10" fontId="23" fillId="0" borderId="14" xfId="0" applyNumberFormat="1" applyFont="1" applyBorder="1"/>
    <xf numFmtId="0" fontId="25" fillId="0" borderId="1" xfId="0" applyFont="1" applyBorder="1"/>
    <xf numFmtId="3" fontId="23" fillId="0" borderId="0" xfId="0" applyNumberFormat="1" applyFont="1"/>
    <xf numFmtId="4" fontId="23" fillId="0" borderId="0" xfId="0" applyNumberFormat="1" applyFont="1"/>
    <xf numFmtId="0" fontId="23" fillId="0" borderId="18" xfId="0" applyFont="1" applyBorder="1"/>
    <xf numFmtId="0" fontId="22" fillId="0" borderId="18" xfId="0" applyFont="1" applyBorder="1"/>
    <xf numFmtId="0" fontId="25" fillId="0" borderId="18" xfId="0" applyFont="1" applyBorder="1"/>
    <xf numFmtId="10" fontId="23" fillId="37" borderId="18" xfId="0" applyNumberFormat="1" applyFont="1" applyFill="1" applyBorder="1"/>
    <xf numFmtId="165" fontId="23" fillId="37" borderId="18" xfId="0" applyNumberFormat="1" applyFont="1" applyFill="1" applyBorder="1"/>
    <xf numFmtId="164" fontId="0" fillId="0" borderId="18" xfId="0" applyNumberFormat="1" applyBorder="1"/>
    <xf numFmtId="164" fontId="23" fillId="0" borderId="18" xfId="0" applyNumberFormat="1" applyFont="1" applyBorder="1"/>
    <xf numFmtId="0" fontId="3" fillId="0" borderId="18" xfId="0" applyFont="1" applyBorder="1"/>
    <xf numFmtId="164" fontId="3" fillId="0" borderId="18" xfId="0" applyNumberFormat="1" applyFont="1" applyBorder="1"/>
    <xf numFmtId="165" fontId="23" fillId="38" borderId="1" xfId="0" applyNumberFormat="1" applyFont="1" applyFill="1" applyBorder="1"/>
    <xf numFmtId="165" fontId="0" fillId="0" borderId="18" xfId="0" applyNumberFormat="1" applyBorder="1"/>
    <xf numFmtId="165" fontId="23" fillId="0" borderId="18" xfId="0" applyNumberFormat="1" applyFont="1" applyBorder="1"/>
    <xf numFmtId="165" fontId="3" fillId="0" borderId="18" xfId="0" applyNumberFormat="1" applyFont="1" applyBorder="1"/>
    <xf numFmtId="0" fontId="25" fillId="0" borderId="17" xfId="0" applyFont="1" applyBorder="1"/>
    <xf numFmtId="3" fontId="25" fillId="0" borderId="17" xfId="0" applyNumberFormat="1" applyFont="1" applyBorder="1"/>
    <xf numFmtId="0" fontId="26" fillId="0" borderId="0" xfId="0" applyFont="1"/>
    <xf numFmtId="0" fontId="27" fillId="0" borderId="0" xfId="0" applyFont="1"/>
    <xf numFmtId="0" fontId="28" fillId="0" borderId="0" xfId="0" applyFont="1"/>
    <xf numFmtId="0" fontId="29" fillId="2" borderId="1" xfId="0" applyFont="1" applyFill="1" applyBorder="1"/>
    <xf numFmtId="0" fontId="25" fillId="2" borderId="15" xfId="0" applyFont="1" applyFill="1" applyBorder="1"/>
    <xf numFmtId="0" fontId="29" fillId="0" borderId="15" xfId="0" applyFont="1" applyBorder="1"/>
    <xf numFmtId="0" fontId="25" fillId="2" borderId="20" xfId="0" applyFont="1" applyFill="1" applyBorder="1"/>
    <xf numFmtId="164" fontId="23" fillId="0" borderId="17" xfId="0" applyNumberFormat="1" applyFont="1" applyBorder="1"/>
    <xf numFmtId="164" fontId="23" fillId="0" borderId="1" xfId="0" applyNumberFormat="1" applyFont="1" applyBorder="1"/>
    <xf numFmtId="0" fontId="29" fillId="0" borderId="18" xfId="0" applyFont="1" applyBorder="1"/>
    <xf numFmtId="165" fontId="0" fillId="0" borderId="21" xfId="0" applyNumberFormat="1" applyBorder="1"/>
    <xf numFmtId="165" fontId="0" fillId="0" borderId="22" xfId="0" applyNumberFormat="1" applyBorder="1"/>
    <xf numFmtId="0" fontId="3" fillId="0" borderId="23" xfId="0" applyFont="1" applyBorder="1"/>
    <xf numFmtId="164" fontId="3" fillId="0" borderId="24" xfId="0" applyNumberFormat="1" applyFont="1" applyBorder="1"/>
    <xf numFmtId="2" fontId="23" fillId="0" borderId="18" xfId="0" applyNumberFormat="1" applyFont="1" applyBorder="1"/>
    <xf numFmtId="164" fontId="25" fillId="0" borderId="14" xfId="0" applyNumberFormat="1" applyFont="1" applyBorder="1"/>
    <xf numFmtId="164" fontId="25" fillId="0" borderId="17" xfId="0" applyNumberFormat="1" applyFont="1" applyBorder="1"/>
    <xf numFmtId="0" fontId="25" fillId="40" borderId="15" xfId="0" applyFont="1" applyFill="1" applyBorder="1" applyAlignment="1">
      <alignment wrapText="1"/>
    </xf>
    <xf numFmtId="0" fontId="25" fillId="40" borderId="1" xfId="0" applyFont="1" applyFill="1" applyBorder="1" applyAlignment="1">
      <alignment wrapText="1"/>
    </xf>
    <xf numFmtId="0" fontId="25" fillId="40" borderId="18" xfId="0" applyFont="1" applyFill="1" applyBorder="1" applyAlignment="1">
      <alignment wrapText="1"/>
    </xf>
    <xf numFmtId="0" fontId="31" fillId="40" borderId="15" xfId="0" applyFont="1" applyFill="1" applyBorder="1" applyAlignment="1">
      <alignment wrapText="1"/>
    </xf>
    <xf numFmtId="165" fontId="0" fillId="0" borderId="18" xfId="2" applyNumberFormat="1" applyFont="1" applyBorder="1"/>
    <xf numFmtId="164" fontId="0" fillId="0" borderId="3" xfId="1" applyNumberFormat="1" applyFont="1" applyBorder="1"/>
    <xf numFmtId="164" fontId="3" fillId="0" borderId="3" xfId="1" applyNumberFormat="1" applyFont="1" applyBorder="1"/>
    <xf numFmtId="165" fontId="0" fillId="0" borderId="21" xfId="2" applyNumberFormat="1" applyFont="1" applyBorder="1"/>
    <xf numFmtId="0" fontId="3" fillId="41" borderId="0" xfId="0" applyFont="1" applyFill="1"/>
    <xf numFmtId="164" fontId="3" fillId="0" borderId="25" xfId="1" applyNumberFormat="1" applyFont="1" applyFill="1" applyBorder="1"/>
    <xf numFmtId="0" fontId="3" fillId="0" borderId="24" xfId="0" applyFont="1" applyBorder="1"/>
    <xf numFmtId="0" fontId="3" fillId="0" borderId="26" xfId="0" applyFont="1" applyBorder="1"/>
    <xf numFmtId="165" fontId="3" fillId="0" borderId="21" xfId="2" applyNumberFormat="1" applyFont="1" applyBorder="1"/>
    <xf numFmtId="165" fontId="3" fillId="0" borderId="22" xfId="0" applyNumberFormat="1" applyFont="1" applyBorder="1"/>
    <xf numFmtId="165" fontId="0" fillId="0" borderId="0" xfId="0" applyNumberFormat="1"/>
    <xf numFmtId="2" fontId="23" fillId="0" borderId="17" xfId="0" applyNumberFormat="1" applyFont="1" applyBorder="1"/>
    <xf numFmtId="2" fontId="23" fillId="0" borderId="19" xfId="0" applyNumberFormat="1" applyFont="1" applyBorder="1"/>
    <xf numFmtId="0" fontId="29" fillId="0" borderId="0" xfId="0" applyFont="1"/>
    <xf numFmtId="0" fontId="3" fillId="0" borderId="1" xfId="0" applyFont="1" applyBorder="1" applyAlignment="1">
      <alignment horizontal="center"/>
    </xf>
    <xf numFmtId="0" fontId="3" fillId="0" borderId="13" xfId="0" applyFont="1" applyBorder="1" applyAlignment="1">
      <alignment horizontal="center" wrapText="1"/>
    </xf>
    <xf numFmtId="0" fontId="3" fillId="0" borderId="14" xfId="0" applyFont="1" applyBorder="1" applyAlignment="1">
      <alignment horizontal="center" wrapText="1"/>
    </xf>
    <xf numFmtId="0" fontId="3" fillId="2" borderId="1" xfId="0" applyFont="1" applyFill="1" applyBorder="1" applyAlignment="1">
      <alignment horizontal="center"/>
    </xf>
    <xf numFmtId="164" fontId="0" fillId="0" borderId="18" xfId="1" applyNumberFormat="1" applyFont="1" applyBorder="1" applyAlignment="1">
      <alignment horizontal="center" wrapText="1"/>
    </xf>
    <xf numFmtId="0" fontId="0" fillId="0" borderId="18" xfId="0" applyBorder="1" applyAlignment="1">
      <alignment horizontal="center" wrapText="1"/>
    </xf>
    <xf numFmtId="164" fontId="0" fillId="0" borderId="18" xfId="1" applyNumberFormat="1" applyFont="1" applyBorder="1" applyAlignment="1">
      <alignment horizontal="center"/>
    </xf>
    <xf numFmtId="0" fontId="0" fillId="0" borderId="18" xfId="0" applyBorder="1" applyAlignment="1">
      <alignment horizontal="center"/>
    </xf>
    <xf numFmtId="0" fontId="30" fillId="39" borderId="0" xfId="0" applyFont="1" applyFill="1" applyAlignment="1">
      <alignment horizontal="center" vertical="center" textRotation="90"/>
    </xf>
    <xf numFmtId="0" fontId="25" fillId="36" borderId="16" xfId="0" applyFont="1" applyFill="1" applyBorder="1" applyAlignment="1">
      <alignment horizontal="center" vertical="center"/>
    </xf>
    <xf numFmtId="0" fontId="24" fillId="35" borderId="0" xfId="0" applyFont="1" applyFill="1" applyAlignment="1">
      <alignment horizontal="center"/>
    </xf>
    <xf numFmtId="0" fontId="23" fillId="0" borderId="0" xfId="0" applyFont="1"/>
    <xf numFmtId="0" fontId="3" fillId="0" borderId="0" xfId="0" applyFont="1" applyAlignment="1">
      <alignment horizontal="center" vertical="center" textRotation="90" wrapText="1"/>
    </xf>
    <xf numFmtId="0" fontId="3" fillId="0" borderId="0" xfId="0" applyFont="1" applyAlignment="1">
      <alignment horizontal="center" vertical="center" textRotation="90"/>
    </xf>
    <xf numFmtId="165" fontId="0" fillId="0" borderId="1" xfId="0" applyNumberFormat="1" applyFill="1" applyBorder="1"/>
    <xf numFmtId="0" fontId="0" fillId="0" borderId="0" xfId="0"/>
    <xf numFmtId="0" fontId="3" fillId="0" borderId="1" xfId="0" applyFont="1" applyBorder="1" applyAlignment="1">
      <alignment horizontal="center" vertical="top"/>
    </xf>
    <xf numFmtId="164" fontId="23" fillId="0" borderId="14" xfId="1" applyNumberFormat="1" applyFont="1" applyBorder="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'Route Start Time'!$D$2</c:f>
              <c:strCache>
                <c:ptCount val="1"/>
                <c:pt idx="0">
                  <c:v> Total Routes (CVM + TNC) </c:v>
                </c:pt>
              </c:strCache>
            </c:strRef>
          </c:tx>
          <c:spPr>
            <a:ln w="28575" cap="rnd">
              <a:solidFill>
                <a:schemeClr val="accent1"/>
              </a:solidFill>
              <a:round/>
            </a:ln>
            <a:effectLst/>
          </c:spPr>
          <c:marker>
            <c:symbol val="none"/>
          </c:marker>
          <c:cat>
            <c:numRef>
              <c:f>'Route Start Time'!$C$3:$C$50</c:f>
              <c:numCache>
                <c:formatCode>h:mm</c:formatCode>
                <c:ptCount val="48"/>
                <c:pt idx="0">
                  <c:v>0.125</c:v>
                </c:pt>
                <c:pt idx="1">
                  <c:v>0.14583333333333301</c:v>
                </c:pt>
                <c:pt idx="2">
                  <c:v>0.16666666666666699</c:v>
                </c:pt>
                <c:pt idx="3">
                  <c:v>0.1875</c:v>
                </c:pt>
                <c:pt idx="4">
                  <c:v>0.20833333333333301</c:v>
                </c:pt>
                <c:pt idx="5">
                  <c:v>0.22916666666666699</c:v>
                </c:pt>
                <c:pt idx="6">
                  <c:v>0.25</c:v>
                </c:pt>
                <c:pt idx="7">
                  <c:v>0.27083333333333298</c:v>
                </c:pt>
                <c:pt idx="8">
                  <c:v>0.29166666666666702</c:v>
                </c:pt>
                <c:pt idx="9">
                  <c:v>0.3125</c:v>
                </c:pt>
                <c:pt idx="10">
                  <c:v>0.33333333333333298</c:v>
                </c:pt>
                <c:pt idx="11">
                  <c:v>0.35416666666666702</c:v>
                </c:pt>
                <c:pt idx="12">
                  <c:v>0.375</c:v>
                </c:pt>
                <c:pt idx="13">
                  <c:v>0.39583333333333298</c:v>
                </c:pt>
                <c:pt idx="14">
                  <c:v>0.41666666666666702</c:v>
                </c:pt>
                <c:pt idx="15">
                  <c:v>0.4375</c:v>
                </c:pt>
                <c:pt idx="16">
                  <c:v>0.45833333333333298</c:v>
                </c:pt>
                <c:pt idx="17">
                  <c:v>0.47916666666666702</c:v>
                </c:pt>
                <c:pt idx="18">
                  <c:v>0.5</c:v>
                </c:pt>
                <c:pt idx="19">
                  <c:v>0.52083333333333304</c:v>
                </c:pt>
                <c:pt idx="20">
                  <c:v>0.54166666666666696</c:v>
                </c:pt>
                <c:pt idx="21">
                  <c:v>0.5625</c:v>
                </c:pt>
                <c:pt idx="22">
                  <c:v>0.58333333333333304</c:v>
                </c:pt>
                <c:pt idx="23">
                  <c:v>0.60416666666666696</c:v>
                </c:pt>
                <c:pt idx="24">
                  <c:v>0.625</c:v>
                </c:pt>
                <c:pt idx="25">
                  <c:v>0.64583333333333304</c:v>
                </c:pt>
                <c:pt idx="26">
                  <c:v>0.66666666666666696</c:v>
                </c:pt>
                <c:pt idx="27">
                  <c:v>0.6875</c:v>
                </c:pt>
                <c:pt idx="28">
                  <c:v>0.70833333333333304</c:v>
                </c:pt>
                <c:pt idx="29">
                  <c:v>0.72916666666666696</c:v>
                </c:pt>
                <c:pt idx="30">
                  <c:v>0.75</c:v>
                </c:pt>
                <c:pt idx="31">
                  <c:v>0.77083333333333304</c:v>
                </c:pt>
                <c:pt idx="32">
                  <c:v>0.79166666666666696</c:v>
                </c:pt>
                <c:pt idx="33">
                  <c:v>0.8125</c:v>
                </c:pt>
                <c:pt idx="34">
                  <c:v>0.83333333333333304</c:v>
                </c:pt>
                <c:pt idx="35">
                  <c:v>0.85416666666666696</c:v>
                </c:pt>
                <c:pt idx="36">
                  <c:v>0.875</c:v>
                </c:pt>
                <c:pt idx="37">
                  <c:v>0.89583333333333304</c:v>
                </c:pt>
                <c:pt idx="38">
                  <c:v>0.91666666666666696</c:v>
                </c:pt>
                <c:pt idx="39">
                  <c:v>0.9375</c:v>
                </c:pt>
                <c:pt idx="40">
                  <c:v>0.95833333333333304</c:v>
                </c:pt>
                <c:pt idx="41">
                  <c:v>0.97916666666666696</c:v>
                </c:pt>
                <c:pt idx="42">
                  <c:v>0</c:v>
                </c:pt>
                <c:pt idx="43">
                  <c:v>2.0833333333333332E-2</c:v>
                </c:pt>
                <c:pt idx="44">
                  <c:v>4.1666666666666664E-2</c:v>
                </c:pt>
                <c:pt idx="45">
                  <c:v>6.25E-2</c:v>
                </c:pt>
                <c:pt idx="46">
                  <c:v>8.3333333333333301E-2</c:v>
                </c:pt>
                <c:pt idx="47">
                  <c:v>0.104166666666667</c:v>
                </c:pt>
              </c:numCache>
            </c:numRef>
          </c:cat>
          <c:val>
            <c:numRef>
              <c:f>'Route Start Time'!$D$3:$D$50</c:f>
              <c:numCache>
                <c:formatCode>_(* #,##0_);_(* \(#,##0\);_(* "-"??_);_(@_)</c:formatCode>
                <c:ptCount val="48"/>
                <c:pt idx="0">
                  <c:v>1246</c:v>
                </c:pt>
                <c:pt idx="1">
                  <c:v>1549</c:v>
                </c:pt>
                <c:pt idx="2">
                  <c:v>1967</c:v>
                </c:pt>
                <c:pt idx="3">
                  <c:v>2379</c:v>
                </c:pt>
                <c:pt idx="4">
                  <c:v>3361</c:v>
                </c:pt>
                <c:pt idx="5">
                  <c:v>5055</c:v>
                </c:pt>
                <c:pt idx="6">
                  <c:v>7850</c:v>
                </c:pt>
                <c:pt idx="7">
                  <c:v>12202</c:v>
                </c:pt>
                <c:pt idx="8">
                  <c:v>17153</c:v>
                </c:pt>
                <c:pt idx="9">
                  <c:v>21411</c:v>
                </c:pt>
                <c:pt idx="10">
                  <c:v>22305</c:v>
                </c:pt>
                <c:pt idx="11">
                  <c:v>20135</c:v>
                </c:pt>
                <c:pt idx="12">
                  <c:v>16779</c:v>
                </c:pt>
                <c:pt idx="13">
                  <c:v>14919</c:v>
                </c:pt>
                <c:pt idx="14">
                  <c:v>13700</c:v>
                </c:pt>
                <c:pt idx="15">
                  <c:v>11405</c:v>
                </c:pt>
                <c:pt idx="16">
                  <c:v>8448</c:v>
                </c:pt>
                <c:pt idx="17">
                  <c:v>5960</c:v>
                </c:pt>
                <c:pt idx="18">
                  <c:v>4413</c:v>
                </c:pt>
                <c:pt idx="19">
                  <c:v>3902</c:v>
                </c:pt>
                <c:pt idx="20">
                  <c:v>4054</c:v>
                </c:pt>
                <c:pt idx="21">
                  <c:v>4321</c:v>
                </c:pt>
                <c:pt idx="22">
                  <c:v>3833</c:v>
                </c:pt>
                <c:pt idx="23">
                  <c:v>2724</c:v>
                </c:pt>
                <c:pt idx="24">
                  <c:v>1647</c:v>
                </c:pt>
                <c:pt idx="25">
                  <c:v>1448</c:v>
                </c:pt>
                <c:pt idx="26">
                  <c:v>1582</c:v>
                </c:pt>
                <c:pt idx="27">
                  <c:v>1456</c:v>
                </c:pt>
                <c:pt idx="28">
                  <c:v>1274</c:v>
                </c:pt>
                <c:pt idx="29">
                  <c:v>1150</c:v>
                </c:pt>
                <c:pt idx="30">
                  <c:v>934</c:v>
                </c:pt>
                <c:pt idx="31">
                  <c:v>705</c:v>
                </c:pt>
                <c:pt idx="32">
                  <c:v>575</c:v>
                </c:pt>
                <c:pt idx="33">
                  <c:v>540</c:v>
                </c:pt>
                <c:pt idx="34">
                  <c:v>443</c:v>
                </c:pt>
                <c:pt idx="35">
                  <c:v>330</c:v>
                </c:pt>
                <c:pt idx="36">
                  <c:v>282</c:v>
                </c:pt>
                <c:pt idx="37">
                  <c:v>217</c:v>
                </c:pt>
                <c:pt idx="38">
                  <c:v>139</c:v>
                </c:pt>
                <c:pt idx="39">
                  <c:v>102</c:v>
                </c:pt>
                <c:pt idx="40">
                  <c:v>82</c:v>
                </c:pt>
                <c:pt idx="41">
                  <c:v>155</c:v>
                </c:pt>
                <c:pt idx="42">
                  <c:v>353</c:v>
                </c:pt>
                <c:pt idx="43">
                  <c:v>535</c:v>
                </c:pt>
                <c:pt idx="44">
                  <c:v>516</c:v>
                </c:pt>
                <c:pt idx="45">
                  <c:v>407</c:v>
                </c:pt>
                <c:pt idx="46">
                  <c:v>535</c:v>
                </c:pt>
                <c:pt idx="47">
                  <c:v>872</c:v>
                </c:pt>
              </c:numCache>
            </c:numRef>
          </c:val>
          <c:smooth val="0"/>
          <c:extLst>
            <c:ext xmlns:c16="http://schemas.microsoft.com/office/drawing/2014/chart" uri="{C3380CC4-5D6E-409C-BE32-E72D297353CC}">
              <c16:uniqueId val="{00000000-A477-4C03-B81E-B7BD43B14A9A}"/>
            </c:ext>
          </c:extLst>
        </c:ser>
        <c:dLbls>
          <c:showLegendKey val="0"/>
          <c:showVal val="0"/>
          <c:showCatName val="0"/>
          <c:showSerName val="0"/>
          <c:showPercent val="0"/>
          <c:showBubbleSize val="0"/>
        </c:dLbls>
        <c:smooth val="0"/>
        <c:axId val="538566768"/>
        <c:axId val="450228320"/>
      </c:lineChart>
      <c:catAx>
        <c:axId val="5385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of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28320"/>
        <c:crosses val="autoZero"/>
        <c:auto val="1"/>
        <c:lblAlgn val="ctr"/>
        <c:lblOffset val="100"/>
        <c:noMultiLvlLbl val="0"/>
      </c:catAx>
      <c:valAx>
        <c:axId val="45022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Routes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345281</xdr:colOff>
      <xdr:row>0</xdr:row>
      <xdr:rowOff>169069</xdr:rowOff>
    </xdr:from>
    <xdr:to>
      <xdr:col>28</xdr:col>
      <xdr:colOff>314325</xdr:colOff>
      <xdr:row>29</xdr:row>
      <xdr:rowOff>1</xdr:rowOff>
    </xdr:to>
    <xdr:graphicFrame macro="">
      <xdr:nvGraphicFramePr>
        <xdr:cNvPr id="2" name="Chart 1">
          <a:extLst>
            <a:ext uri="{FF2B5EF4-FFF2-40B4-BE49-F238E27FC236}">
              <a16:creationId xmlns:a16="http://schemas.microsoft.com/office/drawing/2014/main" id="{FDC13E66-A50B-977E-639A-EF2B0868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6C08-A88A-4C7A-9901-B799F915AFC3}">
  <dimension ref="B1:N23"/>
  <sheetViews>
    <sheetView workbookViewId="0">
      <selection activeCell="R15" sqref="R15"/>
    </sheetView>
  </sheetViews>
  <sheetFormatPr defaultRowHeight="14.4" x14ac:dyDescent="0.3"/>
  <cols>
    <col min="1" max="1" width="8.5546875" customWidth="1"/>
    <col min="2" max="2" width="1.77734375" customWidth="1"/>
    <col min="3" max="3" width="18" bestFit="1" customWidth="1"/>
    <col min="4" max="6" width="12" bestFit="1" customWidth="1"/>
    <col min="7" max="7" width="3.21875" customWidth="1"/>
    <col min="11" max="11" width="3.77734375" customWidth="1"/>
  </cols>
  <sheetData>
    <row r="1" spans="2:14" x14ac:dyDescent="0.3">
      <c r="C1" s="25" t="s">
        <v>0</v>
      </c>
    </row>
    <row r="2" spans="2:14" x14ac:dyDescent="0.3">
      <c r="C2" s="25"/>
    </row>
    <row r="4" spans="2:14" x14ac:dyDescent="0.3">
      <c r="C4" s="61" t="s">
        <v>1</v>
      </c>
      <c r="D4" s="58" t="s">
        <v>2</v>
      </c>
      <c r="E4" s="58" t="s">
        <v>3</v>
      </c>
      <c r="F4" s="58" t="s">
        <v>4</v>
      </c>
    </row>
    <row r="5" spans="2:14" x14ac:dyDescent="0.3">
      <c r="C5" s="18" t="s">
        <v>5</v>
      </c>
      <c r="D5" s="46">
        <f>SUMIFS(ModelData!B:B,ModelData!A:A,'Household Attractor'!C5)</f>
        <v>4.3176234627604879E-2</v>
      </c>
      <c r="E5" s="62">
        <f>SUMIFS(SurveyData!B:B,SurveyData!A:A,'Household Attractor'!C5)</f>
        <v>4.8079999999999998E-2</v>
      </c>
      <c r="F5" s="45">
        <f>D5-E5</f>
        <v>-4.9037653723951191E-3</v>
      </c>
    </row>
    <row r="6" spans="2:14" x14ac:dyDescent="0.3">
      <c r="C6" s="18" t="s">
        <v>6</v>
      </c>
      <c r="D6" s="24">
        <f>SUMIFS(ModelData!B:B,ModelData!A:A,'Household Attractor'!C6)</f>
        <v>6.6782939392254423E-2</v>
      </c>
      <c r="E6" s="143">
        <f>SUMIFS(SurveyData!B:B,SurveyData!A:A,'Household Attractor'!C6)</f>
        <v>6.8336999999999995E-2</v>
      </c>
      <c r="F6" s="45">
        <f t="shared" ref="F6:F7" si="0">D6-E6</f>
        <v>-1.5540606077455721E-3</v>
      </c>
    </row>
    <row r="7" spans="2:14" x14ac:dyDescent="0.3">
      <c r="C7" s="18" t="s">
        <v>7</v>
      </c>
      <c r="D7" s="24">
        <f>SUMIFS(ModelData!B:B,ModelData!A:A,'Household Attractor'!C7)</f>
        <v>0.38650369689313741</v>
      </c>
      <c r="E7" s="143">
        <f>SUMIFS(SurveyData!B:B,SurveyData!A:A,'Household Attractor'!C7)</f>
        <v>0.40840799999999999</v>
      </c>
      <c r="F7" s="45">
        <f t="shared" si="0"/>
        <v>-2.1904303106862588E-2</v>
      </c>
    </row>
    <row r="8" spans="2:14" x14ac:dyDescent="0.3">
      <c r="F8" s="44"/>
    </row>
    <row r="11" spans="2:14" x14ac:dyDescent="0.3">
      <c r="C11" s="130" t="s">
        <v>8</v>
      </c>
      <c r="D11" s="129" t="s">
        <v>2</v>
      </c>
      <c r="E11" s="129"/>
      <c r="F11" s="129"/>
      <c r="G11" s="18"/>
      <c r="H11" s="129" t="s">
        <v>3</v>
      </c>
      <c r="I11" s="129"/>
      <c r="J11" s="129"/>
      <c r="K11" s="18"/>
      <c r="L11" s="129" t="s">
        <v>4</v>
      </c>
      <c r="M11" s="129"/>
      <c r="N11" s="129"/>
    </row>
    <row r="12" spans="2:14" x14ac:dyDescent="0.3">
      <c r="C12" s="131"/>
      <c r="D12" s="18" t="s">
        <v>5</v>
      </c>
      <c r="E12" s="18" t="s">
        <v>7</v>
      </c>
      <c r="F12" s="18" t="s">
        <v>6</v>
      </c>
      <c r="G12" s="18"/>
      <c r="H12" s="18" t="s">
        <v>5</v>
      </c>
      <c r="I12" s="18" t="s">
        <v>7</v>
      </c>
      <c r="J12" s="18" t="s">
        <v>6</v>
      </c>
      <c r="K12" s="18"/>
      <c r="L12" s="18" t="s">
        <v>5</v>
      </c>
      <c r="M12" s="18" t="s">
        <v>7</v>
      </c>
      <c r="N12" s="18" t="s">
        <v>6</v>
      </c>
    </row>
    <row r="13" spans="2:14" x14ac:dyDescent="0.3">
      <c r="B13">
        <v>0</v>
      </c>
      <c r="C13" s="18" t="s">
        <v>9</v>
      </c>
      <c r="D13" s="10"/>
      <c r="E13" s="10"/>
      <c r="F13" s="10"/>
      <c r="G13" s="10"/>
      <c r="H13" s="24">
        <f>VLOOKUP(B13,SurveyData!F:I,2,FALSE)</f>
        <v>3.1322993690871402E-2</v>
      </c>
      <c r="I13" s="24">
        <f>VLOOKUP(B13,SurveyData!F:I,3,FALSE)</f>
        <v>0.34333789011725879</v>
      </c>
      <c r="J13" s="24">
        <f>VLOOKUP(B13,SurveyData!F:I,4,FALSE)</f>
        <v>7.0717456345553473E-2</v>
      </c>
      <c r="K13" s="10"/>
      <c r="L13" s="24"/>
      <c r="M13" s="24"/>
      <c r="N13" s="24"/>
    </row>
    <row r="14" spans="2:14" x14ac:dyDescent="0.3">
      <c r="B14" s="18">
        <v>1</v>
      </c>
      <c r="C14" s="18" t="s">
        <v>10</v>
      </c>
      <c r="D14" s="24">
        <f>VLOOKUP(B14,ModelData!F:I,2,FALSE)</f>
        <v>3.4625860734962759E-2</v>
      </c>
      <c r="E14" s="24">
        <f>VLOOKUP(B14,ModelData!F:I,3,FALSE)</f>
        <v>0.19538774609319101</v>
      </c>
      <c r="F14" s="24">
        <f>VLOOKUP(B14,ModelData!F:I,4,FALSE)</f>
        <v>2.1773350505587041E-2</v>
      </c>
      <c r="G14" s="10"/>
      <c r="H14" s="24">
        <f>VLOOKUP(B14,SurveyData!F:I,2,FALSE)</f>
        <v>3.2419922737100197E-2</v>
      </c>
      <c r="I14" s="24">
        <f>VLOOKUP(B14,SurveyData!F:I,3,FALSE)</f>
        <v>0.27653503310312583</v>
      </c>
      <c r="J14" s="24">
        <f>VLOOKUP(B14,SurveyData!F:I,4,FALSE)</f>
        <v>3.7632154418054703E-2</v>
      </c>
      <c r="K14" s="10"/>
      <c r="L14" s="24">
        <f t="shared" ref="L14:N17" si="1">D14-H14</f>
        <v>2.2059379978625615E-3</v>
      </c>
      <c r="M14" s="24">
        <f t="shared" si="1"/>
        <v>-8.1147287009934815E-2</v>
      </c>
      <c r="N14" s="24">
        <f t="shared" si="1"/>
        <v>-1.5858803912467662E-2</v>
      </c>
    </row>
    <row r="15" spans="2:14" x14ac:dyDescent="0.3">
      <c r="B15" s="18">
        <v>2</v>
      </c>
      <c r="C15" s="18" t="s">
        <v>11</v>
      </c>
      <c r="D15" s="24">
        <f>VLOOKUP(B15,ModelData!F:I,2,FALSE)</f>
        <v>4.75479071266467E-2</v>
      </c>
      <c r="E15" s="46">
        <f>VLOOKUP(B15,ModelData!F:I,3,FALSE)</f>
        <v>0.37046946969798711</v>
      </c>
      <c r="F15" s="24">
        <f>VLOOKUP(B15,ModelData!F:I,4,FALSE)</f>
        <v>5.3443135885694333E-2</v>
      </c>
      <c r="G15" s="10"/>
      <c r="H15" s="24">
        <f>VLOOKUP(B15,SurveyData!F:I,2,FALSE)</f>
        <v>4.8691911748321978E-2</v>
      </c>
      <c r="I15" s="46">
        <f>VLOOKUP(B15,SurveyData!F:I,3,FALSE)</f>
        <v>0.38659647178049072</v>
      </c>
      <c r="J15" s="24">
        <f>VLOOKUP(B15,SurveyData!F:I,4,FALSE)</f>
        <v>5.3974948728531903E-2</v>
      </c>
      <c r="K15" s="10"/>
      <c r="L15" s="24">
        <f t="shared" si="1"/>
        <v>-1.1440046216752778E-3</v>
      </c>
      <c r="M15" s="46">
        <f t="shared" si="1"/>
        <v>-1.6127002082503616E-2</v>
      </c>
      <c r="N15" s="24">
        <f t="shared" si="1"/>
        <v>-5.3181284283757013E-4</v>
      </c>
    </row>
    <row r="16" spans="2:14" x14ac:dyDescent="0.3">
      <c r="B16" s="18">
        <v>3</v>
      </c>
      <c r="C16" s="18" t="s">
        <v>12</v>
      </c>
      <c r="D16" s="24">
        <f>VLOOKUP(B16,ModelData!F:I,2,FALSE)</f>
        <v>4.7168655649156593E-2</v>
      </c>
      <c r="E16" s="46">
        <f>VLOOKUP(B16,ModelData!F:I,3,FALSE)</f>
        <v>0.52039929690015019</v>
      </c>
      <c r="F16" s="24">
        <f>VLOOKUP(B16,ModelData!F:I,4,FALSE)</f>
        <v>5.9754940643900439E-2</v>
      </c>
      <c r="G16" s="10"/>
      <c r="H16" s="24">
        <f>VLOOKUP(B16,SurveyData!F:I,2,FALSE)</f>
        <v>6.2687454217594737E-2</v>
      </c>
      <c r="I16" s="46">
        <f>VLOOKUP(B16,SurveyData!F:I,3,FALSE)</f>
        <v>0.53516858735380368</v>
      </c>
      <c r="J16" s="24">
        <f>VLOOKUP(B16,SurveyData!F:I,4,FALSE)</f>
        <v>5.9845989675331182E-2</v>
      </c>
      <c r="K16" s="10"/>
      <c r="L16" s="24">
        <f t="shared" si="1"/>
        <v>-1.5518798568438144E-2</v>
      </c>
      <c r="M16" s="46">
        <f t="shared" si="1"/>
        <v>-1.4769290453653494E-2</v>
      </c>
      <c r="N16" s="24">
        <f t="shared" si="1"/>
        <v>-9.1049031430742722E-5</v>
      </c>
    </row>
    <row r="17" spans="2:14" x14ac:dyDescent="0.3">
      <c r="B17" s="18">
        <v>4</v>
      </c>
      <c r="C17" s="18" t="s">
        <v>13</v>
      </c>
      <c r="D17" s="24">
        <f>VLOOKUP(B17,ModelData!F:I,2,FALSE)</f>
        <v>4.6985466261792723E-2</v>
      </c>
      <c r="E17" s="46">
        <f>VLOOKUP(B17,ModelData!F:I,3,FALSE)</f>
        <v>0.5560510882918801</v>
      </c>
      <c r="F17" s="24">
        <f>VLOOKUP(B17,ModelData!F:I,4,FALSE)</f>
        <v>0.18267077721888689</v>
      </c>
      <c r="G17" s="10"/>
      <c r="H17" s="24">
        <f>VLOOKUP(B17,SurveyData!F:I,2,FALSE)</f>
        <v>7.9011686496070668E-2</v>
      </c>
      <c r="I17" s="46">
        <f>VLOOKUP(B17,SurveyData!F:I,3,FALSE)</f>
        <v>0.5704928865999338</v>
      </c>
      <c r="J17" s="24">
        <f>VLOOKUP(B17,SurveyData!F:I,4,FALSE)</f>
        <v>0.18279611880234611</v>
      </c>
      <c r="K17" s="10"/>
      <c r="L17" s="24">
        <f t="shared" si="1"/>
        <v>-3.2026220234277945E-2</v>
      </c>
      <c r="M17" s="46">
        <f t="shared" si="1"/>
        <v>-1.4441798308053699E-2</v>
      </c>
      <c r="N17" s="24">
        <f t="shared" si="1"/>
        <v>-1.2534158345922641E-4</v>
      </c>
    </row>
    <row r="21" spans="2:14" x14ac:dyDescent="0.3">
      <c r="C21" s="25" t="s">
        <v>14</v>
      </c>
    </row>
    <row r="22" spans="2:14" x14ac:dyDescent="0.3">
      <c r="C22" s="25" t="s">
        <v>15</v>
      </c>
    </row>
    <row r="23" spans="2:14" x14ac:dyDescent="0.3">
      <c r="C23" s="25" t="s">
        <v>16</v>
      </c>
    </row>
  </sheetData>
  <mergeCells count="4">
    <mergeCell ref="L11:N11"/>
    <mergeCell ref="H11:J11"/>
    <mergeCell ref="D11:F11"/>
    <mergeCell ref="C11:C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P51"/>
  <sheetViews>
    <sheetView zoomScale="80" zoomScaleNormal="80" workbookViewId="0">
      <selection activeCell="A9" sqref="A9"/>
    </sheetView>
  </sheetViews>
  <sheetFormatPr defaultRowHeight="14.4" x14ac:dyDescent="0.3"/>
  <cols>
    <col min="6" max="6" width="14.21875" bestFit="1" customWidth="1"/>
    <col min="11" max="11" width="12.77734375" bestFit="1" customWidth="1"/>
    <col min="16" max="16" width="12.77734375" bestFit="1" customWidth="1"/>
    <col min="26" max="26" width="12.77734375" bestFit="1" customWidth="1"/>
    <col min="28" max="28" width="14.21875" bestFit="1" customWidth="1"/>
    <col min="31" max="31" width="14.44140625" bestFit="1" customWidth="1"/>
    <col min="32" max="32" width="14" bestFit="1" customWidth="1"/>
    <col min="33" max="33" width="15.88671875" bestFit="1" customWidth="1"/>
    <col min="41" max="41" width="14.44140625" bestFit="1" customWidth="1"/>
    <col min="42" max="42" width="14" bestFit="1" customWidth="1"/>
    <col min="47" max="47" width="20.5546875" bestFit="1" customWidth="1"/>
    <col min="77" max="77" width="9.21875" bestFit="1" customWidth="1"/>
    <col min="93" max="93" width="9.21875" bestFit="1" customWidth="1"/>
    <col min="112" max="112" width="20.77734375" bestFit="1" customWidth="1"/>
    <col min="116" max="116" width="11.109375" bestFit="1" customWidth="1"/>
    <col min="123" max="123" width="13.21875" bestFit="1" customWidth="1"/>
    <col min="124" max="124" width="12.21875" bestFit="1" customWidth="1"/>
    <col min="136" max="136" width="18.5546875" bestFit="1" customWidth="1"/>
  </cols>
  <sheetData>
    <row r="1" spans="1:146" x14ac:dyDescent="0.3">
      <c r="AY1" t="s">
        <v>193</v>
      </c>
      <c r="BI1" t="s">
        <v>194</v>
      </c>
      <c r="BN1" t="s">
        <v>195</v>
      </c>
      <c r="CS1" t="s">
        <v>196</v>
      </c>
      <c r="DD1" t="s">
        <v>126</v>
      </c>
      <c r="DH1" t="s">
        <v>126</v>
      </c>
      <c r="DL1" t="s">
        <v>196</v>
      </c>
      <c r="DQ1" t="s">
        <v>137</v>
      </c>
      <c r="EB1" t="s">
        <v>137</v>
      </c>
      <c r="EF1" t="s">
        <v>137</v>
      </c>
      <c r="EJ1" t="s">
        <v>137</v>
      </c>
      <c r="EN1" t="s">
        <v>137</v>
      </c>
    </row>
    <row r="2" spans="1:146"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c r="CX2">
        <v>101</v>
      </c>
      <c r="CY2">
        <v>102</v>
      </c>
      <c r="CZ2">
        <v>103</v>
      </c>
      <c r="DA2">
        <v>104</v>
      </c>
      <c r="DB2">
        <v>105</v>
      </c>
      <c r="DC2">
        <v>106</v>
      </c>
      <c r="DD2">
        <v>107</v>
      </c>
      <c r="DE2">
        <v>108</v>
      </c>
      <c r="DF2">
        <v>109</v>
      </c>
      <c r="DG2">
        <v>110</v>
      </c>
      <c r="DH2">
        <v>111</v>
      </c>
      <c r="DI2">
        <v>112</v>
      </c>
      <c r="DJ2">
        <v>113</v>
      </c>
      <c r="DK2">
        <v>114</v>
      </c>
      <c r="DL2">
        <v>115</v>
      </c>
      <c r="DM2">
        <v>116</v>
      </c>
      <c r="DN2">
        <v>117</v>
      </c>
      <c r="DO2">
        <v>118</v>
      </c>
      <c r="DP2">
        <v>119</v>
      </c>
      <c r="DQ2">
        <v>120</v>
      </c>
      <c r="DR2">
        <v>121</v>
      </c>
      <c r="DS2">
        <v>122</v>
      </c>
      <c r="DT2">
        <v>123</v>
      </c>
      <c r="DU2">
        <v>124</v>
      </c>
      <c r="DV2">
        <v>125</v>
      </c>
      <c r="DW2">
        <v>126</v>
      </c>
      <c r="DX2">
        <v>127</v>
      </c>
      <c r="DY2">
        <v>128</v>
      </c>
      <c r="DZ2">
        <v>129</v>
      </c>
      <c r="EA2">
        <v>130</v>
      </c>
      <c r="EB2">
        <v>131</v>
      </c>
      <c r="EC2">
        <v>132</v>
      </c>
      <c r="ED2">
        <v>133</v>
      </c>
      <c r="EE2">
        <v>134</v>
      </c>
      <c r="EF2">
        <v>135</v>
      </c>
      <c r="EG2">
        <v>136</v>
      </c>
      <c r="EH2">
        <v>137</v>
      </c>
      <c r="EI2">
        <v>138</v>
      </c>
      <c r="EJ2">
        <v>139</v>
      </c>
      <c r="EK2">
        <v>140</v>
      </c>
      <c r="EL2">
        <v>141</v>
      </c>
      <c r="EM2">
        <v>142</v>
      </c>
      <c r="EN2">
        <v>143</v>
      </c>
      <c r="EO2">
        <v>144</v>
      </c>
      <c r="EP2">
        <v>145</v>
      </c>
    </row>
    <row r="3" spans="1:146" x14ac:dyDescent="0.3">
      <c r="A3" s="63" t="s">
        <v>197</v>
      </c>
      <c r="B3" s="63" t="s">
        <v>198</v>
      </c>
      <c r="F3" s="63" t="s">
        <v>199</v>
      </c>
      <c r="G3" s="63" t="s">
        <v>5</v>
      </c>
      <c r="H3" s="63" t="s">
        <v>7</v>
      </c>
      <c r="I3" s="63" t="s">
        <v>6</v>
      </c>
      <c r="K3" s="63" t="s">
        <v>200</v>
      </c>
      <c r="L3" s="63" t="s">
        <v>5</v>
      </c>
      <c r="M3" s="63" t="s">
        <v>7</v>
      </c>
      <c r="N3" s="63" t="s">
        <v>6</v>
      </c>
      <c r="P3" s="63" t="s">
        <v>201</v>
      </c>
      <c r="Q3" s="63" t="s">
        <v>5</v>
      </c>
      <c r="R3" s="63" t="s">
        <v>7</v>
      </c>
      <c r="S3" s="63" t="s">
        <v>6</v>
      </c>
      <c r="U3" s="63" t="s">
        <v>202</v>
      </c>
      <c r="V3" s="63" t="s">
        <v>5</v>
      </c>
      <c r="W3" s="63" t="s">
        <v>7</v>
      </c>
      <c r="X3" s="63" t="s">
        <v>6</v>
      </c>
      <c r="Z3" s="63" t="s">
        <v>203</v>
      </c>
      <c r="AA3" s="63" t="s">
        <v>204</v>
      </c>
      <c r="AB3" s="63" t="s">
        <v>205</v>
      </c>
      <c r="AE3" s="63" t="s">
        <v>206</v>
      </c>
      <c r="AF3" s="63" t="s">
        <v>207</v>
      </c>
      <c r="AG3" s="63" t="s">
        <v>208</v>
      </c>
      <c r="AJ3" s="63" t="s">
        <v>209</v>
      </c>
      <c r="AK3" s="63" t="s">
        <v>210</v>
      </c>
      <c r="AL3" s="63" t="s">
        <v>211</v>
      </c>
      <c r="AO3" s="63" t="s">
        <v>206</v>
      </c>
      <c r="AP3" s="63" t="s">
        <v>211</v>
      </c>
      <c r="AT3" s="63" t="s">
        <v>212</v>
      </c>
      <c r="AU3" s="63" t="s">
        <v>213</v>
      </c>
      <c r="AV3" s="63" t="s">
        <v>214</v>
      </c>
      <c r="AY3" s="63" t="s">
        <v>215</v>
      </c>
      <c r="AZ3" s="63" t="s">
        <v>204</v>
      </c>
      <c r="BD3" s="63" t="s">
        <v>225</v>
      </c>
      <c r="BE3" s="63" t="s">
        <v>204</v>
      </c>
      <c r="BI3" s="63" t="s">
        <v>217</v>
      </c>
      <c r="BJ3" s="63" t="s">
        <v>214</v>
      </c>
      <c r="BN3" s="63" t="s">
        <v>216</v>
      </c>
      <c r="BO3" s="63" t="s">
        <v>217</v>
      </c>
      <c r="BP3" s="63" t="s">
        <v>214</v>
      </c>
      <c r="BS3" s="63" t="s">
        <v>216</v>
      </c>
      <c r="BT3" s="63" t="s">
        <v>218</v>
      </c>
      <c r="BU3" s="63" t="s">
        <v>214</v>
      </c>
      <c r="BX3" s="63" t="s">
        <v>216</v>
      </c>
      <c r="BY3" s="63" t="s">
        <v>219</v>
      </c>
      <c r="CD3" s="63" t="s">
        <v>220</v>
      </c>
      <c r="CE3" s="63" t="s">
        <v>217</v>
      </c>
      <c r="CF3" s="63" t="s">
        <v>214</v>
      </c>
      <c r="CI3" s="63" t="s">
        <v>220</v>
      </c>
      <c r="CJ3" s="63" t="s">
        <v>218</v>
      </c>
      <c r="CK3" s="63" t="s">
        <v>214</v>
      </c>
      <c r="CN3" s="63" t="s">
        <v>220</v>
      </c>
      <c r="CO3" s="63" t="s">
        <v>221</v>
      </c>
      <c r="CS3" s="63" t="s">
        <v>222</v>
      </c>
      <c r="CT3" s="63" t="s">
        <v>143</v>
      </c>
      <c r="CU3" s="63" t="s">
        <v>170</v>
      </c>
      <c r="CV3" s="63" t="s">
        <v>171</v>
      </c>
      <c r="CW3" s="63" t="s">
        <v>172</v>
      </c>
      <c r="CX3" s="63" t="s">
        <v>173</v>
      </c>
      <c r="CY3" s="63" t="s">
        <v>174</v>
      </c>
      <c r="CZ3" s="63" t="s">
        <v>175</v>
      </c>
      <c r="DA3" s="63" t="s">
        <v>176</v>
      </c>
      <c r="DD3" s="63" t="s">
        <v>237</v>
      </c>
      <c r="DE3" s="63" t="s">
        <v>214</v>
      </c>
      <c r="DH3" s="63" t="s">
        <v>223</v>
      </c>
      <c r="DI3" s="63" t="s">
        <v>214</v>
      </c>
      <c r="DL3" s="63" t="s">
        <v>218</v>
      </c>
      <c r="DM3" s="63" t="s">
        <v>224</v>
      </c>
      <c r="DQ3" s="63" t="s">
        <v>222</v>
      </c>
      <c r="DR3" s="63" t="s">
        <v>143</v>
      </c>
      <c r="DS3" s="63" t="s">
        <v>170</v>
      </c>
      <c r="DT3" s="63" t="s">
        <v>171</v>
      </c>
      <c r="DU3" s="63" t="s">
        <v>172</v>
      </c>
      <c r="DV3" s="63" t="s">
        <v>173</v>
      </c>
      <c r="DW3" s="63" t="s">
        <v>174</v>
      </c>
      <c r="DX3" s="63" t="s">
        <v>175</v>
      </c>
      <c r="DY3" s="63" t="s">
        <v>176</v>
      </c>
      <c r="EB3" s="63" t="s">
        <v>237</v>
      </c>
      <c r="EC3" s="63" t="s">
        <v>214</v>
      </c>
      <c r="EF3" s="63" t="s">
        <v>223</v>
      </c>
      <c r="EG3" s="63" t="s">
        <v>214</v>
      </c>
      <c r="EJ3" s="63" t="s">
        <v>218</v>
      </c>
      <c r="EK3" s="63" t="s">
        <v>224</v>
      </c>
      <c r="EO3" s="63" t="s">
        <v>225</v>
      </c>
      <c r="EP3" s="63" t="s">
        <v>214</v>
      </c>
    </row>
    <row r="4" spans="1:146" x14ac:dyDescent="0.3">
      <c r="A4" t="s">
        <v>5</v>
      </c>
      <c r="B4">
        <v>4.3176234627604879E-2</v>
      </c>
      <c r="F4">
        <v>1</v>
      </c>
      <c r="G4">
        <v>3.4625860734962759E-2</v>
      </c>
      <c r="H4">
        <v>0.19538774609319101</v>
      </c>
      <c r="I4">
        <v>2.1773350505587041E-2</v>
      </c>
      <c r="K4">
        <v>0</v>
      </c>
      <c r="L4">
        <v>4.1264789439240203E-2</v>
      </c>
      <c r="M4">
        <v>0.36886875842476319</v>
      </c>
      <c r="N4">
        <v>6.1290033781014802E-2</v>
      </c>
      <c r="P4">
        <v>0</v>
      </c>
      <c r="Q4">
        <v>4.2693952760979391E-2</v>
      </c>
      <c r="R4">
        <v>0.3876195320263473</v>
      </c>
      <c r="S4">
        <v>6.2326799609750447E-2</v>
      </c>
      <c r="U4">
        <v>0</v>
      </c>
      <c r="V4">
        <v>4.5398582041226973E-2</v>
      </c>
      <c r="W4">
        <v>0.3545841867859138</v>
      </c>
      <c r="X4">
        <v>7.8162823466634057E-2</v>
      </c>
      <c r="Z4">
        <v>1</v>
      </c>
      <c r="AA4">
        <v>17366</v>
      </c>
      <c r="AB4">
        <v>15265</v>
      </c>
      <c r="AE4">
        <v>1</v>
      </c>
      <c r="AF4">
        <v>920.24429893000001</v>
      </c>
      <c r="AG4">
        <v>2.621778629430199</v>
      </c>
      <c r="AJ4">
        <v>1</v>
      </c>
      <c r="AK4" t="b">
        <v>0</v>
      </c>
      <c r="AL4">
        <v>3183</v>
      </c>
      <c r="AO4">
        <v>1</v>
      </c>
      <c r="AP4">
        <v>716</v>
      </c>
      <c r="AT4">
        <v>1</v>
      </c>
      <c r="AU4" t="s">
        <v>68</v>
      </c>
      <c r="AV4">
        <v>8519</v>
      </c>
      <c r="AY4">
        <v>1</v>
      </c>
      <c r="AZ4">
        <v>1246</v>
      </c>
      <c r="BD4" t="s">
        <v>132</v>
      </c>
      <c r="BE4">
        <v>101056</v>
      </c>
      <c r="BI4" t="s">
        <v>55</v>
      </c>
      <c r="BJ4">
        <v>327</v>
      </c>
      <c r="BN4" t="s">
        <v>143</v>
      </c>
      <c r="BO4" t="s">
        <v>226</v>
      </c>
      <c r="BP4">
        <v>610</v>
      </c>
      <c r="BS4" t="s">
        <v>143</v>
      </c>
      <c r="BT4" t="s">
        <v>119</v>
      </c>
      <c r="BU4">
        <v>100841</v>
      </c>
      <c r="BX4" t="s">
        <v>143</v>
      </c>
      <c r="BY4">
        <v>0.24877567700047501</v>
      </c>
      <c r="CD4" t="s">
        <v>143</v>
      </c>
      <c r="CE4" t="s">
        <v>226</v>
      </c>
      <c r="CF4">
        <v>407</v>
      </c>
      <c r="CI4" t="s">
        <v>143</v>
      </c>
      <c r="CJ4" t="s">
        <v>119</v>
      </c>
      <c r="CK4">
        <v>65827</v>
      </c>
      <c r="CN4" t="s">
        <v>143</v>
      </c>
      <c r="CO4">
        <v>0.25050171182079739</v>
      </c>
      <c r="CS4" t="s">
        <v>143</v>
      </c>
      <c r="CT4">
        <v>0</v>
      </c>
      <c r="CU4">
        <v>84</v>
      </c>
      <c r="CV4">
        <v>12</v>
      </c>
      <c r="CW4">
        <v>0</v>
      </c>
      <c r="CX4">
        <v>22823</v>
      </c>
      <c r="CY4">
        <v>0</v>
      </c>
      <c r="CZ4">
        <v>45687</v>
      </c>
      <c r="DA4">
        <v>114</v>
      </c>
      <c r="DD4" t="s">
        <v>132</v>
      </c>
      <c r="DE4">
        <v>266464</v>
      </c>
      <c r="DH4" t="s">
        <v>143</v>
      </c>
      <c r="DI4">
        <v>190122</v>
      </c>
      <c r="DL4" t="s">
        <v>119</v>
      </c>
      <c r="DM4">
        <v>7.5262608565698468</v>
      </c>
      <c r="DQ4" t="s">
        <v>143</v>
      </c>
      <c r="DR4">
        <v>0</v>
      </c>
      <c r="DS4">
        <v>55</v>
      </c>
      <c r="DT4">
        <v>287</v>
      </c>
      <c r="DU4">
        <v>0</v>
      </c>
      <c r="DV4">
        <v>388</v>
      </c>
      <c r="DW4">
        <v>0</v>
      </c>
      <c r="DX4">
        <v>26</v>
      </c>
      <c r="DY4">
        <v>22</v>
      </c>
      <c r="EB4" t="s">
        <v>132</v>
      </c>
      <c r="EC4">
        <v>2276</v>
      </c>
      <c r="EF4" t="s">
        <v>148</v>
      </c>
      <c r="EG4">
        <v>26664</v>
      </c>
      <c r="EJ4" t="s">
        <v>119</v>
      </c>
      <c r="EK4">
        <v>4.2284547359780822</v>
      </c>
      <c r="EO4" t="s">
        <v>132</v>
      </c>
      <c r="EP4">
        <v>2276</v>
      </c>
    </row>
    <row r="5" spans="1:146" x14ac:dyDescent="0.3">
      <c r="A5" t="s">
        <v>7</v>
      </c>
      <c r="B5">
        <v>0.38650369689313741</v>
      </c>
      <c r="F5">
        <v>2</v>
      </c>
      <c r="G5">
        <v>4.75479071266467E-2</v>
      </c>
      <c r="H5">
        <v>0.37046946969798711</v>
      </c>
      <c r="I5">
        <v>5.3443135885694333E-2</v>
      </c>
      <c r="K5">
        <v>1</v>
      </c>
      <c r="L5">
        <v>4.6309271361665363E-2</v>
      </c>
      <c r="M5">
        <v>0.41540900391456581</v>
      </c>
      <c r="N5">
        <v>7.5786323408441741E-2</v>
      </c>
      <c r="P5">
        <v>1</v>
      </c>
      <c r="Q5">
        <v>4.6275349086066217E-2</v>
      </c>
      <c r="R5">
        <v>0.37933340699858681</v>
      </c>
      <c r="S5">
        <v>9.5417827379048442E-2</v>
      </c>
      <c r="U5">
        <v>1</v>
      </c>
      <c r="V5">
        <v>4.2304295201020643E-2</v>
      </c>
      <c r="W5">
        <v>0.39902733706260157</v>
      </c>
      <c r="X5">
        <v>6.2318034610226038E-2</v>
      </c>
      <c r="Z5">
        <v>2</v>
      </c>
      <c r="AA5">
        <v>9312</v>
      </c>
      <c r="AB5">
        <v>7818</v>
      </c>
      <c r="AE5">
        <v>2</v>
      </c>
      <c r="AF5">
        <v>11130.236863079999</v>
      </c>
      <c r="AG5">
        <v>3.0755006529649078</v>
      </c>
      <c r="AJ5">
        <v>1</v>
      </c>
      <c r="AK5" t="b">
        <v>1</v>
      </c>
      <c r="AL5">
        <v>5517</v>
      </c>
      <c r="AO5">
        <v>2</v>
      </c>
      <c r="AP5">
        <v>14657</v>
      </c>
      <c r="AT5">
        <v>2</v>
      </c>
      <c r="AU5" t="s">
        <v>70</v>
      </c>
      <c r="AV5">
        <v>2986</v>
      </c>
      <c r="AY5">
        <v>2</v>
      </c>
      <c r="AZ5">
        <v>1549</v>
      </c>
      <c r="BD5" t="s">
        <v>136</v>
      </c>
      <c r="BE5">
        <v>15557</v>
      </c>
      <c r="BI5" t="s">
        <v>57</v>
      </c>
      <c r="BJ5">
        <v>2875</v>
      </c>
      <c r="BN5" t="s">
        <v>143</v>
      </c>
      <c r="BO5" t="s">
        <v>227</v>
      </c>
      <c r="BP5">
        <v>24948</v>
      </c>
      <c r="BS5" t="s">
        <v>143</v>
      </c>
      <c r="BT5" t="s">
        <v>120</v>
      </c>
      <c r="BU5">
        <v>25870</v>
      </c>
      <c r="BX5" t="s">
        <v>148</v>
      </c>
      <c r="BY5">
        <v>11.567004852198449</v>
      </c>
      <c r="CD5" t="s">
        <v>143</v>
      </c>
      <c r="CE5" t="s">
        <v>227</v>
      </c>
      <c r="CF5">
        <v>17892</v>
      </c>
      <c r="CI5" t="s">
        <v>143</v>
      </c>
      <c r="CJ5" t="s">
        <v>120</v>
      </c>
      <c r="CK5">
        <v>19587</v>
      </c>
      <c r="CN5" t="s">
        <v>148</v>
      </c>
      <c r="CO5">
        <v>5.032723008095072</v>
      </c>
      <c r="CS5" t="s">
        <v>170</v>
      </c>
      <c r="CT5">
        <v>7349</v>
      </c>
      <c r="CU5">
        <v>214809</v>
      </c>
      <c r="CV5">
        <v>5654</v>
      </c>
      <c r="CW5">
        <v>536</v>
      </c>
      <c r="CX5">
        <v>30568</v>
      </c>
      <c r="CY5">
        <v>0</v>
      </c>
      <c r="CZ5">
        <v>5144</v>
      </c>
      <c r="DA5">
        <v>22485</v>
      </c>
      <c r="DD5" t="s">
        <v>136</v>
      </c>
      <c r="DE5">
        <v>34561</v>
      </c>
      <c r="DH5" t="s">
        <v>148</v>
      </c>
      <c r="DI5">
        <v>772157</v>
      </c>
      <c r="DL5" t="s">
        <v>120</v>
      </c>
      <c r="DM5">
        <v>9.5712510638140351</v>
      </c>
      <c r="DQ5" t="s">
        <v>170</v>
      </c>
      <c r="DR5">
        <v>320</v>
      </c>
      <c r="DS5">
        <v>14061</v>
      </c>
      <c r="DT5">
        <v>5495</v>
      </c>
      <c r="DU5">
        <v>361</v>
      </c>
      <c r="DV5">
        <v>3867</v>
      </c>
      <c r="DW5">
        <v>0</v>
      </c>
      <c r="DX5">
        <v>367</v>
      </c>
      <c r="DY5">
        <v>2294</v>
      </c>
      <c r="EB5" t="s">
        <v>136</v>
      </c>
      <c r="EC5">
        <v>307</v>
      </c>
      <c r="EF5" t="s">
        <v>143</v>
      </c>
      <c r="EG5">
        <v>5794</v>
      </c>
      <c r="EJ5" t="s">
        <v>121</v>
      </c>
      <c r="EO5" t="s">
        <v>136</v>
      </c>
      <c r="EP5">
        <v>307</v>
      </c>
    </row>
    <row r="6" spans="1:146" x14ac:dyDescent="0.3">
      <c r="A6" t="s">
        <v>6</v>
      </c>
      <c r="B6">
        <v>6.6782939392254423E-2</v>
      </c>
      <c r="F6">
        <v>3</v>
      </c>
      <c r="G6">
        <v>4.7168655649156593E-2</v>
      </c>
      <c r="H6">
        <v>0.52039929690015019</v>
      </c>
      <c r="I6">
        <v>5.9754940643900439E-2</v>
      </c>
      <c r="Z6">
        <v>3</v>
      </c>
      <c r="AA6">
        <v>53644</v>
      </c>
      <c r="AB6">
        <v>40473</v>
      </c>
      <c r="AE6">
        <v>3</v>
      </c>
      <c r="AF6">
        <v>352.99416880000001</v>
      </c>
      <c r="AG6">
        <v>4.4682806177215193</v>
      </c>
      <c r="AJ6">
        <v>2</v>
      </c>
      <c r="AK6" t="b">
        <v>0</v>
      </c>
      <c r="AL6">
        <v>8559</v>
      </c>
      <c r="AO6">
        <v>3</v>
      </c>
      <c r="AP6">
        <v>3540</v>
      </c>
      <c r="AT6">
        <v>3</v>
      </c>
      <c r="AU6" t="s">
        <v>72</v>
      </c>
      <c r="AV6">
        <v>4207</v>
      </c>
      <c r="AY6">
        <v>3</v>
      </c>
      <c r="AZ6">
        <v>1967</v>
      </c>
      <c r="BD6" t="s">
        <v>135</v>
      </c>
      <c r="BE6">
        <v>6083</v>
      </c>
      <c r="BI6" t="s">
        <v>59</v>
      </c>
      <c r="BJ6">
        <v>1814</v>
      </c>
      <c r="BN6" t="s">
        <v>143</v>
      </c>
      <c r="BO6" t="s">
        <v>228</v>
      </c>
      <c r="BP6">
        <v>45468</v>
      </c>
      <c r="BS6" t="s">
        <v>143</v>
      </c>
      <c r="BT6" t="s">
        <v>121</v>
      </c>
      <c r="BU6">
        <v>52209</v>
      </c>
      <c r="BX6" t="s">
        <v>147</v>
      </c>
      <c r="BY6">
        <v>11.68559702793087</v>
      </c>
      <c r="CD6" t="s">
        <v>143</v>
      </c>
      <c r="CE6" t="s">
        <v>228</v>
      </c>
      <c r="CF6">
        <v>31583</v>
      </c>
      <c r="CI6" t="s">
        <v>143</v>
      </c>
      <c r="CJ6" t="s">
        <v>121</v>
      </c>
      <c r="CK6">
        <v>35988</v>
      </c>
      <c r="CN6" t="s">
        <v>147</v>
      </c>
      <c r="CO6">
        <v>3.6492876509115679</v>
      </c>
      <c r="CS6" t="s">
        <v>171</v>
      </c>
      <c r="CT6">
        <v>1278</v>
      </c>
      <c r="CU6">
        <v>15004</v>
      </c>
      <c r="CV6">
        <v>5463</v>
      </c>
      <c r="CW6">
        <v>116</v>
      </c>
      <c r="CX6">
        <v>5024</v>
      </c>
      <c r="CY6">
        <v>0</v>
      </c>
      <c r="CZ6">
        <v>4020</v>
      </c>
      <c r="DA6">
        <v>3142</v>
      </c>
      <c r="DD6" t="s">
        <v>135</v>
      </c>
      <c r="DE6">
        <v>66939</v>
      </c>
      <c r="DH6" t="s">
        <v>188</v>
      </c>
      <c r="DI6">
        <v>6382</v>
      </c>
      <c r="DL6" t="s">
        <v>121</v>
      </c>
      <c r="DM6">
        <v>6.3122684903274857</v>
      </c>
      <c r="DQ6" t="s">
        <v>171</v>
      </c>
      <c r="DR6">
        <v>101</v>
      </c>
      <c r="DS6">
        <v>10436</v>
      </c>
      <c r="DT6">
        <v>1620</v>
      </c>
      <c r="DU6">
        <v>134</v>
      </c>
      <c r="DV6">
        <v>708</v>
      </c>
      <c r="DW6">
        <v>0</v>
      </c>
      <c r="DX6">
        <v>23</v>
      </c>
      <c r="DY6">
        <v>293</v>
      </c>
      <c r="EB6" t="s">
        <v>135</v>
      </c>
      <c r="EC6">
        <v>16736</v>
      </c>
      <c r="EF6" t="s">
        <v>147</v>
      </c>
      <c r="EG6">
        <v>25881</v>
      </c>
      <c r="EJ6" t="s">
        <v>120</v>
      </c>
      <c r="EO6" t="s">
        <v>135</v>
      </c>
      <c r="EP6">
        <v>16736</v>
      </c>
    </row>
    <row r="7" spans="1:146" x14ac:dyDescent="0.3">
      <c r="F7">
        <v>4</v>
      </c>
      <c r="G7">
        <v>4.6985466261792723E-2</v>
      </c>
      <c r="H7">
        <v>0.5560510882918801</v>
      </c>
      <c r="I7">
        <v>0.18267077721888689</v>
      </c>
      <c r="Z7">
        <v>4</v>
      </c>
      <c r="AA7">
        <v>31945</v>
      </c>
      <c r="AB7">
        <v>21787</v>
      </c>
      <c r="AE7">
        <v>4</v>
      </c>
      <c r="AF7">
        <v>36356.306162280001</v>
      </c>
      <c r="AG7">
        <v>4.5309454339830513</v>
      </c>
      <c r="AJ7">
        <v>2</v>
      </c>
      <c r="AK7" t="b">
        <v>1</v>
      </c>
      <c r="AL7">
        <v>10012</v>
      </c>
      <c r="AO7">
        <v>4</v>
      </c>
      <c r="AP7">
        <v>13053</v>
      </c>
      <c r="AT7">
        <v>4</v>
      </c>
      <c r="AU7" t="s">
        <v>74</v>
      </c>
      <c r="AV7">
        <v>5012</v>
      </c>
      <c r="AY7">
        <v>4</v>
      </c>
      <c r="AZ7">
        <v>2379</v>
      </c>
      <c r="BD7" t="s">
        <v>133</v>
      </c>
      <c r="BE7">
        <v>96105</v>
      </c>
      <c r="BN7" t="s">
        <v>143</v>
      </c>
      <c r="BO7" t="s">
        <v>229</v>
      </c>
      <c r="BP7">
        <v>31925</v>
      </c>
      <c r="BS7" t="s">
        <v>148</v>
      </c>
      <c r="BT7" t="s">
        <v>119</v>
      </c>
      <c r="BU7">
        <v>16081</v>
      </c>
      <c r="BX7" t="s">
        <v>145</v>
      </c>
      <c r="BY7">
        <v>8.1373293059646503</v>
      </c>
      <c r="CD7" t="s">
        <v>143</v>
      </c>
      <c r="CE7" t="s">
        <v>229</v>
      </c>
      <c r="CF7">
        <v>21592</v>
      </c>
      <c r="CI7" t="s">
        <v>148</v>
      </c>
      <c r="CJ7" t="s">
        <v>119</v>
      </c>
      <c r="CK7">
        <v>29439</v>
      </c>
      <c r="CN7" t="s">
        <v>145</v>
      </c>
      <c r="CO7">
        <v>2.8146218423570448</v>
      </c>
      <c r="CS7" t="s">
        <v>172</v>
      </c>
      <c r="CT7">
        <v>1218</v>
      </c>
      <c r="CU7">
        <v>666</v>
      </c>
      <c r="CV7">
        <v>116</v>
      </c>
      <c r="CW7">
        <v>0</v>
      </c>
      <c r="CX7">
        <v>5101</v>
      </c>
      <c r="CY7">
        <v>0</v>
      </c>
      <c r="CZ7">
        <v>2669</v>
      </c>
      <c r="DA7">
        <v>1991</v>
      </c>
      <c r="DD7" t="s">
        <v>133</v>
      </c>
      <c r="DE7">
        <v>990006</v>
      </c>
      <c r="DH7" t="s">
        <v>147</v>
      </c>
      <c r="DI7">
        <v>519251</v>
      </c>
      <c r="DQ7" t="s">
        <v>172</v>
      </c>
      <c r="DR7">
        <v>0</v>
      </c>
      <c r="DS7">
        <v>55</v>
      </c>
      <c r="DT7">
        <v>313</v>
      </c>
      <c r="DU7">
        <v>0</v>
      </c>
      <c r="DV7">
        <v>374</v>
      </c>
      <c r="DW7">
        <v>0</v>
      </c>
      <c r="DX7">
        <v>18</v>
      </c>
      <c r="DY7">
        <v>106</v>
      </c>
      <c r="EB7" t="s">
        <v>133</v>
      </c>
      <c r="EC7">
        <v>24152</v>
      </c>
      <c r="EF7" t="s">
        <v>145</v>
      </c>
      <c r="EG7">
        <v>1325</v>
      </c>
      <c r="EO7" t="s">
        <v>133</v>
      </c>
      <c r="EP7">
        <v>24152</v>
      </c>
    </row>
    <row r="8" spans="1:146" x14ac:dyDescent="0.3">
      <c r="Z8">
        <v>5</v>
      </c>
      <c r="AA8">
        <v>82</v>
      </c>
      <c r="AB8">
        <v>82</v>
      </c>
      <c r="AE8">
        <v>5</v>
      </c>
      <c r="AF8">
        <v>12044.02436182</v>
      </c>
      <c r="AG8">
        <v>3.3252414030425181</v>
      </c>
      <c r="AJ8">
        <v>3</v>
      </c>
      <c r="AK8" t="b">
        <v>0</v>
      </c>
      <c r="AL8">
        <v>22788</v>
      </c>
      <c r="AO8">
        <v>5</v>
      </c>
      <c r="AP8">
        <v>10920</v>
      </c>
      <c r="AT8">
        <v>5</v>
      </c>
      <c r="AU8" t="s">
        <v>76</v>
      </c>
      <c r="AV8">
        <v>13045</v>
      </c>
      <c r="AY8">
        <v>5</v>
      </c>
      <c r="AZ8">
        <v>3361</v>
      </c>
      <c r="BD8" t="s">
        <v>134</v>
      </c>
      <c r="BE8">
        <v>8549</v>
      </c>
      <c r="BN8" t="s">
        <v>143</v>
      </c>
      <c r="BO8" t="s">
        <v>230</v>
      </c>
      <c r="BP8">
        <v>3162</v>
      </c>
      <c r="BS8" t="s">
        <v>148</v>
      </c>
      <c r="BT8" t="s">
        <v>120</v>
      </c>
      <c r="BU8">
        <v>3048</v>
      </c>
      <c r="CD8" t="s">
        <v>143</v>
      </c>
      <c r="CE8" t="s">
        <v>230</v>
      </c>
      <c r="CF8">
        <v>2172</v>
      </c>
      <c r="CI8" t="s">
        <v>148</v>
      </c>
      <c r="CJ8" t="s">
        <v>120</v>
      </c>
      <c r="CK8">
        <v>7752</v>
      </c>
      <c r="CS8" t="s">
        <v>173</v>
      </c>
      <c r="CT8">
        <v>15428</v>
      </c>
      <c r="CU8">
        <v>30287</v>
      </c>
      <c r="CV8">
        <v>10416</v>
      </c>
      <c r="CW8">
        <v>2758</v>
      </c>
      <c r="CX8">
        <v>144493</v>
      </c>
      <c r="CY8">
        <v>0</v>
      </c>
      <c r="CZ8">
        <v>75645</v>
      </c>
      <c r="DA8">
        <v>65065</v>
      </c>
      <c r="DD8" t="s">
        <v>134</v>
      </c>
      <c r="DE8">
        <v>194604</v>
      </c>
      <c r="DH8" t="s">
        <v>145</v>
      </c>
      <c r="DI8">
        <v>64662</v>
      </c>
      <c r="DQ8" t="s">
        <v>173</v>
      </c>
      <c r="DR8">
        <v>309</v>
      </c>
      <c r="DS8">
        <v>1078</v>
      </c>
      <c r="DT8">
        <v>3185</v>
      </c>
      <c r="DU8">
        <v>348</v>
      </c>
      <c r="DV8">
        <v>4648</v>
      </c>
      <c r="DW8">
        <v>0</v>
      </c>
      <c r="DX8">
        <v>286</v>
      </c>
      <c r="DY8">
        <v>1995</v>
      </c>
      <c r="EB8" t="s">
        <v>134</v>
      </c>
      <c r="EC8">
        <v>16313</v>
      </c>
      <c r="EF8" t="s">
        <v>188</v>
      </c>
      <c r="EG8">
        <v>120</v>
      </c>
      <c r="EO8" t="s">
        <v>134</v>
      </c>
      <c r="EP8">
        <v>16313</v>
      </c>
    </row>
    <row r="9" spans="1:146" x14ac:dyDescent="0.3">
      <c r="AE9">
        <v>6</v>
      </c>
      <c r="AF9">
        <v>18178.690008149999</v>
      </c>
      <c r="AG9">
        <v>3.0795680176435711</v>
      </c>
      <c r="AJ9">
        <v>3</v>
      </c>
      <c r="AK9" t="b">
        <v>1</v>
      </c>
      <c r="AL9">
        <v>18375</v>
      </c>
      <c r="AO9">
        <v>6</v>
      </c>
      <c r="AP9">
        <v>31784</v>
      </c>
      <c r="AT9">
        <v>6</v>
      </c>
      <c r="AU9" t="s">
        <v>78</v>
      </c>
      <c r="AV9">
        <v>4148</v>
      </c>
      <c r="AY9">
        <v>6</v>
      </c>
      <c r="AZ9">
        <v>5055</v>
      </c>
      <c r="BN9" t="s">
        <v>143</v>
      </c>
      <c r="BO9" t="s">
        <v>231</v>
      </c>
      <c r="BP9">
        <v>5233</v>
      </c>
      <c r="BS9" t="s">
        <v>148</v>
      </c>
      <c r="BT9" t="s">
        <v>121</v>
      </c>
      <c r="BU9">
        <v>2746</v>
      </c>
      <c r="CD9" t="s">
        <v>143</v>
      </c>
      <c r="CE9" t="s">
        <v>231</v>
      </c>
      <c r="CF9">
        <v>4259</v>
      </c>
      <c r="CI9" t="s">
        <v>148</v>
      </c>
      <c r="CJ9" t="s">
        <v>121</v>
      </c>
      <c r="CK9">
        <v>13184</v>
      </c>
      <c r="CS9" t="s">
        <v>174</v>
      </c>
      <c r="CT9">
        <v>3587</v>
      </c>
      <c r="CU9">
        <v>5530</v>
      </c>
      <c r="CV9">
        <v>1407</v>
      </c>
      <c r="CW9">
        <v>53</v>
      </c>
      <c r="CX9">
        <v>48506</v>
      </c>
      <c r="CY9">
        <v>0</v>
      </c>
      <c r="CZ9">
        <v>161939</v>
      </c>
      <c r="DA9">
        <v>1312</v>
      </c>
      <c r="DQ9" t="s">
        <v>174</v>
      </c>
      <c r="DR9">
        <v>0</v>
      </c>
      <c r="DS9">
        <v>990</v>
      </c>
      <c r="DT9">
        <v>2113</v>
      </c>
      <c r="DU9">
        <v>19</v>
      </c>
      <c r="DV9">
        <v>1551</v>
      </c>
      <c r="DW9">
        <v>0</v>
      </c>
      <c r="DX9">
        <v>208</v>
      </c>
      <c r="DY9">
        <v>135</v>
      </c>
    </row>
    <row r="10" spans="1:146" x14ac:dyDescent="0.3">
      <c r="AE10">
        <v>7</v>
      </c>
      <c r="AF10">
        <v>4603.2929316</v>
      </c>
      <c r="AG10">
        <v>3.6826343452799999</v>
      </c>
      <c r="AJ10">
        <v>4</v>
      </c>
      <c r="AK10" t="b">
        <v>0</v>
      </c>
      <c r="AL10">
        <v>21580</v>
      </c>
      <c r="AO10">
        <v>7</v>
      </c>
      <c r="AP10">
        <v>9254</v>
      </c>
      <c r="AT10">
        <v>7</v>
      </c>
      <c r="AU10" t="s">
        <v>80</v>
      </c>
      <c r="AV10">
        <v>6084</v>
      </c>
      <c r="AY10">
        <v>7</v>
      </c>
      <c r="AZ10">
        <v>7850</v>
      </c>
      <c r="BN10" t="s">
        <v>143</v>
      </c>
      <c r="BO10" t="s">
        <v>232</v>
      </c>
      <c r="BP10">
        <v>12119</v>
      </c>
      <c r="BS10" t="s">
        <v>147</v>
      </c>
      <c r="BT10" t="s">
        <v>119</v>
      </c>
      <c r="BU10">
        <v>14895</v>
      </c>
      <c r="CD10" t="s">
        <v>143</v>
      </c>
      <c r="CE10" t="s">
        <v>232</v>
      </c>
      <c r="CF10">
        <v>7874</v>
      </c>
      <c r="CI10" t="s">
        <v>147</v>
      </c>
      <c r="CJ10" t="s">
        <v>119</v>
      </c>
      <c r="CK10">
        <v>35431</v>
      </c>
      <c r="CS10" t="s">
        <v>175</v>
      </c>
      <c r="CT10">
        <v>39860</v>
      </c>
      <c r="CU10">
        <v>20165</v>
      </c>
      <c r="CV10">
        <v>10979</v>
      </c>
      <c r="CW10">
        <v>8298</v>
      </c>
      <c r="CX10">
        <v>87577</v>
      </c>
      <c r="CY10">
        <v>0</v>
      </c>
      <c r="CZ10">
        <v>289971</v>
      </c>
      <c r="DA10">
        <v>128225</v>
      </c>
      <c r="DQ10" t="s">
        <v>175</v>
      </c>
      <c r="DR10">
        <v>48</v>
      </c>
      <c r="DS10">
        <v>90</v>
      </c>
      <c r="DT10">
        <v>302</v>
      </c>
      <c r="DU10">
        <v>4</v>
      </c>
      <c r="DV10">
        <v>313</v>
      </c>
      <c r="DW10">
        <v>0</v>
      </c>
      <c r="DX10">
        <v>267</v>
      </c>
      <c r="DY10">
        <v>171</v>
      </c>
    </row>
    <row r="11" spans="1:146" x14ac:dyDescent="0.3">
      <c r="AE11">
        <v>8</v>
      </c>
      <c r="AF11">
        <v>56324.384791379998</v>
      </c>
      <c r="AG11">
        <v>2.585229026088034</v>
      </c>
      <c r="AJ11">
        <v>4</v>
      </c>
      <c r="AK11" t="b">
        <v>1</v>
      </c>
      <c r="AL11">
        <v>22253</v>
      </c>
      <c r="AO11">
        <v>8</v>
      </c>
      <c r="AP11">
        <v>43951</v>
      </c>
      <c r="AT11">
        <v>8</v>
      </c>
      <c r="AU11" t="s">
        <v>82</v>
      </c>
      <c r="AV11">
        <v>1779</v>
      </c>
      <c r="AY11">
        <v>8</v>
      </c>
      <c r="AZ11">
        <v>12202</v>
      </c>
      <c r="BN11" t="s">
        <v>143</v>
      </c>
      <c r="BO11" t="s">
        <v>233</v>
      </c>
      <c r="BP11">
        <v>27018</v>
      </c>
      <c r="BS11" t="s">
        <v>147</v>
      </c>
      <c r="BT11" t="s">
        <v>120</v>
      </c>
      <c r="BU11">
        <v>1063</v>
      </c>
      <c r="CD11" t="s">
        <v>143</v>
      </c>
      <c r="CE11" t="s">
        <v>233</v>
      </c>
      <c r="CF11">
        <v>14646</v>
      </c>
      <c r="CI11" t="s">
        <v>147</v>
      </c>
      <c r="CJ11" t="s">
        <v>120</v>
      </c>
      <c r="CK11">
        <v>2001</v>
      </c>
      <c r="CS11" t="s">
        <v>176</v>
      </c>
      <c r="CT11">
        <v>0</v>
      </c>
      <c r="CU11">
        <v>0</v>
      </c>
      <c r="CV11">
        <v>0</v>
      </c>
      <c r="CW11">
        <v>0</v>
      </c>
      <c r="CX11">
        <v>0</v>
      </c>
      <c r="CY11">
        <v>0</v>
      </c>
      <c r="CZ11">
        <v>0</v>
      </c>
      <c r="DA11">
        <v>0</v>
      </c>
      <c r="DQ11" t="s">
        <v>176</v>
      </c>
      <c r="DR11">
        <v>0</v>
      </c>
      <c r="DS11">
        <v>0</v>
      </c>
      <c r="DT11">
        <v>0</v>
      </c>
      <c r="DU11">
        <v>0</v>
      </c>
      <c r="DV11">
        <v>0</v>
      </c>
      <c r="DW11">
        <v>0</v>
      </c>
      <c r="DX11">
        <v>0</v>
      </c>
      <c r="DY11">
        <v>0</v>
      </c>
    </row>
    <row r="12" spans="1:146" x14ac:dyDescent="0.3">
      <c r="AE12">
        <v>9</v>
      </c>
      <c r="AF12">
        <v>32641.88311821</v>
      </c>
      <c r="AG12">
        <v>3.2589739534954072</v>
      </c>
      <c r="AJ12">
        <v>5</v>
      </c>
      <c r="AK12" t="b">
        <v>1</v>
      </c>
      <c r="AL12">
        <v>82</v>
      </c>
      <c r="AO12">
        <v>9</v>
      </c>
      <c r="AP12">
        <v>55771</v>
      </c>
      <c r="AT12">
        <v>9</v>
      </c>
      <c r="AU12" t="s">
        <v>84</v>
      </c>
      <c r="AV12">
        <v>4701</v>
      </c>
      <c r="AY12">
        <v>9</v>
      </c>
      <c r="AZ12">
        <v>17153</v>
      </c>
      <c r="BN12" t="s">
        <v>143</v>
      </c>
      <c r="BO12" t="s">
        <v>234</v>
      </c>
      <c r="BP12">
        <v>11880</v>
      </c>
      <c r="BS12" t="s">
        <v>147</v>
      </c>
      <c r="BT12" t="s">
        <v>121</v>
      </c>
      <c r="BU12">
        <v>2685</v>
      </c>
      <c r="CD12" t="s">
        <v>143</v>
      </c>
      <c r="CE12" t="s">
        <v>234</v>
      </c>
      <c r="CF12">
        <v>9172</v>
      </c>
      <c r="CI12" t="s">
        <v>147</v>
      </c>
      <c r="CJ12" t="s">
        <v>121</v>
      </c>
      <c r="CK12">
        <v>7780</v>
      </c>
    </row>
    <row r="13" spans="1:146" x14ac:dyDescent="0.3">
      <c r="AE13">
        <v>10</v>
      </c>
      <c r="AF13">
        <v>51352.588376959997</v>
      </c>
      <c r="AG13">
        <v>2.2372930935807949</v>
      </c>
      <c r="AO13">
        <v>10</v>
      </c>
      <c r="AP13">
        <v>31661</v>
      </c>
      <c r="AT13">
        <v>10</v>
      </c>
      <c r="AU13" t="s">
        <v>86</v>
      </c>
      <c r="AV13">
        <v>13689</v>
      </c>
      <c r="AY13">
        <v>10</v>
      </c>
      <c r="AZ13">
        <v>21411</v>
      </c>
      <c r="BN13" t="s">
        <v>143</v>
      </c>
      <c r="BO13" t="s">
        <v>235</v>
      </c>
      <c r="BP13">
        <v>7808</v>
      </c>
      <c r="BS13" t="s">
        <v>145</v>
      </c>
      <c r="BT13" t="s">
        <v>119</v>
      </c>
      <c r="BU13">
        <v>1587</v>
      </c>
      <c r="CD13" t="s">
        <v>143</v>
      </c>
      <c r="CE13" t="s">
        <v>235</v>
      </c>
      <c r="CF13">
        <v>5670</v>
      </c>
      <c r="CI13" t="s">
        <v>145</v>
      </c>
      <c r="CJ13" t="s">
        <v>119</v>
      </c>
      <c r="CK13">
        <v>2707</v>
      </c>
    </row>
    <row r="14" spans="1:146" x14ac:dyDescent="0.3">
      <c r="AE14">
        <v>11</v>
      </c>
      <c r="AF14">
        <v>25302.34603624</v>
      </c>
      <c r="AG14">
        <v>3.269459366357411</v>
      </c>
      <c r="AO14">
        <v>11</v>
      </c>
      <c r="AP14">
        <v>7027</v>
      </c>
      <c r="AT14">
        <v>11</v>
      </c>
      <c r="AU14" t="s">
        <v>88</v>
      </c>
      <c r="AV14">
        <v>2254</v>
      </c>
      <c r="AY14">
        <v>11</v>
      </c>
      <c r="AZ14">
        <v>22305</v>
      </c>
      <c r="BN14" t="s">
        <v>143</v>
      </c>
      <c r="BO14" t="s">
        <v>236</v>
      </c>
      <c r="BP14">
        <v>8749</v>
      </c>
      <c r="BS14" t="s">
        <v>145</v>
      </c>
      <c r="BT14" t="s">
        <v>120</v>
      </c>
      <c r="BU14">
        <v>376</v>
      </c>
      <c r="CD14" t="s">
        <v>143</v>
      </c>
      <c r="CE14" t="s">
        <v>236</v>
      </c>
      <c r="CF14">
        <v>6135</v>
      </c>
      <c r="CI14" t="s">
        <v>145</v>
      </c>
      <c r="CJ14" t="s">
        <v>120</v>
      </c>
      <c r="CK14">
        <v>1017</v>
      </c>
    </row>
    <row r="15" spans="1:146" x14ac:dyDescent="0.3">
      <c r="AO15">
        <v>12</v>
      </c>
      <c r="AP15">
        <v>0</v>
      </c>
      <c r="AT15">
        <v>12</v>
      </c>
      <c r="AU15" t="s">
        <v>90</v>
      </c>
      <c r="AV15">
        <v>5331</v>
      </c>
      <c r="AY15">
        <v>12</v>
      </c>
      <c r="AZ15">
        <v>20135</v>
      </c>
      <c r="BN15" t="s">
        <v>148</v>
      </c>
      <c r="BO15" t="s">
        <v>226</v>
      </c>
      <c r="BP15">
        <v>67</v>
      </c>
      <c r="BS15" t="s">
        <v>145</v>
      </c>
      <c r="BT15" t="s">
        <v>121</v>
      </c>
      <c r="BU15">
        <v>933</v>
      </c>
      <c r="CD15" t="s">
        <v>148</v>
      </c>
      <c r="CE15" t="s">
        <v>226</v>
      </c>
      <c r="CF15">
        <v>165</v>
      </c>
      <c r="CI15" t="s">
        <v>145</v>
      </c>
      <c r="CJ15" t="s">
        <v>121</v>
      </c>
      <c r="CK15">
        <v>1621</v>
      </c>
    </row>
    <row r="16" spans="1:146" x14ac:dyDescent="0.3">
      <c r="AO16">
        <v>13</v>
      </c>
      <c r="AP16">
        <v>327</v>
      </c>
      <c r="AT16">
        <v>13</v>
      </c>
      <c r="AU16" t="s">
        <v>92</v>
      </c>
      <c r="AV16">
        <v>33871</v>
      </c>
      <c r="AY16">
        <v>13</v>
      </c>
      <c r="AZ16">
        <v>16779</v>
      </c>
      <c r="BN16" t="s">
        <v>148</v>
      </c>
      <c r="BO16" t="s">
        <v>227</v>
      </c>
      <c r="BP16">
        <v>3565</v>
      </c>
      <c r="CD16" t="s">
        <v>148</v>
      </c>
      <c r="CE16" t="s">
        <v>227</v>
      </c>
      <c r="CF16">
        <v>4728</v>
      </c>
    </row>
    <row r="17" spans="41:84" x14ac:dyDescent="0.3">
      <c r="AO17">
        <v>14</v>
      </c>
      <c r="AP17">
        <v>2875</v>
      </c>
      <c r="AT17">
        <v>14</v>
      </c>
      <c r="AU17" t="s">
        <v>94</v>
      </c>
      <c r="AV17">
        <v>3458</v>
      </c>
      <c r="AY17">
        <v>14</v>
      </c>
      <c r="AZ17">
        <v>14919</v>
      </c>
      <c r="BN17" t="s">
        <v>148</v>
      </c>
      <c r="BO17" t="s">
        <v>228</v>
      </c>
      <c r="BP17">
        <v>5549</v>
      </c>
      <c r="CD17" t="s">
        <v>148</v>
      </c>
      <c r="CE17" t="s">
        <v>228</v>
      </c>
      <c r="CF17">
        <v>12329</v>
      </c>
    </row>
    <row r="18" spans="41:84" x14ac:dyDescent="0.3">
      <c r="AO18">
        <v>15</v>
      </c>
      <c r="AP18">
        <v>1814</v>
      </c>
      <c r="AT18">
        <v>15</v>
      </c>
      <c r="AU18" t="s">
        <v>96</v>
      </c>
      <c r="AV18">
        <v>13612</v>
      </c>
      <c r="AY18">
        <v>15</v>
      </c>
      <c r="AZ18">
        <v>13700</v>
      </c>
      <c r="BN18" t="s">
        <v>148</v>
      </c>
      <c r="BO18" t="s">
        <v>229</v>
      </c>
      <c r="BP18">
        <v>5158</v>
      </c>
      <c r="CD18" t="s">
        <v>148</v>
      </c>
      <c r="CE18" t="s">
        <v>229</v>
      </c>
      <c r="CF18">
        <v>9874</v>
      </c>
    </row>
    <row r="19" spans="41:84" x14ac:dyDescent="0.3">
      <c r="AT19">
        <v>16</v>
      </c>
      <c r="AU19" t="s">
        <v>98</v>
      </c>
      <c r="AV19">
        <v>50065</v>
      </c>
      <c r="AY19">
        <v>16</v>
      </c>
      <c r="AZ19">
        <v>11405</v>
      </c>
      <c r="BN19" t="s">
        <v>148</v>
      </c>
      <c r="BO19" t="s">
        <v>230</v>
      </c>
      <c r="BP19">
        <v>89</v>
      </c>
      <c r="CD19" t="s">
        <v>148</v>
      </c>
      <c r="CE19" t="s">
        <v>230</v>
      </c>
      <c r="CF19">
        <v>684</v>
      </c>
    </row>
    <row r="20" spans="41:84" x14ac:dyDescent="0.3">
      <c r="AT20">
        <v>17</v>
      </c>
      <c r="AU20" t="s">
        <v>100</v>
      </c>
      <c r="AV20">
        <v>6241</v>
      </c>
      <c r="AY20">
        <v>17</v>
      </c>
      <c r="AZ20">
        <v>8448</v>
      </c>
      <c r="BN20" t="s">
        <v>148</v>
      </c>
      <c r="BO20" t="s">
        <v>231</v>
      </c>
      <c r="BP20">
        <v>1142</v>
      </c>
      <c r="CD20" t="s">
        <v>148</v>
      </c>
      <c r="CE20" t="s">
        <v>231</v>
      </c>
      <c r="CF20">
        <v>1039</v>
      </c>
    </row>
    <row r="21" spans="41:84" x14ac:dyDescent="0.3">
      <c r="AT21">
        <v>18</v>
      </c>
      <c r="AU21" t="s">
        <v>102</v>
      </c>
      <c r="AV21">
        <v>23040</v>
      </c>
      <c r="AY21">
        <v>18</v>
      </c>
      <c r="AZ21">
        <v>5960</v>
      </c>
      <c r="BN21" t="s">
        <v>148</v>
      </c>
      <c r="BO21" t="s">
        <v>232</v>
      </c>
      <c r="BP21">
        <v>1473</v>
      </c>
      <c r="CD21" t="s">
        <v>148</v>
      </c>
      <c r="CE21" t="s">
        <v>232</v>
      </c>
      <c r="CF21">
        <v>3265</v>
      </c>
    </row>
    <row r="22" spans="41:84" x14ac:dyDescent="0.3">
      <c r="AT22">
        <v>19</v>
      </c>
      <c r="AU22" t="s">
        <v>104</v>
      </c>
      <c r="AV22">
        <v>16164</v>
      </c>
      <c r="AY22">
        <v>19</v>
      </c>
      <c r="AZ22">
        <v>4413</v>
      </c>
      <c r="BN22" t="s">
        <v>148</v>
      </c>
      <c r="BO22" t="s">
        <v>233</v>
      </c>
      <c r="BP22">
        <v>2550</v>
      </c>
      <c r="CD22" t="s">
        <v>148</v>
      </c>
      <c r="CE22" t="s">
        <v>233</v>
      </c>
      <c r="CF22">
        <v>12394</v>
      </c>
    </row>
    <row r="23" spans="41:84" x14ac:dyDescent="0.3">
      <c r="AT23">
        <v>20</v>
      </c>
      <c r="AU23" t="s">
        <v>106</v>
      </c>
      <c r="AV23">
        <v>594</v>
      </c>
      <c r="AY23">
        <v>20</v>
      </c>
      <c r="AZ23">
        <v>3902</v>
      </c>
      <c r="BN23" t="s">
        <v>148</v>
      </c>
      <c r="BO23" t="s">
        <v>234</v>
      </c>
      <c r="BP23">
        <v>208</v>
      </c>
      <c r="CD23" t="s">
        <v>148</v>
      </c>
      <c r="CE23" t="s">
        <v>234</v>
      </c>
      <c r="CF23">
        <v>1009</v>
      </c>
    </row>
    <row r="24" spans="41:84" x14ac:dyDescent="0.3">
      <c r="AT24">
        <v>21</v>
      </c>
      <c r="AU24" t="s">
        <v>108</v>
      </c>
      <c r="AV24">
        <v>3534</v>
      </c>
      <c r="AY24">
        <v>21</v>
      </c>
      <c r="AZ24">
        <v>4054</v>
      </c>
      <c r="BN24" t="s">
        <v>148</v>
      </c>
      <c r="BO24" t="s">
        <v>235</v>
      </c>
      <c r="BP24">
        <v>962</v>
      </c>
      <c r="CD24" t="s">
        <v>148</v>
      </c>
      <c r="CE24" t="s">
        <v>235</v>
      </c>
      <c r="CF24">
        <v>2250</v>
      </c>
    </row>
    <row r="25" spans="41:84" x14ac:dyDescent="0.3">
      <c r="AY25">
        <v>22</v>
      </c>
      <c r="AZ25">
        <v>4321</v>
      </c>
      <c r="BN25" t="s">
        <v>148</v>
      </c>
      <c r="BO25" t="s">
        <v>236</v>
      </c>
      <c r="BP25">
        <v>1112</v>
      </c>
      <c r="CD25" t="s">
        <v>148</v>
      </c>
      <c r="CE25" t="s">
        <v>236</v>
      </c>
      <c r="CF25">
        <v>2638</v>
      </c>
    </row>
    <row r="26" spans="41:84" x14ac:dyDescent="0.3">
      <c r="AY26">
        <v>23</v>
      </c>
      <c r="AZ26">
        <v>3833</v>
      </c>
      <c r="BN26" t="s">
        <v>147</v>
      </c>
      <c r="BO26" t="s">
        <v>226</v>
      </c>
      <c r="BP26">
        <v>36</v>
      </c>
      <c r="CD26" t="s">
        <v>147</v>
      </c>
      <c r="CE26" t="s">
        <v>226</v>
      </c>
      <c r="CF26">
        <v>127</v>
      </c>
    </row>
    <row r="27" spans="41:84" x14ac:dyDescent="0.3">
      <c r="AY27">
        <v>24</v>
      </c>
      <c r="AZ27">
        <v>2724</v>
      </c>
      <c r="BN27" t="s">
        <v>147</v>
      </c>
      <c r="BO27" t="s">
        <v>227</v>
      </c>
      <c r="BP27">
        <v>1989</v>
      </c>
      <c r="CD27" t="s">
        <v>147</v>
      </c>
      <c r="CE27" t="s">
        <v>227</v>
      </c>
      <c r="CF27">
        <v>8394</v>
      </c>
    </row>
    <row r="28" spans="41:84" x14ac:dyDescent="0.3">
      <c r="AY28">
        <v>25</v>
      </c>
      <c r="AZ28">
        <v>1647</v>
      </c>
      <c r="BN28" t="s">
        <v>147</v>
      </c>
      <c r="BO28" t="s">
        <v>228</v>
      </c>
      <c r="BP28">
        <v>4370</v>
      </c>
      <c r="CD28" t="s">
        <v>147</v>
      </c>
      <c r="CE28" t="s">
        <v>228</v>
      </c>
      <c r="CF28">
        <v>10511</v>
      </c>
    </row>
    <row r="29" spans="41:84" x14ac:dyDescent="0.3">
      <c r="AY29">
        <v>26</v>
      </c>
      <c r="AZ29">
        <v>1448</v>
      </c>
      <c r="BN29" t="s">
        <v>147</v>
      </c>
      <c r="BO29" t="s">
        <v>229</v>
      </c>
      <c r="BP29">
        <v>6556</v>
      </c>
      <c r="CD29" t="s">
        <v>147</v>
      </c>
      <c r="CE29" t="s">
        <v>229</v>
      </c>
      <c r="CF29">
        <v>12323</v>
      </c>
    </row>
    <row r="30" spans="41:84" x14ac:dyDescent="0.3">
      <c r="AY30">
        <v>27</v>
      </c>
      <c r="AZ30">
        <v>1582</v>
      </c>
      <c r="BN30" t="s">
        <v>147</v>
      </c>
      <c r="BO30" t="s">
        <v>230</v>
      </c>
      <c r="BP30">
        <v>258</v>
      </c>
      <c r="CD30" t="s">
        <v>147</v>
      </c>
      <c r="CE30" t="s">
        <v>230</v>
      </c>
      <c r="CF30">
        <v>600</v>
      </c>
    </row>
    <row r="31" spans="41:84" x14ac:dyDescent="0.3">
      <c r="AY31">
        <v>28</v>
      </c>
      <c r="AZ31">
        <v>1456</v>
      </c>
      <c r="BN31" t="s">
        <v>147</v>
      </c>
      <c r="BO31" t="s">
        <v>231</v>
      </c>
      <c r="BP31">
        <v>597</v>
      </c>
      <c r="CD31" t="s">
        <v>147</v>
      </c>
      <c r="CE31" t="s">
        <v>231</v>
      </c>
      <c r="CF31">
        <v>1559</v>
      </c>
    </row>
    <row r="32" spans="41:84" x14ac:dyDescent="0.3">
      <c r="AY32">
        <v>29</v>
      </c>
      <c r="AZ32">
        <v>1274</v>
      </c>
      <c r="BN32" t="s">
        <v>147</v>
      </c>
      <c r="BO32" t="s">
        <v>232</v>
      </c>
      <c r="BP32">
        <v>964</v>
      </c>
      <c r="CD32" t="s">
        <v>147</v>
      </c>
      <c r="CE32" t="s">
        <v>232</v>
      </c>
      <c r="CF32">
        <v>2285</v>
      </c>
    </row>
    <row r="33" spans="51:84" x14ac:dyDescent="0.3">
      <c r="AY33">
        <v>30</v>
      </c>
      <c r="AZ33">
        <v>1150</v>
      </c>
      <c r="BN33" t="s">
        <v>147</v>
      </c>
      <c r="BO33" t="s">
        <v>233</v>
      </c>
      <c r="BP33">
        <v>1914</v>
      </c>
      <c r="CD33" t="s">
        <v>147</v>
      </c>
      <c r="CE33" t="s">
        <v>233</v>
      </c>
      <c r="CF33">
        <v>3919</v>
      </c>
    </row>
    <row r="34" spans="51:84" x14ac:dyDescent="0.3">
      <c r="AY34">
        <v>31</v>
      </c>
      <c r="AZ34">
        <v>934</v>
      </c>
      <c r="BN34" t="s">
        <v>147</v>
      </c>
      <c r="BO34" t="s">
        <v>234</v>
      </c>
      <c r="BP34">
        <v>876</v>
      </c>
      <c r="CD34" t="s">
        <v>147</v>
      </c>
      <c r="CE34" t="s">
        <v>234</v>
      </c>
      <c r="CF34">
        <v>2522</v>
      </c>
    </row>
    <row r="35" spans="51:84" x14ac:dyDescent="0.3">
      <c r="AY35">
        <v>32</v>
      </c>
      <c r="AZ35">
        <v>705</v>
      </c>
      <c r="BN35" t="s">
        <v>147</v>
      </c>
      <c r="BO35" t="s">
        <v>235</v>
      </c>
      <c r="BP35">
        <v>440</v>
      </c>
      <c r="CD35" t="s">
        <v>147</v>
      </c>
      <c r="CE35" t="s">
        <v>235</v>
      </c>
      <c r="CF35">
        <v>1069</v>
      </c>
    </row>
    <row r="36" spans="51:84" x14ac:dyDescent="0.3">
      <c r="AY36">
        <v>33</v>
      </c>
      <c r="AZ36">
        <v>575</v>
      </c>
      <c r="BN36" t="s">
        <v>147</v>
      </c>
      <c r="BO36" t="s">
        <v>236</v>
      </c>
      <c r="BP36">
        <v>643</v>
      </c>
      <c r="CD36" t="s">
        <v>147</v>
      </c>
      <c r="CE36" t="s">
        <v>236</v>
      </c>
      <c r="CF36">
        <v>1903</v>
      </c>
    </row>
    <row r="37" spans="51:84" x14ac:dyDescent="0.3">
      <c r="AY37">
        <v>34</v>
      </c>
      <c r="AZ37">
        <v>540</v>
      </c>
      <c r="BN37" t="s">
        <v>145</v>
      </c>
      <c r="BO37" t="s">
        <v>226</v>
      </c>
      <c r="BP37">
        <v>3</v>
      </c>
      <c r="CD37" t="s">
        <v>145</v>
      </c>
      <c r="CE37" t="s">
        <v>226</v>
      </c>
      <c r="CF37">
        <v>17</v>
      </c>
    </row>
    <row r="38" spans="51:84" x14ac:dyDescent="0.3">
      <c r="AY38">
        <v>35</v>
      </c>
      <c r="AZ38">
        <v>443</v>
      </c>
      <c r="BN38" t="s">
        <v>145</v>
      </c>
      <c r="BO38" t="s">
        <v>227</v>
      </c>
      <c r="BP38">
        <v>1282</v>
      </c>
      <c r="CD38" t="s">
        <v>145</v>
      </c>
      <c r="CE38" t="s">
        <v>227</v>
      </c>
      <c r="CF38">
        <v>770</v>
      </c>
    </row>
    <row r="39" spans="51:84" x14ac:dyDescent="0.3">
      <c r="AY39">
        <v>36</v>
      </c>
      <c r="AZ39">
        <v>330</v>
      </c>
      <c r="BN39" t="s">
        <v>145</v>
      </c>
      <c r="BO39" t="s">
        <v>228</v>
      </c>
      <c r="BP39">
        <v>384</v>
      </c>
      <c r="CD39" t="s">
        <v>145</v>
      </c>
      <c r="CE39" t="s">
        <v>228</v>
      </c>
      <c r="CF39">
        <v>1348</v>
      </c>
    </row>
    <row r="40" spans="51:84" x14ac:dyDescent="0.3">
      <c r="AY40">
        <v>37</v>
      </c>
      <c r="AZ40">
        <v>282</v>
      </c>
      <c r="BN40" t="s">
        <v>145</v>
      </c>
      <c r="BO40" t="s">
        <v>229</v>
      </c>
      <c r="BP40">
        <v>312</v>
      </c>
      <c r="CD40" t="s">
        <v>145</v>
      </c>
      <c r="CE40" t="s">
        <v>229</v>
      </c>
      <c r="CF40">
        <v>162</v>
      </c>
    </row>
    <row r="41" spans="51:84" x14ac:dyDescent="0.3">
      <c r="AY41">
        <v>38</v>
      </c>
      <c r="AZ41">
        <v>217</v>
      </c>
      <c r="BN41" t="s">
        <v>145</v>
      </c>
      <c r="BO41" t="s">
        <v>230</v>
      </c>
      <c r="BP41">
        <v>31</v>
      </c>
      <c r="CD41" t="s">
        <v>145</v>
      </c>
      <c r="CE41" t="s">
        <v>230</v>
      </c>
      <c r="CF41">
        <v>84</v>
      </c>
    </row>
    <row r="42" spans="51:84" x14ac:dyDescent="0.3">
      <c r="AY42">
        <v>39</v>
      </c>
      <c r="AZ42">
        <v>139</v>
      </c>
      <c r="BN42" t="s">
        <v>145</v>
      </c>
      <c r="BO42" t="s">
        <v>231</v>
      </c>
      <c r="BP42">
        <v>55</v>
      </c>
      <c r="CD42" t="s">
        <v>145</v>
      </c>
      <c r="CE42" t="s">
        <v>231</v>
      </c>
      <c r="CF42">
        <v>170</v>
      </c>
    </row>
    <row r="43" spans="51:84" x14ac:dyDescent="0.3">
      <c r="AY43">
        <v>40</v>
      </c>
      <c r="AZ43">
        <v>102</v>
      </c>
      <c r="BN43" t="s">
        <v>145</v>
      </c>
      <c r="BO43" t="s">
        <v>232</v>
      </c>
      <c r="BP43">
        <v>101</v>
      </c>
      <c r="CD43" t="s">
        <v>145</v>
      </c>
      <c r="CE43" t="s">
        <v>232</v>
      </c>
      <c r="CF43">
        <v>1233</v>
      </c>
    </row>
    <row r="44" spans="51:84" x14ac:dyDescent="0.3">
      <c r="AY44">
        <v>41</v>
      </c>
      <c r="AZ44">
        <v>82</v>
      </c>
      <c r="BN44" t="s">
        <v>145</v>
      </c>
      <c r="BO44" t="s">
        <v>233</v>
      </c>
      <c r="BP44">
        <v>179</v>
      </c>
      <c r="CD44" t="s">
        <v>145</v>
      </c>
      <c r="CE44" t="s">
        <v>233</v>
      </c>
      <c r="CF44">
        <v>702</v>
      </c>
    </row>
    <row r="45" spans="51:84" x14ac:dyDescent="0.3">
      <c r="AY45">
        <v>42</v>
      </c>
      <c r="AZ45">
        <v>155</v>
      </c>
      <c r="BN45" t="s">
        <v>145</v>
      </c>
      <c r="BO45" t="s">
        <v>234</v>
      </c>
      <c r="BP45">
        <v>89</v>
      </c>
      <c r="CD45" t="s">
        <v>145</v>
      </c>
      <c r="CE45" t="s">
        <v>234</v>
      </c>
      <c r="CF45">
        <v>350</v>
      </c>
    </row>
    <row r="46" spans="51:84" x14ac:dyDescent="0.3">
      <c r="AY46">
        <v>43</v>
      </c>
      <c r="AZ46">
        <v>353</v>
      </c>
      <c r="BN46" t="s">
        <v>145</v>
      </c>
      <c r="BO46" t="s">
        <v>235</v>
      </c>
      <c r="BP46">
        <v>44</v>
      </c>
      <c r="CD46" t="s">
        <v>145</v>
      </c>
      <c r="CE46" t="s">
        <v>235</v>
      </c>
      <c r="CF46">
        <v>265</v>
      </c>
    </row>
    <row r="47" spans="51:84" x14ac:dyDescent="0.3">
      <c r="AY47">
        <v>44</v>
      </c>
      <c r="AZ47">
        <v>535</v>
      </c>
      <c r="BN47" t="s">
        <v>145</v>
      </c>
      <c r="BO47" t="s">
        <v>236</v>
      </c>
      <c r="BP47">
        <v>416</v>
      </c>
      <c r="CD47" t="s">
        <v>145</v>
      </c>
      <c r="CE47" t="s">
        <v>236</v>
      </c>
      <c r="CF47">
        <v>244</v>
      </c>
    </row>
    <row r="48" spans="51:84" x14ac:dyDescent="0.3">
      <c r="AY48">
        <v>45</v>
      </c>
      <c r="AZ48">
        <v>516</v>
      </c>
    </row>
    <row r="49" spans="51:52" x14ac:dyDescent="0.3">
      <c r="AY49">
        <v>46</v>
      </c>
      <c r="AZ49">
        <v>407</v>
      </c>
    </row>
    <row r="50" spans="51:52" x14ac:dyDescent="0.3">
      <c r="AY50">
        <v>47</v>
      </c>
      <c r="AZ50">
        <v>535</v>
      </c>
    </row>
    <row r="51" spans="51:52" x14ac:dyDescent="0.3">
      <c r="AY51">
        <v>48</v>
      </c>
      <c r="AZ51">
        <v>872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80C7-702D-4C2B-A1ED-2B991261C11F}">
  <dimension ref="A2:EP46"/>
  <sheetViews>
    <sheetView topLeftCell="CW1" workbookViewId="0">
      <selection activeCell="DH4" sqref="DH4:DH8"/>
    </sheetView>
  </sheetViews>
  <sheetFormatPr defaultRowHeight="14.4" x14ac:dyDescent="0.3"/>
  <cols>
    <col min="26" max="26" width="13.109375" bestFit="1" customWidth="1"/>
    <col min="27" max="27" width="9" customWidth="1"/>
    <col min="112" max="112" width="18.33203125" bestFit="1" customWidth="1"/>
  </cols>
  <sheetData>
    <row r="2" spans="1:146"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c r="CX2">
        <v>101</v>
      </c>
      <c r="CY2">
        <v>102</v>
      </c>
      <c r="CZ2">
        <v>103</v>
      </c>
      <c r="DA2">
        <v>104</v>
      </c>
      <c r="DB2">
        <v>105</v>
      </c>
      <c r="DC2">
        <v>106</v>
      </c>
      <c r="DD2">
        <v>107</v>
      </c>
      <c r="DE2">
        <v>108</v>
      </c>
      <c r="DF2">
        <v>109</v>
      </c>
      <c r="DG2">
        <v>110</v>
      </c>
      <c r="DH2">
        <v>111</v>
      </c>
      <c r="DI2">
        <v>112</v>
      </c>
      <c r="DJ2">
        <v>113</v>
      </c>
      <c r="DK2">
        <v>114</v>
      </c>
      <c r="DL2">
        <v>115</v>
      </c>
      <c r="DM2">
        <v>116</v>
      </c>
      <c r="DN2">
        <v>117</v>
      </c>
      <c r="DO2">
        <v>118</v>
      </c>
      <c r="DP2">
        <v>119</v>
      </c>
      <c r="DQ2">
        <v>120</v>
      </c>
      <c r="DR2">
        <v>121</v>
      </c>
      <c r="DS2">
        <v>122</v>
      </c>
      <c r="DT2">
        <v>123</v>
      </c>
      <c r="DU2">
        <v>124</v>
      </c>
      <c r="DV2">
        <v>125</v>
      </c>
      <c r="DW2">
        <v>126</v>
      </c>
      <c r="DX2">
        <v>127</v>
      </c>
      <c r="DY2">
        <v>128</v>
      </c>
      <c r="DZ2">
        <v>129</v>
      </c>
      <c r="EA2">
        <v>130</v>
      </c>
      <c r="EB2">
        <v>131</v>
      </c>
      <c r="EC2">
        <v>132</v>
      </c>
      <c r="ED2">
        <v>133</v>
      </c>
      <c r="EE2">
        <v>134</v>
      </c>
      <c r="EF2">
        <v>135</v>
      </c>
      <c r="EG2">
        <v>136</v>
      </c>
      <c r="EH2">
        <v>137</v>
      </c>
      <c r="EI2">
        <v>138</v>
      </c>
      <c r="EJ2">
        <v>139</v>
      </c>
      <c r="EK2">
        <v>140</v>
      </c>
      <c r="EL2">
        <v>141</v>
      </c>
      <c r="EM2">
        <v>142</v>
      </c>
      <c r="EN2">
        <v>143</v>
      </c>
      <c r="EO2">
        <v>144</v>
      </c>
      <c r="EP2">
        <v>145</v>
      </c>
    </row>
    <row r="3" spans="1:146" x14ac:dyDescent="0.3">
      <c r="A3" s="145" t="s">
        <v>238</v>
      </c>
      <c r="B3" s="145" t="s">
        <v>239</v>
      </c>
      <c r="C3" s="144"/>
      <c r="D3" s="144"/>
      <c r="E3" s="144"/>
      <c r="F3" t="s">
        <v>199</v>
      </c>
      <c r="G3" s="145" t="s">
        <v>5</v>
      </c>
      <c r="H3" s="145" t="s">
        <v>7</v>
      </c>
      <c r="I3" s="145" t="s">
        <v>6</v>
      </c>
      <c r="J3" s="144"/>
      <c r="K3" s="144"/>
      <c r="L3" s="144"/>
      <c r="M3" s="144"/>
      <c r="N3" s="144"/>
      <c r="O3" s="144"/>
      <c r="P3" s="144"/>
      <c r="Q3" s="144"/>
      <c r="R3" s="144"/>
      <c r="S3" s="144"/>
      <c r="T3" s="144"/>
      <c r="U3" s="144"/>
      <c r="V3" s="144"/>
      <c r="W3" s="144"/>
      <c r="X3" s="144"/>
      <c r="Y3" s="144"/>
      <c r="Z3" s="145" t="s">
        <v>240</v>
      </c>
      <c r="AA3" s="145" t="s">
        <v>241</v>
      </c>
      <c r="AB3" s="145" t="s">
        <v>242</v>
      </c>
      <c r="AC3" s="144"/>
      <c r="AD3" s="144"/>
      <c r="AE3" s="145" t="s">
        <v>243</v>
      </c>
      <c r="AF3" s="145" t="s">
        <v>244</v>
      </c>
      <c r="AG3" s="145" t="s">
        <v>245</v>
      </c>
      <c r="AH3" s="144"/>
      <c r="AI3" s="144"/>
      <c r="AJ3" s="145" t="s">
        <v>209</v>
      </c>
      <c r="AK3" s="145" t="s">
        <v>246</v>
      </c>
      <c r="AL3" s="144"/>
      <c r="AM3" s="144"/>
      <c r="AN3" s="144"/>
      <c r="AO3" s="145" t="s">
        <v>247</v>
      </c>
      <c r="AP3" s="145" t="s">
        <v>211</v>
      </c>
      <c r="AQ3" s="144"/>
      <c r="AR3" s="144"/>
      <c r="AS3" s="144"/>
      <c r="AT3" s="145" t="s">
        <v>212</v>
      </c>
      <c r="AU3" s="145" t="s">
        <v>213</v>
      </c>
      <c r="AV3" s="145" t="s">
        <v>248</v>
      </c>
      <c r="AW3" s="144"/>
      <c r="AX3" s="144"/>
      <c r="AY3" s="144"/>
      <c r="AZ3" s="144"/>
      <c r="BA3" s="144"/>
      <c r="BB3" s="144"/>
      <c r="BC3" s="144"/>
      <c r="BD3" s="145" t="s">
        <v>249</v>
      </c>
      <c r="BE3" s="145" t="s">
        <v>248</v>
      </c>
      <c r="BF3" s="144"/>
      <c r="BG3" s="144"/>
      <c r="BH3" s="144"/>
      <c r="BI3" s="145" t="s">
        <v>250</v>
      </c>
      <c r="BJ3" s="145" t="s">
        <v>248</v>
      </c>
      <c r="BK3" s="144"/>
      <c r="BL3" s="144"/>
      <c r="BM3" s="144"/>
      <c r="BN3" s="145" t="s">
        <v>251</v>
      </c>
      <c r="BO3" s="145" t="s">
        <v>250</v>
      </c>
      <c r="BP3" s="145" t="s">
        <v>248</v>
      </c>
      <c r="BQ3" s="144"/>
      <c r="BR3" s="144"/>
      <c r="BS3" s="145" t="s">
        <v>251</v>
      </c>
      <c r="BT3" s="145" t="s">
        <v>252</v>
      </c>
      <c r="BU3" s="145" t="s">
        <v>248</v>
      </c>
      <c r="BV3" s="144"/>
      <c r="BW3" s="144"/>
      <c r="BX3" s="145" t="s">
        <v>251</v>
      </c>
      <c r="BY3" s="145" t="s">
        <v>253</v>
      </c>
      <c r="BZ3" s="144"/>
      <c r="CA3" s="144"/>
      <c r="CB3" s="144"/>
      <c r="CC3" s="144"/>
      <c r="CD3" s="145" t="s">
        <v>254</v>
      </c>
      <c r="CE3" s="145" t="s">
        <v>250</v>
      </c>
      <c r="CF3" s="145" t="s">
        <v>248</v>
      </c>
      <c r="CG3" s="144"/>
      <c r="CH3" s="144"/>
      <c r="CI3" s="145" t="s">
        <v>254</v>
      </c>
      <c r="CJ3" s="145" t="s">
        <v>252</v>
      </c>
      <c r="CK3" s="145" t="s">
        <v>248</v>
      </c>
      <c r="CL3" s="144"/>
      <c r="CM3" s="144"/>
      <c r="CN3" s="145" t="s">
        <v>254</v>
      </c>
      <c r="CO3" s="145" t="s">
        <v>253</v>
      </c>
      <c r="CP3" s="144"/>
      <c r="CQ3" s="144"/>
      <c r="CR3" s="144"/>
      <c r="CS3" s="145" t="s">
        <v>255</v>
      </c>
      <c r="CT3" s="145" t="s">
        <v>144</v>
      </c>
      <c r="CU3" s="145" t="s">
        <v>159</v>
      </c>
      <c r="CV3" s="145" t="s">
        <v>160</v>
      </c>
      <c r="CW3" s="145" t="s">
        <v>161</v>
      </c>
      <c r="CX3" s="145" t="s">
        <v>162</v>
      </c>
      <c r="CY3" s="145" t="s">
        <v>163</v>
      </c>
      <c r="CZ3" s="145" t="s">
        <v>6</v>
      </c>
      <c r="DA3" s="145" t="s">
        <v>164</v>
      </c>
      <c r="DB3" s="144"/>
      <c r="DC3" s="144"/>
      <c r="DD3" s="145" t="s">
        <v>256</v>
      </c>
      <c r="DE3" s="145" t="s">
        <v>248</v>
      </c>
      <c r="DF3" s="144"/>
      <c r="DG3" s="144"/>
      <c r="DH3" s="145" t="s">
        <v>254</v>
      </c>
      <c r="DI3" s="145" t="s">
        <v>248</v>
      </c>
      <c r="DJ3" s="144"/>
      <c r="DK3" s="144"/>
      <c r="DL3" s="145" t="s">
        <v>252</v>
      </c>
      <c r="DM3" s="145" t="s">
        <v>253</v>
      </c>
      <c r="DN3" s="144"/>
      <c r="DO3" s="144"/>
      <c r="DP3" s="144"/>
      <c r="DQ3" s="145" t="s">
        <v>255</v>
      </c>
      <c r="DR3" s="145" t="s">
        <v>144</v>
      </c>
      <c r="DS3" s="145" t="s">
        <v>159</v>
      </c>
      <c r="DT3" s="145" t="s">
        <v>160</v>
      </c>
      <c r="DU3" s="145" t="s">
        <v>161</v>
      </c>
      <c r="DV3" s="145" t="s">
        <v>162</v>
      </c>
      <c r="DW3" s="145" t="s">
        <v>163</v>
      </c>
      <c r="DX3" s="145" t="s">
        <v>6</v>
      </c>
      <c r="DY3" s="145" t="s">
        <v>164</v>
      </c>
      <c r="DZ3" s="144"/>
      <c r="EA3" s="144"/>
      <c r="EB3" s="145" t="s">
        <v>256</v>
      </c>
      <c r="EC3" s="145" t="s">
        <v>248</v>
      </c>
      <c r="ED3" s="144"/>
      <c r="EE3" s="144"/>
      <c r="EF3" s="145" t="s">
        <v>254</v>
      </c>
      <c r="EG3" s="145" t="s">
        <v>248</v>
      </c>
      <c r="EH3" s="144"/>
      <c r="EI3" s="144"/>
      <c r="EJ3" s="145" t="s">
        <v>252</v>
      </c>
      <c r="EK3" s="145" t="s">
        <v>253</v>
      </c>
      <c r="EL3" s="144"/>
      <c r="EM3" s="144"/>
      <c r="EN3" s="144"/>
      <c r="EO3" s="145" t="s">
        <v>256</v>
      </c>
      <c r="EP3" s="145" t="s">
        <v>248</v>
      </c>
    </row>
    <row r="4" spans="1:146" x14ac:dyDescent="0.3">
      <c r="A4" s="144" t="s">
        <v>5</v>
      </c>
      <c r="B4" s="144">
        <v>4.8079999999999998E-2</v>
      </c>
      <c r="C4" s="144"/>
      <c r="D4" s="144"/>
      <c r="E4" s="144"/>
      <c r="F4">
        <v>0</v>
      </c>
      <c r="G4" s="144">
        <v>3.1322993690871402E-2</v>
      </c>
      <c r="H4" s="144">
        <v>0.34333789011725879</v>
      </c>
      <c r="I4" s="144">
        <v>7.0717456345553473E-2</v>
      </c>
      <c r="J4" s="144"/>
      <c r="K4" s="144"/>
      <c r="L4" s="144"/>
      <c r="M4" s="144"/>
      <c r="N4" s="144"/>
      <c r="O4" s="144"/>
      <c r="P4" s="144"/>
      <c r="Q4" s="144"/>
      <c r="R4" s="144"/>
      <c r="S4" s="144"/>
      <c r="T4" s="144"/>
      <c r="U4" s="144"/>
      <c r="V4" s="144"/>
      <c r="W4" s="144"/>
      <c r="X4" s="144"/>
      <c r="Y4" s="144"/>
      <c r="Z4" s="144">
        <v>1</v>
      </c>
      <c r="AA4" s="144" t="s">
        <v>257</v>
      </c>
      <c r="AB4" s="144">
        <v>0.87560000000000004</v>
      </c>
      <c r="AC4" s="144"/>
      <c r="AD4" s="144"/>
      <c r="AE4" s="144">
        <v>1</v>
      </c>
      <c r="AF4" s="144" t="s">
        <v>226</v>
      </c>
      <c r="AG4" s="144">
        <v>2.2143999999999999</v>
      </c>
      <c r="AH4" s="144"/>
      <c r="AI4" s="144"/>
      <c r="AJ4" s="144">
        <v>1</v>
      </c>
      <c r="AK4" s="144">
        <v>0</v>
      </c>
      <c r="AL4" s="144"/>
      <c r="AM4" s="144"/>
      <c r="AN4" s="144"/>
      <c r="AO4" s="144">
        <v>1</v>
      </c>
      <c r="AP4" s="144">
        <v>2326.9790020357068</v>
      </c>
      <c r="AQ4" s="144"/>
      <c r="AR4" s="144"/>
      <c r="AS4" s="144"/>
      <c r="AT4" s="144">
        <v>1</v>
      </c>
      <c r="AU4" s="144" t="s">
        <v>68</v>
      </c>
      <c r="AV4" s="144">
        <v>8461.0298166516459</v>
      </c>
      <c r="AW4" s="144"/>
      <c r="AX4" s="144"/>
      <c r="AY4" s="144"/>
      <c r="AZ4" s="144"/>
      <c r="BA4" s="144"/>
      <c r="BB4" s="144"/>
      <c r="BC4" s="144"/>
      <c r="BD4" s="144" t="s">
        <v>132</v>
      </c>
      <c r="BE4" s="144">
        <v>101823.98780212449</v>
      </c>
      <c r="BF4" s="144"/>
      <c r="BG4" s="144"/>
      <c r="BH4" s="144"/>
      <c r="BI4" s="144" t="s">
        <v>258</v>
      </c>
      <c r="BJ4" s="144">
        <v>359.37455</v>
      </c>
      <c r="BK4" s="144"/>
      <c r="BL4" s="144"/>
      <c r="BM4" s="144"/>
      <c r="BN4" s="144" t="s">
        <v>144</v>
      </c>
      <c r="BO4" s="144" t="s">
        <v>259</v>
      </c>
      <c r="BP4" s="144">
        <v>2217.2547306331571</v>
      </c>
      <c r="BQ4" s="144"/>
      <c r="BR4" s="144"/>
      <c r="BS4" s="144" t="s">
        <v>144</v>
      </c>
      <c r="BT4" s="144" t="s">
        <v>119</v>
      </c>
      <c r="BU4" s="144">
        <v>98788.975740642913</v>
      </c>
      <c r="BV4" s="144"/>
      <c r="BW4" s="144"/>
      <c r="BX4" s="144" t="s">
        <v>144</v>
      </c>
      <c r="BY4" s="144">
        <v>0.23673753760278859</v>
      </c>
      <c r="BZ4" s="144"/>
      <c r="CA4" s="144"/>
      <c r="CB4" s="144"/>
      <c r="CC4" s="144"/>
      <c r="CD4" s="144" t="s">
        <v>144</v>
      </c>
      <c r="CE4" s="144" t="s">
        <v>259</v>
      </c>
      <c r="CF4" s="144">
        <v>1705.750232593957</v>
      </c>
      <c r="CG4" s="144"/>
      <c r="CH4" s="144"/>
      <c r="CI4" s="144" t="s">
        <v>144</v>
      </c>
      <c r="CJ4" s="144" t="s">
        <v>119</v>
      </c>
      <c r="CK4" s="144">
        <v>67278.936794181587</v>
      </c>
      <c r="CL4" s="144"/>
      <c r="CM4" s="144"/>
      <c r="CN4" s="144" t="s">
        <v>144</v>
      </c>
      <c r="CO4" s="144">
        <v>0.80135581978638792</v>
      </c>
      <c r="CP4" s="144"/>
      <c r="CQ4" s="144"/>
      <c r="CR4" s="144"/>
      <c r="CS4" s="144" t="s">
        <v>144</v>
      </c>
      <c r="CT4" s="144">
        <v>0</v>
      </c>
      <c r="CU4" s="144">
        <v>13070.087903797379</v>
      </c>
      <c r="CV4" s="144">
        <v>1907.752647782193</v>
      </c>
      <c r="CW4" s="144">
        <v>808.8978405367634</v>
      </c>
      <c r="CX4" s="144">
        <v>21830.191815115169</v>
      </c>
      <c r="CY4" s="144">
        <v>0</v>
      </c>
      <c r="CZ4" s="144">
        <v>31606.29624564428</v>
      </c>
      <c r="DA4" s="144">
        <v>6928.3529339234383</v>
      </c>
      <c r="DB4" s="144"/>
      <c r="DC4" s="144"/>
      <c r="DD4" s="144" t="s">
        <v>132</v>
      </c>
      <c r="DE4" s="144">
        <v>287913.0949700349</v>
      </c>
      <c r="DF4" s="144"/>
      <c r="DG4" s="144"/>
      <c r="DH4" s="144" t="s">
        <v>149</v>
      </c>
      <c r="DI4" s="144">
        <v>837063.37765390216</v>
      </c>
      <c r="DJ4" s="144"/>
      <c r="DK4" s="144"/>
      <c r="DL4" s="144" t="s">
        <v>119</v>
      </c>
      <c r="DM4" s="144">
        <v>7.468115315411108</v>
      </c>
      <c r="DN4" s="144"/>
      <c r="DO4" s="144"/>
      <c r="DP4" s="144"/>
      <c r="DQ4" s="144" t="s">
        <v>144</v>
      </c>
      <c r="DR4" s="144">
        <v>0</v>
      </c>
      <c r="DS4" s="144">
        <v>46.169539999999998</v>
      </c>
      <c r="DT4" s="144">
        <v>268.91323999999997</v>
      </c>
      <c r="DU4" s="144">
        <v>12.86792</v>
      </c>
      <c r="DV4" s="144">
        <v>341.22708999999998</v>
      </c>
      <c r="DW4" s="144">
        <v>0</v>
      </c>
      <c r="DX4" s="144">
        <v>25.73584</v>
      </c>
      <c r="DY4" s="144">
        <v>55.254570000000001</v>
      </c>
      <c r="DZ4" s="144"/>
      <c r="EA4" s="144"/>
      <c r="EB4" s="144" t="s">
        <v>132</v>
      </c>
      <c r="EC4" s="144">
        <v>1810.5372500000001</v>
      </c>
      <c r="ED4" s="144"/>
      <c r="EE4" s="144"/>
      <c r="EF4" s="144" t="s">
        <v>144</v>
      </c>
      <c r="EG4" s="144">
        <v>1985.3742500000001</v>
      </c>
      <c r="EH4" s="144"/>
      <c r="EI4" s="144"/>
      <c r="EJ4" s="144" t="s">
        <v>119</v>
      </c>
      <c r="EK4" s="144">
        <v>4.2344819130082092</v>
      </c>
      <c r="EL4" s="144"/>
      <c r="EM4" s="144"/>
      <c r="EN4" s="144"/>
      <c r="EO4" s="144" t="s">
        <v>132</v>
      </c>
      <c r="EP4" s="144">
        <v>1810.5372500000001</v>
      </c>
    </row>
    <row r="5" spans="1:146" x14ac:dyDescent="0.3">
      <c r="A5" s="144" t="s">
        <v>6</v>
      </c>
      <c r="B5" s="144">
        <v>6.8336999999999995E-2</v>
      </c>
      <c r="C5" s="144"/>
      <c r="D5" s="144"/>
      <c r="E5" s="144"/>
      <c r="F5">
        <v>1</v>
      </c>
      <c r="G5" s="144">
        <v>3.2419922737100197E-2</v>
      </c>
      <c r="H5" s="144">
        <v>0.27653503310312583</v>
      </c>
      <c r="I5" s="144">
        <v>3.7632154418054703E-2</v>
      </c>
      <c r="J5" s="144"/>
      <c r="K5" s="144"/>
      <c r="L5" s="144"/>
      <c r="M5" s="144"/>
      <c r="N5" s="144"/>
      <c r="O5" s="144"/>
      <c r="P5" s="144"/>
      <c r="Q5" s="144"/>
      <c r="R5" s="144"/>
      <c r="S5" s="144"/>
      <c r="T5" s="144"/>
      <c r="U5" s="144"/>
      <c r="V5" s="144"/>
      <c r="W5" s="144"/>
      <c r="X5" s="144"/>
      <c r="Y5" s="144"/>
      <c r="Z5" s="144">
        <v>2</v>
      </c>
      <c r="AA5" s="144" t="s">
        <v>260</v>
      </c>
      <c r="AB5" s="144">
        <v>0.84240000000000004</v>
      </c>
      <c r="AC5" s="144"/>
      <c r="AD5" s="144"/>
      <c r="AE5" s="144">
        <v>2</v>
      </c>
      <c r="AF5" s="144" t="s">
        <v>232</v>
      </c>
      <c r="AG5" s="144">
        <v>3.0926999999999998</v>
      </c>
      <c r="AH5" s="144"/>
      <c r="AI5" s="144"/>
      <c r="AJ5" s="144">
        <v>2</v>
      </c>
      <c r="AK5" s="144">
        <v>0.629</v>
      </c>
      <c r="AL5" s="144"/>
      <c r="AM5" s="144"/>
      <c r="AN5" s="144"/>
      <c r="AO5" s="144">
        <v>2</v>
      </c>
      <c r="AP5" s="144">
        <v>14638.69728756079</v>
      </c>
      <c r="AQ5" s="144"/>
      <c r="AR5" s="144"/>
      <c r="AS5" s="144"/>
      <c r="AT5" s="144">
        <v>2</v>
      </c>
      <c r="AU5" s="144" t="s">
        <v>70</v>
      </c>
      <c r="AV5" s="144">
        <v>3024.1037636037408</v>
      </c>
      <c r="AW5" s="144"/>
      <c r="AX5" s="144"/>
      <c r="AY5" s="144"/>
      <c r="AZ5" s="144"/>
      <c r="BA5" s="144"/>
      <c r="BB5" s="144"/>
      <c r="BC5" s="144"/>
      <c r="BD5" s="144" t="s">
        <v>136</v>
      </c>
      <c r="BE5" s="144">
        <v>16130.261386809831</v>
      </c>
      <c r="BF5" s="144"/>
      <c r="BG5" s="144"/>
      <c r="BH5" s="144"/>
      <c r="BI5" s="144" t="s">
        <v>261</v>
      </c>
      <c r="BJ5" s="144">
        <v>2843.81032</v>
      </c>
      <c r="BK5" s="144"/>
      <c r="BL5" s="144"/>
      <c r="BM5" s="144"/>
      <c r="BN5" s="144" t="s">
        <v>144</v>
      </c>
      <c r="BO5" s="144" t="s">
        <v>262</v>
      </c>
      <c r="BP5" s="144">
        <v>24032.111374852841</v>
      </c>
      <c r="BQ5" s="144"/>
      <c r="BR5" s="144"/>
      <c r="BS5" s="144" t="s">
        <v>144</v>
      </c>
      <c r="BT5" s="144" t="s">
        <v>120</v>
      </c>
      <c r="BU5" s="144">
        <v>24916.089648400499</v>
      </c>
      <c r="BV5" s="144"/>
      <c r="BW5" s="144"/>
      <c r="BX5" s="144" t="s">
        <v>149</v>
      </c>
      <c r="BY5" s="144">
        <v>12.116323185553689</v>
      </c>
      <c r="BZ5" s="144"/>
      <c r="CA5" s="144"/>
      <c r="CB5" s="144"/>
      <c r="CC5" s="144"/>
      <c r="CD5" s="144" t="s">
        <v>144</v>
      </c>
      <c r="CE5" s="144" t="s">
        <v>262</v>
      </c>
      <c r="CF5" s="144">
        <v>16884.47922686219</v>
      </c>
      <c r="CG5" s="144"/>
      <c r="CH5" s="144"/>
      <c r="CI5" s="144" t="s">
        <v>144</v>
      </c>
      <c r="CJ5" s="144" t="s">
        <v>120</v>
      </c>
      <c r="CK5" s="144">
        <v>18010.091455918671</v>
      </c>
      <c r="CL5" s="144"/>
      <c r="CM5" s="144"/>
      <c r="CN5" s="144" t="s">
        <v>149</v>
      </c>
      <c r="CO5" s="144">
        <v>5.1767599485765201</v>
      </c>
      <c r="CP5" s="144"/>
      <c r="CQ5" s="144"/>
      <c r="CR5" s="144"/>
      <c r="CS5" s="144" t="s">
        <v>159</v>
      </c>
      <c r="CT5" s="144">
        <v>16149.30844862421</v>
      </c>
      <c r="CU5" s="144">
        <v>251373.31129752041</v>
      </c>
      <c r="CV5" s="144">
        <v>6006.7669668255348</v>
      </c>
      <c r="CW5" s="144">
        <v>886.44353329391788</v>
      </c>
      <c r="CX5" s="144">
        <v>27124.686061155429</v>
      </c>
      <c r="CY5" s="144">
        <v>0</v>
      </c>
      <c r="CZ5" s="144">
        <v>6559.1077760102862</v>
      </c>
      <c r="DA5" s="144">
        <v>23793.75744809477</v>
      </c>
      <c r="DB5" s="144"/>
      <c r="DC5" s="144"/>
      <c r="DD5" s="144" t="s">
        <v>136</v>
      </c>
      <c r="DE5" s="144">
        <v>39279.228398586361</v>
      </c>
      <c r="DF5" s="144"/>
      <c r="DG5" s="144"/>
      <c r="DH5" s="144" t="s">
        <v>115</v>
      </c>
      <c r="DI5" s="144">
        <v>554102.56438641949</v>
      </c>
      <c r="DJ5" s="144"/>
      <c r="DK5" s="144"/>
      <c r="DL5" s="144" t="s">
        <v>120</v>
      </c>
      <c r="DM5" s="144">
        <v>9.7722522918152901</v>
      </c>
      <c r="DN5" s="144"/>
      <c r="DO5" s="144"/>
      <c r="DP5" s="144"/>
      <c r="DQ5" s="144" t="s">
        <v>159</v>
      </c>
      <c r="DR5" s="144">
        <v>293.12983000000003</v>
      </c>
      <c r="DS5" s="144">
        <v>15220.037050000001</v>
      </c>
      <c r="DT5" s="144">
        <v>5480.2077799999997</v>
      </c>
      <c r="DU5" s="144">
        <v>368.65014000000002</v>
      </c>
      <c r="DV5" s="144">
        <v>3959.33502</v>
      </c>
      <c r="DW5" s="144">
        <v>0</v>
      </c>
      <c r="DX5" s="144">
        <v>339.50166999999999</v>
      </c>
      <c r="DY5" s="144">
        <v>2120.2679400000002</v>
      </c>
      <c r="DZ5" s="144"/>
      <c r="EA5" s="144"/>
      <c r="EB5" s="144" t="s">
        <v>136</v>
      </c>
      <c r="EC5" s="144">
        <v>130.37028000000001</v>
      </c>
      <c r="ED5" s="144"/>
      <c r="EE5" s="144"/>
      <c r="EF5" s="144" t="s">
        <v>149</v>
      </c>
      <c r="EG5" s="144">
        <v>29289.360949999998</v>
      </c>
      <c r="EH5" s="144"/>
      <c r="EI5" s="144"/>
      <c r="EJ5" s="144" t="s">
        <v>121</v>
      </c>
      <c r="EK5" s="144"/>
      <c r="EL5" s="144"/>
      <c r="EM5" s="144"/>
      <c r="EN5" s="144"/>
      <c r="EO5" s="144" t="s">
        <v>136</v>
      </c>
      <c r="EP5" s="144">
        <v>130.37028000000001</v>
      </c>
    </row>
    <row r="6" spans="1:146" x14ac:dyDescent="0.3">
      <c r="A6" s="144" t="s">
        <v>7</v>
      </c>
      <c r="B6" s="144">
        <v>0.40840799999999999</v>
      </c>
      <c r="C6" s="144"/>
      <c r="D6" s="144"/>
      <c r="E6" s="144"/>
      <c r="F6">
        <v>2</v>
      </c>
      <c r="G6" s="144">
        <v>4.8691911748321978E-2</v>
      </c>
      <c r="H6" s="144">
        <v>0.38659647178049072</v>
      </c>
      <c r="I6" s="144">
        <v>5.3974948728531903E-2</v>
      </c>
      <c r="J6" s="144"/>
      <c r="K6" s="144"/>
      <c r="L6" s="144"/>
      <c r="M6" s="144"/>
      <c r="N6" s="144"/>
      <c r="O6" s="144"/>
      <c r="P6" s="144"/>
      <c r="Q6" s="144"/>
      <c r="R6" s="144"/>
      <c r="S6" s="144"/>
      <c r="T6" s="144"/>
      <c r="U6" s="144"/>
      <c r="V6" s="144"/>
      <c r="W6" s="144"/>
      <c r="X6" s="144"/>
      <c r="Y6" s="144"/>
      <c r="Z6" s="144">
        <v>3</v>
      </c>
      <c r="AA6" s="144" t="s">
        <v>263</v>
      </c>
      <c r="AB6" s="144">
        <v>0.74990000000000001</v>
      </c>
      <c r="AC6" s="144"/>
      <c r="AD6" s="144"/>
      <c r="AE6" s="144">
        <v>3</v>
      </c>
      <c r="AF6" s="144" t="s">
        <v>230</v>
      </c>
      <c r="AG6" s="144">
        <v>4.3457999999999997</v>
      </c>
      <c r="AH6" s="144"/>
      <c r="AI6" s="144"/>
      <c r="AJ6" s="144">
        <v>3</v>
      </c>
      <c r="AK6" s="144">
        <v>0.54</v>
      </c>
      <c r="AL6" s="144"/>
      <c r="AM6" s="144"/>
      <c r="AN6" s="144"/>
      <c r="AO6" s="144">
        <v>3</v>
      </c>
      <c r="AP6" s="144">
        <v>3242.740935550903</v>
      </c>
      <c r="AQ6" s="144"/>
      <c r="AR6" s="144"/>
      <c r="AS6" s="144"/>
      <c r="AT6" s="144">
        <v>3</v>
      </c>
      <c r="AU6" s="144" t="s">
        <v>72</v>
      </c>
      <c r="AV6" s="144">
        <v>4229.4282612598436</v>
      </c>
      <c r="AW6" s="144"/>
      <c r="AX6" s="144"/>
      <c r="AY6" s="144"/>
      <c r="AZ6" s="144"/>
      <c r="BA6" s="144"/>
      <c r="BB6" s="144"/>
      <c r="BC6" s="144"/>
      <c r="BD6" s="144" t="s">
        <v>135</v>
      </c>
      <c r="BE6" s="144">
        <v>5768.1438302377564</v>
      </c>
      <c r="BF6" s="144"/>
      <c r="BG6" s="144"/>
      <c r="BH6" s="144"/>
      <c r="BI6" s="144" t="s">
        <v>264</v>
      </c>
      <c r="BJ6" s="144">
        <v>1816.0912499999999</v>
      </c>
      <c r="BK6" s="144"/>
      <c r="BL6" s="144"/>
      <c r="BM6" s="144"/>
      <c r="BN6" s="144" t="s">
        <v>144</v>
      </c>
      <c r="BO6" s="144" t="s">
        <v>265</v>
      </c>
      <c r="BP6" s="144">
        <v>43564.05785109711</v>
      </c>
      <c r="BQ6" s="144"/>
      <c r="BR6" s="144"/>
      <c r="BS6" s="144" t="s">
        <v>144</v>
      </c>
      <c r="BT6" s="144" t="s">
        <v>121</v>
      </c>
      <c r="BU6" s="144">
        <v>53655.747725967718</v>
      </c>
      <c r="BV6" s="144"/>
      <c r="BW6" s="144"/>
      <c r="BX6" s="144" t="s">
        <v>115</v>
      </c>
      <c r="BY6" s="144">
        <v>11.567138183566049</v>
      </c>
      <c r="BZ6" s="144"/>
      <c r="CA6" s="144"/>
      <c r="CB6" s="144"/>
      <c r="CC6" s="144"/>
      <c r="CD6" s="144" t="s">
        <v>144</v>
      </c>
      <c r="CE6" s="144" t="s">
        <v>265</v>
      </c>
      <c r="CF6" s="144">
        <v>30195.569106262341</v>
      </c>
      <c r="CG6" s="144"/>
      <c r="CH6" s="144"/>
      <c r="CI6" s="144" t="s">
        <v>144</v>
      </c>
      <c r="CJ6" s="144" t="s">
        <v>121</v>
      </c>
      <c r="CK6" s="144">
        <v>33847.841642752617</v>
      </c>
      <c r="CL6" s="144"/>
      <c r="CM6" s="144"/>
      <c r="CN6" s="144" t="s">
        <v>115</v>
      </c>
      <c r="CO6" s="144">
        <v>3.6935119444395021</v>
      </c>
      <c r="CP6" s="144"/>
      <c r="CQ6" s="144"/>
      <c r="CR6" s="144"/>
      <c r="CS6" s="144" t="s">
        <v>160</v>
      </c>
      <c r="CT6" s="144">
        <v>1956.1551503626019</v>
      </c>
      <c r="CU6" s="144">
        <v>13067.77106047662</v>
      </c>
      <c r="CV6" s="144">
        <v>9459.7956809250427</v>
      </c>
      <c r="CW6" s="144">
        <v>0</v>
      </c>
      <c r="CX6" s="144">
        <v>4304.0083725896629</v>
      </c>
      <c r="CY6" s="144">
        <v>0</v>
      </c>
      <c r="CZ6" s="144">
        <v>4003.655648909642</v>
      </c>
      <c r="DA6" s="144">
        <v>4886.0531410233216</v>
      </c>
      <c r="DB6" s="144"/>
      <c r="DC6" s="144"/>
      <c r="DD6" s="144" t="s">
        <v>135</v>
      </c>
      <c r="DE6" s="144">
        <v>38796.39961615052</v>
      </c>
      <c r="DF6" s="144"/>
      <c r="DG6" s="144"/>
      <c r="DH6" s="144" t="s">
        <v>144</v>
      </c>
      <c r="DI6" s="144">
        <v>195288.44927965209</v>
      </c>
      <c r="DJ6" s="144"/>
      <c r="DK6" s="144"/>
      <c r="DL6" s="144" t="s">
        <v>121</v>
      </c>
      <c r="DM6" s="144">
        <v>6.1815367834944519</v>
      </c>
      <c r="DN6" s="144"/>
      <c r="DO6" s="144"/>
      <c r="DP6" s="144"/>
      <c r="DQ6" s="144" t="s">
        <v>160</v>
      </c>
      <c r="DR6" s="144">
        <v>80.620149999999995</v>
      </c>
      <c r="DS6" s="144">
        <v>10212.805200000001</v>
      </c>
      <c r="DT6" s="144">
        <v>1537.61547</v>
      </c>
      <c r="DU6" s="144">
        <v>112.97508000000001</v>
      </c>
      <c r="DV6" s="144">
        <v>639.08262999999999</v>
      </c>
      <c r="DW6" s="144">
        <v>0</v>
      </c>
      <c r="DX6" s="144">
        <v>16.65081</v>
      </c>
      <c r="DY6" s="144">
        <v>633.20019000000002</v>
      </c>
      <c r="DZ6" s="144"/>
      <c r="EA6" s="144"/>
      <c r="EB6" s="144" t="s">
        <v>135</v>
      </c>
      <c r="EC6" s="144">
        <v>15197.66505</v>
      </c>
      <c r="ED6" s="144"/>
      <c r="EE6" s="144"/>
      <c r="EF6" s="144" t="s">
        <v>115</v>
      </c>
      <c r="EG6" s="144">
        <v>28057.15364</v>
      </c>
      <c r="EH6" s="144"/>
      <c r="EI6" s="144"/>
      <c r="EJ6" s="144" t="s">
        <v>120</v>
      </c>
      <c r="EK6" s="144"/>
      <c r="EL6" s="144"/>
      <c r="EM6" s="144"/>
      <c r="EN6" s="144"/>
      <c r="EO6" s="144" t="s">
        <v>135</v>
      </c>
      <c r="EP6" s="144">
        <v>15197.66505</v>
      </c>
    </row>
    <row r="7" spans="1:146" x14ac:dyDescent="0.3">
      <c r="A7" s="144"/>
      <c r="B7" s="144"/>
      <c r="C7" s="144"/>
      <c r="D7" s="144"/>
      <c r="E7" s="144"/>
      <c r="F7">
        <v>3</v>
      </c>
      <c r="G7" s="144">
        <v>6.2687454217594737E-2</v>
      </c>
      <c r="H7" s="144">
        <v>0.53516858735380368</v>
      </c>
      <c r="I7" s="144">
        <v>5.9845989675331182E-2</v>
      </c>
      <c r="J7" s="144"/>
      <c r="K7" s="144"/>
      <c r="L7" s="144"/>
      <c r="M7" s="144"/>
      <c r="N7" s="144"/>
      <c r="O7" s="144"/>
      <c r="P7" s="144"/>
      <c r="Q7" s="144"/>
      <c r="R7" s="144"/>
      <c r="S7" s="144"/>
      <c r="T7" s="144"/>
      <c r="U7" s="144"/>
      <c r="V7" s="144"/>
      <c r="W7" s="144"/>
      <c r="X7" s="144"/>
      <c r="Y7" s="144"/>
      <c r="Z7" s="144">
        <v>4</v>
      </c>
      <c r="AA7" s="144" t="s">
        <v>266</v>
      </c>
      <c r="AB7" s="144">
        <v>0.68520000000000003</v>
      </c>
      <c r="AC7" s="144"/>
      <c r="AD7" s="144"/>
      <c r="AE7" s="144">
        <v>4</v>
      </c>
      <c r="AF7" s="144" t="s">
        <v>234</v>
      </c>
      <c r="AG7" s="144">
        <v>4.5321999999999996</v>
      </c>
      <c r="AH7" s="144"/>
      <c r="AI7" s="144"/>
      <c r="AJ7" s="144">
        <v>4</v>
      </c>
      <c r="AK7" s="144">
        <v>0.44600000000000001</v>
      </c>
      <c r="AL7" s="144"/>
      <c r="AM7" s="144"/>
      <c r="AN7" s="144"/>
      <c r="AO7" s="144">
        <v>4</v>
      </c>
      <c r="AP7" s="144">
        <v>12892.98368764616</v>
      </c>
      <c r="AQ7" s="144"/>
      <c r="AR7" s="144"/>
      <c r="AS7" s="144"/>
      <c r="AT7" s="144">
        <v>4</v>
      </c>
      <c r="AU7" s="144" t="s">
        <v>74</v>
      </c>
      <c r="AV7" s="144">
        <v>5045.4883127440053</v>
      </c>
      <c r="AW7" s="144"/>
      <c r="AX7" s="144"/>
      <c r="AY7" s="144"/>
      <c r="AZ7" s="144"/>
      <c r="BA7" s="144"/>
      <c r="BB7" s="144"/>
      <c r="BC7" s="144"/>
      <c r="BD7" s="144" t="s">
        <v>133</v>
      </c>
      <c r="BE7" s="144">
        <v>91342.037970496342</v>
      </c>
      <c r="BF7" s="144"/>
      <c r="BG7" s="144"/>
      <c r="BH7" s="144"/>
      <c r="BI7" s="144"/>
      <c r="BJ7" s="144"/>
      <c r="BK7" s="144"/>
      <c r="BL7" s="144"/>
      <c r="BM7" s="144"/>
      <c r="BN7" s="144" t="s">
        <v>144</v>
      </c>
      <c r="BO7" s="144" t="s">
        <v>267</v>
      </c>
      <c r="BP7" s="144">
        <v>2740.298962551768</v>
      </c>
      <c r="BQ7" s="144"/>
      <c r="BR7" s="144"/>
      <c r="BS7" s="144" t="s">
        <v>149</v>
      </c>
      <c r="BT7" s="144" t="s">
        <v>119</v>
      </c>
      <c r="BU7" s="144">
        <v>16163.208431610359</v>
      </c>
      <c r="BV7" s="144"/>
      <c r="BW7" s="144"/>
      <c r="BX7" s="144" t="s">
        <v>187</v>
      </c>
      <c r="BY7" s="144">
        <v>0.2198664844036102</v>
      </c>
      <c r="BZ7" s="144"/>
      <c r="CA7" s="144"/>
      <c r="CB7" s="144"/>
      <c r="CC7" s="144"/>
      <c r="CD7" s="144" t="s">
        <v>144</v>
      </c>
      <c r="CE7" s="144" t="s">
        <v>267</v>
      </c>
      <c r="CF7" s="144">
        <v>1395.3670740030791</v>
      </c>
      <c r="CG7" s="144"/>
      <c r="CH7" s="144"/>
      <c r="CI7" s="144" t="s">
        <v>149</v>
      </c>
      <c r="CJ7" s="144" t="s">
        <v>119</v>
      </c>
      <c r="CK7" s="144">
        <v>27031.706312217309</v>
      </c>
      <c r="CL7" s="144"/>
      <c r="CM7" s="144"/>
      <c r="CN7" s="144" t="s">
        <v>187</v>
      </c>
      <c r="CO7" s="144">
        <v>14.689831290281029</v>
      </c>
      <c r="CP7" s="144"/>
      <c r="CQ7" s="144"/>
      <c r="CR7" s="144"/>
      <c r="CS7" s="144" t="s">
        <v>161</v>
      </c>
      <c r="CT7" s="144">
        <v>784.37807287895987</v>
      </c>
      <c r="CU7" s="144">
        <v>545.23966393599324</v>
      </c>
      <c r="CV7" s="144">
        <v>0</v>
      </c>
      <c r="CW7" s="144">
        <v>0</v>
      </c>
      <c r="CX7" s="144">
        <v>6070.3980766536761</v>
      </c>
      <c r="CY7" s="144">
        <v>0</v>
      </c>
      <c r="CZ7" s="144">
        <v>5318.7666284389588</v>
      </c>
      <c r="DA7" s="144">
        <v>1470.961703842765</v>
      </c>
      <c r="DB7" s="144"/>
      <c r="DC7" s="144"/>
      <c r="DD7" s="144" t="s">
        <v>133</v>
      </c>
      <c r="DE7" s="144">
        <v>1146784.4457111461</v>
      </c>
      <c r="DF7" s="144"/>
      <c r="DG7" s="144"/>
      <c r="DH7" s="144" t="s">
        <v>146</v>
      </c>
      <c r="DI7" s="144">
        <v>71129.835011350646</v>
      </c>
      <c r="DJ7" s="144"/>
      <c r="DK7" s="144"/>
      <c r="DL7" s="144"/>
      <c r="DM7" s="144"/>
      <c r="DN7" s="144"/>
      <c r="DO7" s="144"/>
      <c r="DP7" s="144"/>
      <c r="DQ7" s="144" t="s">
        <v>161</v>
      </c>
      <c r="DR7" s="144">
        <v>0</v>
      </c>
      <c r="DS7" s="144">
        <v>59.037460000000003</v>
      </c>
      <c r="DT7" s="144">
        <v>308.46368999999999</v>
      </c>
      <c r="DU7" s="144">
        <v>0</v>
      </c>
      <c r="DV7" s="144">
        <v>386.8202</v>
      </c>
      <c r="DW7" s="144">
        <v>0</v>
      </c>
      <c r="DX7" s="144">
        <v>12.86792</v>
      </c>
      <c r="DY7" s="144">
        <v>131.72157000000001</v>
      </c>
      <c r="DZ7" s="144"/>
      <c r="EA7" s="144"/>
      <c r="EB7" s="144" t="s">
        <v>133</v>
      </c>
      <c r="EC7" s="144">
        <v>24848.498080000001</v>
      </c>
      <c r="ED7" s="144"/>
      <c r="EE7" s="144"/>
      <c r="EF7" s="144" t="s">
        <v>187</v>
      </c>
      <c r="EG7" s="144">
        <v>192.44623999999999</v>
      </c>
      <c r="EH7" s="144"/>
      <c r="EI7" s="144"/>
      <c r="EJ7" s="144"/>
      <c r="EK7" s="144"/>
      <c r="EL7" s="144"/>
      <c r="EM7" s="144"/>
      <c r="EN7" s="144"/>
      <c r="EO7" s="144" t="s">
        <v>133</v>
      </c>
      <c r="EP7" s="144">
        <v>24848.498080000001</v>
      </c>
    </row>
    <row r="8" spans="1:146" x14ac:dyDescent="0.3">
      <c r="A8" s="144"/>
      <c r="B8" s="144"/>
      <c r="C8" s="144"/>
      <c r="D8" s="144"/>
      <c r="E8" s="144"/>
      <c r="F8">
        <v>4</v>
      </c>
      <c r="G8" s="144">
        <v>7.9011686496070668E-2</v>
      </c>
      <c r="H8" s="144">
        <v>0.5704928865999338</v>
      </c>
      <c r="I8" s="144">
        <v>0.18279611880234611</v>
      </c>
      <c r="J8" s="144"/>
      <c r="K8" s="144"/>
      <c r="L8" s="144"/>
      <c r="M8" s="144"/>
      <c r="N8" s="144"/>
      <c r="O8" s="144"/>
      <c r="P8" s="144"/>
      <c r="Q8" s="144"/>
      <c r="R8" s="144"/>
      <c r="S8" s="144"/>
      <c r="T8" s="144"/>
      <c r="U8" s="144"/>
      <c r="V8" s="144"/>
      <c r="W8" s="144"/>
      <c r="X8" s="144"/>
      <c r="Y8" s="144"/>
      <c r="Z8" s="144"/>
      <c r="AA8" s="144"/>
      <c r="AB8" s="144"/>
      <c r="AC8" s="144"/>
      <c r="AD8" s="144"/>
      <c r="AE8" s="144">
        <v>5</v>
      </c>
      <c r="AF8" s="144" t="s">
        <v>236</v>
      </c>
      <c r="AG8" s="144">
        <v>3.3340999999999998</v>
      </c>
      <c r="AH8" s="144"/>
      <c r="AI8" s="144"/>
      <c r="AJ8" s="144">
        <v>5</v>
      </c>
      <c r="AK8" s="144">
        <v>0.51</v>
      </c>
      <c r="AL8" s="144"/>
      <c r="AM8" s="144"/>
      <c r="AN8" s="144"/>
      <c r="AO8" s="144">
        <v>5</v>
      </c>
      <c r="AP8" s="144">
        <v>10680.592231928729</v>
      </c>
      <c r="AQ8" s="144"/>
      <c r="AR8" s="144"/>
      <c r="AS8" s="144"/>
      <c r="AT8" s="144">
        <v>5</v>
      </c>
      <c r="AU8" s="144" t="s">
        <v>76</v>
      </c>
      <c r="AV8" s="144">
        <v>13159.97414633791</v>
      </c>
      <c r="AW8" s="144"/>
      <c r="AX8" s="144"/>
      <c r="AY8" s="144"/>
      <c r="AZ8" s="144"/>
      <c r="BA8" s="144"/>
      <c r="BB8" s="144"/>
      <c r="BC8" s="144"/>
      <c r="BD8" s="144" t="s">
        <v>134</v>
      </c>
      <c r="BE8" s="144">
        <v>7167.3089093870913</v>
      </c>
      <c r="BF8" s="144"/>
      <c r="BG8" s="144"/>
      <c r="BH8" s="144"/>
      <c r="BI8" s="144"/>
      <c r="BJ8" s="144"/>
      <c r="BK8" s="144"/>
      <c r="BL8" s="144"/>
      <c r="BM8" s="144"/>
      <c r="BN8" s="144" t="s">
        <v>144</v>
      </c>
      <c r="BO8" s="144" t="s">
        <v>268</v>
      </c>
      <c r="BP8" s="144">
        <v>31643.152678353421</v>
      </c>
      <c r="BQ8" s="144"/>
      <c r="BR8" s="144"/>
      <c r="BS8" s="144" t="s">
        <v>149</v>
      </c>
      <c r="BT8" s="144" t="s">
        <v>120</v>
      </c>
      <c r="BU8" s="144">
        <v>3268.676956896451</v>
      </c>
      <c r="BV8" s="144"/>
      <c r="BW8" s="144"/>
      <c r="BX8" s="144" t="s">
        <v>146</v>
      </c>
      <c r="BY8" s="144">
        <v>8.5978071882957217</v>
      </c>
      <c r="BZ8" s="144"/>
      <c r="CA8" s="144"/>
      <c r="CB8" s="144"/>
      <c r="CC8" s="144"/>
      <c r="CD8" s="144" t="s">
        <v>144</v>
      </c>
      <c r="CE8" s="144" t="s">
        <v>268</v>
      </c>
      <c r="CF8" s="144">
        <v>22608.931121070462</v>
      </c>
      <c r="CG8" s="144"/>
      <c r="CH8" s="144"/>
      <c r="CI8" s="144" t="s">
        <v>149</v>
      </c>
      <c r="CJ8" s="144" t="s">
        <v>120</v>
      </c>
      <c r="CK8" s="144">
        <v>8434.1088405806477</v>
      </c>
      <c r="CL8" s="144"/>
      <c r="CM8" s="144"/>
      <c r="CN8" s="144" t="s">
        <v>146</v>
      </c>
      <c r="CO8" s="144">
        <v>2.809159998115264</v>
      </c>
      <c r="CP8" s="144"/>
      <c r="CQ8" s="144"/>
      <c r="CR8" s="144"/>
      <c r="CS8" s="144" t="s">
        <v>162</v>
      </c>
      <c r="CT8" s="144">
        <v>16672.90528221631</v>
      </c>
      <c r="CU8" s="144">
        <v>22941.866730442842</v>
      </c>
      <c r="CV8" s="144">
        <v>7579.5075032146297</v>
      </c>
      <c r="CW8" s="144">
        <v>4263.8802133373683</v>
      </c>
      <c r="CX8" s="144">
        <v>139383.0465034814</v>
      </c>
      <c r="CY8" s="144">
        <v>0</v>
      </c>
      <c r="CZ8" s="144">
        <v>106158.20155570129</v>
      </c>
      <c r="DA8" s="144">
        <v>73350.329698904708</v>
      </c>
      <c r="DB8" s="144"/>
      <c r="DC8" s="144"/>
      <c r="DD8" s="144" t="s">
        <v>134</v>
      </c>
      <c r="DE8" s="144">
        <v>151237.34956727439</v>
      </c>
      <c r="DF8" s="144"/>
      <c r="DG8" s="144"/>
      <c r="DH8" s="144" t="s">
        <v>187</v>
      </c>
      <c r="DI8" s="144">
        <v>6426.2919318680724</v>
      </c>
      <c r="DJ8" s="144"/>
      <c r="DK8" s="144"/>
      <c r="DL8" s="144"/>
      <c r="DM8" s="144"/>
      <c r="DN8" s="144"/>
      <c r="DO8" s="144"/>
      <c r="DP8" s="144"/>
      <c r="DQ8" s="144" t="s">
        <v>162</v>
      </c>
      <c r="DR8" s="144">
        <v>298.26400999999998</v>
      </c>
      <c r="DS8" s="144">
        <v>1119.93686</v>
      </c>
      <c r="DT8" s="144">
        <v>3386.7065299999999</v>
      </c>
      <c r="DU8" s="144">
        <v>368.65014000000002</v>
      </c>
      <c r="DV8" s="144">
        <v>4760.4289399999998</v>
      </c>
      <c r="DW8" s="144">
        <v>0</v>
      </c>
      <c r="DX8" s="144">
        <v>302.41716000000002</v>
      </c>
      <c r="DY8" s="144">
        <v>1809.3460500000001</v>
      </c>
      <c r="DZ8" s="144"/>
      <c r="EA8" s="144"/>
      <c r="EB8" s="144" t="s">
        <v>134</v>
      </c>
      <c r="EC8" s="144">
        <v>18945.441439999999</v>
      </c>
      <c r="ED8" s="144"/>
      <c r="EE8" s="144"/>
      <c r="EF8" s="144" t="s">
        <v>146</v>
      </c>
      <c r="EG8" s="144">
        <v>1408.1770200000001</v>
      </c>
      <c r="EH8" s="144"/>
      <c r="EI8" s="144"/>
      <c r="EJ8" s="144"/>
      <c r="EK8" s="144"/>
      <c r="EL8" s="144"/>
      <c r="EM8" s="144"/>
      <c r="EN8" s="144"/>
      <c r="EO8" s="144" t="s">
        <v>134</v>
      </c>
      <c r="EP8" s="144">
        <v>18945.441439999999</v>
      </c>
    </row>
    <row r="9" spans="1:146" x14ac:dyDescent="0.3">
      <c r="A9" s="144"/>
      <c r="B9" s="144"/>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v>6</v>
      </c>
      <c r="AF9" s="144" t="s">
        <v>227</v>
      </c>
      <c r="AG9" s="144">
        <v>3.1086</v>
      </c>
      <c r="AH9" s="144"/>
      <c r="AI9" s="144"/>
      <c r="AJ9" s="144"/>
      <c r="AK9" s="144"/>
      <c r="AL9" s="144"/>
      <c r="AM9" s="144"/>
      <c r="AN9" s="144"/>
      <c r="AO9" s="144">
        <v>6</v>
      </c>
      <c r="AP9" s="144">
        <v>32128.950843377512</v>
      </c>
      <c r="AQ9" s="144"/>
      <c r="AR9" s="144"/>
      <c r="AS9" s="144"/>
      <c r="AT9" s="144">
        <v>6</v>
      </c>
      <c r="AU9" s="144" t="s">
        <v>78</v>
      </c>
      <c r="AV9" s="144">
        <v>4159.155385772664</v>
      </c>
      <c r="AW9" s="144"/>
      <c r="AX9" s="144"/>
      <c r="AY9" s="144"/>
      <c r="AZ9" s="144"/>
      <c r="BA9" s="144"/>
      <c r="BB9" s="144"/>
      <c r="BC9" s="144"/>
      <c r="BD9" s="144"/>
      <c r="BE9" s="144"/>
      <c r="BF9" s="144"/>
      <c r="BG9" s="144"/>
      <c r="BH9" s="144"/>
      <c r="BI9" s="144"/>
      <c r="BJ9" s="144"/>
      <c r="BK9" s="144"/>
      <c r="BL9" s="144"/>
      <c r="BM9" s="144"/>
      <c r="BN9" s="144" t="s">
        <v>144</v>
      </c>
      <c r="BO9" s="144" t="s">
        <v>269</v>
      </c>
      <c r="BP9" s="144">
        <v>5726.3503371426632</v>
      </c>
      <c r="BQ9" s="144"/>
      <c r="BR9" s="144"/>
      <c r="BS9" s="144" t="s">
        <v>149</v>
      </c>
      <c r="BT9" s="144" t="s">
        <v>121</v>
      </c>
      <c r="BU9" s="144">
        <v>1717.196021098767</v>
      </c>
      <c r="BV9" s="144"/>
      <c r="BW9" s="144"/>
      <c r="BX9" s="144"/>
      <c r="BY9" s="144"/>
      <c r="BZ9" s="144"/>
      <c r="CA9" s="144"/>
      <c r="CB9" s="144"/>
      <c r="CC9" s="144"/>
      <c r="CD9" s="144" t="s">
        <v>144</v>
      </c>
      <c r="CE9" s="144" t="s">
        <v>269</v>
      </c>
      <c r="CF9" s="144">
        <v>4607.8879554129189</v>
      </c>
      <c r="CG9" s="144"/>
      <c r="CH9" s="144"/>
      <c r="CI9" s="144" t="s">
        <v>149</v>
      </c>
      <c r="CJ9" s="144" t="s">
        <v>121</v>
      </c>
      <c r="CK9" s="144">
        <v>13577.734018008599</v>
      </c>
      <c r="CL9" s="144"/>
      <c r="CM9" s="144"/>
      <c r="CN9" s="144"/>
      <c r="CO9" s="144"/>
      <c r="CP9" s="144"/>
      <c r="CQ9" s="144"/>
      <c r="CR9" s="144"/>
      <c r="CS9" s="144" t="s">
        <v>163</v>
      </c>
      <c r="CT9" s="144">
        <v>8260.4940189659937</v>
      </c>
      <c r="CU9" s="144">
        <v>25495.36232844436</v>
      </c>
      <c r="CV9" s="144">
        <v>9804.2685456068648</v>
      </c>
      <c r="CW9" s="144">
        <v>2927.740106538181</v>
      </c>
      <c r="CX9" s="144">
        <v>60046.985565945222</v>
      </c>
      <c r="CY9" s="144">
        <v>0</v>
      </c>
      <c r="CZ9" s="144">
        <v>109932.5133405917</v>
      </c>
      <c r="DA9" s="144">
        <v>5764.3759929631497</v>
      </c>
      <c r="DB9" s="144"/>
      <c r="DC9" s="144"/>
      <c r="DD9" s="144"/>
      <c r="DE9" s="144"/>
      <c r="DF9" s="144"/>
      <c r="DG9" s="144"/>
      <c r="DH9" s="144"/>
      <c r="DI9" s="144"/>
      <c r="DJ9" s="144"/>
      <c r="DK9" s="144"/>
      <c r="DL9" s="144"/>
      <c r="DM9" s="144"/>
      <c r="DN9" s="144"/>
      <c r="DO9" s="144"/>
      <c r="DP9" s="144"/>
      <c r="DQ9" s="144" t="s">
        <v>163</v>
      </c>
      <c r="DR9" s="144">
        <v>31.984670000000001</v>
      </c>
      <c r="DS9" s="144">
        <v>1025.8723600000001</v>
      </c>
      <c r="DT9" s="144">
        <v>1952.77881</v>
      </c>
      <c r="DU9" s="144">
        <v>31.984670000000001</v>
      </c>
      <c r="DV9" s="144">
        <v>1657.58764</v>
      </c>
      <c r="DW9" s="144">
        <v>0</v>
      </c>
      <c r="DX9" s="144">
        <v>203.62694999999999</v>
      </c>
      <c r="DY9" s="144">
        <v>115.44101999999999</v>
      </c>
      <c r="DZ9" s="144"/>
      <c r="EA9" s="144"/>
      <c r="EB9" s="144"/>
      <c r="EC9" s="144"/>
      <c r="ED9" s="144"/>
      <c r="EE9" s="144"/>
      <c r="EF9" s="144"/>
      <c r="EG9" s="144"/>
      <c r="EH9" s="144"/>
      <c r="EI9" s="144"/>
      <c r="EJ9" s="144"/>
      <c r="EK9" s="144"/>
      <c r="EL9" s="144"/>
      <c r="EM9" s="144"/>
      <c r="EN9" s="144"/>
      <c r="EO9" s="144"/>
      <c r="EP9" s="144"/>
    </row>
    <row r="10" spans="1:146" x14ac:dyDescent="0.3">
      <c r="A10" s="144"/>
      <c r="B10" s="144"/>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v>7</v>
      </c>
      <c r="AF10" s="144" t="s">
        <v>235</v>
      </c>
      <c r="AG10" s="144">
        <v>3.7210999999999999</v>
      </c>
      <c r="AH10" s="144"/>
      <c r="AI10" s="144"/>
      <c r="AJ10" s="144"/>
      <c r="AK10" s="144"/>
      <c r="AL10" s="144"/>
      <c r="AM10" s="144"/>
      <c r="AN10" s="144"/>
      <c r="AO10" s="144">
        <v>7</v>
      </c>
      <c r="AP10" s="144">
        <v>9182.0061874922721</v>
      </c>
      <c r="AQ10" s="144"/>
      <c r="AR10" s="144"/>
      <c r="AS10" s="144"/>
      <c r="AT10" s="144">
        <v>7</v>
      </c>
      <c r="AU10" s="144" t="s">
        <v>80</v>
      </c>
      <c r="AV10" s="144">
        <v>6057.498094970384</v>
      </c>
      <c r="AW10" s="144"/>
      <c r="AX10" s="144"/>
      <c r="AY10" s="144"/>
      <c r="AZ10" s="144"/>
      <c r="BA10" s="144"/>
      <c r="BB10" s="144"/>
      <c r="BC10" s="144"/>
      <c r="BD10" s="144"/>
      <c r="BE10" s="144"/>
      <c r="BF10" s="144"/>
      <c r="BG10" s="144"/>
      <c r="BH10" s="144"/>
      <c r="BI10" s="144"/>
      <c r="BJ10" s="144"/>
      <c r="BK10" s="144"/>
      <c r="BL10" s="144"/>
      <c r="BM10" s="144"/>
      <c r="BN10" s="144" t="s">
        <v>144</v>
      </c>
      <c r="BO10" s="144" t="s">
        <v>270</v>
      </c>
      <c r="BP10" s="144">
        <v>12812.053909095561</v>
      </c>
      <c r="BQ10" s="144"/>
      <c r="BR10" s="144"/>
      <c r="BS10" s="144" t="s">
        <v>115</v>
      </c>
      <c r="BT10" s="144" t="s">
        <v>119</v>
      </c>
      <c r="BU10" s="144">
        <v>14541.300261967501</v>
      </c>
      <c r="BV10" s="144"/>
      <c r="BW10" s="144"/>
      <c r="BX10" s="144"/>
      <c r="BY10" s="144"/>
      <c r="BZ10" s="144"/>
      <c r="CA10" s="144"/>
      <c r="CB10" s="144"/>
      <c r="CC10" s="144"/>
      <c r="CD10" s="144" t="s">
        <v>144</v>
      </c>
      <c r="CE10" s="144" t="s">
        <v>270</v>
      </c>
      <c r="CF10" s="144">
        <v>7027.9928104529836</v>
      </c>
      <c r="CG10" s="144"/>
      <c r="CH10" s="144"/>
      <c r="CI10" s="144" t="s">
        <v>115</v>
      </c>
      <c r="CJ10" s="144" t="s">
        <v>119</v>
      </c>
      <c r="CK10" s="144">
        <v>33393.947229425132</v>
      </c>
      <c r="CL10" s="144"/>
      <c r="CM10" s="144"/>
      <c r="CN10" s="144"/>
      <c r="CO10" s="144"/>
      <c r="CP10" s="144"/>
      <c r="CQ10" s="144"/>
      <c r="CR10" s="144"/>
      <c r="CS10" s="144" t="s">
        <v>6</v>
      </c>
      <c r="CT10" s="144">
        <v>32328.338413751149</v>
      </c>
      <c r="CU10" s="144">
        <v>5399.7425469069549</v>
      </c>
      <c r="CV10" s="144">
        <v>2919.347709932631</v>
      </c>
      <c r="CW10" s="144">
        <v>5302.7824520441227</v>
      </c>
      <c r="CX10" s="144">
        <v>111590.421092358</v>
      </c>
      <c r="CY10" s="144">
        <v>0</v>
      </c>
      <c r="CZ10" s="144">
        <v>347938.3555631811</v>
      </c>
      <c r="DA10" s="144">
        <v>106037.9089803033</v>
      </c>
      <c r="DB10" s="144"/>
      <c r="DC10" s="144"/>
      <c r="DD10" s="144"/>
      <c r="DE10" s="144"/>
      <c r="DF10" s="144"/>
      <c r="DG10" s="144"/>
      <c r="DH10" s="144"/>
      <c r="DI10" s="144"/>
      <c r="DJ10" s="144"/>
      <c r="DK10" s="144"/>
      <c r="DL10" s="144"/>
      <c r="DM10" s="144"/>
      <c r="DN10" s="144"/>
      <c r="DO10" s="144"/>
      <c r="DP10" s="144"/>
      <c r="DQ10" s="144" t="s">
        <v>6</v>
      </c>
      <c r="DR10" s="144">
        <v>46.169539999999998</v>
      </c>
      <c r="DS10" s="144">
        <v>97.270960000000002</v>
      </c>
      <c r="DT10" s="144">
        <v>298.26400999999998</v>
      </c>
      <c r="DU10" s="144">
        <v>3.7828900000000001</v>
      </c>
      <c r="DV10" s="144">
        <v>301.26817</v>
      </c>
      <c r="DW10" s="144">
        <v>0</v>
      </c>
      <c r="DX10" s="144">
        <v>303.52794</v>
      </c>
      <c r="DY10" s="144">
        <v>154.04478</v>
      </c>
      <c r="DZ10" s="144"/>
      <c r="EA10" s="144"/>
      <c r="EB10" s="144"/>
      <c r="EC10" s="144"/>
      <c r="ED10" s="144"/>
      <c r="EE10" s="144"/>
      <c r="EF10" s="144"/>
      <c r="EG10" s="144"/>
      <c r="EH10" s="144"/>
      <c r="EI10" s="144"/>
      <c r="EJ10" s="144"/>
      <c r="EK10" s="144"/>
      <c r="EL10" s="144"/>
      <c r="EM10" s="144"/>
      <c r="EN10" s="144"/>
      <c r="EO10" s="144"/>
      <c r="EP10" s="144"/>
    </row>
    <row r="11" spans="1:146" x14ac:dyDescent="0.3">
      <c r="A11" s="144"/>
      <c r="B11" s="144"/>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v>8</v>
      </c>
      <c r="AF11" s="144" t="s">
        <v>229</v>
      </c>
      <c r="AG11" s="144">
        <v>2.5834000000000001</v>
      </c>
      <c r="AH11" s="144"/>
      <c r="AI11" s="144"/>
      <c r="AJ11" s="144"/>
      <c r="AK11" s="144"/>
      <c r="AL11" s="144"/>
      <c r="AM11" s="144"/>
      <c r="AN11" s="144"/>
      <c r="AO11" s="144">
        <v>8</v>
      </c>
      <c r="AP11" s="144">
        <v>43519.040415044583</v>
      </c>
      <c r="AQ11" s="144"/>
      <c r="AR11" s="144"/>
      <c r="AS11" s="144"/>
      <c r="AT11" s="144">
        <v>8</v>
      </c>
      <c r="AU11" s="144" t="s">
        <v>82</v>
      </c>
      <c r="AV11" s="144">
        <v>1703.8777987166541</v>
      </c>
      <c r="AW11" s="144"/>
      <c r="AX11" s="144"/>
      <c r="AY11" s="144"/>
      <c r="AZ11" s="144"/>
      <c r="BA11" s="144"/>
      <c r="BB11" s="144"/>
      <c r="BC11" s="144"/>
      <c r="BD11" s="144"/>
      <c r="BE11" s="144"/>
      <c r="BF11" s="144"/>
      <c r="BG11" s="144"/>
      <c r="BH11" s="144"/>
      <c r="BI11" s="144"/>
      <c r="BJ11" s="144"/>
      <c r="BK11" s="144"/>
      <c r="BL11" s="144"/>
      <c r="BM11" s="144"/>
      <c r="BN11" s="144" t="s">
        <v>144</v>
      </c>
      <c r="BO11" s="144" t="s">
        <v>271</v>
      </c>
      <c r="BP11" s="144">
        <v>27245.432543008628</v>
      </c>
      <c r="BQ11" s="144"/>
      <c r="BR11" s="144"/>
      <c r="BS11" s="144" t="s">
        <v>115</v>
      </c>
      <c r="BT11" s="144" t="s">
        <v>120</v>
      </c>
      <c r="BU11" s="144">
        <v>981.36971252443425</v>
      </c>
      <c r="BV11" s="144"/>
      <c r="BW11" s="144"/>
      <c r="BX11" s="144"/>
      <c r="BY11" s="144"/>
      <c r="BZ11" s="144"/>
      <c r="CA11" s="144"/>
      <c r="CB11" s="144"/>
      <c r="CC11" s="144"/>
      <c r="CD11" s="144" t="s">
        <v>144</v>
      </c>
      <c r="CE11" s="144" t="s">
        <v>271</v>
      </c>
      <c r="CF11" s="144">
        <v>14206.9321437823</v>
      </c>
      <c r="CG11" s="144"/>
      <c r="CH11" s="144"/>
      <c r="CI11" s="144" t="s">
        <v>115</v>
      </c>
      <c r="CJ11" s="144" t="s">
        <v>120</v>
      </c>
      <c r="CK11" s="144">
        <v>2005.043057839571</v>
      </c>
      <c r="CL11" s="144"/>
      <c r="CM11" s="144"/>
      <c r="CN11" s="144"/>
      <c r="CO11" s="144"/>
      <c r="CP11" s="144"/>
      <c r="CQ11" s="144"/>
      <c r="CR11" s="144"/>
      <c r="CS11" s="144" t="s">
        <v>164</v>
      </c>
      <c r="CT11" s="144">
        <v>0</v>
      </c>
      <c r="CU11" s="144">
        <v>0</v>
      </c>
      <c r="CV11" s="144">
        <v>0</v>
      </c>
      <c r="CW11" s="144">
        <v>0</v>
      </c>
      <c r="CX11" s="144">
        <v>0</v>
      </c>
      <c r="CY11" s="144">
        <v>0</v>
      </c>
      <c r="CZ11" s="144">
        <v>0</v>
      </c>
      <c r="DA11" s="144">
        <v>0</v>
      </c>
      <c r="DB11" s="144"/>
      <c r="DC11" s="144"/>
      <c r="DD11" s="144"/>
      <c r="DE11" s="144"/>
      <c r="DF11" s="144"/>
      <c r="DG11" s="144"/>
      <c r="DH11" s="144"/>
      <c r="DI11" s="144"/>
      <c r="DJ11" s="144"/>
      <c r="DK11" s="144"/>
      <c r="DL11" s="144"/>
      <c r="DM11" s="144"/>
      <c r="DN11" s="144"/>
      <c r="DO11" s="144"/>
      <c r="DP11" s="144"/>
      <c r="DQ11" s="144" t="s">
        <v>164</v>
      </c>
      <c r="DR11" s="144">
        <v>0</v>
      </c>
      <c r="DS11" s="144">
        <v>0</v>
      </c>
      <c r="DT11" s="144">
        <v>0</v>
      </c>
      <c r="DU11" s="144">
        <v>0</v>
      </c>
      <c r="DV11" s="144">
        <v>0</v>
      </c>
      <c r="DW11" s="144">
        <v>0</v>
      </c>
      <c r="DX11" s="144">
        <v>0</v>
      </c>
      <c r="DY11" s="144">
        <v>0</v>
      </c>
      <c r="DZ11" s="144"/>
      <c r="EA11" s="144"/>
      <c r="EB11" s="144"/>
      <c r="EC11" s="144"/>
      <c r="ED11" s="144"/>
      <c r="EE11" s="144"/>
      <c r="EF11" s="144"/>
      <c r="EG11" s="144"/>
      <c r="EH11" s="144"/>
      <c r="EI11" s="144"/>
      <c r="EJ11" s="144"/>
      <c r="EK11" s="144"/>
      <c r="EL11" s="144"/>
      <c r="EM11" s="144"/>
      <c r="EN11" s="144"/>
      <c r="EO11" s="144"/>
      <c r="EP11" s="144"/>
    </row>
    <row r="12" spans="1:146" x14ac:dyDescent="0.3">
      <c r="A12" s="144"/>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v>9</v>
      </c>
      <c r="AF12" s="144" t="s">
        <v>228</v>
      </c>
      <c r="AG12" s="144">
        <v>3.2574000000000001</v>
      </c>
      <c r="AH12" s="144"/>
      <c r="AI12" s="144"/>
      <c r="AJ12" s="144"/>
      <c r="AK12" s="144"/>
      <c r="AL12" s="144"/>
      <c r="AM12" s="144"/>
      <c r="AN12" s="144"/>
      <c r="AO12" s="144">
        <v>9</v>
      </c>
      <c r="AP12" s="144">
        <v>54985.922940158649</v>
      </c>
      <c r="AQ12" s="144"/>
      <c r="AR12" s="144"/>
      <c r="AS12" s="144"/>
      <c r="AT12" s="144">
        <v>9</v>
      </c>
      <c r="AU12" s="144" t="s">
        <v>84</v>
      </c>
      <c r="AV12" s="144">
        <v>4776.4062982223841</v>
      </c>
      <c r="AW12" s="144"/>
      <c r="AX12" s="144"/>
      <c r="AY12" s="144"/>
      <c r="AZ12" s="144"/>
      <c r="BA12" s="144"/>
      <c r="BB12" s="144"/>
      <c r="BC12" s="144"/>
      <c r="BD12" s="144"/>
      <c r="BE12" s="144"/>
      <c r="BF12" s="144"/>
      <c r="BG12" s="144"/>
      <c r="BH12" s="144"/>
      <c r="BI12" s="144"/>
      <c r="BJ12" s="144"/>
      <c r="BK12" s="144"/>
      <c r="BL12" s="144"/>
      <c r="BM12" s="144"/>
      <c r="BN12" s="144" t="s">
        <v>144</v>
      </c>
      <c r="BO12" s="144" t="s">
        <v>272</v>
      </c>
      <c r="BP12" s="144">
        <v>11272.81503227891</v>
      </c>
      <c r="BQ12" s="144"/>
      <c r="BR12" s="144"/>
      <c r="BS12" s="144" t="s">
        <v>115</v>
      </c>
      <c r="BT12" s="144" t="s">
        <v>121</v>
      </c>
      <c r="BU12" s="144">
        <v>3289.7953350433272</v>
      </c>
      <c r="BV12" s="144"/>
      <c r="BW12" s="144"/>
      <c r="BX12" s="144"/>
      <c r="BY12" s="144"/>
      <c r="BZ12" s="144"/>
      <c r="CA12" s="144"/>
      <c r="CB12" s="144"/>
      <c r="CC12" s="144"/>
      <c r="CD12" s="144" t="s">
        <v>144</v>
      </c>
      <c r="CE12" s="144" t="s">
        <v>272</v>
      </c>
      <c r="CF12" s="144">
        <v>8647.5540593678325</v>
      </c>
      <c r="CG12" s="144"/>
      <c r="CH12" s="144"/>
      <c r="CI12" s="144" t="s">
        <v>115</v>
      </c>
      <c r="CJ12" s="144" t="s">
        <v>121</v>
      </c>
      <c r="CK12" s="144">
        <v>8528.1763056309464</v>
      </c>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row>
    <row r="13" spans="1:146" x14ac:dyDescent="0.3">
      <c r="A13" s="144"/>
      <c r="B13" s="144"/>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v>10</v>
      </c>
      <c r="AF13" s="144" t="s">
        <v>233</v>
      </c>
      <c r="AG13" s="144">
        <v>2.2353999999999998</v>
      </c>
      <c r="AH13" s="144"/>
      <c r="AI13" s="144"/>
      <c r="AJ13" s="144"/>
      <c r="AK13" s="144"/>
      <c r="AL13" s="144"/>
      <c r="AM13" s="144"/>
      <c r="AN13" s="144"/>
      <c r="AO13" s="144">
        <v>10</v>
      </c>
      <c r="AP13" s="144">
        <v>31416.19285547785</v>
      </c>
      <c r="AQ13" s="144"/>
      <c r="AR13" s="144"/>
      <c r="AS13" s="144"/>
      <c r="AT13" s="144">
        <v>10</v>
      </c>
      <c r="AU13" s="144" t="s">
        <v>86</v>
      </c>
      <c r="AV13" s="144">
        <v>13588.15696570517</v>
      </c>
      <c r="AW13" s="144"/>
      <c r="AX13" s="144"/>
      <c r="AY13" s="144"/>
      <c r="AZ13" s="144"/>
      <c r="BA13" s="144"/>
      <c r="BB13" s="144"/>
      <c r="BC13" s="144"/>
      <c r="BD13" s="144"/>
      <c r="BE13" s="144"/>
      <c r="BF13" s="144"/>
      <c r="BG13" s="144"/>
      <c r="BH13" s="144"/>
      <c r="BI13" s="144"/>
      <c r="BJ13" s="144"/>
      <c r="BK13" s="144"/>
      <c r="BL13" s="144"/>
      <c r="BM13" s="144"/>
      <c r="BN13" s="144" t="s">
        <v>144</v>
      </c>
      <c r="BO13" s="144" t="s">
        <v>273</v>
      </c>
      <c r="BP13" s="144">
        <v>7094.0510066631186</v>
      </c>
      <c r="BQ13" s="144"/>
      <c r="BR13" s="144"/>
      <c r="BS13" s="144" t="s">
        <v>187</v>
      </c>
      <c r="BT13" s="144" t="s">
        <v>119</v>
      </c>
      <c r="BU13" s="144">
        <v>63.910364145658257</v>
      </c>
      <c r="BV13" s="144"/>
      <c r="BW13" s="144"/>
      <c r="BX13" s="144"/>
      <c r="BY13" s="144"/>
      <c r="BZ13" s="144"/>
      <c r="CA13" s="144"/>
      <c r="CB13" s="144"/>
      <c r="CC13" s="144"/>
      <c r="CD13" s="144" t="s">
        <v>144</v>
      </c>
      <c r="CE13" s="144" t="s">
        <v>273</v>
      </c>
      <c r="CF13" s="144">
        <v>4675.2366830099281</v>
      </c>
      <c r="CG13" s="144"/>
      <c r="CH13" s="144"/>
      <c r="CI13" s="144" t="s">
        <v>187</v>
      </c>
      <c r="CJ13" s="144" t="s">
        <v>119</v>
      </c>
      <c r="CK13" s="144">
        <v>117.9444143248697</v>
      </c>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row>
    <row r="14" spans="1:146" x14ac:dyDescent="0.3">
      <c r="A14" s="144"/>
      <c r="B14" s="144"/>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v>11</v>
      </c>
      <c r="AF14" s="144" t="s">
        <v>231</v>
      </c>
      <c r="AG14" s="144">
        <v>3.2429999999999999</v>
      </c>
      <c r="AH14" s="144"/>
      <c r="AI14" s="144"/>
      <c r="AJ14" s="144"/>
      <c r="AK14" s="144"/>
      <c r="AL14" s="144"/>
      <c r="AM14" s="144"/>
      <c r="AN14" s="144"/>
      <c r="AO14" s="144">
        <v>11</v>
      </c>
      <c r="AP14" s="144">
        <v>7217.6335127823222</v>
      </c>
      <c r="AQ14" s="144"/>
      <c r="AR14" s="144"/>
      <c r="AS14" s="144"/>
      <c r="AT14" s="144">
        <v>11</v>
      </c>
      <c r="AU14" s="144" t="s">
        <v>88</v>
      </c>
      <c r="AV14" s="144">
        <v>2345.6488124277212</v>
      </c>
      <c r="AW14" s="144"/>
      <c r="AX14" s="144"/>
      <c r="AY14" s="144"/>
      <c r="AZ14" s="144"/>
      <c r="BA14" s="144"/>
      <c r="BB14" s="144"/>
      <c r="BC14" s="144"/>
      <c r="BD14" s="144"/>
      <c r="BE14" s="144"/>
      <c r="BF14" s="144"/>
      <c r="BG14" s="144"/>
      <c r="BH14" s="144"/>
      <c r="BI14" s="144"/>
      <c r="BJ14" s="144"/>
      <c r="BK14" s="144"/>
      <c r="BL14" s="144"/>
      <c r="BM14" s="144"/>
      <c r="BN14" s="144" t="s">
        <v>144</v>
      </c>
      <c r="BO14" s="144" t="s">
        <v>274</v>
      </c>
      <c r="BP14" s="144">
        <v>9013.2346893339454</v>
      </c>
      <c r="BQ14" s="144"/>
      <c r="BR14" s="144"/>
      <c r="BS14" s="144" t="s">
        <v>146</v>
      </c>
      <c r="BT14" s="144" t="s">
        <v>119</v>
      </c>
      <c r="BU14" s="144">
        <v>2059.8370567265811</v>
      </c>
      <c r="BV14" s="144"/>
      <c r="BW14" s="144"/>
      <c r="BX14" s="144"/>
      <c r="BY14" s="144"/>
      <c r="BZ14" s="144"/>
      <c r="CA14" s="144"/>
      <c r="CB14" s="144"/>
      <c r="CC14" s="144"/>
      <c r="CD14" s="144" t="s">
        <v>144</v>
      </c>
      <c r="CE14" s="144" t="s">
        <v>274</v>
      </c>
      <c r="CF14" s="144">
        <v>7181.1694800348914</v>
      </c>
      <c r="CG14" s="144"/>
      <c r="CH14" s="144"/>
      <c r="CI14" s="144" t="s">
        <v>146</v>
      </c>
      <c r="CJ14" s="144" t="s">
        <v>119</v>
      </c>
      <c r="CK14" s="144">
        <v>2433.521952802369</v>
      </c>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4"/>
      <c r="DH14" s="144"/>
      <c r="DI14" s="144"/>
      <c r="DJ14" s="144"/>
      <c r="DK14" s="144"/>
      <c r="DL14" s="144"/>
      <c r="DM14" s="144"/>
      <c r="DN14" s="144"/>
      <c r="DO14" s="144"/>
      <c r="DP14" s="144"/>
      <c r="DQ14" s="144"/>
      <c r="DR14" s="144"/>
      <c r="DS14" s="144"/>
      <c r="DT14" s="144"/>
      <c r="DU14" s="144"/>
      <c r="DV14" s="144"/>
      <c r="DW14" s="144"/>
      <c r="DX14" s="144"/>
      <c r="DY14" s="144"/>
      <c r="DZ14" s="144"/>
      <c r="EA14" s="144"/>
      <c r="EB14" s="144"/>
      <c r="EC14" s="144"/>
      <c r="ED14" s="144"/>
      <c r="EE14" s="144"/>
      <c r="EF14" s="144"/>
      <c r="EG14" s="144"/>
      <c r="EH14" s="144"/>
      <c r="EI14" s="144"/>
      <c r="EJ14" s="144"/>
      <c r="EK14" s="144"/>
      <c r="EL14" s="144"/>
      <c r="EM14" s="144"/>
      <c r="EN14" s="144"/>
      <c r="EO14" s="144"/>
      <c r="EP14" s="144"/>
    </row>
    <row r="15" spans="1:146" x14ac:dyDescent="0.3">
      <c r="A15" s="144"/>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v>12</v>
      </c>
      <c r="AU15" s="144" t="s">
        <v>90</v>
      </c>
      <c r="AV15" s="144">
        <v>5266.9487161484958</v>
      </c>
      <c r="AW15" s="144"/>
      <c r="AX15" s="144"/>
      <c r="AY15" s="144"/>
      <c r="AZ15" s="144"/>
      <c r="BA15" s="144"/>
      <c r="BB15" s="144"/>
      <c r="BC15" s="144"/>
      <c r="BD15" s="144"/>
      <c r="BE15" s="144"/>
      <c r="BF15" s="144"/>
      <c r="BG15" s="144"/>
      <c r="BH15" s="144"/>
      <c r="BI15" s="144"/>
      <c r="BJ15" s="144"/>
      <c r="BK15" s="144"/>
      <c r="BL15" s="144"/>
      <c r="BM15" s="144"/>
      <c r="BN15" s="144" t="s">
        <v>149</v>
      </c>
      <c r="BO15" s="144" t="s">
        <v>259</v>
      </c>
      <c r="BP15" s="144">
        <v>40.817395264116577</v>
      </c>
      <c r="BQ15" s="144"/>
      <c r="BR15" s="144"/>
      <c r="BS15" s="144" t="s">
        <v>146</v>
      </c>
      <c r="BT15" s="144" t="s">
        <v>120</v>
      </c>
      <c r="BU15" s="144">
        <v>915.66351953350056</v>
      </c>
      <c r="BV15" s="144"/>
      <c r="BW15" s="144"/>
      <c r="BX15" s="144"/>
      <c r="BY15" s="144"/>
      <c r="BZ15" s="144"/>
      <c r="CA15" s="144"/>
      <c r="CB15" s="144"/>
      <c r="CC15" s="144"/>
      <c r="CD15" s="144" t="s">
        <v>149</v>
      </c>
      <c r="CE15" s="144" t="s">
        <v>259</v>
      </c>
      <c r="CF15" s="144">
        <v>509.27840514302488</v>
      </c>
      <c r="CG15" s="144"/>
      <c r="CH15" s="144"/>
      <c r="CI15" s="144" t="s">
        <v>146</v>
      </c>
      <c r="CJ15" s="144" t="s">
        <v>120</v>
      </c>
      <c r="CK15" s="144">
        <v>1244.2640435176661</v>
      </c>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c r="EL15" s="144"/>
      <c r="EM15" s="144"/>
      <c r="EN15" s="144"/>
      <c r="EO15" s="144"/>
      <c r="EP15" s="144"/>
    </row>
    <row r="16" spans="1:146" x14ac:dyDescent="0.3">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v>13</v>
      </c>
      <c r="AU16" s="144" t="s">
        <v>92</v>
      </c>
      <c r="AV16" s="144">
        <v>33393.680881193242</v>
      </c>
      <c r="AW16" s="144"/>
      <c r="AX16" s="144"/>
      <c r="AY16" s="144"/>
      <c r="AZ16" s="144"/>
      <c r="BA16" s="144"/>
      <c r="BB16" s="144"/>
      <c r="BC16" s="144"/>
      <c r="BD16" s="144"/>
      <c r="BE16" s="144"/>
      <c r="BF16" s="144"/>
      <c r="BG16" s="144"/>
      <c r="BH16" s="144"/>
      <c r="BI16" s="144"/>
      <c r="BJ16" s="144"/>
      <c r="BK16" s="144"/>
      <c r="BL16" s="144"/>
      <c r="BM16" s="144"/>
      <c r="BN16" s="144" t="s">
        <v>149</v>
      </c>
      <c r="BO16" s="144" t="s">
        <v>262</v>
      </c>
      <c r="BP16" s="144">
        <v>2987.1091262337081</v>
      </c>
      <c r="BQ16" s="144"/>
      <c r="BR16" s="144"/>
      <c r="BS16" s="144"/>
      <c r="BT16" s="144"/>
      <c r="BU16" s="144"/>
      <c r="BV16" s="144"/>
      <c r="BW16" s="144"/>
      <c r="BX16" s="144"/>
      <c r="BY16" s="144"/>
      <c r="BZ16" s="144"/>
      <c r="CA16" s="144"/>
      <c r="CB16" s="144"/>
      <c r="CC16" s="144"/>
      <c r="CD16" s="144" t="s">
        <v>149</v>
      </c>
      <c r="CE16" s="144" t="s">
        <v>262</v>
      </c>
      <c r="CF16" s="144">
        <v>4529.2147168475722</v>
      </c>
      <c r="CG16" s="144"/>
      <c r="CH16" s="144"/>
      <c r="CI16" s="144" t="s">
        <v>146</v>
      </c>
      <c r="CJ16" s="144" t="s">
        <v>121</v>
      </c>
      <c r="CK16" s="144">
        <v>1370.3933077102599</v>
      </c>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c r="EC16" s="144"/>
      <c r="ED16" s="144"/>
      <c r="EE16" s="144"/>
      <c r="EF16" s="144"/>
      <c r="EG16" s="144"/>
      <c r="EH16" s="144"/>
      <c r="EI16" s="144"/>
      <c r="EJ16" s="144"/>
      <c r="EK16" s="144"/>
      <c r="EL16" s="144"/>
      <c r="EM16" s="144"/>
      <c r="EN16" s="144"/>
      <c r="EO16" s="144"/>
      <c r="EP16" s="144"/>
    </row>
    <row r="17" spans="46:84" x14ac:dyDescent="0.3">
      <c r="AT17" s="144">
        <v>14</v>
      </c>
      <c r="AU17" s="144" t="s">
        <v>94</v>
      </c>
      <c r="AV17" s="144">
        <v>3453.7903052652682</v>
      </c>
      <c r="AW17" s="144"/>
      <c r="AX17" s="144"/>
      <c r="AY17" s="144"/>
      <c r="AZ17" s="144"/>
      <c r="BA17" s="144"/>
      <c r="BB17" s="144"/>
      <c r="BC17" s="144"/>
      <c r="BD17" s="144"/>
      <c r="BE17" s="144"/>
      <c r="BF17" s="144"/>
      <c r="BG17" s="144"/>
      <c r="BH17" s="144"/>
      <c r="BI17" s="144"/>
      <c r="BJ17" s="144"/>
      <c r="BK17" s="144"/>
      <c r="BL17" s="144"/>
      <c r="BM17" s="144"/>
      <c r="BN17" s="144" t="s">
        <v>149</v>
      </c>
      <c r="BO17" s="144" t="s">
        <v>265</v>
      </c>
      <c r="BP17" s="144">
        <v>6838.759017593683</v>
      </c>
      <c r="BQ17" s="144"/>
      <c r="BR17" s="144"/>
      <c r="BS17" s="144"/>
      <c r="BT17" s="144"/>
      <c r="BU17" s="144"/>
      <c r="BV17" s="144"/>
      <c r="BW17" s="144"/>
      <c r="BX17" s="144"/>
      <c r="BY17" s="144"/>
      <c r="BZ17" s="144"/>
      <c r="CA17" s="144"/>
      <c r="CB17" s="144"/>
      <c r="CC17" s="144"/>
      <c r="CD17" s="144" t="s">
        <v>149</v>
      </c>
      <c r="CE17" s="144" t="s">
        <v>265</v>
      </c>
      <c r="CF17" s="144">
        <v>13693.710451852639</v>
      </c>
    </row>
    <row r="18" spans="46:84" x14ac:dyDescent="0.3">
      <c r="AT18" s="144">
        <v>15</v>
      </c>
      <c r="AU18" s="144" t="s">
        <v>96</v>
      </c>
      <c r="AV18" s="144">
        <v>13542.889225974521</v>
      </c>
      <c r="AW18" s="144"/>
      <c r="AX18" s="144"/>
      <c r="AY18" s="144"/>
      <c r="AZ18" s="144"/>
      <c r="BA18" s="144"/>
      <c r="BB18" s="144"/>
      <c r="BC18" s="144"/>
      <c r="BD18" s="144"/>
      <c r="BE18" s="144"/>
      <c r="BF18" s="144"/>
      <c r="BG18" s="144"/>
      <c r="BH18" s="144"/>
      <c r="BI18" s="144"/>
      <c r="BJ18" s="144"/>
      <c r="BK18" s="144"/>
      <c r="BL18" s="144"/>
      <c r="BM18" s="144"/>
      <c r="BN18" s="144" t="s">
        <v>149</v>
      </c>
      <c r="BO18" s="144" t="s">
        <v>267</v>
      </c>
      <c r="BP18" s="144">
        <v>43.768742487980759</v>
      </c>
      <c r="BQ18" s="144"/>
      <c r="BR18" s="144"/>
      <c r="BS18" s="144"/>
      <c r="BT18" s="144"/>
      <c r="BU18" s="144"/>
      <c r="BV18" s="144"/>
      <c r="BW18" s="144"/>
      <c r="BX18" s="144"/>
      <c r="BY18" s="144"/>
      <c r="BZ18" s="144"/>
      <c r="CA18" s="144"/>
      <c r="CB18" s="144"/>
      <c r="CC18" s="144"/>
      <c r="CD18" s="144" t="s">
        <v>149</v>
      </c>
      <c r="CE18" s="144" t="s">
        <v>267</v>
      </c>
      <c r="CF18" s="144">
        <v>1555.96397322651</v>
      </c>
    </row>
    <row r="19" spans="46:84" x14ac:dyDescent="0.3">
      <c r="AT19" s="144">
        <v>16</v>
      </c>
      <c r="AU19" s="144" t="s">
        <v>98</v>
      </c>
      <c r="AV19" s="144">
        <v>50408.813324747847</v>
      </c>
      <c r="AW19" s="144"/>
      <c r="AX19" s="144"/>
      <c r="AY19" s="144"/>
      <c r="AZ19" s="144"/>
      <c r="BA19" s="144"/>
      <c r="BB19" s="144"/>
      <c r="BC19" s="144"/>
      <c r="BD19" s="144"/>
      <c r="BE19" s="144"/>
      <c r="BF19" s="144"/>
      <c r="BG19" s="144"/>
      <c r="BH19" s="144"/>
      <c r="BI19" s="144"/>
      <c r="BJ19" s="144"/>
      <c r="BK19" s="144"/>
      <c r="BL19" s="144"/>
      <c r="BM19" s="144"/>
      <c r="BN19" s="144" t="s">
        <v>149</v>
      </c>
      <c r="BO19" s="144" t="s">
        <v>268</v>
      </c>
      <c r="BP19" s="144">
        <v>4481.0801146891599</v>
      </c>
      <c r="BQ19" s="144"/>
      <c r="BR19" s="144"/>
      <c r="BS19" s="144"/>
      <c r="BT19" s="144"/>
      <c r="BU19" s="144"/>
      <c r="BV19" s="144"/>
      <c r="BW19" s="144"/>
      <c r="BX19" s="144"/>
      <c r="BY19" s="144"/>
      <c r="BZ19" s="144"/>
      <c r="CA19" s="144"/>
      <c r="CB19" s="144"/>
      <c r="CC19" s="144"/>
      <c r="CD19" s="144" t="s">
        <v>149</v>
      </c>
      <c r="CE19" s="144" t="s">
        <v>268</v>
      </c>
      <c r="CF19" s="144">
        <v>8680.6641966412662</v>
      </c>
    </row>
    <row r="20" spans="46:84" x14ac:dyDescent="0.3">
      <c r="AT20" s="144">
        <v>17</v>
      </c>
      <c r="AU20" s="144" t="s">
        <v>100</v>
      </c>
      <c r="AV20" s="144">
        <v>6362.4266656208747</v>
      </c>
      <c r="AW20" s="144"/>
      <c r="AX20" s="144"/>
      <c r="AY20" s="144"/>
      <c r="AZ20" s="144"/>
      <c r="BA20" s="144"/>
      <c r="BB20" s="144"/>
      <c r="BC20" s="144"/>
      <c r="BD20" s="144"/>
      <c r="BE20" s="144"/>
      <c r="BF20" s="144"/>
      <c r="BG20" s="144"/>
      <c r="BH20" s="144"/>
      <c r="BI20" s="144"/>
      <c r="BJ20" s="144"/>
      <c r="BK20" s="144"/>
      <c r="BL20" s="144"/>
      <c r="BM20" s="144"/>
      <c r="BN20" s="144" t="s">
        <v>149</v>
      </c>
      <c r="BO20" s="144" t="s">
        <v>269</v>
      </c>
      <c r="BP20" s="144">
        <v>824.00086287313422</v>
      </c>
      <c r="BQ20" s="144"/>
      <c r="BR20" s="144"/>
      <c r="BS20" s="144"/>
      <c r="BT20" s="144"/>
      <c r="BU20" s="144"/>
      <c r="BV20" s="144"/>
      <c r="BW20" s="144"/>
      <c r="BX20" s="144"/>
      <c r="BY20" s="144"/>
      <c r="BZ20" s="144"/>
      <c r="CA20" s="144"/>
      <c r="CB20" s="144"/>
      <c r="CC20" s="144"/>
      <c r="CD20" s="144" t="s">
        <v>149</v>
      </c>
      <c r="CE20" s="144" t="s">
        <v>269</v>
      </c>
      <c r="CF20" s="144">
        <v>745.64158781982928</v>
      </c>
    </row>
    <row r="21" spans="46:84" x14ac:dyDescent="0.3">
      <c r="AT21" s="144">
        <v>18</v>
      </c>
      <c r="AU21" s="144" t="s">
        <v>102</v>
      </c>
      <c r="AV21" s="144">
        <v>23152.813419829141</v>
      </c>
      <c r="AW21" s="144"/>
      <c r="AX21" s="144"/>
      <c r="AY21" s="144"/>
      <c r="AZ21" s="144"/>
      <c r="BA21" s="144"/>
      <c r="BB21" s="144"/>
      <c r="BC21" s="144"/>
      <c r="BD21" s="144"/>
      <c r="BE21" s="144"/>
      <c r="BF21" s="144"/>
      <c r="BG21" s="144"/>
      <c r="BH21" s="144"/>
      <c r="BI21" s="144"/>
      <c r="BJ21" s="144"/>
      <c r="BK21" s="144"/>
      <c r="BL21" s="144"/>
      <c r="BM21" s="144"/>
      <c r="BN21" s="144" t="s">
        <v>149</v>
      </c>
      <c r="BO21" s="144" t="s">
        <v>270</v>
      </c>
      <c r="BP21" s="144">
        <v>1269.867853938483</v>
      </c>
      <c r="BQ21" s="144"/>
      <c r="BR21" s="144"/>
      <c r="BS21" s="144"/>
      <c r="BT21" s="144"/>
      <c r="BU21" s="144"/>
      <c r="BV21" s="144"/>
      <c r="BW21" s="144"/>
      <c r="BX21" s="144"/>
      <c r="BY21" s="144"/>
      <c r="BZ21" s="144"/>
      <c r="CA21" s="144"/>
      <c r="CB21" s="144"/>
      <c r="CC21" s="144"/>
      <c r="CD21" s="144" t="s">
        <v>149</v>
      </c>
      <c r="CE21" s="144" t="s">
        <v>270</v>
      </c>
      <c r="CF21" s="144">
        <v>4811.2312406884657</v>
      </c>
    </row>
    <row r="22" spans="46:84" x14ac:dyDescent="0.3">
      <c r="AT22" s="144">
        <v>19</v>
      </c>
      <c r="AU22" s="144" t="s">
        <v>104</v>
      </c>
      <c r="AV22" s="144">
        <v>15970.5251253076</v>
      </c>
      <c r="AW22" s="144"/>
      <c r="AX22" s="144"/>
      <c r="AY22" s="144"/>
      <c r="AZ22" s="144"/>
      <c r="BA22" s="144"/>
      <c r="BB22" s="144"/>
      <c r="BC22" s="144"/>
      <c r="BD22" s="144"/>
      <c r="BE22" s="144"/>
      <c r="BF22" s="144"/>
      <c r="BG22" s="144"/>
      <c r="BH22" s="144"/>
      <c r="BI22" s="144"/>
      <c r="BJ22" s="144"/>
      <c r="BK22" s="144"/>
      <c r="BL22" s="144"/>
      <c r="BM22" s="144"/>
      <c r="BN22" s="144" t="s">
        <v>149</v>
      </c>
      <c r="BO22" s="144" t="s">
        <v>271</v>
      </c>
      <c r="BP22" s="144">
        <v>2513.4594037869902</v>
      </c>
      <c r="BQ22" s="144"/>
      <c r="BR22" s="144"/>
      <c r="BS22" s="144"/>
      <c r="BT22" s="144"/>
      <c r="BU22" s="144"/>
      <c r="BV22" s="144"/>
      <c r="BW22" s="144"/>
      <c r="BX22" s="144"/>
      <c r="BY22" s="144"/>
      <c r="BZ22" s="144"/>
      <c r="CA22" s="144"/>
      <c r="CB22" s="144"/>
      <c r="CC22" s="144"/>
      <c r="CD22" s="144" t="s">
        <v>149</v>
      </c>
      <c r="CE22" s="144" t="s">
        <v>271</v>
      </c>
      <c r="CF22" s="144">
        <v>10707.83284042517</v>
      </c>
    </row>
    <row r="23" spans="46:84" x14ac:dyDescent="0.3">
      <c r="AT23" s="144">
        <v>20</v>
      </c>
      <c r="AU23" s="144" t="s">
        <v>106</v>
      </c>
      <c r="AV23" s="144">
        <v>593.98680365360974</v>
      </c>
      <c r="AW23" s="144"/>
      <c r="AX23" s="144"/>
      <c r="AY23" s="144"/>
      <c r="AZ23" s="144"/>
      <c r="BA23" s="144"/>
      <c r="BB23" s="144"/>
      <c r="BC23" s="144"/>
      <c r="BD23" s="144"/>
      <c r="BE23" s="144"/>
      <c r="BF23" s="144"/>
      <c r="BG23" s="144"/>
      <c r="BH23" s="144"/>
      <c r="BI23" s="144"/>
      <c r="BJ23" s="144"/>
      <c r="BK23" s="144"/>
      <c r="BL23" s="144"/>
      <c r="BM23" s="144"/>
      <c r="BN23" s="144" t="s">
        <v>149</v>
      </c>
      <c r="BO23" s="144" t="s">
        <v>272</v>
      </c>
      <c r="BP23" s="144">
        <v>148.7688656858092</v>
      </c>
      <c r="BQ23" s="144"/>
      <c r="BR23" s="144"/>
      <c r="BS23" s="144"/>
      <c r="BT23" s="144"/>
      <c r="BU23" s="144"/>
      <c r="BV23" s="144"/>
      <c r="BW23" s="144"/>
      <c r="BX23" s="144"/>
      <c r="BY23" s="144"/>
      <c r="BZ23" s="144"/>
      <c r="CA23" s="144"/>
      <c r="CB23" s="144"/>
      <c r="CC23" s="144"/>
      <c r="CD23" s="144" t="s">
        <v>149</v>
      </c>
      <c r="CE23" s="144" t="s">
        <v>272</v>
      </c>
      <c r="CF23" s="144">
        <v>869.1906080882336</v>
      </c>
    </row>
    <row r="24" spans="46:84" x14ac:dyDescent="0.3">
      <c r="AT24" s="144">
        <v>21</v>
      </c>
      <c r="AU24" s="144" t="s">
        <v>108</v>
      </c>
      <c r="AV24" s="144">
        <v>3535.0977749027702</v>
      </c>
      <c r="AW24" s="144"/>
      <c r="AX24" s="144"/>
      <c r="AY24" s="144"/>
      <c r="AZ24" s="144"/>
      <c r="BA24" s="144"/>
      <c r="BB24" s="144"/>
      <c r="BC24" s="144"/>
      <c r="BD24" s="144"/>
      <c r="BE24" s="144"/>
      <c r="BF24" s="144"/>
      <c r="BG24" s="144"/>
      <c r="BH24" s="144"/>
      <c r="BI24" s="144"/>
      <c r="BJ24" s="144"/>
      <c r="BK24" s="144"/>
      <c r="BL24" s="144"/>
      <c r="BM24" s="144"/>
      <c r="BN24" s="144" t="s">
        <v>149</v>
      </c>
      <c r="BO24" s="144" t="s">
        <v>273</v>
      </c>
      <c r="BP24" s="144">
        <v>1213.686232586612</v>
      </c>
      <c r="BQ24" s="144"/>
      <c r="BR24" s="144"/>
      <c r="BS24" s="144"/>
      <c r="BT24" s="144"/>
      <c r="BU24" s="144"/>
      <c r="BV24" s="144"/>
      <c r="BW24" s="144"/>
      <c r="BX24" s="144"/>
      <c r="BY24" s="144"/>
      <c r="BZ24" s="144"/>
      <c r="CA24" s="144"/>
      <c r="CB24" s="144"/>
      <c r="CC24" s="144"/>
      <c r="CD24" s="144" t="s">
        <v>149</v>
      </c>
      <c r="CE24" s="144" t="s">
        <v>273</v>
      </c>
      <c r="CF24" s="144">
        <v>1431.6089899875481</v>
      </c>
    </row>
    <row r="25" spans="46:84" x14ac:dyDescent="0.3">
      <c r="AT25" s="144"/>
      <c r="AU25" s="144"/>
      <c r="AV25" s="144"/>
      <c r="AW25" s="144"/>
      <c r="AX25" s="144"/>
      <c r="AY25" s="144"/>
      <c r="AZ25" s="144"/>
      <c r="BA25" s="144"/>
      <c r="BB25" s="144"/>
      <c r="BC25" s="144"/>
      <c r="BD25" s="144"/>
      <c r="BE25" s="144"/>
      <c r="BF25" s="144"/>
      <c r="BG25" s="144"/>
      <c r="BH25" s="144"/>
      <c r="BI25" s="144"/>
      <c r="BJ25" s="144"/>
      <c r="BK25" s="144"/>
      <c r="BL25" s="144"/>
      <c r="BM25" s="144"/>
      <c r="BN25" s="144" t="s">
        <v>149</v>
      </c>
      <c r="BO25" s="144" t="s">
        <v>274</v>
      </c>
      <c r="BP25" s="144">
        <v>787.76379446590045</v>
      </c>
      <c r="BQ25" s="144"/>
      <c r="BR25" s="144"/>
      <c r="BS25" s="144"/>
      <c r="BT25" s="144"/>
      <c r="BU25" s="144"/>
      <c r="BV25" s="144"/>
      <c r="BW25" s="144"/>
      <c r="BX25" s="144"/>
      <c r="BY25" s="144"/>
      <c r="BZ25" s="144"/>
      <c r="CA25" s="144"/>
      <c r="CB25" s="144"/>
      <c r="CC25" s="144"/>
      <c r="CD25" s="144" t="s">
        <v>149</v>
      </c>
      <c r="CE25" s="144" t="s">
        <v>274</v>
      </c>
      <c r="CF25" s="144">
        <v>1509.212160086292</v>
      </c>
    </row>
    <row r="26" spans="46:84" x14ac:dyDescent="0.3">
      <c r="AT26" s="144"/>
      <c r="AU26" s="144"/>
      <c r="AV26" s="144"/>
      <c r="AW26" s="144"/>
      <c r="AX26" s="144"/>
      <c r="AY26" s="144"/>
      <c r="AZ26" s="144"/>
      <c r="BA26" s="144"/>
      <c r="BB26" s="144"/>
      <c r="BC26" s="144"/>
      <c r="BD26" s="144"/>
      <c r="BE26" s="144"/>
      <c r="BF26" s="144"/>
      <c r="BG26" s="144"/>
      <c r="BH26" s="144"/>
      <c r="BI26" s="144"/>
      <c r="BJ26" s="144"/>
      <c r="BK26" s="144"/>
      <c r="BL26" s="144"/>
      <c r="BM26" s="144"/>
      <c r="BN26" s="144" t="s">
        <v>115</v>
      </c>
      <c r="BO26" s="144" t="s">
        <v>259</v>
      </c>
      <c r="BP26" s="144">
        <v>68.906876138433518</v>
      </c>
      <c r="BQ26" s="144"/>
      <c r="BR26" s="144"/>
      <c r="BS26" s="144"/>
      <c r="BT26" s="144"/>
      <c r="BU26" s="144"/>
      <c r="BV26" s="144"/>
      <c r="BW26" s="144"/>
      <c r="BX26" s="144"/>
      <c r="BY26" s="144"/>
      <c r="BZ26" s="144"/>
      <c r="CA26" s="144"/>
      <c r="CB26" s="144"/>
      <c r="CC26" s="144"/>
      <c r="CD26" s="144" t="s">
        <v>115</v>
      </c>
      <c r="CE26" s="144" t="s">
        <v>259</v>
      </c>
      <c r="CF26" s="144">
        <v>98.983151183970861</v>
      </c>
    </row>
    <row r="27" spans="46:84" x14ac:dyDescent="0.3">
      <c r="AT27" s="144"/>
      <c r="AU27" s="144"/>
      <c r="AV27" s="144"/>
      <c r="AW27" s="144"/>
      <c r="AX27" s="144"/>
      <c r="AY27" s="144"/>
      <c r="AZ27" s="144"/>
      <c r="BA27" s="144"/>
      <c r="BB27" s="144"/>
      <c r="BC27" s="144"/>
      <c r="BD27" s="144"/>
      <c r="BE27" s="144"/>
      <c r="BF27" s="144"/>
      <c r="BG27" s="144"/>
      <c r="BH27" s="144"/>
      <c r="BI27" s="144"/>
      <c r="BJ27" s="144"/>
      <c r="BK27" s="144"/>
      <c r="BL27" s="144"/>
      <c r="BM27" s="144"/>
      <c r="BN27" s="144" t="s">
        <v>115</v>
      </c>
      <c r="BO27" s="144" t="s">
        <v>262</v>
      </c>
      <c r="BP27" s="144">
        <v>2795.340145563961</v>
      </c>
      <c r="BQ27" s="144"/>
      <c r="BR27" s="144"/>
      <c r="BS27" s="144"/>
      <c r="BT27" s="144"/>
      <c r="BU27" s="144"/>
      <c r="BV27" s="144"/>
      <c r="BW27" s="144"/>
      <c r="BX27" s="144"/>
      <c r="BY27" s="144"/>
      <c r="BZ27" s="144"/>
      <c r="CA27" s="144"/>
      <c r="CB27" s="144"/>
      <c r="CC27" s="144"/>
      <c r="CD27" s="144" t="s">
        <v>115</v>
      </c>
      <c r="CE27" s="144" t="s">
        <v>262</v>
      </c>
      <c r="CF27" s="144">
        <v>8990.1636075932929</v>
      </c>
    </row>
    <row r="28" spans="46:84" x14ac:dyDescent="0.3">
      <c r="AT28" s="144"/>
      <c r="AU28" s="144"/>
      <c r="AV28" s="144"/>
      <c r="AW28" s="144"/>
      <c r="AX28" s="144"/>
      <c r="AY28" s="144"/>
      <c r="AZ28" s="144"/>
      <c r="BA28" s="144"/>
      <c r="BB28" s="144"/>
      <c r="BC28" s="144"/>
      <c r="BD28" s="144"/>
      <c r="BE28" s="144"/>
      <c r="BF28" s="144"/>
      <c r="BG28" s="144"/>
      <c r="BH28" s="144"/>
      <c r="BI28" s="144"/>
      <c r="BJ28" s="144"/>
      <c r="BK28" s="144"/>
      <c r="BL28" s="144"/>
      <c r="BM28" s="144"/>
      <c r="BN28" s="144" t="s">
        <v>115</v>
      </c>
      <c r="BO28" s="144" t="s">
        <v>265</v>
      </c>
      <c r="BP28" s="144">
        <v>3925.0507415031361</v>
      </c>
      <c r="BQ28" s="144"/>
      <c r="BR28" s="144"/>
      <c r="BS28" s="144"/>
      <c r="BT28" s="144"/>
      <c r="BU28" s="144"/>
      <c r="BV28" s="144"/>
      <c r="BW28" s="144"/>
      <c r="BX28" s="144"/>
      <c r="BY28" s="144"/>
      <c r="BZ28" s="144"/>
      <c r="CA28" s="144"/>
      <c r="CB28" s="144"/>
      <c r="CC28" s="144"/>
      <c r="CD28" s="144" t="s">
        <v>115</v>
      </c>
      <c r="CE28" s="144" t="s">
        <v>265</v>
      </c>
      <c r="CF28" s="144">
        <v>8736.8637324359006</v>
      </c>
    </row>
    <row r="29" spans="46:84" x14ac:dyDescent="0.3">
      <c r="AT29" s="144"/>
      <c r="AU29" s="144"/>
      <c r="AV29" s="144"/>
      <c r="AW29" s="144"/>
      <c r="AX29" s="144"/>
      <c r="AY29" s="144"/>
      <c r="AZ29" s="144"/>
      <c r="BA29" s="144"/>
      <c r="BB29" s="144"/>
      <c r="BC29" s="144"/>
      <c r="BD29" s="144"/>
      <c r="BE29" s="144"/>
      <c r="BF29" s="144"/>
      <c r="BG29" s="144"/>
      <c r="BH29" s="144"/>
      <c r="BI29" s="144"/>
      <c r="BJ29" s="144"/>
      <c r="BK29" s="144"/>
      <c r="BL29" s="144"/>
      <c r="BM29" s="144"/>
      <c r="BN29" s="144" t="s">
        <v>115</v>
      </c>
      <c r="BO29" s="144" t="s">
        <v>267</v>
      </c>
      <c r="BP29" s="144">
        <v>414.90448802317411</v>
      </c>
      <c r="BQ29" s="144"/>
      <c r="BR29" s="144"/>
      <c r="BS29" s="144"/>
      <c r="BT29" s="144"/>
      <c r="BU29" s="144"/>
      <c r="BV29" s="144"/>
      <c r="BW29" s="144"/>
      <c r="BX29" s="144"/>
      <c r="BY29" s="144"/>
      <c r="BZ29" s="144"/>
      <c r="CA29" s="144"/>
      <c r="CB29" s="144"/>
      <c r="CC29" s="144"/>
      <c r="CD29" s="144" t="s">
        <v>115</v>
      </c>
      <c r="CE29" s="144" t="s">
        <v>267</v>
      </c>
      <c r="CF29" s="144">
        <v>262.23072666266017</v>
      </c>
    </row>
    <row r="30" spans="46:84" x14ac:dyDescent="0.3">
      <c r="AT30" s="144"/>
      <c r="AU30" s="144"/>
      <c r="AV30" s="144"/>
      <c r="AW30" s="144"/>
      <c r="AX30" s="144"/>
      <c r="AY30" s="144"/>
      <c r="AZ30" s="144"/>
      <c r="BA30" s="144"/>
      <c r="BB30" s="144"/>
      <c r="BC30" s="144"/>
      <c r="BD30" s="144"/>
      <c r="BE30" s="144"/>
      <c r="BF30" s="144"/>
      <c r="BG30" s="144"/>
      <c r="BH30" s="144"/>
      <c r="BI30" s="144"/>
      <c r="BJ30" s="144"/>
      <c r="BK30" s="144"/>
      <c r="BL30" s="144"/>
      <c r="BM30" s="144"/>
      <c r="BN30" s="144" t="s">
        <v>115</v>
      </c>
      <c r="BO30" s="144" t="s">
        <v>268</v>
      </c>
      <c r="BP30" s="144">
        <v>6933.4656910478643</v>
      </c>
      <c r="BQ30" s="144"/>
      <c r="BR30" s="144"/>
      <c r="BS30" s="144"/>
      <c r="BT30" s="144"/>
      <c r="BU30" s="144"/>
      <c r="BV30" s="144"/>
      <c r="BW30" s="144"/>
      <c r="BX30" s="144"/>
      <c r="BY30" s="144"/>
      <c r="BZ30" s="144"/>
      <c r="CA30" s="144"/>
      <c r="CB30" s="144"/>
      <c r="CC30" s="144"/>
      <c r="CD30" s="144" t="s">
        <v>115</v>
      </c>
      <c r="CE30" s="144" t="s">
        <v>268</v>
      </c>
      <c r="CF30" s="144">
        <v>11116.80812682758</v>
      </c>
    </row>
    <row r="31" spans="46:84" x14ac:dyDescent="0.3">
      <c r="AT31" s="144"/>
      <c r="AU31" s="144"/>
      <c r="AV31" s="144"/>
      <c r="AW31" s="144"/>
      <c r="AX31" s="144"/>
      <c r="AY31" s="144"/>
      <c r="AZ31" s="144"/>
      <c r="BA31" s="144"/>
      <c r="BB31" s="144"/>
      <c r="BC31" s="144"/>
      <c r="BD31" s="144"/>
      <c r="BE31" s="144"/>
      <c r="BF31" s="144"/>
      <c r="BG31" s="144"/>
      <c r="BH31" s="144"/>
      <c r="BI31" s="144"/>
      <c r="BJ31" s="144"/>
      <c r="BK31" s="144"/>
      <c r="BL31" s="144"/>
      <c r="BM31" s="144"/>
      <c r="BN31" s="144" t="s">
        <v>115</v>
      </c>
      <c r="BO31" s="144" t="s">
        <v>269</v>
      </c>
      <c r="BP31" s="144">
        <v>588.92303771321963</v>
      </c>
      <c r="BQ31" s="144"/>
      <c r="BR31" s="144"/>
      <c r="BS31" s="144"/>
      <c r="BT31" s="144"/>
      <c r="BU31" s="144"/>
      <c r="BV31" s="144"/>
      <c r="BW31" s="144"/>
      <c r="BX31" s="144"/>
      <c r="BY31" s="144"/>
      <c r="BZ31" s="144"/>
      <c r="CA31" s="144"/>
      <c r="CB31" s="144"/>
      <c r="CC31" s="144"/>
      <c r="CD31" s="144" t="s">
        <v>115</v>
      </c>
      <c r="CE31" s="144" t="s">
        <v>269</v>
      </c>
      <c r="CF31" s="144">
        <v>1785.744694496268</v>
      </c>
    </row>
    <row r="32" spans="46:84" x14ac:dyDescent="0.3">
      <c r="AT32" s="144"/>
      <c r="AU32" s="144"/>
      <c r="AV32" s="144"/>
      <c r="AW32" s="144"/>
      <c r="AX32" s="144"/>
      <c r="AY32" s="144"/>
      <c r="AZ32" s="144"/>
      <c r="BA32" s="144"/>
      <c r="BB32" s="144"/>
      <c r="BC32" s="144"/>
      <c r="BD32" s="144"/>
      <c r="BE32" s="144"/>
      <c r="BF32" s="144"/>
      <c r="BG32" s="144"/>
      <c r="BH32" s="144"/>
      <c r="BI32" s="144"/>
      <c r="BJ32" s="144"/>
      <c r="BK32" s="144"/>
      <c r="BL32" s="144"/>
      <c r="BM32" s="144"/>
      <c r="BN32" s="144" t="s">
        <v>115</v>
      </c>
      <c r="BO32" s="144" t="s">
        <v>270</v>
      </c>
      <c r="BP32" s="144">
        <v>556.7755245267507</v>
      </c>
      <c r="BQ32" s="144"/>
      <c r="BR32" s="144"/>
      <c r="BS32" s="144"/>
      <c r="BT32" s="144"/>
      <c r="BU32" s="144"/>
      <c r="BV32" s="144"/>
      <c r="BW32" s="144"/>
      <c r="BX32" s="144"/>
      <c r="BY32" s="144"/>
      <c r="BZ32" s="144"/>
      <c r="CA32" s="144"/>
      <c r="CB32" s="144"/>
      <c r="CC32" s="144"/>
      <c r="CD32" s="144" t="s">
        <v>115</v>
      </c>
      <c r="CE32" s="144" t="s">
        <v>270</v>
      </c>
      <c r="CF32" s="144">
        <v>1405.0623716153129</v>
      </c>
    </row>
    <row r="33" spans="66:84" x14ac:dyDescent="0.3">
      <c r="BN33" s="144" t="s">
        <v>115</v>
      </c>
      <c r="BO33" s="144" t="s">
        <v>271</v>
      </c>
      <c r="BP33" s="144">
        <v>1456.608463099645</v>
      </c>
      <c r="BQ33" s="144"/>
      <c r="BR33" s="144"/>
      <c r="BS33" s="144"/>
      <c r="BT33" s="144"/>
      <c r="BU33" s="144"/>
      <c r="BV33" s="144"/>
      <c r="BW33" s="144"/>
      <c r="BX33" s="144"/>
      <c r="BY33" s="144"/>
      <c r="BZ33" s="144"/>
      <c r="CA33" s="144"/>
      <c r="CB33" s="144"/>
      <c r="CC33" s="144"/>
      <c r="CD33" s="144" t="s">
        <v>115</v>
      </c>
      <c r="CE33" s="144" t="s">
        <v>271</v>
      </c>
      <c r="CF33" s="144">
        <v>5697.0307201871537</v>
      </c>
    </row>
    <row r="34" spans="66:84" x14ac:dyDescent="0.3">
      <c r="BN34" s="144" t="s">
        <v>115</v>
      </c>
      <c r="BO34" s="144" t="s">
        <v>272</v>
      </c>
      <c r="BP34" s="144">
        <v>1365.3789563481091</v>
      </c>
      <c r="BQ34" s="144"/>
      <c r="BR34" s="144"/>
      <c r="BS34" s="144"/>
      <c r="BT34" s="144"/>
      <c r="BU34" s="144"/>
      <c r="BV34" s="144"/>
      <c r="BW34" s="144"/>
      <c r="BX34" s="144"/>
      <c r="BY34" s="144"/>
      <c r="BZ34" s="144"/>
      <c r="CA34" s="144"/>
      <c r="CB34" s="144"/>
      <c r="CC34" s="144"/>
      <c r="CD34" s="144" t="s">
        <v>115</v>
      </c>
      <c r="CE34" s="144" t="s">
        <v>272</v>
      </c>
      <c r="CF34" s="144">
        <v>2557.22320878652</v>
      </c>
    </row>
    <row r="35" spans="66:84" x14ac:dyDescent="0.3">
      <c r="BN35" s="144" t="s">
        <v>115</v>
      </c>
      <c r="BO35" s="144" t="s">
        <v>273</v>
      </c>
      <c r="BP35" s="144">
        <v>294.24541630724428</v>
      </c>
      <c r="BQ35" s="144"/>
      <c r="BR35" s="144"/>
      <c r="BS35" s="144"/>
      <c r="BT35" s="144"/>
      <c r="BU35" s="144"/>
      <c r="BV35" s="144"/>
      <c r="BW35" s="144"/>
      <c r="BX35" s="144"/>
      <c r="BY35" s="144"/>
      <c r="BZ35" s="144"/>
      <c r="CA35" s="144"/>
      <c r="CB35" s="144"/>
      <c r="CC35" s="144"/>
      <c r="CD35" s="144" t="s">
        <v>115</v>
      </c>
      <c r="CE35" s="144" t="s">
        <v>273</v>
      </c>
      <c r="CF35" s="144">
        <v>1809.468495377097</v>
      </c>
    </row>
    <row r="36" spans="66:84" x14ac:dyDescent="0.3">
      <c r="BN36" s="144" t="s">
        <v>115</v>
      </c>
      <c r="BO36" s="144" t="s">
        <v>274</v>
      </c>
      <c r="BP36" s="144">
        <v>412.86596926372738</v>
      </c>
      <c r="BQ36" s="144"/>
      <c r="BR36" s="144"/>
      <c r="BS36" s="144"/>
      <c r="BT36" s="144"/>
      <c r="BU36" s="144"/>
      <c r="BV36" s="144"/>
      <c r="BW36" s="144"/>
      <c r="BX36" s="144"/>
      <c r="BY36" s="144"/>
      <c r="BZ36" s="144"/>
      <c r="CA36" s="144"/>
      <c r="CB36" s="144"/>
      <c r="CC36" s="144"/>
      <c r="CD36" s="144" t="s">
        <v>115</v>
      </c>
      <c r="CE36" s="144" t="s">
        <v>274</v>
      </c>
      <c r="CF36" s="144">
        <v>1467.587757729892</v>
      </c>
    </row>
    <row r="37" spans="66:84" x14ac:dyDescent="0.3">
      <c r="BN37" s="144" t="s">
        <v>187</v>
      </c>
      <c r="BO37" s="144" t="s">
        <v>273</v>
      </c>
      <c r="BP37" s="144">
        <v>63.910364145658257</v>
      </c>
      <c r="BQ37" s="144"/>
      <c r="BR37" s="144"/>
      <c r="BS37" s="144"/>
      <c r="BT37" s="144"/>
      <c r="BU37" s="144"/>
      <c r="BV37" s="144"/>
      <c r="BW37" s="144"/>
      <c r="BX37" s="144"/>
      <c r="BY37" s="144"/>
      <c r="BZ37" s="144"/>
      <c r="CA37" s="144"/>
      <c r="CB37" s="144"/>
      <c r="CC37" s="144"/>
      <c r="CD37" s="144" t="s">
        <v>187</v>
      </c>
      <c r="CE37" s="144" t="s">
        <v>273</v>
      </c>
      <c r="CF37" s="144">
        <v>117.9444143248697</v>
      </c>
    </row>
    <row r="38" spans="66:84" x14ac:dyDescent="0.3">
      <c r="BN38" s="144" t="s">
        <v>146</v>
      </c>
      <c r="BO38" s="144" t="s">
        <v>262</v>
      </c>
      <c r="BP38" s="144">
        <v>1641.671267220293</v>
      </c>
      <c r="BQ38" s="144"/>
      <c r="BR38" s="144"/>
      <c r="BS38" s="144"/>
      <c r="BT38" s="144"/>
      <c r="BU38" s="144"/>
      <c r="BV38" s="144"/>
      <c r="BW38" s="144"/>
      <c r="BX38" s="144"/>
      <c r="BY38" s="144"/>
      <c r="BZ38" s="144"/>
      <c r="CA38" s="144"/>
      <c r="CB38" s="144"/>
      <c r="CC38" s="144"/>
      <c r="CD38" s="144" t="s">
        <v>146</v>
      </c>
      <c r="CE38" s="144" t="s">
        <v>259</v>
      </c>
      <c r="CF38" s="144">
        <v>12.967213114754101</v>
      </c>
    </row>
    <row r="39" spans="66:84" x14ac:dyDescent="0.3">
      <c r="BN39" s="144" t="s">
        <v>146</v>
      </c>
      <c r="BO39" s="144" t="s">
        <v>265</v>
      </c>
      <c r="BP39" s="144">
        <v>480.23029197080302</v>
      </c>
      <c r="BQ39" s="144"/>
      <c r="BR39" s="144"/>
      <c r="BS39" s="144"/>
      <c r="BT39" s="144"/>
      <c r="BU39" s="144"/>
      <c r="BV39" s="144"/>
      <c r="BW39" s="144"/>
      <c r="BX39" s="144"/>
      <c r="BY39" s="144"/>
      <c r="BZ39" s="144"/>
      <c r="CA39" s="144"/>
      <c r="CB39" s="144"/>
      <c r="CC39" s="144"/>
      <c r="CD39" s="144" t="s">
        <v>146</v>
      </c>
      <c r="CE39" s="144" t="s">
        <v>262</v>
      </c>
      <c r="CF39" s="144">
        <v>1107.4701169880841</v>
      </c>
    </row>
    <row r="40" spans="66:84" x14ac:dyDescent="0.3">
      <c r="BN40" s="144" t="s">
        <v>146</v>
      </c>
      <c r="BO40" s="144" t="s">
        <v>268</v>
      </c>
      <c r="BP40" s="144">
        <v>146.54615066225159</v>
      </c>
      <c r="BQ40" s="144"/>
      <c r="BR40" s="144"/>
      <c r="BS40" s="144"/>
      <c r="BT40" s="144"/>
      <c r="BU40" s="144"/>
      <c r="BV40" s="144"/>
      <c r="BW40" s="144"/>
      <c r="BX40" s="144"/>
      <c r="BY40" s="144"/>
      <c r="BZ40" s="144"/>
      <c r="CA40" s="144"/>
      <c r="CB40" s="144"/>
      <c r="CC40" s="144"/>
      <c r="CD40" s="144" t="s">
        <v>146</v>
      </c>
      <c r="CE40" s="144" t="s">
        <v>265</v>
      </c>
      <c r="CF40" s="144">
        <v>1075.995513944046</v>
      </c>
    </row>
    <row r="41" spans="66:84" x14ac:dyDescent="0.3">
      <c r="BN41" s="144" t="s">
        <v>146</v>
      </c>
      <c r="BO41" s="144" t="s">
        <v>269</v>
      </c>
      <c r="BP41" s="144">
        <v>78.359275053304899</v>
      </c>
      <c r="BQ41" s="144"/>
      <c r="BR41" s="144"/>
      <c r="BS41" s="144"/>
      <c r="BT41" s="144"/>
      <c r="BU41" s="144"/>
      <c r="BV41" s="144"/>
      <c r="BW41" s="144"/>
      <c r="BX41" s="144"/>
      <c r="BY41" s="144"/>
      <c r="BZ41" s="144"/>
      <c r="CA41" s="144"/>
      <c r="CB41" s="144"/>
      <c r="CC41" s="144"/>
      <c r="CD41" s="144" t="s">
        <v>146</v>
      </c>
      <c r="CE41" s="144" t="s">
        <v>269</v>
      </c>
      <c r="CF41" s="144">
        <v>78.359275053304899</v>
      </c>
    </row>
    <row r="42" spans="66:84" x14ac:dyDescent="0.3">
      <c r="BN42" s="144" t="s">
        <v>146</v>
      </c>
      <c r="BO42" s="144" t="s">
        <v>271</v>
      </c>
      <c r="BP42" s="144">
        <v>100.3462227912932</v>
      </c>
      <c r="BQ42" s="144"/>
      <c r="BR42" s="144"/>
      <c r="BS42" s="144"/>
      <c r="BT42" s="144"/>
      <c r="BU42" s="144"/>
      <c r="BV42" s="144"/>
      <c r="BW42" s="144"/>
      <c r="BX42" s="144"/>
      <c r="BY42" s="144"/>
      <c r="BZ42" s="144"/>
      <c r="CA42" s="144"/>
      <c r="CB42" s="144"/>
      <c r="CC42" s="144"/>
      <c r="CD42" s="144" t="s">
        <v>146</v>
      </c>
      <c r="CE42" s="144" t="s">
        <v>270</v>
      </c>
      <c r="CF42" s="144">
        <v>1347.802137706635</v>
      </c>
    </row>
    <row r="43" spans="66:84" x14ac:dyDescent="0.3">
      <c r="BN43" s="144" t="s">
        <v>146</v>
      </c>
      <c r="BO43" s="144" t="s">
        <v>272</v>
      </c>
      <c r="BP43" s="144">
        <v>53.010416666666657</v>
      </c>
      <c r="BQ43" s="144"/>
      <c r="BR43" s="144"/>
      <c r="BS43" s="144"/>
      <c r="BT43" s="144"/>
      <c r="BU43" s="144"/>
      <c r="BV43" s="144"/>
      <c r="BW43" s="144"/>
      <c r="BX43" s="144"/>
      <c r="BY43" s="144"/>
      <c r="BZ43" s="144"/>
      <c r="CA43" s="144"/>
      <c r="CB43" s="144"/>
      <c r="CC43" s="144"/>
      <c r="CD43" s="144" t="s">
        <v>146</v>
      </c>
      <c r="CE43" s="144" t="s">
        <v>271</v>
      </c>
      <c r="CF43" s="144">
        <v>100.3462227912932</v>
      </c>
    </row>
    <row r="44" spans="66:84" x14ac:dyDescent="0.3">
      <c r="BN44" s="144" t="s">
        <v>146</v>
      </c>
      <c r="BO44" s="144" t="s">
        <v>273</v>
      </c>
      <c r="BP44" s="144">
        <v>172.57441755480971</v>
      </c>
      <c r="BQ44" s="144"/>
      <c r="BR44" s="144"/>
      <c r="BS44" s="144"/>
      <c r="BT44" s="144"/>
      <c r="BU44" s="144"/>
      <c r="BV44" s="144"/>
      <c r="BW44" s="144"/>
      <c r="BX44" s="144"/>
      <c r="BY44" s="144"/>
      <c r="BZ44" s="144"/>
      <c r="CA44" s="144"/>
      <c r="CB44" s="144"/>
      <c r="CC44" s="144"/>
      <c r="CD44" s="144" t="s">
        <v>146</v>
      </c>
      <c r="CE44" s="144" t="s">
        <v>272</v>
      </c>
      <c r="CF44" s="144">
        <v>561.39049240242446</v>
      </c>
    </row>
    <row r="45" spans="66:84" x14ac:dyDescent="0.3">
      <c r="BN45" s="144" t="s">
        <v>146</v>
      </c>
      <c r="BO45" s="144" t="s">
        <v>274</v>
      </c>
      <c r="BP45" s="144">
        <v>302.76253434065927</v>
      </c>
      <c r="BQ45" s="144"/>
      <c r="BR45" s="144"/>
      <c r="BS45" s="144"/>
      <c r="BT45" s="144"/>
      <c r="BU45" s="144"/>
      <c r="BV45" s="144"/>
      <c r="BW45" s="144"/>
      <c r="BX45" s="144"/>
      <c r="BY45" s="144"/>
      <c r="BZ45" s="144"/>
      <c r="CA45" s="144"/>
      <c r="CB45" s="144"/>
      <c r="CC45" s="144"/>
      <c r="CD45" s="144" t="s">
        <v>146</v>
      </c>
      <c r="CE45" s="144" t="s">
        <v>273</v>
      </c>
      <c r="CF45" s="144">
        <v>241.22549795209511</v>
      </c>
    </row>
    <row r="46" spans="66:84" x14ac:dyDescent="0.3">
      <c r="BN46" s="144"/>
      <c r="BO46" s="144"/>
      <c r="BP46" s="144"/>
      <c r="BQ46" s="144"/>
      <c r="BR46" s="144"/>
      <c r="BS46" s="144"/>
      <c r="BT46" s="144"/>
      <c r="BU46" s="144"/>
      <c r="BV46" s="144"/>
      <c r="BW46" s="144"/>
      <c r="BX46" s="144"/>
      <c r="BY46" s="144"/>
      <c r="BZ46" s="144"/>
      <c r="CA46" s="144"/>
      <c r="CB46" s="144"/>
      <c r="CC46" s="144"/>
      <c r="CD46" s="144" t="s">
        <v>146</v>
      </c>
      <c r="CE46" s="144" t="s">
        <v>274</v>
      </c>
      <c r="CF46" s="144">
        <v>522.62283407765744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E387D-BCAB-4D1F-9788-E004E045C6FD}">
  <dimension ref="B1:H28"/>
  <sheetViews>
    <sheetView workbookViewId="0">
      <selection activeCell="E23" sqref="E23"/>
    </sheetView>
  </sheetViews>
  <sheetFormatPr defaultRowHeight="14.4" x14ac:dyDescent="0.3"/>
  <cols>
    <col min="2" max="2" width="3" bestFit="1" customWidth="1"/>
    <col min="3" max="3" width="43.44140625" bestFit="1" customWidth="1"/>
    <col min="4" max="4" width="15" customWidth="1"/>
    <col min="5" max="5" width="18.21875" customWidth="1"/>
    <col min="6" max="8" width="14.77734375" customWidth="1"/>
  </cols>
  <sheetData>
    <row r="1" spans="2:8" x14ac:dyDescent="0.3">
      <c r="C1" s="25" t="s">
        <v>17</v>
      </c>
    </row>
    <row r="4" spans="2:8" x14ac:dyDescent="0.3">
      <c r="C4" s="28"/>
      <c r="D4" s="132" t="s">
        <v>18</v>
      </c>
      <c r="E4" s="132"/>
      <c r="F4" s="132" t="s">
        <v>19</v>
      </c>
      <c r="G4" s="132"/>
    </row>
    <row r="5" spans="2:8" x14ac:dyDescent="0.3">
      <c r="B5" s="10"/>
      <c r="C5" s="29" t="s">
        <v>20</v>
      </c>
      <c r="D5" s="59" t="s">
        <v>2</v>
      </c>
      <c r="E5" s="59" t="s">
        <v>3</v>
      </c>
      <c r="F5" s="59" t="s">
        <v>2</v>
      </c>
      <c r="G5" s="59" t="s">
        <v>3</v>
      </c>
      <c r="H5" s="29" t="s">
        <v>21</v>
      </c>
    </row>
    <row r="6" spans="2:8" x14ac:dyDescent="0.3">
      <c r="B6" s="10">
        <v>5</v>
      </c>
      <c r="C6" s="10" t="s">
        <v>22</v>
      </c>
      <c r="D6" s="7">
        <f>SUMIFS(ModelData!AA:AA,ModelData!Z:Z,'Establishment Attractor'!B6)</f>
        <v>82</v>
      </c>
      <c r="E6" s="7">
        <f>SUMIFS(ModelData!AB:AB,ModelData!Z:Z,'Establishment Attractor'!B6)</f>
        <v>82</v>
      </c>
      <c r="F6" s="14">
        <f>E6/D6</f>
        <v>1</v>
      </c>
      <c r="G6" s="10"/>
      <c r="H6" s="10"/>
    </row>
    <row r="7" spans="2:8" x14ac:dyDescent="0.3">
      <c r="B7" s="10">
        <v>1</v>
      </c>
      <c r="C7" s="10" t="s">
        <v>23</v>
      </c>
      <c r="D7" s="7">
        <f>SUMIFS(ModelData!AA:AA,ModelData!Z:Z,'Establishment Attractor'!B7)</f>
        <v>17366</v>
      </c>
      <c r="E7" s="7">
        <f>SUMIFS(ModelData!AB:AB,ModelData!Z:Z,'Establishment Attractor'!B7)</f>
        <v>15265</v>
      </c>
      <c r="F7" s="14">
        <f>E7/D7</f>
        <v>0.8790164689623402</v>
      </c>
      <c r="G7" s="10">
        <f>SUMIFS(SurveyData!AB:AB,SurveyData!Z:Z,'Establishment Attractor'!B7)</f>
        <v>0.87560000000000004</v>
      </c>
      <c r="H7" s="15">
        <f>F7/G7-1</f>
        <v>3.9018603955460751E-3</v>
      </c>
    </row>
    <row r="8" spans="2:8" x14ac:dyDescent="0.3">
      <c r="B8" s="10">
        <v>2</v>
      </c>
      <c r="C8" s="10" t="s">
        <v>24</v>
      </c>
      <c r="D8" s="7">
        <f>SUMIFS(ModelData!AA:AA,ModelData!Z:Z,'Establishment Attractor'!B8)</f>
        <v>9312</v>
      </c>
      <c r="E8" s="7">
        <f>SUMIFS(ModelData!AB:AB,ModelData!Z:Z,'Establishment Attractor'!B8)</f>
        <v>7818</v>
      </c>
      <c r="F8" s="14">
        <f t="shared" ref="F7:F11" si="0">E8/D8</f>
        <v>0.83956185567010311</v>
      </c>
      <c r="G8" s="10">
        <f>SUMIFS(SurveyData!AB:AB,SurveyData!Z:Z,'Establishment Attractor'!B8)</f>
        <v>0.84240000000000004</v>
      </c>
      <c r="H8" s="15">
        <f t="shared" ref="H8:H10" si="1">F8/G8-1</f>
        <v>-3.3691172007322967E-3</v>
      </c>
    </row>
    <row r="9" spans="2:8" x14ac:dyDescent="0.3">
      <c r="B9" s="10">
        <v>3</v>
      </c>
      <c r="C9" s="10" t="s">
        <v>25</v>
      </c>
      <c r="D9" s="7">
        <f>SUMIFS(ModelData!AA:AA,ModelData!Z:Z,'Establishment Attractor'!B9)</f>
        <v>53644</v>
      </c>
      <c r="E9" s="7">
        <f>SUMIFS(ModelData!AB:AB,ModelData!Z:Z,'Establishment Attractor'!B9)</f>
        <v>40473</v>
      </c>
      <c r="F9" s="14">
        <f t="shared" si="0"/>
        <v>0.75447393930355677</v>
      </c>
      <c r="G9" s="10">
        <f>SUMIFS(SurveyData!AB:AB,SurveyData!Z:Z,'Establishment Attractor'!B9)</f>
        <v>0.74990000000000001</v>
      </c>
      <c r="H9" s="15">
        <f t="shared" si="1"/>
        <v>6.0993989912745405E-3</v>
      </c>
    </row>
    <row r="10" spans="2:8" x14ac:dyDescent="0.3">
      <c r="B10" s="10">
        <v>4</v>
      </c>
      <c r="C10" s="10" t="s">
        <v>26</v>
      </c>
      <c r="D10" s="7">
        <f>SUMIFS(ModelData!AA:AA,ModelData!Z:Z,'Establishment Attractor'!B10)</f>
        <v>31945</v>
      </c>
      <c r="E10" s="7">
        <f>SUMIFS(ModelData!AB:AB,ModelData!Z:Z,'Establishment Attractor'!B10)</f>
        <v>21787</v>
      </c>
      <c r="F10" s="14">
        <f t="shared" si="0"/>
        <v>0.68201596493974015</v>
      </c>
      <c r="G10" s="10">
        <f>SUMIFS(SurveyData!AB:AB,SurveyData!Z:Z,'Establishment Attractor'!B10)</f>
        <v>0.68520000000000003</v>
      </c>
      <c r="H10" s="15">
        <f t="shared" si="1"/>
        <v>-4.6468696150903099E-3</v>
      </c>
    </row>
    <row r="11" spans="2:8" x14ac:dyDescent="0.3">
      <c r="B11" s="10"/>
      <c r="C11" s="18" t="s">
        <v>27</v>
      </c>
      <c r="D11" s="19">
        <f>SUM(D6:D10)</f>
        <v>112349</v>
      </c>
      <c r="E11" s="19">
        <f>SUM(E6:E10)</f>
        <v>85425</v>
      </c>
      <c r="F11" s="20">
        <f t="shared" si="0"/>
        <v>0.76035389723095004</v>
      </c>
      <c r="G11" s="18"/>
      <c r="H11" s="18"/>
    </row>
    <row r="12" spans="2:8" x14ac:dyDescent="0.3">
      <c r="D12" s="4"/>
    </row>
    <row r="14" spans="2:8" x14ac:dyDescent="0.3">
      <c r="C14" s="28"/>
      <c r="D14" s="132" t="s">
        <v>28</v>
      </c>
      <c r="E14" s="132"/>
      <c r="F14" s="28"/>
    </row>
    <row r="15" spans="2:8" x14ac:dyDescent="0.3">
      <c r="C15" s="28" t="s">
        <v>29</v>
      </c>
      <c r="D15" s="59" t="s">
        <v>2</v>
      </c>
      <c r="E15" s="59" t="s">
        <v>3</v>
      </c>
      <c r="F15" s="43" t="s">
        <v>21</v>
      </c>
    </row>
    <row r="16" spans="2:8" x14ac:dyDescent="0.3">
      <c r="B16">
        <v>1</v>
      </c>
      <c r="C16" s="11" t="s">
        <v>30</v>
      </c>
      <c r="D16" s="16">
        <f>VLOOKUP(B16,ModelData!AE3:AG15,3,FALSE)</f>
        <v>2.621778629430199</v>
      </c>
      <c r="E16" s="16">
        <f>SUMIFS(SurveyData!AG:AG,SurveyData!AE:AE,'Establishment Attractor'!B16)</f>
        <v>2.2143999999999999</v>
      </c>
      <c r="F16" s="15">
        <f>D16/E16-1</f>
        <v>0.18396795042910008</v>
      </c>
    </row>
    <row r="17" spans="2:6" x14ac:dyDescent="0.3">
      <c r="B17">
        <v>2</v>
      </c>
      <c r="C17" s="11" t="s">
        <v>31</v>
      </c>
      <c r="D17" s="16">
        <f>VLOOKUP(B17,ModelData!AE4:AG16,3,FALSE)</f>
        <v>3.0755006529649078</v>
      </c>
      <c r="E17" s="16">
        <f>SUMIFS(SurveyData!AG:AG,SurveyData!AE:AE,'Establishment Attractor'!B17)</f>
        <v>3.0926999999999998</v>
      </c>
      <c r="F17" s="15">
        <f t="shared" ref="F17:F26" si="2">D17/E17-1</f>
        <v>-5.5612723623668092E-3</v>
      </c>
    </row>
    <row r="18" spans="2:6" x14ac:dyDescent="0.3">
      <c r="B18">
        <v>3</v>
      </c>
      <c r="C18" s="11" t="s">
        <v>32</v>
      </c>
      <c r="D18" s="16">
        <f>VLOOKUP(B18,ModelData!AE5:AG17,3,FALSE)</f>
        <v>4.4682806177215193</v>
      </c>
      <c r="E18" s="16">
        <f>SUMIFS(SurveyData!AG:AG,SurveyData!AE:AE,'Establishment Attractor'!B18)</f>
        <v>4.3457999999999997</v>
      </c>
      <c r="F18" s="15">
        <f t="shared" si="2"/>
        <v>2.8183675668811192E-2</v>
      </c>
    </row>
    <row r="19" spans="2:6" x14ac:dyDescent="0.3">
      <c r="B19">
        <v>4</v>
      </c>
      <c r="C19" s="11" t="s">
        <v>33</v>
      </c>
      <c r="D19" s="16">
        <f>VLOOKUP(B19,ModelData!AE6:AG18,3,FALSE)</f>
        <v>4.5309454339830513</v>
      </c>
      <c r="E19" s="16">
        <f>SUMIFS(SurveyData!AG:AG,SurveyData!AE:AE,'Establishment Attractor'!B19)</f>
        <v>4.5321999999999996</v>
      </c>
      <c r="F19" s="15">
        <f t="shared" si="2"/>
        <v>-2.7681170666526977E-4</v>
      </c>
    </row>
    <row r="20" spans="2:6" x14ac:dyDescent="0.3">
      <c r="B20">
        <v>5</v>
      </c>
      <c r="C20" s="11" t="s">
        <v>34</v>
      </c>
      <c r="D20" s="16">
        <f>VLOOKUP(B20,ModelData!AE7:AG19,3,FALSE)</f>
        <v>3.3252414030425181</v>
      </c>
      <c r="E20" s="16">
        <f>SUMIFS(SurveyData!AG:AG,SurveyData!AE:AE,'Establishment Attractor'!B20)</f>
        <v>3.3340999999999998</v>
      </c>
      <c r="F20" s="15">
        <f t="shared" si="2"/>
        <v>-2.6569679846080163E-3</v>
      </c>
    </row>
    <row r="21" spans="2:6" x14ac:dyDescent="0.3">
      <c r="B21">
        <v>6</v>
      </c>
      <c r="C21" s="11" t="s">
        <v>35</v>
      </c>
      <c r="D21" s="16">
        <f>VLOOKUP(B21,ModelData!AE8:AG20,3,FALSE)</f>
        <v>3.0795680176435711</v>
      </c>
      <c r="E21" s="16">
        <f>SUMIFS(SurveyData!AG:AG,SurveyData!AE:AE,'Establishment Attractor'!B21)</f>
        <v>3.1086</v>
      </c>
      <c r="F21" s="15">
        <f t="shared" si="2"/>
        <v>-9.3392467208482932E-3</v>
      </c>
    </row>
    <row r="22" spans="2:6" x14ac:dyDescent="0.3">
      <c r="B22">
        <v>7</v>
      </c>
      <c r="C22" s="11" t="s">
        <v>36</v>
      </c>
      <c r="D22" s="16">
        <f>VLOOKUP(B22,ModelData!AE9:AG21,3,FALSE)</f>
        <v>3.6826343452799999</v>
      </c>
      <c r="E22" s="16">
        <f>SUMIFS(SurveyData!AG:AG,SurveyData!AE:AE,'Establishment Attractor'!B22)</f>
        <v>3.7210999999999999</v>
      </c>
      <c r="F22" s="15">
        <f t="shared" si="2"/>
        <v>-1.0337173072478612E-2</v>
      </c>
    </row>
    <row r="23" spans="2:6" x14ac:dyDescent="0.3">
      <c r="B23">
        <v>8</v>
      </c>
      <c r="C23" s="11" t="s">
        <v>37</v>
      </c>
      <c r="D23" s="16">
        <f>VLOOKUP(B23,ModelData!AE10:AG22,3,FALSE)</f>
        <v>2.585229026088034</v>
      </c>
      <c r="E23" s="16">
        <f>SUMIFS(SurveyData!AG:AG,SurveyData!AE:AE,'Establishment Attractor'!B23)</f>
        <v>2.5834000000000001</v>
      </c>
      <c r="F23" s="15">
        <f t="shared" si="2"/>
        <v>7.0799182783698456E-4</v>
      </c>
    </row>
    <row r="24" spans="2:6" x14ac:dyDescent="0.3">
      <c r="B24">
        <v>9</v>
      </c>
      <c r="C24" s="11" t="s">
        <v>38</v>
      </c>
      <c r="D24" s="16">
        <f>VLOOKUP(B24,ModelData!AE11:AG23,3,FALSE)</f>
        <v>3.2589739534954072</v>
      </c>
      <c r="E24" s="16">
        <f>SUMIFS(SurveyData!AG:AG,SurveyData!AE:AE,'Establishment Attractor'!B24)</f>
        <v>3.2574000000000001</v>
      </c>
      <c r="F24" s="15">
        <f t="shared" si="2"/>
        <v>4.8319318947842582E-4</v>
      </c>
    </row>
    <row r="25" spans="2:6" x14ac:dyDescent="0.3">
      <c r="B25">
        <v>10</v>
      </c>
      <c r="C25" s="11" t="s">
        <v>39</v>
      </c>
      <c r="D25" s="16">
        <f>VLOOKUP(B25,ModelData!AE12:AG24,3,FALSE)</f>
        <v>2.2372930935807949</v>
      </c>
      <c r="E25" s="16">
        <f>SUMIFS(SurveyData!AG:AG,SurveyData!AE:AE,'Establishment Attractor'!B25)</f>
        <v>2.2353999999999998</v>
      </c>
      <c r="F25" s="15">
        <f t="shared" si="2"/>
        <v>8.4687017124229769E-4</v>
      </c>
    </row>
    <row r="26" spans="2:6" x14ac:dyDescent="0.3">
      <c r="B26">
        <v>11</v>
      </c>
      <c r="C26" s="11" t="s">
        <v>40</v>
      </c>
      <c r="D26" s="16">
        <f>VLOOKUP(B26,ModelData!AE13:AG25,3,FALSE)</f>
        <v>3.269459366357411</v>
      </c>
      <c r="E26" s="16">
        <f>SUMIFS(SurveyData!AG:AG,SurveyData!AE:AE,'Establishment Attractor'!B26)</f>
        <v>3.2429999999999999</v>
      </c>
      <c r="F26" s="15">
        <f t="shared" si="2"/>
        <v>8.158916545609296E-3</v>
      </c>
    </row>
    <row r="27" spans="2:6" x14ac:dyDescent="0.3">
      <c r="B27">
        <v>12</v>
      </c>
      <c r="C27" s="10" t="s">
        <v>41</v>
      </c>
      <c r="D27" s="10" t="e">
        <f>VLOOKUP(B27,ModelData!AE14:AG26,3,FALSE)</f>
        <v>#N/A</v>
      </c>
      <c r="E27" s="10"/>
      <c r="F27" s="10"/>
    </row>
    <row r="28" spans="2:6" x14ac:dyDescent="0.3">
      <c r="C28" s="21"/>
    </row>
  </sheetData>
  <mergeCells count="3">
    <mergeCell ref="D14:E14"/>
    <mergeCell ref="D4:E4"/>
    <mergeCell ref="F4:G4"/>
  </mergeCells>
  <conditionalFormatting sqref="F16:F26">
    <cfRule type="colorScale" priority="1">
      <colorScale>
        <cfvo type="min"/>
        <cfvo type="percentile" val="50"/>
        <cfvo type="max"/>
        <color rgb="FFF8696B"/>
        <color rgb="FFFCFCFF"/>
        <color rgb="FF5A8AC6"/>
      </colorScale>
    </cfRule>
  </conditionalFormatting>
  <conditionalFormatting sqref="H7:H10">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50EA-596C-49A5-84C5-6CF3F80BC65D}">
  <dimension ref="B1:H28"/>
  <sheetViews>
    <sheetView workbookViewId="0">
      <selection activeCell="E14" sqref="E14:E24"/>
    </sheetView>
  </sheetViews>
  <sheetFormatPr defaultRowHeight="14.4" x14ac:dyDescent="0.3"/>
  <cols>
    <col min="2" max="2" width="3" bestFit="1" customWidth="1"/>
    <col min="3" max="3" width="43.44140625" bestFit="1" customWidth="1"/>
    <col min="4" max="4" width="15" customWidth="1"/>
    <col min="5" max="5" width="18.21875" customWidth="1"/>
    <col min="6" max="6" width="12" bestFit="1" customWidth="1"/>
    <col min="8" max="8" width="14.77734375" customWidth="1"/>
  </cols>
  <sheetData>
    <row r="1" spans="2:8" x14ac:dyDescent="0.3">
      <c r="C1" s="25" t="s">
        <v>42</v>
      </c>
    </row>
    <row r="3" spans="2:8" ht="28.8" x14ac:dyDescent="0.3">
      <c r="B3" s="30"/>
      <c r="C3" s="29" t="s">
        <v>43</v>
      </c>
      <c r="D3" s="29" t="s">
        <v>44</v>
      </c>
      <c r="E3" s="29" t="s">
        <v>45</v>
      </c>
      <c r="F3" s="29" t="s">
        <v>2</v>
      </c>
      <c r="G3" s="29" t="s">
        <v>3</v>
      </c>
      <c r="H3" s="29" t="s">
        <v>21</v>
      </c>
    </row>
    <row r="4" spans="2:8" x14ac:dyDescent="0.3">
      <c r="B4" s="10">
        <v>0</v>
      </c>
      <c r="C4" t="s">
        <v>22</v>
      </c>
      <c r="D4" s="7">
        <f>SUMIFS(ModelData!AL:AL,ModelData!AJ:AJ,'Route Generation'!B4)</f>
        <v>0</v>
      </c>
      <c r="E4" s="7">
        <f>SUMIFS(ModelData!AL:AL,ModelData!AK:AK,"TRUE",ModelData!AJ:AJ,'Route Generation'!B4)</f>
        <v>0</v>
      </c>
      <c r="F4" s="14"/>
      <c r="G4" s="10"/>
      <c r="H4" s="10"/>
    </row>
    <row r="5" spans="2:8" x14ac:dyDescent="0.3">
      <c r="B5" s="10">
        <v>1</v>
      </c>
      <c r="C5" s="10" t="s">
        <v>46</v>
      </c>
      <c r="D5" s="7">
        <f>SUMIFS(ModelData!AL:AL,ModelData!AJ:AJ,'Route Generation'!B5)</f>
        <v>8700</v>
      </c>
      <c r="E5" s="7">
        <f>SUMIFS(ModelData!AL:AL,ModelData!AK:AK,"TRUE",ModelData!AJ:AJ,'Route Generation'!B5)</f>
        <v>5517</v>
      </c>
      <c r="F5" s="16">
        <f t="shared" ref="F5:F8" si="0">E5/D5</f>
        <v>0.63413793103448279</v>
      </c>
      <c r="G5" s="17">
        <v>0.62916000000000005</v>
      </c>
      <c r="H5" s="15">
        <f>F5/G5-1</f>
        <v>7.9120272021151461E-3</v>
      </c>
    </row>
    <row r="6" spans="2:8" x14ac:dyDescent="0.3">
      <c r="B6" s="10">
        <v>2</v>
      </c>
      <c r="C6" s="10" t="s">
        <v>47</v>
      </c>
      <c r="D6" s="7">
        <f>SUMIFS(ModelData!AL:AL,ModelData!AJ:AJ,'Route Generation'!B6)</f>
        <v>18571</v>
      </c>
      <c r="E6" s="7">
        <f>SUMIFS(ModelData!AL:AL,ModelData!AK:AK,"TRUE",ModelData!AJ:AJ,'Route Generation'!B6)</f>
        <v>10012</v>
      </c>
      <c r="F6" s="16">
        <f t="shared" si="0"/>
        <v>0.53912013354154331</v>
      </c>
      <c r="G6" s="17">
        <v>0.54024000000000005</v>
      </c>
      <c r="H6" s="15">
        <f t="shared" ref="H6:H8" si="1">F6/G6-1</f>
        <v>-2.0729054835938454E-3</v>
      </c>
    </row>
    <row r="7" spans="2:8" x14ac:dyDescent="0.3">
      <c r="B7" s="10">
        <v>3</v>
      </c>
      <c r="C7" s="10" t="s">
        <v>48</v>
      </c>
      <c r="D7" s="7">
        <f>SUMIFS(ModelData!AL:AL,ModelData!AJ:AJ,'Route Generation'!B7)</f>
        <v>41163</v>
      </c>
      <c r="E7" s="7">
        <f>SUMIFS(ModelData!AL:AL,ModelData!AK:AK,"TRUE",ModelData!AJ:AJ,'Route Generation'!B7)</f>
        <v>18375</v>
      </c>
      <c r="F7" s="16">
        <f t="shared" si="0"/>
        <v>0.44639603527439692</v>
      </c>
      <c r="G7" s="17">
        <v>0.44568000000000002</v>
      </c>
      <c r="H7" s="15">
        <f t="shared" si="1"/>
        <v>1.6066129832994491E-3</v>
      </c>
    </row>
    <row r="8" spans="2:8" x14ac:dyDescent="0.3">
      <c r="B8" s="10">
        <v>4</v>
      </c>
      <c r="C8" s="10" t="s">
        <v>49</v>
      </c>
      <c r="D8" s="7">
        <f>SUMIFS(ModelData!AL:AL,ModelData!AJ:AJ,'Route Generation'!B8)</f>
        <v>43833</v>
      </c>
      <c r="E8" s="7">
        <f>SUMIFS(ModelData!AL:AL,ModelData!AK:AK,"TRUE",ModelData!AJ:AJ,'Route Generation'!B8)</f>
        <v>22253</v>
      </c>
      <c r="F8" s="16">
        <f t="shared" si="0"/>
        <v>0.50767686446284765</v>
      </c>
      <c r="G8" s="17">
        <v>0.50951999999999997</v>
      </c>
      <c r="H8" s="15">
        <f t="shared" si="1"/>
        <v>-3.6173958571839027E-3</v>
      </c>
    </row>
    <row r="9" spans="2:8" s="25" customFormat="1" x14ac:dyDescent="0.3">
      <c r="B9" s="18"/>
      <c r="C9" s="18" t="s">
        <v>27</v>
      </c>
      <c r="D9" s="19">
        <f>SUM(D4:D8)</f>
        <v>112267</v>
      </c>
      <c r="E9" s="19">
        <f>SUM(E4:E8)</f>
        <v>56157</v>
      </c>
      <c r="F9" s="20"/>
      <c r="G9" s="18"/>
      <c r="H9" s="18"/>
    </row>
    <row r="12" spans="2:8" x14ac:dyDescent="0.3">
      <c r="C12" s="28"/>
      <c r="D12" s="132" t="s">
        <v>50</v>
      </c>
      <c r="E12" s="132"/>
      <c r="F12" s="28"/>
    </row>
    <row r="13" spans="2:8" x14ac:dyDescent="0.3">
      <c r="C13" s="28" t="s">
        <v>29</v>
      </c>
      <c r="D13" s="43" t="s">
        <v>2</v>
      </c>
      <c r="E13" s="43" t="s">
        <v>3</v>
      </c>
      <c r="F13" s="28" t="s">
        <v>21</v>
      </c>
    </row>
    <row r="14" spans="2:8" x14ac:dyDescent="0.3">
      <c r="B14">
        <v>1</v>
      </c>
      <c r="C14" s="11" t="s">
        <v>30</v>
      </c>
      <c r="D14" s="7">
        <f>SUMIFS(ModelData!AP:AP,ModelData!AO:AO,'Route Generation'!B14)</f>
        <v>716</v>
      </c>
      <c r="E14" s="7">
        <f>SUMIFS(SurveyData!AP:AP,SurveyData!AO:AO,'Route Generation'!B14)</f>
        <v>2326.9790020357068</v>
      </c>
      <c r="F14" s="15">
        <f>D14/E14-1</f>
        <v>-0.69230491578410325</v>
      </c>
    </row>
    <row r="15" spans="2:8" x14ac:dyDescent="0.3">
      <c r="B15">
        <v>2</v>
      </c>
      <c r="C15" s="11" t="s">
        <v>31</v>
      </c>
      <c r="D15" s="7">
        <f>SUMIFS(ModelData!AP:AP,ModelData!AO:AO,'Route Generation'!B15)</f>
        <v>14657</v>
      </c>
      <c r="E15" s="7">
        <f>SUMIFS(SurveyData!AP:AP,SurveyData!AO:AO,'Route Generation'!B15)</f>
        <v>14638.69728756079</v>
      </c>
      <c r="F15" s="15">
        <f t="shared" ref="F15:F24" si="2">D15/E15-1</f>
        <v>1.2502965311511627E-3</v>
      </c>
    </row>
    <row r="16" spans="2:8" x14ac:dyDescent="0.3">
      <c r="B16">
        <v>3</v>
      </c>
      <c r="C16" s="11" t="s">
        <v>32</v>
      </c>
      <c r="D16" s="7">
        <f>SUMIFS(ModelData!AP:AP,ModelData!AO:AO,'Route Generation'!B16)</f>
        <v>3540</v>
      </c>
      <c r="E16" s="7">
        <f>SUMIFS(SurveyData!AP:AP,SurveyData!AO:AO,'Route Generation'!B16)</f>
        <v>3242.740935550903</v>
      </c>
      <c r="F16" s="15">
        <f t="shared" si="2"/>
        <v>9.1669075747056628E-2</v>
      </c>
    </row>
    <row r="17" spans="2:6" x14ac:dyDescent="0.3">
      <c r="B17">
        <v>4</v>
      </c>
      <c r="C17" s="11" t="s">
        <v>33</v>
      </c>
      <c r="D17" s="7">
        <f>SUMIFS(ModelData!AP:AP,ModelData!AO:AO,'Route Generation'!B17)</f>
        <v>13053</v>
      </c>
      <c r="E17" s="7">
        <f>SUMIFS(SurveyData!AP:AP,SurveyData!AO:AO,'Route Generation'!B17)</f>
        <v>12892.98368764616</v>
      </c>
      <c r="F17" s="15">
        <f t="shared" si="2"/>
        <v>1.2411115706844944E-2</v>
      </c>
    </row>
    <row r="18" spans="2:6" x14ac:dyDescent="0.3">
      <c r="B18">
        <v>5</v>
      </c>
      <c r="C18" s="11" t="s">
        <v>34</v>
      </c>
      <c r="D18" s="7">
        <f>SUMIFS(ModelData!AP:AP,ModelData!AO:AO,'Route Generation'!B18)</f>
        <v>10920</v>
      </c>
      <c r="E18" s="7">
        <f>SUMIFS(SurveyData!AP:AP,SurveyData!AO:AO,'Route Generation'!B18)</f>
        <v>10680.592231928729</v>
      </c>
      <c r="F18" s="15">
        <f t="shared" si="2"/>
        <v>2.2415214706501096E-2</v>
      </c>
    </row>
    <row r="19" spans="2:6" x14ac:dyDescent="0.3">
      <c r="B19">
        <v>6</v>
      </c>
      <c r="C19" s="11" t="s">
        <v>35</v>
      </c>
      <c r="D19" s="7">
        <f>SUMIFS(ModelData!AP:AP,ModelData!AO:AO,'Route Generation'!B19)</f>
        <v>31784</v>
      </c>
      <c r="E19" s="7">
        <f>SUMIFS(SurveyData!AP:AP,SurveyData!AO:AO,'Route Generation'!B19)</f>
        <v>32128.950843377512</v>
      </c>
      <c r="F19" s="15">
        <f t="shared" si="2"/>
        <v>-1.0736449038099005E-2</v>
      </c>
    </row>
    <row r="20" spans="2:6" x14ac:dyDescent="0.3">
      <c r="B20">
        <v>7</v>
      </c>
      <c r="C20" s="11" t="s">
        <v>36</v>
      </c>
      <c r="D20" s="7">
        <f>SUMIFS(ModelData!AP:AP,ModelData!AO:AO,'Route Generation'!B20)</f>
        <v>9254</v>
      </c>
      <c r="E20" s="7">
        <f>SUMIFS(SurveyData!AP:AP,SurveyData!AO:AO,'Route Generation'!B20)</f>
        <v>9182.0061874922721</v>
      </c>
      <c r="F20" s="15">
        <f t="shared" si="2"/>
        <v>7.8407497269821214E-3</v>
      </c>
    </row>
    <row r="21" spans="2:6" x14ac:dyDescent="0.3">
      <c r="B21">
        <v>8</v>
      </c>
      <c r="C21" s="11" t="s">
        <v>37</v>
      </c>
      <c r="D21" s="7">
        <f>SUMIFS(ModelData!AP:AP,ModelData!AO:AO,'Route Generation'!B21)</f>
        <v>43951</v>
      </c>
      <c r="E21" s="7">
        <f>SUMIFS(SurveyData!AP:AP,SurveyData!AO:AO,'Route Generation'!B21)</f>
        <v>43519.040415044583</v>
      </c>
      <c r="F21" s="15">
        <f t="shared" si="2"/>
        <v>9.9257607896632294E-3</v>
      </c>
    </row>
    <row r="22" spans="2:6" x14ac:dyDescent="0.3">
      <c r="B22">
        <v>9</v>
      </c>
      <c r="C22" s="11" t="s">
        <v>38</v>
      </c>
      <c r="D22" s="7">
        <f>SUMIFS(ModelData!AP:AP,ModelData!AO:AO,'Route Generation'!B22)</f>
        <v>55771</v>
      </c>
      <c r="E22" s="7">
        <f>SUMIFS(SurveyData!AP:AP,SurveyData!AO:AO,'Route Generation'!B22)</f>
        <v>54985.922940158649</v>
      </c>
      <c r="F22" s="15">
        <f t="shared" si="2"/>
        <v>1.42777827098719E-2</v>
      </c>
    </row>
    <row r="23" spans="2:6" x14ac:dyDescent="0.3">
      <c r="B23">
        <v>10</v>
      </c>
      <c r="C23" s="11" t="s">
        <v>39</v>
      </c>
      <c r="D23" s="7">
        <f>SUMIFS(ModelData!AP:AP,ModelData!AO:AO,'Route Generation'!B23)</f>
        <v>31661</v>
      </c>
      <c r="E23" s="7">
        <f>SUMIFS(SurveyData!AP:AP,SurveyData!AO:AO,'Route Generation'!B23)</f>
        <v>31416.19285547785</v>
      </c>
      <c r="F23" s="15">
        <f t="shared" si="2"/>
        <v>7.7923873732352877E-3</v>
      </c>
    </row>
    <row r="24" spans="2:6" x14ac:dyDescent="0.3">
      <c r="B24">
        <v>11</v>
      </c>
      <c r="C24" s="11" t="s">
        <v>40</v>
      </c>
      <c r="D24" s="7">
        <f>SUMIFS(ModelData!AP:AP,ModelData!AO:AO,'Route Generation'!B24)</f>
        <v>7027</v>
      </c>
      <c r="E24" s="7">
        <f>SUMIFS(SurveyData!AP:AP,SurveyData!AO:AO,'Route Generation'!B24)</f>
        <v>7217.6335127823222</v>
      </c>
      <c r="F24" s="15">
        <f t="shared" si="2"/>
        <v>-2.6412190705542571E-2</v>
      </c>
    </row>
    <row r="25" spans="2:6" x14ac:dyDescent="0.3">
      <c r="B25">
        <v>12</v>
      </c>
      <c r="C25" s="10" t="s">
        <v>41</v>
      </c>
      <c r="D25" s="7">
        <f>SUMIFS(ModelData!AP:AP,ModelData!AO:AO,'Route Generation'!B25)</f>
        <v>0</v>
      </c>
      <c r="E25" s="10"/>
      <c r="F25" s="10"/>
    </row>
    <row r="26" spans="2:6" s="25" customFormat="1" x14ac:dyDescent="0.3">
      <c r="C26" s="53" t="s">
        <v>27</v>
      </c>
      <c r="D26" s="38">
        <f>SUM(D14:D25)</f>
        <v>222334</v>
      </c>
      <c r="E26" s="38">
        <f>SUM(E14:E25)</f>
        <v>222231.73989905548</v>
      </c>
      <c r="F26" s="18"/>
    </row>
    <row r="28" spans="2:6" x14ac:dyDescent="0.3">
      <c r="D28" s="4"/>
    </row>
  </sheetData>
  <mergeCells count="1">
    <mergeCell ref="D12:E12"/>
  </mergeCells>
  <conditionalFormatting sqref="F14:F24">
    <cfRule type="colorScale" priority="1">
      <colorScale>
        <cfvo type="min"/>
        <cfvo type="percentile" val="50"/>
        <cfvo type="max"/>
        <color rgb="FFF8696B"/>
        <color rgb="FFFCFCFF"/>
        <color rgb="FF5A8AC6"/>
      </colorScale>
    </cfRule>
  </conditionalFormatting>
  <conditionalFormatting sqref="H5:H8">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814D-267D-475C-BB96-872E09C54ABA}">
  <dimension ref="B2:G10"/>
  <sheetViews>
    <sheetView workbookViewId="0">
      <selection activeCell="F15" sqref="F15"/>
    </sheetView>
  </sheetViews>
  <sheetFormatPr defaultRowHeight="14.4" x14ac:dyDescent="0.3"/>
  <cols>
    <col min="2" max="2" width="8.88671875" hidden="1" customWidth="1"/>
    <col min="3" max="3" width="8.88671875" style="144" hidden="1" customWidth="1"/>
    <col min="4" max="4" width="27" customWidth="1"/>
    <col min="5" max="5" width="14.44140625" customWidth="1"/>
    <col min="6" max="6" width="15.21875" customWidth="1"/>
  </cols>
  <sheetData>
    <row r="2" spans="2:7" x14ac:dyDescent="0.3">
      <c r="D2" s="25" t="s">
        <v>51</v>
      </c>
    </row>
    <row r="5" spans="2:7" x14ac:dyDescent="0.3">
      <c r="D5" s="54"/>
      <c r="E5" s="49" t="s">
        <v>2</v>
      </c>
      <c r="F5" s="49" t="s">
        <v>3</v>
      </c>
    </row>
    <row r="6" spans="2:7" x14ac:dyDescent="0.3">
      <c r="D6" s="57" t="s">
        <v>52</v>
      </c>
      <c r="E6" s="49" t="s">
        <v>53</v>
      </c>
      <c r="F6" s="49" t="s">
        <v>54</v>
      </c>
    </row>
    <row r="7" spans="2:7" x14ac:dyDescent="0.3">
      <c r="B7" t="s">
        <v>55</v>
      </c>
      <c r="C7" s="144" t="s">
        <v>258</v>
      </c>
      <c r="D7" s="50" t="s">
        <v>56</v>
      </c>
      <c r="E7" s="51">
        <f>SUMIFS(ModelData!BJ:BJ,ModelData!BI:BI,'Route Generation TNC'!B7)</f>
        <v>327</v>
      </c>
      <c r="F7" s="51">
        <f>SUMIFS(SurveyData!BJ:BJ,SurveyData!BI:BI,'Route Generation TNC'!C7)</f>
        <v>359.37455</v>
      </c>
      <c r="G7" s="125"/>
    </row>
    <row r="8" spans="2:7" x14ac:dyDescent="0.3">
      <c r="B8" t="s">
        <v>57</v>
      </c>
      <c r="C8" s="144" t="s">
        <v>261</v>
      </c>
      <c r="D8" s="47" t="s">
        <v>58</v>
      </c>
      <c r="E8" s="51">
        <f>SUMIFS(ModelData!BJ:BJ,ModelData!BI:BI,'Route Generation TNC'!B8)</f>
        <v>2875</v>
      </c>
      <c r="F8" s="51">
        <f>SUMIFS(SurveyData!BJ:BJ,SurveyData!BI:BI,'Route Generation TNC'!C8)</f>
        <v>2843.81032</v>
      </c>
      <c r="G8" s="125"/>
    </row>
    <row r="9" spans="2:7" x14ac:dyDescent="0.3">
      <c r="B9" t="s">
        <v>59</v>
      </c>
      <c r="C9" s="144" t="s">
        <v>264</v>
      </c>
      <c r="D9" s="47" t="s">
        <v>33</v>
      </c>
      <c r="E9" s="51">
        <f>SUMIFS(ModelData!BJ:BJ,ModelData!BI:BI,'Route Generation TNC'!B9)</f>
        <v>1814</v>
      </c>
      <c r="F9" s="51">
        <f>SUMIFS(SurveyData!BJ:BJ,SurveyData!BI:BI,'Route Generation TNC'!C9)</f>
        <v>1816.0912499999999</v>
      </c>
      <c r="G9" s="125"/>
    </row>
    <row r="10" spans="2:7" x14ac:dyDescent="0.3">
      <c r="D10" s="55" t="s">
        <v>27</v>
      </c>
      <c r="E10" s="19">
        <f>SUM(E7:E9)</f>
        <v>5016</v>
      </c>
      <c r="F10" s="38">
        <f>SUM(F7:F9)</f>
        <v>5019.2761200000004</v>
      </c>
      <c r="G10" s="1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BE21-8E18-47E8-8FD9-053E2EB5E5A0}">
  <dimension ref="B1:M47"/>
  <sheetViews>
    <sheetView topLeftCell="A37" zoomScale="140" zoomScaleNormal="140" workbookViewId="0">
      <selection activeCell="O16" sqref="O16"/>
    </sheetView>
  </sheetViews>
  <sheetFormatPr defaultRowHeight="14.4" x14ac:dyDescent="0.3"/>
  <cols>
    <col min="2" max="2" width="24.21875" hidden="1" customWidth="1"/>
    <col min="3" max="3" width="20.5546875" bestFit="1" customWidth="1"/>
    <col min="4" max="4" width="8.88671875" hidden="1" customWidth="1"/>
    <col min="5" max="5" width="11.77734375" bestFit="1" customWidth="1"/>
    <col min="6" max="6" width="14.44140625" style="5" bestFit="1" customWidth="1"/>
    <col min="7" max="7" width="12" customWidth="1"/>
    <col min="8" max="8" width="10" style="2" customWidth="1"/>
    <col min="9" max="9" width="15.77734375" style="5" bestFit="1" customWidth="1"/>
    <col min="11" max="11" width="11.77734375" style="3" hidden="1" customWidth="1"/>
    <col min="12" max="12" width="12" bestFit="1" customWidth="1"/>
    <col min="17" max="17" width="33.77734375" bestFit="1" customWidth="1"/>
  </cols>
  <sheetData>
    <row r="1" spans="2:13" x14ac:dyDescent="0.3">
      <c r="C1" s="25" t="s">
        <v>60</v>
      </c>
    </row>
    <row r="2" spans="2:13" x14ac:dyDescent="0.3">
      <c r="C2" s="25"/>
    </row>
    <row r="4" spans="2:13" s="25" customFormat="1" ht="28.8" x14ac:dyDescent="0.3">
      <c r="B4" s="26" t="s">
        <v>61</v>
      </c>
      <c r="C4" s="31" t="s">
        <v>62</v>
      </c>
      <c r="D4" s="31" t="s">
        <v>63</v>
      </c>
      <c r="E4" s="31" t="s">
        <v>2</v>
      </c>
      <c r="F4" s="34" t="s">
        <v>64</v>
      </c>
      <c r="G4" s="31"/>
      <c r="H4" s="32" t="s">
        <v>3</v>
      </c>
      <c r="I4" s="35" t="s">
        <v>65</v>
      </c>
      <c r="J4" s="28"/>
      <c r="K4" s="33" t="s">
        <v>66</v>
      </c>
      <c r="L4" s="28" t="s">
        <v>21</v>
      </c>
    </row>
    <row r="5" spans="2:13" x14ac:dyDescent="0.3">
      <c r="B5" s="27" t="s">
        <v>67</v>
      </c>
      <c r="C5" s="6" t="s">
        <v>68</v>
      </c>
      <c r="D5" s="6">
        <v>1</v>
      </c>
      <c r="E5" s="8">
        <f>SUMIFS(ModelData!AV:AV,ModelData!AT:AT,'Route Purp Vehicle'!D5)</f>
        <v>8519</v>
      </c>
      <c r="F5" s="22">
        <f>E5/$E$26</f>
        <v>3.8316226937850265E-2</v>
      </c>
      <c r="G5" s="22"/>
      <c r="H5" s="8">
        <f>SUMIFS(SurveyData!AV:AV,SurveyData!AT:AT,'Route Purp Vehicle'!D5)</f>
        <v>8461.0298166516459</v>
      </c>
      <c r="I5" s="22">
        <f>H5/$H$26</f>
        <v>3.807295896473796E-2</v>
      </c>
      <c r="J5" s="10"/>
      <c r="K5" s="24">
        <f>F5-I5</f>
        <v>2.4326797311230441E-4</v>
      </c>
      <c r="L5" s="15">
        <f>E5/H5-1</f>
        <v>6.8514335257707781E-3</v>
      </c>
      <c r="M5" s="5"/>
    </row>
    <row r="6" spans="2:13" x14ac:dyDescent="0.3">
      <c r="B6" s="27" t="s">
        <v>69</v>
      </c>
      <c r="C6" s="6" t="s">
        <v>70</v>
      </c>
      <c r="D6" s="6">
        <v>2</v>
      </c>
      <c r="E6" s="8">
        <f>SUMIFS(ModelData!AV:AV,ModelData!AT:AT,'Route Purp Vehicle'!D6)</f>
        <v>2986</v>
      </c>
      <c r="F6" s="22">
        <f t="shared" ref="F6:F25" si="0">E6/$E$26</f>
        <v>1.3430244586972753E-2</v>
      </c>
      <c r="G6" s="22"/>
      <c r="H6" s="8">
        <f>SUMIFS(SurveyData!AV:AV,SurveyData!AT:AT,'Route Purp Vehicle'!D6)</f>
        <v>3024.1037636037408</v>
      </c>
      <c r="I6" s="22">
        <f t="shared" ref="I6:I25" si="1">H6/$H$26</f>
        <v>1.3607868190016473E-2</v>
      </c>
      <c r="J6" s="10"/>
      <c r="K6" s="24">
        <f t="shared" ref="K6:K26" si="2">F6-I6</f>
        <v>-1.7762360304372088E-4</v>
      </c>
      <c r="L6" s="15">
        <f t="shared" ref="L6:L26" si="3">E6/H6-1</f>
        <v>-1.2600018578176608E-2</v>
      </c>
      <c r="M6" s="5"/>
    </row>
    <row r="7" spans="2:13" x14ac:dyDescent="0.3">
      <c r="B7" s="27" t="s">
        <v>71</v>
      </c>
      <c r="C7" s="6" t="s">
        <v>72</v>
      </c>
      <c r="D7" s="6">
        <v>3</v>
      </c>
      <c r="E7" s="8">
        <f>SUMIFS(ModelData!AV:AV,ModelData!AT:AT,'Route Purp Vehicle'!D7)</f>
        <v>4207</v>
      </c>
      <c r="F7" s="22">
        <f t="shared" si="0"/>
        <v>1.8921982242931807E-2</v>
      </c>
      <c r="G7" s="22"/>
      <c r="H7" s="8">
        <f>SUMIFS(SurveyData!AV:AV,SurveyData!AT:AT,'Route Purp Vehicle'!D7)</f>
        <v>4229.4282612598436</v>
      </c>
      <c r="I7" s="22">
        <f t="shared" si="1"/>
        <v>1.9031589785718724E-2</v>
      </c>
      <c r="J7" s="10"/>
      <c r="K7" s="24">
        <f t="shared" si="2"/>
        <v>-1.0960754278691726E-4</v>
      </c>
      <c r="L7" s="15">
        <f t="shared" si="3"/>
        <v>-5.3029061788987253E-3</v>
      </c>
      <c r="M7" s="5"/>
    </row>
    <row r="8" spans="2:13" x14ac:dyDescent="0.3">
      <c r="B8" s="27" t="s">
        <v>73</v>
      </c>
      <c r="C8" s="6" t="s">
        <v>74</v>
      </c>
      <c r="D8" s="6">
        <v>4</v>
      </c>
      <c r="E8" s="8">
        <f>SUMIFS(ModelData!AV:AV,ModelData!AT:AT,'Route Purp Vehicle'!D8)</f>
        <v>5012</v>
      </c>
      <c r="F8" s="22">
        <f t="shared" si="0"/>
        <v>2.2542661041496128E-2</v>
      </c>
      <c r="G8" s="22"/>
      <c r="H8" s="8">
        <f>SUMIFS(SurveyData!AV:AV,SurveyData!AT:AT,'Route Purp Vehicle'!D8)</f>
        <v>5045.4883127440053</v>
      </c>
      <c r="I8" s="22">
        <f t="shared" si="1"/>
        <v>2.270369844461646E-2</v>
      </c>
      <c r="J8" s="10"/>
      <c r="K8" s="24">
        <f t="shared" si="2"/>
        <v>-1.6103740312033155E-4</v>
      </c>
      <c r="L8" s="15">
        <f t="shared" si="3"/>
        <v>-6.6372788258015625E-3</v>
      </c>
      <c r="M8" s="5"/>
    </row>
    <row r="9" spans="2:13" x14ac:dyDescent="0.3">
      <c r="B9" s="27" t="s">
        <v>75</v>
      </c>
      <c r="C9" s="6" t="s">
        <v>76</v>
      </c>
      <c r="D9" s="6">
        <v>5</v>
      </c>
      <c r="E9" s="8">
        <f>SUMIFS(ModelData!AV:AV,ModelData!AT:AT,'Route Purp Vehicle'!D9)</f>
        <v>13045</v>
      </c>
      <c r="F9" s="22">
        <f t="shared" si="0"/>
        <v>5.8672987487293889E-2</v>
      </c>
      <c r="G9" s="22"/>
      <c r="H9" s="8">
        <f>SUMIFS(SurveyData!AV:AV,SurveyData!AT:AT,'Route Purp Vehicle'!D9)</f>
        <v>13159.97414633791</v>
      </c>
      <c r="I9" s="22">
        <f t="shared" si="1"/>
        <v>5.9217278098284275E-2</v>
      </c>
      <c r="J9" s="10"/>
      <c r="K9" s="24">
        <f t="shared" si="2"/>
        <v>-5.4429061099038611E-4</v>
      </c>
      <c r="L9" s="15">
        <f t="shared" si="3"/>
        <v>-8.7366544234362964E-3</v>
      </c>
      <c r="M9" s="5"/>
    </row>
    <row r="10" spans="2:13" x14ac:dyDescent="0.3">
      <c r="B10" s="27" t="s">
        <v>77</v>
      </c>
      <c r="C10" s="6" t="s">
        <v>78</v>
      </c>
      <c r="D10" s="6">
        <v>6</v>
      </c>
      <c r="E10" s="8">
        <f>SUMIFS(ModelData!AV:AV,ModelData!AT:AT,'Route Purp Vehicle'!D10)</f>
        <v>4148</v>
      </c>
      <c r="F10" s="22">
        <f t="shared" si="0"/>
        <v>1.8656615722291686E-2</v>
      </c>
      <c r="G10" s="22"/>
      <c r="H10" s="8">
        <f>SUMIFS(SurveyData!AV:AV,SurveyData!AT:AT,'Route Purp Vehicle'!D10)</f>
        <v>4159.155385772664</v>
      </c>
      <c r="I10" s="22">
        <f t="shared" si="1"/>
        <v>1.8715375759443573E-2</v>
      </c>
      <c r="J10" s="10"/>
      <c r="K10" s="24">
        <f t="shared" si="2"/>
        <v>-5.8760037151887184E-5</v>
      </c>
      <c r="L10" s="15">
        <f t="shared" si="3"/>
        <v>-2.6821276768892455E-3</v>
      </c>
      <c r="M10" s="5"/>
    </row>
    <row r="11" spans="2:13" x14ac:dyDescent="0.3">
      <c r="B11" s="27" t="s">
        <v>79</v>
      </c>
      <c r="C11" s="6" t="s">
        <v>80</v>
      </c>
      <c r="D11" s="6">
        <v>7</v>
      </c>
      <c r="E11" s="8">
        <f>SUMIFS(ModelData!AV:AV,ModelData!AT:AT,'Route Purp Vehicle'!D11)</f>
        <v>6084</v>
      </c>
      <c r="F11" s="22">
        <f t="shared" si="0"/>
        <v>2.7364235789397933E-2</v>
      </c>
      <c r="G11" s="22"/>
      <c r="H11" s="8">
        <f>SUMIFS(SurveyData!AV:AV,SurveyData!AT:AT,'Route Purp Vehicle'!D11)</f>
        <v>6057.498094970384</v>
      </c>
      <c r="I11" s="22">
        <f t="shared" si="1"/>
        <v>2.7257542095514526E-2</v>
      </c>
      <c r="J11" s="10"/>
      <c r="K11" s="24">
        <f t="shared" si="2"/>
        <v>1.0669369388340705E-4</v>
      </c>
      <c r="L11" s="15">
        <f t="shared" si="3"/>
        <v>4.3750579222832098E-3</v>
      </c>
      <c r="M11" s="5"/>
    </row>
    <row r="12" spans="2:13" x14ac:dyDescent="0.3">
      <c r="B12" s="27" t="s">
        <v>81</v>
      </c>
      <c r="C12" s="6" t="s">
        <v>82</v>
      </c>
      <c r="D12" s="6">
        <v>8</v>
      </c>
      <c r="E12" s="8">
        <f>SUMIFS(ModelData!AV:AV,ModelData!AT:AT,'Route Purp Vehicle'!D12)</f>
        <v>1779</v>
      </c>
      <c r="F12" s="22">
        <f t="shared" si="0"/>
        <v>8.0014752579452529E-3</v>
      </c>
      <c r="G12" s="22"/>
      <c r="H12" s="8">
        <f>SUMIFS(SurveyData!AV:AV,SurveyData!AT:AT,'Route Purp Vehicle'!D12)</f>
        <v>1703.8777987166541</v>
      </c>
      <c r="I12" s="22">
        <f t="shared" si="1"/>
        <v>7.6671127412643279E-3</v>
      </c>
      <c r="J12" s="10"/>
      <c r="K12" s="24">
        <f t="shared" si="2"/>
        <v>3.3436251668092498E-4</v>
      </c>
      <c r="L12" s="15">
        <f t="shared" si="3"/>
        <v>4.4088960687161505E-2</v>
      </c>
      <c r="M12" s="5"/>
    </row>
    <row r="13" spans="2:13" x14ac:dyDescent="0.3">
      <c r="B13" s="27" t="s">
        <v>83</v>
      </c>
      <c r="C13" s="6" t="s">
        <v>84</v>
      </c>
      <c r="D13" s="6">
        <v>9</v>
      </c>
      <c r="E13" s="8">
        <f>SUMIFS(ModelData!AV:AV,ModelData!AT:AT,'Route Purp Vehicle'!D13)</f>
        <v>4701</v>
      </c>
      <c r="F13" s="22">
        <f t="shared" si="0"/>
        <v>2.1143864636088049E-2</v>
      </c>
      <c r="G13" s="22"/>
      <c r="H13" s="8">
        <f>SUMIFS(SurveyData!AV:AV,SurveyData!AT:AT,'Route Purp Vehicle'!D13)</f>
        <v>4776.4062982223841</v>
      </c>
      <c r="I13" s="22">
        <f t="shared" si="1"/>
        <v>2.14928826551639E-2</v>
      </c>
      <c r="J13" s="10"/>
      <c r="K13" s="24">
        <f t="shared" si="2"/>
        <v>-3.4901801907585156E-4</v>
      </c>
      <c r="L13" s="15">
        <f t="shared" si="3"/>
        <v>-1.5787245371158609E-2</v>
      </c>
      <c r="M13" s="5"/>
    </row>
    <row r="14" spans="2:13" x14ac:dyDescent="0.3">
      <c r="B14" s="27" t="s">
        <v>85</v>
      </c>
      <c r="C14" s="6" t="s">
        <v>86</v>
      </c>
      <c r="D14" s="6">
        <v>10</v>
      </c>
      <c r="E14" s="8">
        <f>SUMIFS(ModelData!AV:AV,ModelData!AT:AT,'Route Purp Vehicle'!D14)</f>
        <v>13689</v>
      </c>
      <c r="F14" s="22">
        <f t="shared" si="0"/>
        <v>6.1569530526145347E-2</v>
      </c>
      <c r="G14" s="22"/>
      <c r="H14" s="8">
        <f>SUMIFS(SurveyData!AV:AV,SurveyData!AT:AT,'Route Purp Vehicle'!D14)</f>
        <v>13588.15696570517</v>
      </c>
      <c r="I14" s="22">
        <f t="shared" si="1"/>
        <v>6.114401600896887E-2</v>
      </c>
      <c r="J14" s="10"/>
      <c r="K14" s="24">
        <f t="shared" si="2"/>
        <v>4.2551451717647709E-4</v>
      </c>
      <c r="L14" s="15">
        <f t="shared" si="3"/>
        <v>7.4213916242906741E-3</v>
      </c>
      <c r="M14" s="5"/>
    </row>
    <row r="15" spans="2:13" x14ac:dyDescent="0.3">
      <c r="B15" s="27" t="s">
        <v>87</v>
      </c>
      <c r="C15" s="6" t="s">
        <v>88</v>
      </c>
      <c r="D15" s="6">
        <v>11</v>
      </c>
      <c r="E15" s="8">
        <f>SUMIFS(ModelData!AV:AV,ModelData!AT:AT,'Route Purp Vehicle'!D15)</f>
        <v>2254</v>
      </c>
      <c r="F15" s="22">
        <f t="shared" si="0"/>
        <v>1.0137900635980102E-2</v>
      </c>
      <c r="G15" s="22"/>
      <c r="H15" s="8">
        <f>SUMIFS(SurveyData!AV:AV,SurveyData!AT:AT,'Route Purp Vehicle'!D15)</f>
        <v>2345.6488124277212</v>
      </c>
      <c r="I15" s="22">
        <f t="shared" si="1"/>
        <v>1.0554955237894278E-2</v>
      </c>
      <c r="J15" s="10"/>
      <c r="K15" s="24">
        <f t="shared" si="2"/>
        <v>-4.1705460191417652E-4</v>
      </c>
      <c r="L15" s="15">
        <f t="shared" si="3"/>
        <v>-3.9071838862726249E-2</v>
      </c>
      <c r="M15" s="5"/>
    </row>
    <row r="16" spans="2:13" x14ac:dyDescent="0.3">
      <c r="B16" s="27" t="s">
        <v>89</v>
      </c>
      <c r="C16" s="6" t="s">
        <v>90</v>
      </c>
      <c r="D16" s="6">
        <v>12</v>
      </c>
      <c r="E16" s="8">
        <f>SUMIFS(ModelData!AV:AV,ModelData!AT:AT,'Route Purp Vehicle'!D16)</f>
        <v>5331</v>
      </c>
      <c r="F16" s="22">
        <f t="shared" si="0"/>
        <v>2.3977439348007952E-2</v>
      </c>
      <c r="G16" s="22"/>
      <c r="H16" s="8">
        <f>SUMIFS(SurveyData!AV:AV,SurveyData!AT:AT,'Route Purp Vehicle'!D16)</f>
        <v>5266.9487161484958</v>
      </c>
      <c r="I16" s="22">
        <f t="shared" si="1"/>
        <v>2.3700226412706072E-2</v>
      </c>
      <c r="J16" s="10"/>
      <c r="K16" s="24">
        <f t="shared" si="2"/>
        <v>2.7721293530187999E-4</v>
      </c>
      <c r="L16" s="15">
        <f t="shared" si="3"/>
        <v>1.2160984908609951E-2</v>
      </c>
      <c r="M16" s="5"/>
    </row>
    <row r="17" spans="2:13" x14ac:dyDescent="0.3">
      <c r="B17" s="27" t="s">
        <v>91</v>
      </c>
      <c r="C17" s="6" t="s">
        <v>92</v>
      </c>
      <c r="D17" s="6">
        <v>13</v>
      </c>
      <c r="E17" s="8">
        <f>SUMIFS(ModelData!AV:AV,ModelData!AT:AT,'Route Purp Vehicle'!D17)</f>
        <v>33871</v>
      </c>
      <c r="F17" s="22">
        <f t="shared" si="0"/>
        <v>0.1523428715356176</v>
      </c>
      <c r="G17" s="22"/>
      <c r="H17" s="8">
        <f>SUMIFS(SurveyData!AV:AV,SurveyData!AT:AT,'Route Purp Vehicle'!D17)</f>
        <v>33393.680881193242</v>
      </c>
      <c r="I17" s="22">
        <f t="shared" si="1"/>
        <v>0.15026495230746806</v>
      </c>
      <c r="J17" s="10"/>
      <c r="K17" s="24">
        <f t="shared" si="2"/>
        <v>2.0779192281495384E-3</v>
      </c>
      <c r="L17" s="15">
        <f t="shared" si="3"/>
        <v>1.4293695879317614E-2</v>
      </c>
      <c r="M17" s="5"/>
    </row>
    <row r="18" spans="2:13" x14ac:dyDescent="0.3">
      <c r="B18" s="27" t="s">
        <v>93</v>
      </c>
      <c r="C18" s="6" t="s">
        <v>94</v>
      </c>
      <c r="D18" s="6">
        <v>14</v>
      </c>
      <c r="E18" s="8">
        <f>SUMIFS(ModelData!AV:AV,ModelData!AT:AT,'Route Purp Vehicle'!D18)</f>
        <v>3458</v>
      </c>
      <c r="F18" s="22">
        <f t="shared" si="0"/>
        <v>1.5553176752093697E-2</v>
      </c>
      <c r="G18" s="22"/>
      <c r="H18" s="8">
        <f>SUMIFS(SurveyData!AV:AV,SurveyData!AT:AT,'Route Purp Vehicle'!D18)</f>
        <v>3453.7903052652682</v>
      </c>
      <c r="I18" s="22">
        <f t="shared" si="1"/>
        <v>1.5541372553301363E-2</v>
      </c>
      <c r="J18" s="10"/>
      <c r="K18" s="24">
        <f t="shared" si="2"/>
        <v>1.1804198792333964E-5</v>
      </c>
      <c r="L18" s="15">
        <f t="shared" si="3"/>
        <v>1.2188622824942374E-3</v>
      </c>
      <c r="M18" s="5"/>
    </row>
    <row r="19" spans="2:13" x14ac:dyDescent="0.3">
      <c r="B19" s="27" t="s">
        <v>95</v>
      </c>
      <c r="C19" s="6" t="s">
        <v>96</v>
      </c>
      <c r="D19" s="6">
        <v>15</v>
      </c>
      <c r="E19" s="8">
        <f>SUMIFS(ModelData!AV:AV,ModelData!AT:AT,'Route Purp Vehicle'!D19)</f>
        <v>13612</v>
      </c>
      <c r="F19" s="22">
        <f t="shared" si="0"/>
        <v>6.1223204728021806E-2</v>
      </c>
      <c r="G19" s="22"/>
      <c r="H19" s="8">
        <f>SUMIFS(SurveyData!AV:AV,SurveyData!AT:AT,'Route Purp Vehicle'!D19)</f>
        <v>13542.889225974521</v>
      </c>
      <c r="I19" s="22">
        <f t="shared" si="1"/>
        <v>6.0940320142799063E-2</v>
      </c>
      <c r="J19" s="10"/>
      <c r="K19" s="24">
        <f t="shared" si="2"/>
        <v>2.828845852227424E-4</v>
      </c>
      <c r="L19" s="15">
        <f t="shared" si="3"/>
        <v>5.1031041362228358E-3</v>
      </c>
      <c r="M19" s="5"/>
    </row>
    <row r="20" spans="2:13" x14ac:dyDescent="0.3">
      <c r="B20" s="27" t="s">
        <v>97</v>
      </c>
      <c r="C20" s="6" t="s">
        <v>98</v>
      </c>
      <c r="D20" s="6">
        <v>16</v>
      </c>
      <c r="E20" s="8">
        <f>SUMIFS(ModelData!AV:AV,ModelData!AT:AT,'Route Purp Vehicle'!D20)</f>
        <v>50065</v>
      </c>
      <c r="F20" s="22">
        <f t="shared" si="0"/>
        <v>0.22517923484487304</v>
      </c>
      <c r="G20" s="22"/>
      <c r="H20" s="8">
        <f>SUMIFS(SurveyData!AV:AV,SurveyData!AT:AT,'Route Purp Vehicle'!D20)</f>
        <v>50408.813324747847</v>
      </c>
      <c r="I20" s="22">
        <f t="shared" si="1"/>
        <v>0.22682967945546928</v>
      </c>
      <c r="J20" s="10"/>
      <c r="K20" s="24">
        <f t="shared" si="2"/>
        <v>-1.6504446105962411E-3</v>
      </c>
      <c r="L20" s="15">
        <f t="shared" si="3"/>
        <v>-6.8205002671438697E-3</v>
      </c>
      <c r="M20" s="5"/>
    </row>
    <row r="21" spans="2:13" x14ac:dyDescent="0.3">
      <c r="B21" s="27" t="s">
        <v>99</v>
      </c>
      <c r="C21" s="6" t="s">
        <v>100</v>
      </c>
      <c r="D21" s="6">
        <v>17</v>
      </c>
      <c r="E21" s="8">
        <f>SUMIFS(ModelData!AV:AV,ModelData!AT:AT,'Route Purp Vehicle'!D21)</f>
        <v>6241</v>
      </c>
      <c r="F21" s="22">
        <f t="shared" si="0"/>
        <v>2.8070380598558924E-2</v>
      </c>
      <c r="G21" s="22"/>
      <c r="H21" s="8">
        <f>SUMIFS(SurveyData!AV:AV,SurveyData!AT:AT,'Route Purp Vehicle'!D21)</f>
        <v>6362.4266656208747</v>
      </c>
      <c r="I21" s="22">
        <f t="shared" si="1"/>
        <v>2.8629660290241166E-2</v>
      </c>
      <c r="J21" s="10"/>
      <c r="K21" s="24">
        <f t="shared" si="2"/>
        <v>-5.5927969168224206E-4</v>
      </c>
      <c r="L21" s="15">
        <f t="shared" si="3"/>
        <v>-1.9084961132361467E-2</v>
      </c>
      <c r="M21" s="5"/>
    </row>
    <row r="22" spans="2:13" x14ac:dyDescent="0.3">
      <c r="B22" s="27" t="s">
        <v>101</v>
      </c>
      <c r="C22" s="6" t="s">
        <v>102</v>
      </c>
      <c r="D22" s="6">
        <v>18</v>
      </c>
      <c r="E22" s="8">
        <f>SUMIFS(ModelData!AV:AV,ModelData!AT:AT,'Route Purp Vehicle'!D22)</f>
        <v>23040</v>
      </c>
      <c r="F22" s="22">
        <f t="shared" si="0"/>
        <v>0.10362787517878506</v>
      </c>
      <c r="G22" s="22"/>
      <c r="H22" s="8">
        <f>SUMIFS(SurveyData!AV:AV,SurveyData!AT:AT,'Route Purp Vehicle'!D22)</f>
        <v>23152.813419829141</v>
      </c>
      <c r="I22" s="22">
        <f t="shared" si="1"/>
        <v>0.10418307633387244</v>
      </c>
      <c r="J22" s="10"/>
      <c r="K22" s="24">
        <f t="shared" si="2"/>
        <v>-5.5520115508737866E-4</v>
      </c>
      <c r="L22" s="15">
        <f t="shared" si="3"/>
        <v>-4.8725577226188532E-3</v>
      </c>
      <c r="M22" s="5"/>
    </row>
    <row r="23" spans="2:13" x14ac:dyDescent="0.3">
      <c r="B23" s="27" t="s">
        <v>103</v>
      </c>
      <c r="C23" s="6" t="s">
        <v>104</v>
      </c>
      <c r="D23" s="6">
        <v>19</v>
      </c>
      <c r="E23" s="8">
        <f>SUMIFS(ModelData!AV:AV,ModelData!AT:AT,'Route Purp Vehicle'!D23)</f>
        <v>16164</v>
      </c>
      <c r="F23" s="22">
        <f t="shared" si="0"/>
        <v>7.2701431180116405E-2</v>
      </c>
      <c r="G23" s="22"/>
      <c r="H23" s="8">
        <f>SUMIFS(SurveyData!AV:AV,SurveyData!AT:AT,'Route Purp Vehicle'!D23)</f>
        <v>15970.5251253076</v>
      </c>
      <c r="I23" s="22">
        <f t="shared" si="1"/>
        <v>7.1864201039038483E-2</v>
      </c>
      <c r="J23" s="10"/>
      <c r="K23" s="24">
        <f t="shared" si="2"/>
        <v>8.3723014107792149E-4</v>
      </c>
      <c r="L23" s="15">
        <f t="shared" si="3"/>
        <v>1.2114496747875236E-2</v>
      </c>
      <c r="M23" s="5"/>
    </row>
    <row r="24" spans="2:13" x14ac:dyDescent="0.3">
      <c r="B24" s="27" t="s">
        <v>105</v>
      </c>
      <c r="C24" s="6" t="s">
        <v>106</v>
      </c>
      <c r="D24" s="6">
        <v>20</v>
      </c>
      <c r="E24" s="8">
        <f>SUMIFS(ModelData!AV:AV,ModelData!AT:AT,'Route Purp Vehicle'!D24)</f>
        <v>594</v>
      </c>
      <c r="F24" s="22">
        <f t="shared" si="0"/>
        <v>2.6716561569530527E-3</v>
      </c>
      <c r="G24" s="22"/>
      <c r="H24" s="8">
        <f>SUMIFS(SurveyData!AV:AV,SurveyData!AT:AT,'Route Purp Vehicle'!D24)</f>
        <v>593.98680365360974</v>
      </c>
      <c r="I24" s="22">
        <f t="shared" si="1"/>
        <v>2.6728230122287058E-3</v>
      </c>
      <c r="J24" s="10"/>
      <c r="K24" s="24">
        <f t="shared" si="2"/>
        <v>-1.1668552756531787E-6</v>
      </c>
      <c r="L24" s="15">
        <f t="shared" si="3"/>
        <v>2.2216564928845273E-5</v>
      </c>
      <c r="M24" s="5"/>
    </row>
    <row r="25" spans="2:13" x14ac:dyDescent="0.3">
      <c r="B25" s="27" t="s">
        <v>107</v>
      </c>
      <c r="C25" s="6" t="s">
        <v>108</v>
      </c>
      <c r="D25" s="6">
        <v>21</v>
      </c>
      <c r="E25" s="8">
        <f>SUMIFS(ModelData!AV:AV,ModelData!AT:AT,'Route Purp Vehicle'!D25)</f>
        <v>3534</v>
      </c>
      <c r="F25" s="22">
        <f t="shared" si="0"/>
        <v>1.5895004812579272E-2</v>
      </c>
      <c r="G25" s="22"/>
      <c r="H25" s="8">
        <f>SUMIFS(SurveyData!AV:AV,SurveyData!AT:AT,'Route Purp Vehicle'!D25)</f>
        <v>3535.0977749027702</v>
      </c>
      <c r="I25" s="22">
        <f t="shared" si="1"/>
        <v>1.5907240068499452E-2</v>
      </c>
      <c r="J25" s="10"/>
      <c r="K25" s="24">
        <f t="shared" si="2"/>
        <v>-1.223525592018021E-5</v>
      </c>
      <c r="L25" s="15">
        <f t="shared" si="3"/>
        <v>-3.1053593780738797E-4</v>
      </c>
      <c r="M25" s="5"/>
    </row>
    <row r="26" spans="2:13" x14ac:dyDescent="0.3">
      <c r="B26" s="1"/>
      <c r="C26" s="6" t="s">
        <v>27</v>
      </c>
      <c r="D26" s="6"/>
      <c r="E26" s="8">
        <f>SUM(E5:E25)</f>
        <v>222334</v>
      </c>
      <c r="F26" s="22">
        <f>SUM(F5:F25)</f>
        <v>1</v>
      </c>
      <c r="G26" s="23"/>
      <c r="H26" s="8">
        <v>222232</v>
      </c>
      <c r="I26" s="22">
        <f>SUM(I5:I25)</f>
        <v>0.9999988295972474</v>
      </c>
      <c r="J26" s="10"/>
      <c r="K26" s="9">
        <f t="shared" si="2"/>
        <v>1.1704027526038274E-6</v>
      </c>
      <c r="L26" s="15">
        <f t="shared" si="3"/>
        <v>4.5897980488862622E-4</v>
      </c>
      <c r="M26" s="5"/>
    </row>
    <row r="29" spans="2:13" x14ac:dyDescent="0.3">
      <c r="C29" s="60" t="s">
        <v>109</v>
      </c>
    </row>
    <row r="30" spans="2:13" ht="28.8" x14ac:dyDescent="0.3">
      <c r="C30" s="31" t="s">
        <v>110</v>
      </c>
      <c r="D30" s="31" t="s">
        <v>63</v>
      </c>
      <c r="E30" s="31" t="s">
        <v>2</v>
      </c>
      <c r="F30" s="34" t="s">
        <v>64</v>
      </c>
      <c r="G30" s="31"/>
      <c r="H30" s="32" t="s">
        <v>3</v>
      </c>
      <c r="I30" s="35" t="s">
        <v>65</v>
      </c>
      <c r="J30" s="28"/>
      <c r="K30" s="33" t="s">
        <v>66</v>
      </c>
      <c r="L30" s="28" t="s">
        <v>21</v>
      </c>
    </row>
    <row r="31" spans="2:13" x14ac:dyDescent="0.3">
      <c r="C31" s="10" t="s">
        <v>111</v>
      </c>
      <c r="D31" s="10"/>
      <c r="E31" s="36">
        <f>SUM(E5:E13)</f>
        <v>50481</v>
      </c>
      <c r="F31" s="24">
        <f t="shared" ref="F31:H31" si="4">SUM(F5:F13)</f>
        <v>0.22705029370226776</v>
      </c>
      <c r="G31" s="36"/>
      <c r="H31" s="36">
        <f>SUM(H5:H13)</f>
        <v>50616.961878279224</v>
      </c>
      <c r="I31" s="24">
        <f t="shared" ref="I31" si="5">SUM(I5:I13)</f>
        <v>0.22776630673476023</v>
      </c>
      <c r="J31" s="36"/>
      <c r="K31" s="37">
        <f>F31-I31</f>
        <v>-7.160130324924685E-4</v>
      </c>
      <c r="L31" s="15">
        <f>E31/H31-1</f>
        <v>-2.6860932231803636E-3</v>
      </c>
    </row>
    <row r="32" spans="2:13" x14ac:dyDescent="0.3">
      <c r="C32" s="10" t="s">
        <v>112</v>
      </c>
      <c r="D32" s="10"/>
      <c r="E32" s="36">
        <f>SUM(E14:E16)</f>
        <v>21274</v>
      </c>
      <c r="F32" s="24">
        <f t="shared" ref="F32:H32" si="6">SUM(F14:F16)</f>
        <v>9.5684870510133413E-2</v>
      </c>
      <c r="G32" s="36"/>
      <c r="H32" s="36">
        <f t="shared" si="6"/>
        <v>21200.754494281384</v>
      </c>
      <c r="I32" s="24">
        <f t="shared" ref="I32" si="7">SUM(I14:I16)</f>
        <v>9.539919765956921E-2</v>
      </c>
      <c r="J32" s="36"/>
      <c r="K32" s="37">
        <f t="shared" ref="K32:K47" si="8">F32-I32</f>
        <v>2.8567285056420311E-4</v>
      </c>
      <c r="L32" s="15">
        <f t="shared" ref="L32:L47" si="9">E32/H32-1</f>
        <v>3.4548537288319192E-3</v>
      </c>
    </row>
    <row r="33" spans="3:12" x14ac:dyDescent="0.3">
      <c r="C33" s="10" t="s">
        <v>6</v>
      </c>
      <c r="D33" s="10"/>
      <c r="E33" s="36">
        <f>SUM(E17:E25)</f>
        <v>150579</v>
      </c>
      <c r="F33" s="24">
        <f t="shared" ref="F33:H33" si="10">SUM(F17:F25)</f>
        <v>0.67726483578759877</v>
      </c>
      <c r="G33" s="36"/>
      <c r="H33" s="36">
        <f t="shared" si="10"/>
        <v>150414.02352649489</v>
      </c>
      <c r="I33" s="24">
        <f t="shared" ref="I33" si="11">SUM(I17:I25)</f>
        <v>0.67683332520291795</v>
      </c>
      <c r="J33" s="36"/>
      <c r="K33" s="37">
        <f t="shared" si="8"/>
        <v>4.3151058468082759E-4</v>
      </c>
      <c r="L33" s="15">
        <f t="shared" si="9"/>
        <v>1.0968157731385819E-3</v>
      </c>
    </row>
    <row r="34" spans="3:12" s="25" customFormat="1" x14ac:dyDescent="0.3">
      <c r="C34" s="18" t="s">
        <v>27</v>
      </c>
      <c r="D34" s="18"/>
      <c r="E34" s="38">
        <f>SUM(E31:E33)</f>
        <v>222334</v>
      </c>
      <c r="F34" s="39">
        <f t="shared" ref="F34:H34" si="12">SUM(F31:F33)</f>
        <v>1</v>
      </c>
      <c r="G34" s="38"/>
      <c r="H34" s="38">
        <f t="shared" si="12"/>
        <v>222231.73989905551</v>
      </c>
      <c r="I34" s="39">
        <f t="shared" ref="I34" si="13">SUM(I31:I33)</f>
        <v>0.9999988295972474</v>
      </c>
      <c r="J34" s="38"/>
      <c r="K34" s="40">
        <f t="shared" si="8"/>
        <v>1.1704027526038274E-6</v>
      </c>
      <c r="L34" s="41">
        <f t="shared" si="9"/>
        <v>4.6015074620275875E-4</v>
      </c>
    </row>
    <row r="35" spans="3:12" x14ac:dyDescent="0.3">
      <c r="K35" s="12"/>
      <c r="L35" s="13"/>
    </row>
    <row r="36" spans="3:12" ht="28.8" x14ac:dyDescent="0.3">
      <c r="C36" s="31" t="s">
        <v>113</v>
      </c>
      <c r="D36" s="31" t="s">
        <v>63</v>
      </c>
      <c r="E36" s="31" t="s">
        <v>2</v>
      </c>
      <c r="F36" s="34" t="s">
        <v>64</v>
      </c>
      <c r="G36" s="31"/>
      <c r="H36" s="32" t="s">
        <v>3</v>
      </c>
      <c r="I36" s="35" t="s">
        <v>65</v>
      </c>
      <c r="J36" s="28"/>
      <c r="K36" s="33" t="s">
        <v>66</v>
      </c>
      <c r="L36" s="28" t="s">
        <v>21</v>
      </c>
    </row>
    <row r="37" spans="3:12" x14ac:dyDescent="0.3">
      <c r="C37" s="10" t="s">
        <v>114</v>
      </c>
      <c r="D37" s="10"/>
      <c r="E37" s="36">
        <f>E5+E6+E7+E17+E18+E19</f>
        <v>66653</v>
      </c>
      <c r="F37" s="24">
        <f t="shared" ref="F37:I37" si="14">F5+F6+F7+F17+F18+F19</f>
        <v>0.29978770678348793</v>
      </c>
      <c r="G37" s="36"/>
      <c r="H37" s="36">
        <f t="shared" si="14"/>
        <v>66104.922253948258</v>
      </c>
      <c r="I37" s="24">
        <f t="shared" si="14"/>
        <v>0.29745906194404165</v>
      </c>
      <c r="J37" s="36"/>
      <c r="K37" s="37">
        <f t="shared" si="8"/>
        <v>2.3286448394462811E-3</v>
      </c>
      <c r="L37" s="15">
        <f>E37/H37-1</f>
        <v>8.2910277686469858E-3</v>
      </c>
    </row>
    <row r="38" spans="3:12" x14ac:dyDescent="0.3">
      <c r="C38" s="10" t="s">
        <v>115</v>
      </c>
      <c r="D38" s="10"/>
      <c r="E38" s="36">
        <f>E11+E12+E13+E23+E24+E25</f>
        <v>32856</v>
      </c>
      <c r="F38" s="24">
        <f t="shared" ref="F38:I38" si="15">F11+F12+F13+F23+F24+F25</f>
        <v>0.14777766783307997</v>
      </c>
      <c r="G38" s="36"/>
      <c r="H38" s="36">
        <f t="shared" si="15"/>
        <v>32637.391895773402</v>
      </c>
      <c r="I38" s="24">
        <f t="shared" si="15"/>
        <v>0.14686180161170939</v>
      </c>
      <c r="J38" s="36"/>
      <c r="K38" s="37">
        <f t="shared" si="8"/>
        <v>9.1586622137057594E-4</v>
      </c>
      <c r="L38" s="15">
        <f t="shared" si="9"/>
        <v>6.6980874245319288E-3</v>
      </c>
    </row>
    <row r="39" spans="3:12" x14ac:dyDescent="0.3">
      <c r="C39" s="10" t="s">
        <v>116</v>
      </c>
      <c r="D39" s="10"/>
      <c r="E39" s="36">
        <f>E8+E9+E10+E20+E21+E22</f>
        <v>101551</v>
      </c>
      <c r="F39" s="24">
        <f t="shared" ref="F39:I39" si="16">F8+F9+F10+F20+F21+F22</f>
        <v>0.45674975487329877</v>
      </c>
      <c r="G39" s="36"/>
      <c r="H39" s="36">
        <f t="shared" si="16"/>
        <v>102288.67125505244</v>
      </c>
      <c r="I39" s="24">
        <f t="shared" si="16"/>
        <v>0.46027876838192716</v>
      </c>
      <c r="J39" s="36"/>
      <c r="K39" s="37">
        <f t="shared" si="8"/>
        <v>-3.5290135086283869E-3</v>
      </c>
      <c r="L39" s="15">
        <f t="shared" si="9"/>
        <v>-7.2116613306383304E-3</v>
      </c>
    </row>
    <row r="40" spans="3:12" x14ac:dyDescent="0.3">
      <c r="C40" s="10" t="s">
        <v>117</v>
      </c>
      <c r="D40" s="10"/>
      <c r="E40" s="36">
        <f>E14+E15+E16</f>
        <v>21274</v>
      </c>
      <c r="F40" s="24">
        <f t="shared" ref="F40:L40" si="17">F14+F15+F16</f>
        <v>9.5684870510133413E-2</v>
      </c>
      <c r="G40" s="36"/>
      <c r="H40" s="36">
        <f t="shared" si="17"/>
        <v>21200.754494281384</v>
      </c>
      <c r="I40" s="24">
        <f t="shared" si="17"/>
        <v>9.539919765956921E-2</v>
      </c>
      <c r="J40" s="36"/>
      <c r="K40" s="24">
        <f t="shared" si="17"/>
        <v>2.8567285056418056E-4</v>
      </c>
      <c r="L40" s="15">
        <f t="shared" si="17"/>
        <v>-1.9489462329825624E-2</v>
      </c>
    </row>
    <row r="41" spans="3:12" s="25" customFormat="1" x14ac:dyDescent="0.3">
      <c r="C41" s="18" t="s">
        <v>27</v>
      </c>
      <c r="D41" s="18"/>
      <c r="E41" s="38">
        <f>SUM(E37:E40)</f>
        <v>222334</v>
      </c>
      <c r="F41" s="42">
        <f>SUM(F37:F40)</f>
        <v>1</v>
      </c>
      <c r="G41" s="38"/>
      <c r="H41" s="38">
        <f>SUM(H37:H40)</f>
        <v>222231.73989905545</v>
      </c>
      <c r="I41" s="39">
        <f>SUM(I37:I40)</f>
        <v>0.9999988295972474</v>
      </c>
      <c r="J41" s="38"/>
      <c r="K41" s="40">
        <f t="shared" si="8"/>
        <v>1.1704027526038274E-6</v>
      </c>
      <c r="L41" s="41">
        <f>E41/H41-1</f>
        <v>4.601507462029808E-4</v>
      </c>
    </row>
    <row r="42" spans="3:12" x14ac:dyDescent="0.3">
      <c r="K42" s="12"/>
      <c r="L42" s="13"/>
    </row>
    <row r="43" spans="3:12" ht="28.8" x14ac:dyDescent="0.3">
      <c r="C43" s="31" t="s">
        <v>118</v>
      </c>
      <c r="D43" s="31" t="s">
        <v>63</v>
      </c>
      <c r="E43" s="31" t="s">
        <v>2</v>
      </c>
      <c r="F43" s="34" t="s">
        <v>64</v>
      </c>
      <c r="G43" s="31"/>
      <c r="H43" s="32" t="s">
        <v>3</v>
      </c>
      <c r="I43" s="35" t="s">
        <v>65</v>
      </c>
      <c r="J43" s="28"/>
      <c r="K43" s="33" t="s">
        <v>66</v>
      </c>
      <c r="L43" s="28" t="s">
        <v>21</v>
      </c>
    </row>
    <row r="44" spans="3:12" x14ac:dyDescent="0.3">
      <c r="C44" s="10" t="s">
        <v>119</v>
      </c>
      <c r="D44" s="10"/>
      <c r="E44" s="36">
        <f t="shared" ref="E44:F46" si="18">E5+E8+E11+E14+E17+E20+E23</f>
        <v>133404</v>
      </c>
      <c r="F44" s="24">
        <f t="shared" si="18"/>
        <v>0.60001619185549671</v>
      </c>
      <c r="G44" s="36"/>
      <c r="H44" s="36">
        <f t="shared" ref="H44:I46" si="19">H5+H8+H11+H14+H17+H20+H23</f>
        <v>132925.1925213199</v>
      </c>
      <c r="I44" s="24">
        <f t="shared" si="19"/>
        <v>0.5981370483158136</v>
      </c>
      <c r="J44" s="36"/>
      <c r="K44" s="37">
        <f t="shared" si="8"/>
        <v>1.8791435396831035E-3</v>
      </c>
      <c r="L44" s="15">
        <f t="shared" si="9"/>
        <v>3.6020822659579288E-3</v>
      </c>
    </row>
    <row r="45" spans="3:12" x14ac:dyDescent="0.3">
      <c r="C45" s="10" t="s">
        <v>120</v>
      </c>
      <c r="D45" s="10"/>
      <c r="E45" s="36">
        <f t="shared" si="18"/>
        <v>30357</v>
      </c>
      <c r="F45" s="24">
        <f t="shared" si="18"/>
        <v>0.13653782147579768</v>
      </c>
      <c r="G45" s="36"/>
      <c r="H45" s="36">
        <f t="shared" si="19"/>
        <v>30643.808295625779</v>
      </c>
      <c r="I45" s="24">
        <f t="shared" si="19"/>
        <v>0.1378910701232306</v>
      </c>
      <c r="J45" s="36"/>
      <c r="K45" s="37">
        <f t="shared" si="8"/>
        <v>-1.3532486474329142E-3</v>
      </c>
      <c r="L45" s="15">
        <f t="shared" si="9"/>
        <v>-9.359420763205839E-3</v>
      </c>
    </row>
    <row r="46" spans="3:12" x14ac:dyDescent="0.3">
      <c r="C46" s="10" t="s">
        <v>121</v>
      </c>
      <c r="D46" s="10"/>
      <c r="E46" s="36">
        <f t="shared" si="18"/>
        <v>58573</v>
      </c>
      <c r="F46" s="24">
        <f t="shared" si="18"/>
        <v>0.26344598666870561</v>
      </c>
      <c r="G46" s="36"/>
      <c r="H46" s="36">
        <f t="shared" si="19"/>
        <v>58662.739082109816</v>
      </c>
      <c r="I46" s="24">
        <f t="shared" si="19"/>
        <v>0.26397071115820325</v>
      </c>
      <c r="J46" s="36"/>
      <c r="K46" s="37">
        <f t="shared" si="8"/>
        <v>-5.2472448949764106E-4</v>
      </c>
      <c r="L46" s="15">
        <f t="shared" si="9"/>
        <v>-1.5297458576595258E-3</v>
      </c>
    </row>
    <row r="47" spans="3:12" s="25" customFormat="1" x14ac:dyDescent="0.3">
      <c r="C47" s="18" t="s">
        <v>27</v>
      </c>
      <c r="D47" s="18"/>
      <c r="E47" s="38">
        <f>SUM(E44:E46)</f>
        <v>222334</v>
      </c>
      <c r="F47" s="39">
        <f t="shared" ref="F47:I47" si="20">SUM(F44:F46)</f>
        <v>1</v>
      </c>
      <c r="G47" s="38"/>
      <c r="H47" s="38">
        <f t="shared" si="20"/>
        <v>222231.73989905551</v>
      </c>
      <c r="I47" s="39">
        <f t="shared" si="20"/>
        <v>0.99999882959724751</v>
      </c>
      <c r="J47" s="38"/>
      <c r="K47" s="40">
        <f t="shared" si="8"/>
        <v>1.1704027524928051E-6</v>
      </c>
      <c r="L47" s="41">
        <f t="shared" si="9"/>
        <v>4.6015074620275875E-4</v>
      </c>
    </row>
  </sheetData>
  <conditionalFormatting sqref="L5:L2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5E9F-E32C-412F-B12B-43F1DB44B054}">
  <dimension ref="B1:L51"/>
  <sheetViews>
    <sheetView topLeftCell="A4" workbookViewId="0">
      <selection activeCell="J30" sqref="J30"/>
    </sheetView>
  </sheetViews>
  <sheetFormatPr defaultRowHeight="14.4" x14ac:dyDescent="0.3"/>
  <cols>
    <col min="2" max="2" width="10" bestFit="1" customWidth="1"/>
    <col min="4" max="4" width="25.44140625" style="2" bestFit="1" customWidth="1"/>
    <col min="5" max="5" width="12" bestFit="1" customWidth="1"/>
    <col min="7" max="7" width="11.77734375" bestFit="1" customWidth="1"/>
    <col min="8" max="8" width="13.5546875" style="2" bestFit="1" customWidth="1"/>
    <col min="9" max="9" width="12" bestFit="1" customWidth="1"/>
    <col min="10" max="10" width="17.44140625" customWidth="1"/>
    <col min="11" max="11" width="14.77734375" bestFit="1" customWidth="1"/>
    <col min="12" max="12" width="10.44140625" bestFit="1" customWidth="1"/>
  </cols>
  <sheetData>
    <row r="1" spans="2:12" x14ac:dyDescent="0.3">
      <c r="B1" s="25"/>
      <c r="C1" s="25"/>
      <c r="D1" s="48" t="s">
        <v>2</v>
      </c>
      <c r="E1" s="25"/>
    </row>
    <row r="2" spans="2:12" x14ac:dyDescent="0.3">
      <c r="B2" s="18" t="s">
        <v>122</v>
      </c>
      <c r="C2" s="18" t="s">
        <v>123</v>
      </c>
      <c r="D2" s="19" t="s">
        <v>124</v>
      </c>
      <c r="E2" s="18" t="s">
        <v>125</v>
      </c>
      <c r="G2" s="119" t="s">
        <v>126</v>
      </c>
    </row>
    <row r="3" spans="2:12" x14ac:dyDescent="0.3">
      <c r="B3" s="10">
        <v>1</v>
      </c>
      <c r="C3" s="52">
        <v>0.125</v>
      </c>
      <c r="D3" s="7">
        <f>SUMIFS(ModelData!AZ:AZ,ModelData!AY:AY,'Route Start Time'!B3)</f>
        <v>1246</v>
      </c>
      <c r="E3" s="24">
        <f>D3/$D$51</f>
        <v>5.4805366175500331E-3</v>
      </c>
      <c r="H3" s="133" t="s">
        <v>2</v>
      </c>
      <c r="I3" s="133"/>
      <c r="J3" s="134" t="s">
        <v>3</v>
      </c>
      <c r="K3" s="134"/>
    </row>
    <row r="4" spans="2:12" x14ac:dyDescent="0.3">
      <c r="B4" s="10">
        <v>2</v>
      </c>
      <c r="C4" s="52">
        <v>0.14583333333333301</v>
      </c>
      <c r="D4" s="7">
        <f>SUMIFS(ModelData!AZ:AZ,ModelData!AY:AY,'Route Start Time'!B4)</f>
        <v>1549</v>
      </c>
      <c r="E4" s="24">
        <f t="shared" ref="E4:E50" si="0">D4/$D$51</f>
        <v>6.813283483615571E-3</v>
      </c>
      <c r="G4" s="18" t="s">
        <v>127</v>
      </c>
      <c r="H4" s="120" t="s">
        <v>128</v>
      </c>
      <c r="I4" s="121" t="s">
        <v>129</v>
      </c>
      <c r="J4" s="121" t="s">
        <v>130</v>
      </c>
      <c r="K4" s="121" t="s">
        <v>131</v>
      </c>
      <c r="L4" s="86" t="s">
        <v>4</v>
      </c>
    </row>
    <row r="5" spans="2:12" x14ac:dyDescent="0.3">
      <c r="B5" s="10">
        <v>3</v>
      </c>
      <c r="C5" s="52">
        <v>0.16666666666666699</v>
      </c>
      <c r="D5" s="7">
        <f>SUMIFS(ModelData!AZ:AZ,ModelData!AY:AY,'Route Start Time'!B5)</f>
        <v>1967</v>
      </c>
      <c r="E5" s="24">
        <f t="shared" si="0"/>
        <v>8.6518583681548279E-3</v>
      </c>
      <c r="G5" s="18" t="s">
        <v>132</v>
      </c>
      <c r="H5" s="116">
        <f>SUMIFS(ModelData!BE:BE,ModelData!BD:BD,'Route Start Time'!G5)</f>
        <v>101056</v>
      </c>
      <c r="I5" s="115">
        <f>H5/$H$10</f>
        <v>0.4444952716076534</v>
      </c>
      <c r="J5" s="84">
        <v>101823.99</v>
      </c>
      <c r="K5" s="89">
        <f t="shared" ref="K5:K10" si="1">J5/$J$10</f>
        <v>0.4581883272888016</v>
      </c>
      <c r="L5" s="89">
        <f t="shared" ref="L5:L10" si="2">I5-K5</f>
        <v>-1.3693055681148203E-2</v>
      </c>
    </row>
    <row r="6" spans="2:12" x14ac:dyDescent="0.3">
      <c r="B6" s="10">
        <v>4</v>
      </c>
      <c r="C6" s="52">
        <v>0.1875</v>
      </c>
      <c r="D6" s="7">
        <f>SUMIFS(ModelData!AZ:AZ,ModelData!AY:AY,'Route Start Time'!B6)</f>
        <v>2379</v>
      </c>
      <c r="E6" s="24">
        <f t="shared" si="0"/>
        <v>1.0464042225643282E-2</v>
      </c>
      <c r="G6" s="18" t="s">
        <v>133</v>
      </c>
      <c r="H6" s="116">
        <f>SUMIFS(ModelData!BE:BE,ModelData!BD:BD,'Route Start Time'!G6)</f>
        <v>96105</v>
      </c>
      <c r="I6" s="115">
        <f>H6/$H$10</f>
        <v>0.42271827578623267</v>
      </c>
      <c r="J6" s="84">
        <v>91342.038</v>
      </c>
      <c r="K6" s="89">
        <f t="shared" si="1"/>
        <v>0.41102156380210741</v>
      </c>
      <c r="L6" s="89">
        <f t="shared" si="2"/>
        <v>1.1696711984125252E-2</v>
      </c>
    </row>
    <row r="7" spans="2:12" x14ac:dyDescent="0.3">
      <c r="B7" s="10">
        <v>5</v>
      </c>
      <c r="C7" s="52">
        <v>0.20833333333333301</v>
      </c>
      <c r="D7" s="7">
        <f>SUMIFS(ModelData!AZ:AZ,ModelData!AY:AY,'Route Start Time'!B7)</f>
        <v>3361</v>
      </c>
      <c r="E7" s="24">
        <f t="shared" si="0"/>
        <v>1.4783373652957994E-2</v>
      </c>
      <c r="G7" s="18" t="s">
        <v>134</v>
      </c>
      <c r="H7" s="116">
        <f>SUMIFS(ModelData!BE:BE,ModelData!BD:BD,'Route Start Time'!G7)</f>
        <v>8549</v>
      </c>
      <c r="I7" s="115">
        <f>H7/$H$10</f>
        <v>3.7602815042885422E-2</v>
      </c>
      <c r="J7" s="84">
        <v>7167.3089</v>
      </c>
      <c r="K7" s="89">
        <f t="shared" si="1"/>
        <v>3.2251508471168144E-2</v>
      </c>
      <c r="L7" s="89">
        <f t="shared" si="2"/>
        <v>5.3513065717172778E-3</v>
      </c>
    </row>
    <row r="8" spans="2:12" x14ac:dyDescent="0.3">
      <c r="B8" s="10">
        <v>6</v>
      </c>
      <c r="C8" s="52">
        <v>0.22916666666666699</v>
      </c>
      <c r="D8" s="7">
        <f>SUMIFS(ModelData!AZ:AZ,ModelData!AY:AY,'Route Start Time'!B8)</f>
        <v>5055</v>
      </c>
      <c r="E8" s="24">
        <f t="shared" si="0"/>
        <v>2.2234440290301298E-2</v>
      </c>
      <c r="G8" s="18" t="s">
        <v>135</v>
      </c>
      <c r="H8" s="116">
        <f>SUMIFS(ModelData!BE:BE,ModelData!BD:BD,'Route Start Time'!G8)</f>
        <v>6083</v>
      </c>
      <c r="I8" s="115">
        <f>H8/$H$10</f>
        <v>2.67561029250055E-2</v>
      </c>
      <c r="J8" s="84">
        <v>5768.1437999999998</v>
      </c>
      <c r="K8" s="89">
        <f t="shared" si="1"/>
        <v>2.5955535225866432E-2</v>
      </c>
      <c r="L8" s="89">
        <f t="shared" si="2"/>
        <v>8.0056769913906811E-4</v>
      </c>
    </row>
    <row r="9" spans="2:12" x14ac:dyDescent="0.3">
      <c r="B9" s="10">
        <v>7</v>
      </c>
      <c r="C9" s="52">
        <v>0.25</v>
      </c>
      <c r="D9" s="7">
        <f>SUMIFS(ModelData!AZ:AZ,ModelData!AY:AY,'Route Start Time'!B9)</f>
        <v>7850</v>
      </c>
      <c r="E9" s="24">
        <f t="shared" si="0"/>
        <v>3.4528260391466899E-2</v>
      </c>
      <c r="G9" s="18" t="s">
        <v>136</v>
      </c>
      <c r="H9" s="116">
        <f>SUMIFS(ModelData!BE:BE,ModelData!BD:BD,'Route Start Time'!G9)</f>
        <v>15557</v>
      </c>
      <c r="I9" s="115">
        <f>H9/$H$10</f>
        <v>6.8427534638223E-2</v>
      </c>
      <c r="J9" s="84">
        <v>16130.261</v>
      </c>
      <c r="K9" s="89">
        <f t="shared" si="1"/>
        <v>7.2583065212056527E-2</v>
      </c>
      <c r="L9" s="89">
        <f t="shared" si="2"/>
        <v>-4.1555305738335269E-3</v>
      </c>
    </row>
    <row r="10" spans="2:12" x14ac:dyDescent="0.3">
      <c r="B10" s="10">
        <v>8</v>
      </c>
      <c r="C10" s="52">
        <v>0.27083333333333298</v>
      </c>
      <c r="D10" s="7">
        <f>SUMIFS(ModelData!AZ:AZ,ModelData!AY:AY,'Route Start Time'!B10)</f>
        <v>12202</v>
      </c>
      <c r="E10" s="24">
        <f t="shared" si="0"/>
        <v>5.3670552012315811E-2</v>
      </c>
      <c r="G10" s="18" t="s">
        <v>27</v>
      </c>
      <c r="H10" s="117">
        <f>SUM(H5:H9)</f>
        <v>227350</v>
      </c>
      <c r="I10" s="91">
        <f>SUM(I5:I9)</f>
        <v>1</v>
      </c>
      <c r="J10" s="87">
        <f>SUM(J5:J9)</f>
        <v>222231.74169999998</v>
      </c>
      <c r="K10" s="91">
        <f t="shared" si="1"/>
        <v>1</v>
      </c>
      <c r="L10" s="91">
        <f t="shared" si="2"/>
        <v>0</v>
      </c>
    </row>
    <row r="11" spans="2:12" x14ac:dyDescent="0.3">
      <c r="B11" s="10">
        <v>9</v>
      </c>
      <c r="C11" s="52">
        <v>0.29166666666666702</v>
      </c>
      <c r="D11" s="7">
        <f>SUMIFS(ModelData!AZ:AZ,ModelData!AY:AY,'Route Start Time'!B11)</f>
        <v>17153</v>
      </c>
      <c r="E11" s="24">
        <f t="shared" si="0"/>
        <v>7.5447547833736528E-2</v>
      </c>
    </row>
    <row r="12" spans="2:12" x14ac:dyDescent="0.3">
      <c r="B12" s="10">
        <v>10</v>
      </c>
      <c r="C12" s="52">
        <v>0.3125</v>
      </c>
      <c r="D12" s="7">
        <f>SUMIFS(ModelData!AZ:AZ,ModelData!AY:AY,'Route Start Time'!B12)</f>
        <v>21411</v>
      </c>
      <c r="E12" s="24">
        <f t="shared" si="0"/>
        <v>9.4176380030789528E-2</v>
      </c>
    </row>
    <row r="13" spans="2:12" x14ac:dyDescent="0.3">
      <c r="B13" s="10">
        <v>11</v>
      </c>
      <c r="C13" s="52">
        <v>0.33333333333333298</v>
      </c>
      <c r="D13" s="7">
        <f>SUMIFS(ModelData!AZ:AZ,ModelData!AY:AY,'Route Start Time'!B13)</f>
        <v>22305</v>
      </c>
      <c r="E13" s="24">
        <f t="shared" si="0"/>
        <v>9.8108643061359135E-2</v>
      </c>
    </row>
    <row r="14" spans="2:12" x14ac:dyDescent="0.3">
      <c r="B14" s="10">
        <v>12</v>
      </c>
      <c r="C14" s="52">
        <v>0.35416666666666702</v>
      </c>
      <c r="D14" s="7">
        <f>SUMIFS(ModelData!AZ:AZ,ModelData!AY:AY,'Route Start Time'!B14)</f>
        <v>20135</v>
      </c>
      <c r="E14" s="24">
        <f t="shared" si="0"/>
        <v>8.8563888277985489E-2</v>
      </c>
      <c r="G14" s="119" t="s">
        <v>137</v>
      </c>
    </row>
    <row r="15" spans="2:12" x14ac:dyDescent="0.3">
      <c r="B15" s="10">
        <v>13</v>
      </c>
      <c r="C15" s="52">
        <v>0.375</v>
      </c>
      <c r="D15" s="7">
        <f>SUMIFS(ModelData!AZ:AZ,ModelData!AY:AY,'Route Start Time'!B15)</f>
        <v>16779</v>
      </c>
      <c r="E15" s="24">
        <f t="shared" si="0"/>
        <v>7.3802507147569821E-2</v>
      </c>
      <c r="H15" s="135" t="s">
        <v>2</v>
      </c>
      <c r="I15" s="135"/>
      <c r="J15" s="136" t="s">
        <v>3</v>
      </c>
      <c r="K15" s="136"/>
    </row>
    <row r="16" spans="2:12" x14ac:dyDescent="0.3">
      <c r="B16" s="10">
        <v>14</v>
      </c>
      <c r="C16" s="52">
        <v>0.39583333333333298</v>
      </c>
      <c r="D16" s="7">
        <f>SUMIFS(ModelData!AZ:AZ,ModelData!AY:AY,'Route Start Time'!B16)</f>
        <v>14919</v>
      </c>
      <c r="E16" s="24">
        <f t="shared" si="0"/>
        <v>6.5621288761820981E-2</v>
      </c>
      <c r="G16" s="18" t="s">
        <v>127</v>
      </c>
      <c r="H16" s="120" t="s">
        <v>128</v>
      </c>
      <c r="I16" s="121" t="s">
        <v>129</v>
      </c>
      <c r="J16" s="122" t="s">
        <v>130</v>
      </c>
      <c r="K16" s="121" t="s">
        <v>131</v>
      </c>
      <c r="L16" s="86" t="s">
        <v>4</v>
      </c>
    </row>
    <row r="17" spans="2:12" x14ac:dyDescent="0.3">
      <c r="B17" s="10">
        <v>15</v>
      </c>
      <c r="C17" s="52">
        <v>0.41666666666666702</v>
      </c>
      <c r="D17" s="7">
        <f>SUMIFS(ModelData!AZ:AZ,ModelData!AY:AY,'Route Start Time'!B17)</f>
        <v>13700</v>
      </c>
      <c r="E17" s="24">
        <f t="shared" si="0"/>
        <v>6.0259511765999557E-2</v>
      </c>
      <c r="G17" s="18" t="s">
        <v>132</v>
      </c>
      <c r="H17" s="116">
        <f>VLOOKUP(G17,ModelData!EB:EC,2,FALSE)</f>
        <v>2276</v>
      </c>
      <c r="I17" s="118">
        <f>H17/$H$22</f>
        <v>3.8070386725545295E-2</v>
      </c>
      <c r="J17" s="84">
        <f>VLOOKUP(G17,SurveyData!EB:EC,2,FALSE)</f>
        <v>1810.5372500000001</v>
      </c>
      <c r="K17" s="105">
        <f>J17/$J$22</f>
        <v>2.9713812669148101E-2</v>
      </c>
      <c r="L17" s="89">
        <f t="shared" ref="L17:L22" si="3">I17-K17</f>
        <v>8.3565740563971945E-3</v>
      </c>
    </row>
    <row r="18" spans="2:12" x14ac:dyDescent="0.3">
      <c r="B18" s="10">
        <v>16</v>
      </c>
      <c r="C18" s="52">
        <v>0.4375</v>
      </c>
      <c r="D18" s="7">
        <f>SUMIFS(ModelData!AZ:AZ,ModelData!AY:AY,'Route Start Time'!B18)</f>
        <v>11405</v>
      </c>
      <c r="E18" s="24">
        <f t="shared" si="0"/>
        <v>5.016494391906752E-2</v>
      </c>
      <c r="G18" s="18" t="s">
        <v>133</v>
      </c>
      <c r="H18" s="116">
        <f>VLOOKUP(G18,ModelData!EB:EC,2,FALSE)</f>
        <v>24152</v>
      </c>
      <c r="I18" s="118">
        <f t="shared" ref="I18:I22" si="4">H18/$H$22</f>
        <v>0.40398768901378296</v>
      </c>
      <c r="J18" s="84">
        <f>VLOOKUP(G18,SurveyData!EB:EC,2,FALSE)</f>
        <v>24848.498080000001</v>
      </c>
      <c r="K18" s="105">
        <f t="shared" ref="K18:K22" si="5">J18/$J$22</f>
        <v>0.40780360473600102</v>
      </c>
      <c r="L18" s="89">
        <f t="shared" si="3"/>
        <v>-3.8159157222180662E-3</v>
      </c>
    </row>
    <row r="19" spans="2:12" x14ac:dyDescent="0.3">
      <c r="B19" s="10">
        <v>17</v>
      </c>
      <c r="C19" s="52">
        <v>0.45833333333333298</v>
      </c>
      <c r="D19" s="7">
        <f>SUMIFS(ModelData!AZ:AZ,ModelData!AY:AY,'Route Start Time'!B19)</f>
        <v>8448</v>
      </c>
      <c r="E19" s="24">
        <f t="shared" si="0"/>
        <v>3.7158566087530237E-2</v>
      </c>
      <c r="G19" s="18" t="s">
        <v>134</v>
      </c>
      <c r="H19" s="116">
        <f>VLOOKUP(G19,ModelData!EB:EC,2,FALSE)</f>
        <v>16313</v>
      </c>
      <c r="I19" s="118">
        <f t="shared" si="4"/>
        <v>0.2728656496721531</v>
      </c>
      <c r="J19" s="84">
        <f>VLOOKUP(G19,SurveyData!EB:EC,2,FALSE)</f>
        <v>18945.441439999999</v>
      </c>
      <c r="K19" s="105">
        <f t="shared" si="5"/>
        <v>0.31092500189238048</v>
      </c>
      <c r="L19" s="89">
        <f t="shared" si="3"/>
        <v>-3.8059352220227383E-2</v>
      </c>
    </row>
    <row r="20" spans="2:12" x14ac:dyDescent="0.3">
      <c r="B20" s="10">
        <v>18</v>
      </c>
      <c r="C20" s="52">
        <v>0.47916666666666702</v>
      </c>
      <c r="D20" s="7">
        <f>SUMIFS(ModelData!AZ:AZ,ModelData!AY:AY,'Route Start Time'!B20)</f>
        <v>5960</v>
      </c>
      <c r="E20" s="24">
        <f t="shared" si="0"/>
        <v>2.6215086870464043E-2</v>
      </c>
      <c r="G20" s="18" t="s">
        <v>135</v>
      </c>
      <c r="H20" s="116">
        <f>VLOOKUP(G20,ModelData!EB:EC,2,FALSE)</f>
        <v>16736</v>
      </c>
      <c r="I20" s="118">
        <f t="shared" si="4"/>
        <v>0.27994112137026628</v>
      </c>
      <c r="J20" s="84">
        <f>VLOOKUP(G20,SurveyData!EB:EC,2,FALSE)</f>
        <v>15197.66505</v>
      </c>
      <c r="K20" s="105">
        <f t="shared" si="5"/>
        <v>0.24941799584855781</v>
      </c>
      <c r="L20" s="89">
        <f t="shared" si="3"/>
        <v>3.0523125521708466E-2</v>
      </c>
    </row>
    <row r="21" spans="2:12" x14ac:dyDescent="0.3">
      <c r="B21" s="10">
        <v>19</v>
      </c>
      <c r="C21" s="52">
        <v>0.5</v>
      </c>
      <c r="D21" s="7">
        <f>SUMIFS(ModelData!AZ:AZ,ModelData!AY:AY,'Route Start Time'!B21)</f>
        <v>4413</v>
      </c>
      <c r="E21" s="24">
        <f t="shared" si="0"/>
        <v>1.9410600395865407E-2</v>
      </c>
      <c r="G21" s="18" t="s">
        <v>136</v>
      </c>
      <c r="H21" s="116">
        <f>VLOOKUP(G21,ModelData!EB:EC,2,FALSE)</f>
        <v>307</v>
      </c>
      <c r="I21" s="118">
        <f t="shared" si="4"/>
        <v>5.1351532182523753E-3</v>
      </c>
      <c r="J21" s="84">
        <f>VLOOKUP(G21,SurveyData!EB:EC,2,FALSE)</f>
        <v>130.37028000000001</v>
      </c>
      <c r="K21" s="105">
        <f t="shared" si="5"/>
        <v>2.1395848539124975E-3</v>
      </c>
      <c r="L21" s="89">
        <f t="shared" si="3"/>
        <v>2.9955683643398778E-3</v>
      </c>
    </row>
    <row r="22" spans="2:12" x14ac:dyDescent="0.3">
      <c r="B22" s="10">
        <v>20</v>
      </c>
      <c r="C22" s="52">
        <v>0.52083333333333304</v>
      </c>
      <c r="D22" s="7">
        <f>SUMIFS(ModelData!AZ:AZ,ModelData!AY:AY,'Route Start Time'!B22)</f>
        <v>3902</v>
      </c>
      <c r="E22" s="24">
        <f t="shared" si="0"/>
        <v>1.7162964592038706E-2</v>
      </c>
      <c r="G22" s="18" t="s">
        <v>27</v>
      </c>
      <c r="H22" s="117">
        <f>SUM(H17:H21)</f>
        <v>59784</v>
      </c>
      <c r="I22" s="123">
        <f t="shared" si="4"/>
        <v>1</v>
      </c>
      <c r="J22" s="87">
        <f>SUM(J17:J21)</f>
        <v>60932.512100000007</v>
      </c>
      <c r="K22" s="124">
        <f t="shared" si="5"/>
        <v>1</v>
      </c>
      <c r="L22" s="91">
        <f t="shared" si="3"/>
        <v>0</v>
      </c>
    </row>
    <row r="23" spans="2:12" x14ac:dyDescent="0.3">
      <c r="B23" s="10">
        <v>21</v>
      </c>
      <c r="C23" s="52">
        <v>0.54166666666666696</v>
      </c>
      <c r="D23" s="7">
        <f>SUMIFS(ModelData!AZ:AZ,ModelData!AY:AY,'Route Start Time'!B23)</f>
        <v>4054</v>
      </c>
      <c r="E23" s="24">
        <f t="shared" si="0"/>
        <v>1.7831537277325709E-2</v>
      </c>
    </row>
    <row r="24" spans="2:12" x14ac:dyDescent="0.3">
      <c r="B24" s="10">
        <v>22</v>
      </c>
      <c r="C24" s="52">
        <v>0.5625</v>
      </c>
      <c r="D24" s="7">
        <f>SUMIFS(ModelData!AZ:AZ,ModelData!AY:AY,'Route Start Time'!B24)</f>
        <v>4321</v>
      </c>
      <c r="E24" s="24">
        <f t="shared" si="0"/>
        <v>1.9005937981086431E-2</v>
      </c>
      <c r="H24"/>
    </row>
    <row r="25" spans="2:12" x14ac:dyDescent="0.3">
      <c r="B25" s="10">
        <v>23</v>
      </c>
      <c r="C25" s="52">
        <v>0.58333333333333304</v>
      </c>
      <c r="D25" s="7">
        <f>SUMIFS(ModelData!AZ:AZ,ModelData!AY:AY,'Route Start Time'!B25)</f>
        <v>3833</v>
      </c>
      <c r="E25" s="24">
        <f t="shared" si="0"/>
        <v>1.6859467780954474E-2</v>
      </c>
      <c r="H25"/>
      <c r="J25" s="66"/>
      <c r="K25" s="78"/>
    </row>
    <row r="26" spans="2:12" x14ac:dyDescent="0.3">
      <c r="B26" s="10">
        <v>24</v>
      </c>
      <c r="C26" s="52">
        <v>0.60416666666666696</v>
      </c>
      <c r="D26" s="7">
        <f>SUMIFS(ModelData!AZ:AZ,ModelData!AY:AY,'Route Start Time'!B26)</f>
        <v>2724</v>
      </c>
      <c r="E26" s="24">
        <f t="shared" si="0"/>
        <v>1.1981526281064438E-2</v>
      </c>
      <c r="H26"/>
      <c r="J26" s="66"/>
      <c r="K26" s="66"/>
    </row>
    <row r="27" spans="2:12" x14ac:dyDescent="0.3">
      <c r="B27" s="10">
        <v>25</v>
      </c>
      <c r="C27" s="52">
        <v>0.625</v>
      </c>
      <c r="D27" s="7">
        <f>SUMIFS(ModelData!AZ:AZ,ModelData!AY:AY,'Route Start Time'!B27)</f>
        <v>1647</v>
      </c>
      <c r="E27" s="24">
        <f t="shared" si="0"/>
        <v>7.2443369254453485E-3</v>
      </c>
      <c r="H27"/>
      <c r="J27" s="66"/>
      <c r="K27" s="78"/>
    </row>
    <row r="28" spans="2:12" x14ac:dyDescent="0.3">
      <c r="B28" s="10">
        <v>26</v>
      </c>
      <c r="C28" s="52">
        <v>0.64583333333333304</v>
      </c>
      <c r="D28" s="7">
        <f>SUMIFS(ModelData!AZ:AZ,ModelData!AY:AY,'Route Start Time'!B28)</f>
        <v>1448</v>
      </c>
      <c r="E28" s="24">
        <f t="shared" si="0"/>
        <v>6.3690345282603911E-3</v>
      </c>
      <c r="H28"/>
      <c r="J28" s="66"/>
      <c r="K28" s="78"/>
    </row>
    <row r="29" spans="2:12" x14ac:dyDescent="0.3">
      <c r="B29" s="10">
        <v>27</v>
      </c>
      <c r="C29" s="52">
        <v>0.66666666666666696</v>
      </c>
      <c r="D29" s="7">
        <f>SUMIFS(ModelData!AZ:AZ,ModelData!AY:AY,'Route Start Time'!B29)</f>
        <v>1582</v>
      </c>
      <c r="E29" s="24">
        <f t="shared" si="0"/>
        <v>6.9584341323949859E-3</v>
      </c>
      <c r="H29"/>
      <c r="J29" s="66"/>
      <c r="K29" s="78"/>
    </row>
    <row r="30" spans="2:12" x14ac:dyDescent="0.3">
      <c r="B30" s="10">
        <v>28</v>
      </c>
      <c r="C30" s="52">
        <v>0.6875</v>
      </c>
      <c r="D30" s="7">
        <f>SUMIFS(ModelData!AZ:AZ,ModelData!AY:AY,'Route Start Time'!B30)</f>
        <v>1456</v>
      </c>
      <c r="E30" s="24">
        <f t="shared" si="0"/>
        <v>6.4042225643281287E-3</v>
      </c>
      <c r="H30"/>
    </row>
    <row r="31" spans="2:12" x14ac:dyDescent="0.3">
      <c r="B31" s="10">
        <v>29</v>
      </c>
      <c r="C31" s="52">
        <v>0.70833333333333304</v>
      </c>
      <c r="D31" s="7">
        <f>SUMIFS(ModelData!AZ:AZ,ModelData!AY:AY,'Route Start Time'!B31)</f>
        <v>1274</v>
      </c>
      <c r="E31" s="24">
        <f t="shared" si="0"/>
        <v>5.603694743787112E-3</v>
      </c>
    </row>
    <row r="32" spans="2:12" x14ac:dyDescent="0.3">
      <c r="B32" s="10">
        <v>30</v>
      </c>
      <c r="C32" s="52">
        <v>0.72916666666666696</v>
      </c>
      <c r="D32" s="7">
        <f>SUMIFS(ModelData!AZ:AZ,ModelData!AY:AY,'Route Start Time'!B32)</f>
        <v>1150</v>
      </c>
      <c r="E32" s="24">
        <f t="shared" si="0"/>
        <v>5.0582801847371892E-3</v>
      </c>
    </row>
    <row r="33" spans="2:5" x14ac:dyDescent="0.3">
      <c r="B33" s="10">
        <v>31</v>
      </c>
      <c r="C33" s="52">
        <v>0.75</v>
      </c>
      <c r="D33" s="7">
        <f>SUMIFS(ModelData!AZ:AZ,ModelData!AY:AY,'Route Start Time'!B33)</f>
        <v>934</v>
      </c>
      <c r="E33" s="24">
        <f t="shared" si="0"/>
        <v>4.1082032109082912E-3</v>
      </c>
    </row>
    <row r="34" spans="2:5" x14ac:dyDescent="0.3">
      <c r="B34" s="10">
        <v>32</v>
      </c>
      <c r="C34" s="52">
        <v>0.77083333333333304</v>
      </c>
      <c r="D34" s="7">
        <f>SUMIFS(ModelData!AZ:AZ,ModelData!AY:AY,'Route Start Time'!B34)</f>
        <v>705</v>
      </c>
      <c r="E34" s="24">
        <f t="shared" si="0"/>
        <v>3.1009456784693206E-3</v>
      </c>
    </row>
    <row r="35" spans="2:5" x14ac:dyDescent="0.3">
      <c r="B35" s="10">
        <v>33</v>
      </c>
      <c r="C35" s="52">
        <v>0.79166666666666696</v>
      </c>
      <c r="D35" s="7">
        <f>SUMIFS(ModelData!AZ:AZ,ModelData!AY:AY,'Route Start Time'!B35)</f>
        <v>575</v>
      </c>
      <c r="E35" s="24">
        <f t="shared" si="0"/>
        <v>2.5291400923685946E-3</v>
      </c>
    </row>
    <row r="36" spans="2:5" x14ac:dyDescent="0.3">
      <c r="B36" s="10">
        <v>34</v>
      </c>
      <c r="C36" s="52">
        <v>0.8125</v>
      </c>
      <c r="D36" s="7">
        <f>SUMIFS(ModelData!AZ:AZ,ModelData!AY:AY,'Route Start Time'!B36)</f>
        <v>540</v>
      </c>
      <c r="E36" s="24">
        <f t="shared" si="0"/>
        <v>2.3751924345722453E-3</v>
      </c>
    </row>
    <row r="37" spans="2:5" x14ac:dyDescent="0.3">
      <c r="B37" s="10">
        <v>35</v>
      </c>
      <c r="C37" s="52">
        <v>0.83333333333333304</v>
      </c>
      <c r="D37" s="7">
        <f>SUMIFS(ModelData!AZ:AZ,ModelData!AY:AY,'Route Start Time'!B37)</f>
        <v>443</v>
      </c>
      <c r="E37" s="24">
        <f t="shared" si="0"/>
        <v>1.9485374972509346E-3</v>
      </c>
    </row>
    <row r="38" spans="2:5" x14ac:dyDescent="0.3">
      <c r="B38" s="10">
        <v>36</v>
      </c>
      <c r="C38" s="52">
        <v>0.85416666666666696</v>
      </c>
      <c r="D38" s="7">
        <f>SUMIFS(ModelData!AZ:AZ,ModelData!AY:AY,'Route Start Time'!B38)</f>
        <v>330</v>
      </c>
      <c r="E38" s="24">
        <f t="shared" si="0"/>
        <v>1.4515064877941499E-3</v>
      </c>
    </row>
    <row r="39" spans="2:5" x14ac:dyDescent="0.3">
      <c r="B39" s="10">
        <v>37</v>
      </c>
      <c r="C39" s="52">
        <v>0.875</v>
      </c>
      <c r="D39" s="7">
        <f>SUMIFS(ModelData!AZ:AZ,ModelData!AY:AY,'Route Start Time'!B39)</f>
        <v>282</v>
      </c>
      <c r="E39" s="24">
        <f t="shared" si="0"/>
        <v>1.2403782713877281E-3</v>
      </c>
    </row>
    <row r="40" spans="2:5" x14ac:dyDescent="0.3">
      <c r="B40" s="10">
        <v>38</v>
      </c>
      <c r="C40" s="52">
        <v>0.89583333333333304</v>
      </c>
      <c r="D40" s="7">
        <f>SUMIFS(ModelData!AZ:AZ,ModelData!AY:AY,'Route Start Time'!B40)</f>
        <v>217</v>
      </c>
      <c r="E40" s="24">
        <f t="shared" si="0"/>
        <v>9.5447547833736525E-4</v>
      </c>
    </row>
    <row r="41" spans="2:5" x14ac:dyDescent="0.3">
      <c r="B41" s="10">
        <v>39</v>
      </c>
      <c r="C41" s="52">
        <v>0.91666666666666696</v>
      </c>
      <c r="D41" s="7">
        <f>SUMIFS(ModelData!AZ:AZ,ModelData!AY:AY,'Route Start Time'!B41)</f>
        <v>139</v>
      </c>
      <c r="E41" s="24">
        <f t="shared" si="0"/>
        <v>6.113921266769299E-4</v>
      </c>
    </row>
    <row r="42" spans="2:5" x14ac:dyDescent="0.3">
      <c r="B42" s="10">
        <v>40</v>
      </c>
      <c r="C42" s="52">
        <v>0.9375</v>
      </c>
      <c r="D42" s="7">
        <f>SUMIFS(ModelData!AZ:AZ,ModelData!AY:AY,'Route Start Time'!B42)</f>
        <v>102</v>
      </c>
      <c r="E42" s="24">
        <f t="shared" si="0"/>
        <v>4.4864745986364634E-4</v>
      </c>
    </row>
    <row r="43" spans="2:5" x14ac:dyDescent="0.3">
      <c r="B43" s="10">
        <v>41</v>
      </c>
      <c r="C43" s="52">
        <v>0.95833333333333304</v>
      </c>
      <c r="D43" s="7">
        <f>SUMIFS(ModelData!AZ:AZ,ModelData!AY:AY,'Route Start Time'!B43)</f>
        <v>82</v>
      </c>
      <c r="E43" s="24">
        <f t="shared" si="0"/>
        <v>3.6067736969430393E-4</v>
      </c>
    </row>
    <row r="44" spans="2:5" x14ac:dyDescent="0.3">
      <c r="B44" s="10">
        <v>42</v>
      </c>
      <c r="C44" s="52">
        <v>0.97916666666666696</v>
      </c>
      <c r="D44" s="7">
        <f>SUMIFS(ModelData!AZ:AZ,ModelData!AY:AY,'Route Start Time'!B44)</f>
        <v>155</v>
      </c>
      <c r="E44" s="24">
        <f t="shared" si="0"/>
        <v>6.8176819881240374E-4</v>
      </c>
    </row>
    <row r="45" spans="2:5" x14ac:dyDescent="0.3">
      <c r="B45" s="10">
        <v>43</v>
      </c>
      <c r="C45" s="52">
        <v>0</v>
      </c>
      <c r="D45" s="7">
        <f>SUMIFS(ModelData!AZ:AZ,ModelData!AY:AY,'Route Start Time'!B45)</f>
        <v>353</v>
      </c>
      <c r="E45" s="24">
        <f t="shared" si="0"/>
        <v>1.5526720914888939E-3</v>
      </c>
    </row>
    <row r="46" spans="2:5" x14ac:dyDescent="0.3">
      <c r="B46" s="10">
        <v>44</v>
      </c>
      <c r="C46" s="52">
        <v>2.0833333333333332E-2</v>
      </c>
      <c r="D46" s="7">
        <f>SUMIFS(ModelData!AZ:AZ,ModelData!AY:AY,'Route Start Time'!B46)</f>
        <v>535</v>
      </c>
      <c r="E46" s="24">
        <f t="shared" si="0"/>
        <v>2.3531999120299098E-3</v>
      </c>
    </row>
    <row r="47" spans="2:5" x14ac:dyDescent="0.3">
      <c r="B47" s="10">
        <v>45</v>
      </c>
      <c r="C47" s="52">
        <v>4.1666666666666664E-2</v>
      </c>
      <c r="D47" s="7">
        <f>SUMIFS(ModelData!AZ:AZ,ModelData!AY:AY,'Route Start Time'!B47)</f>
        <v>516</v>
      </c>
      <c r="E47" s="24">
        <f t="shared" si="0"/>
        <v>2.2696283263690343E-3</v>
      </c>
    </row>
    <row r="48" spans="2:5" x14ac:dyDescent="0.3">
      <c r="B48" s="10">
        <v>46</v>
      </c>
      <c r="C48" s="52">
        <v>6.25E-2</v>
      </c>
      <c r="D48" s="7">
        <f>SUMIFS(ModelData!AZ:AZ,ModelData!AY:AY,'Route Start Time'!B48)</f>
        <v>407</v>
      </c>
      <c r="E48" s="24">
        <f t="shared" si="0"/>
        <v>1.7901913349461184E-3</v>
      </c>
    </row>
    <row r="49" spans="2:5" x14ac:dyDescent="0.3">
      <c r="B49" s="10">
        <v>47</v>
      </c>
      <c r="C49" s="52">
        <v>8.3333333333333301E-2</v>
      </c>
      <c r="D49" s="7">
        <f>SUMIFS(ModelData!AZ:AZ,ModelData!AY:AY,'Route Start Time'!B49)</f>
        <v>535</v>
      </c>
      <c r="E49" s="24">
        <f t="shared" si="0"/>
        <v>2.3531999120299098E-3</v>
      </c>
    </row>
    <row r="50" spans="2:5" x14ac:dyDescent="0.3">
      <c r="B50" s="10">
        <v>48</v>
      </c>
      <c r="C50" s="52">
        <v>0.104166666666667</v>
      </c>
      <c r="D50" s="7">
        <f>SUMIFS(ModelData!AZ:AZ,ModelData!AY:AY,'Route Start Time'!B50)</f>
        <v>872</v>
      </c>
      <c r="E50" s="24">
        <f t="shared" si="0"/>
        <v>3.8354959313833298E-3</v>
      </c>
    </row>
    <row r="51" spans="2:5" x14ac:dyDescent="0.3">
      <c r="B51" s="18"/>
      <c r="C51" s="18" t="s">
        <v>27</v>
      </c>
      <c r="D51" s="19">
        <f>SUM(D3:D50)</f>
        <v>227350</v>
      </c>
      <c r="E51" s="56">
        <f>SUM(E3:E50)</f>
        <v>0.99999999999999956</v>
      </c>
    </row>
  </sheetData>
  <mergeCells count="4">
    <mergeCell ref="H3:I3"/>
    <mergeCell ref="J3:K3"/>
    <mergeCell ref="H15:I15"/>
    <mergeCell ref="J15:K15"/>
  </mergeCells>
  <conditionalFormatting sqref="E3:E50">
    <cfRule type="dataBar" priority="3">
      <dataBar>
        <cfvo type="min"/>
        <cfvo type="max"/>
        <color rgb="FF63C384"/>
      </dataBar>
      <extLst>
        <ext xmlns:x14="http://schemas.microsoft.com/office/spreadsheetml/2009/9/main" uri="{B025F937-C7B1-47D3-B67F-A62EFF666E3E}">
          <x14:id>{3A952EA0-A751-4F9C-A059-82F13942FEBB}</x14:id>
        </ext>
      </extLst>
    </cfRule>
  </conditionalFormatting>
  <conditionalFormatting sqref="L5:L9">
    <cfRule type="colorScale" priority="2">
      <colorScale>
        <cfvo type="min"/>
        <cfvo type="percentile" val="50"/>
        <cfvo type="max"/>
        <color rgb="FFF8696B"/>
        <color rgb="FFFCFCFF"/>
        <color rgb="FF5A8AC6"/>
      </colorScale>
    </cfRule>
  </conditionalFormatting>
  <conditionalFormatting sqref="L17:L21">
    <cfRule type="colorScale" priority="1">
      <colorScale>
        <cfvo type="min"/>
        <cfvo type="percentile" val="50"/>
        <cfvo type="max"/>
        <color rgb="FFF8696B"/>
        <color rgb="FFFCFCFF"/>
        <color rgb="FF5A8AC6"/>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A952EA0-A751-4F9C-A059-82F13942FEBB}">
            <x14:dataBar minLength="0" maxLength="100" border="1" negativeBarBorderColorSameAsPositive="0">
              <x14:cfvo type="autoMin"/>
              <x14:cfvo type="autoMax"/>
              <x14:borderColor rgb="FF63C384"/>
              <x14:negativeFillColor rgb="FFFF0000"/>
              <x14:negativeBorderColor rgb="FFFF0000"/>
              <x14:axisColor rgb="FF000000"/>
            </x14:dataBar>
          </x14:cfRule>
          <xm:sqref>E3:E50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5B7A-48A3-4F61-A6E1-E20001707717}">
  <dimension ref="B3:H33"/>
  <sheetViews>
    <sheetView topLeftCell="A7" workbookViewId="0">
      <selection activeCell="K34" sqref="K34"/>
    </sheetView>
  </sheetViews>
  <sheetFormatPr defaultRowHeight="14.4" x14ac:dyDescent="0.3"/>
  <cols>
    <col min="2" max="2" width="15.77734375" style="25" bestFit="1" customWidth="1"/>
    <col min="3" max="3" width="20.21875" style="25" bestFit="1" customWidth="1"/>
    <col min="4" max="5" width="11.77734375" bestFit="1" customWidth="1"/>
    <col min="6" max="6" width="12.44140625" bestFit="1" customWidth="1"/>
    <col min="8" max="8" width="12.44140625" bestFit="1" customWidth="1"/>
  </cols>
  <sheetData>
    <row r="3" spans="2:8" x14ac:dyDescent="0.3">
      <c r="B3" s="28" t="s">
        <v>138</v>
      </c>
      <c r="C3" s="28"/>
      <c r="D3" s="132" t="s">
        <v>139</v>
      </c>
      <c r="E3" s="132"/>
      <c r="F3" s="132" t="s">
        <v>140</v>
      </c>
      <c r="G3" s="132"/>
      <c r="H3" s="28"/>
    </row>
    <row r="4" spans="2:8" x14ac:dyDescent="0.3">
      <c r="B4" s="28" t="s">
        <v>141</v>
      </c>
      <c r="C4" s="28" t="s">
        <v>142</v>
      </c>
      <c r="D4" s="28" t="s">
        <v>2</v>
      </c>
      <c r="E4" s="28" t="s">
        <v>3</v>
      </c>
      <c r="F4" s="28" t="s">
        <v>2</v>
      </c>
      <c r="G4" s="28" t="s">
        <v>3</v>
      </c>
      <c r="H4" s="28" t="s">
        <v>21</v>
      </c>
    </row>
    <row r="5" spans="2:8" x14ac:dyDescent="0.3">
      <c r="B5" s="18" t="s">
        <v>143</v>
      </c>
      <c r="C5" s="18" t="s">
        <v>144</v>
      </c>
      <c r="D5" s="7">
        <f>SUMIFS(ModelData!BP:BP,ModelData!BN:BN,'Route OriginationTerminal'!B5)</f>
        <v>178920</v>
      </c>
      <c r="E5" s="7">
        <f>SUMIFS(SurveyData!BP:BP,SurveyData!BN:BN,'Route OriginationTerminal'!C5)</f>
        <v>177360.81311501111</v>
      </c>
      <c r="F5" s="15">
        <f>D5/$D$9</f>
        <v>0.80473521818525284</v>
      </c>
      <c r="G5" s="15">
        <f>E5/$E$9</f>
        <v>0.80509548655892627</v>
      </c>
      <c r="H5" s="24">
        <f>F5-G5</f>
        <v>-3.6026837367342246E-4</v>
      </c>
    </row>
    <row r="6" spans="2:8" x14ac:dyDescent="0.3">
      <c r="B6" s="18" t="s">
        <v>145</v>
      </c>
      <c r="C6" s="18" t="s">
        <v>146</v>
      </c>
      <c r="D6" s="7">
        <f>SUMIFS(ModelData!BP:BP,ModelData!BN:BN,'Route OriginationTerminal'!B6)</f>
        <v>2896</v>
      </c>
      <c r="E6" s="7">
        <f>SUMIFS(SurveyData!BP:BP,SurveyData!BN:BN,'Route OriginationTerminal'!C6)</f>
        <v>2975.5005762600813</v>
      </c>
      <c r="F6" s="15">
        <f>D6/$D$9</f>
        <v>1.3025448199555624E-2</v>
      </c>
      <c r="G6" s="15">
        <f>E6/$E$9</f>
        <v>1.3506715728953348E-2</v>
      </c>
      <c r="H6" s="24">
        <f t="shared" ref="H6:H8" si="0">F6-G6</f>
        <v>-4.8126752939772408E-4</v>
      </c>
    </row>
    <row r="7" spans="2:8" x14ac:dyDescent="0.3">
      <c r="B7" s="18" t="s">
        <v>147</v>
      </c>
      <c r="C7" s="18" t="s">
        <v>115</v>
      </c>
      <c r="D7" s="7">
        <f>SUMIFS(ModelData!BP:BP,ModelData!BN:BN,'Route OriginationTerminal'!B7)</f>
        <v>18643</v>
      </c>
      <c r="E7" s="7">
        <f>SUMIFS(SurveyData!BP:BP,SurveyData!BN:BN,'Route OriginationTerminal'!C7)</f>
        <v>18812.465309535262</v>
      </c>
      <c r="F7" s="15">
        <f>D7/$D$9</f>
        <v>8.3851322784639332E-2</v>
      </c>
      <c r="G7" s="15">
        <f>E7/$E$9</f>
        <v>8.5395587930304384E-2</v>
      </c>
      <c r="H7" s="24">
        <f t="shared" si="0"/>
        <v>-1.5442651456650525E-3</v>
      </c>
    </row>
    <row r="8" spans="2:8" x14ac:dyDescent="0.3">
      <c r="B8" s="18" t="s">
        <v>148</v>
      </c>
      <c r="C8" s="18" t="s">
        <v>149</v>
      </c>
      <c r="D8" s="7">
        <f>SUMIFS(ModelData!BP:BP,ModelData!BN:BN,'Route OriginationTerminal'!B8)</f>
        <v>21875</v>
      </c>
      <c r="E8" s="7">
        <f>SUMIFS(SurveyData!BP:BP,SurveyData!BN:BN,'Route OriginationTerminal'!C8)</f>
        <v>21149.081409605576</v>
      </c>
      <c r="F8" s="15">
        <f>D8/$D$9</f>
        <v>9.8388010830552236E-2</v>
      </c>
      <c r="G8" s="15">
        <f>E8/$E$9</f>
        <v>9.6002209781815923E-2</v>
      </c>
      <c r="H8" s="24">
        <f t="shared" si="0"/>
        <v>2.3858010487363135E-3</v>
      </c>
    </row>
    <row r="9" spans="2:8" x14ac:dyDescent="0.3">
      <c r="B9" s="18"/>
      <c r="C9" s="18" t="s">
        <v>27</v>
      </c>
      <c r="D9" s="7">
        <f>SUM(D5:D8)</f>
        <v>222334</v>
      </c>
      <c r="E9" s="7">
        <f>SUM(E5:E8)</f>
        <v>220297.86041041205</v>
      </c>
      <c r="F9" s="10"/>
      <c r="G9" s="10"/>
      <c r="H9" s="10"/>
    </row>
    <row r="11" spans="2:8" x14ac:dyDescent="0.3">
      <c r="B11" s="28" t="s">
        <v>150</v>
      </c>
      <c r="C11" s="28"/>
      <c r="D11" s="132" t="s">
        <v>139</v>
      </c>
      <c r="E11" s="132"/>
      <c r="F11" s="28"/>
    </row>
    <row r="12" spans="2:8" x14ac:dyDescent="0.3">
      <c r="B12" s="28" t="s">
        <v>141</v>
      </c>
      <c r="C12" s="28" t="s">
        <v>142</v>
      </c>
      <c r="D12" s="28" t="s">
        <v>2</v>
      </c>
      <c r="E12" s="28" t="s">
        <v>3</v>
      </c>
      <c r="F12" s="28" t="s">
        <v>21</v>
      </c>
    </row>
    <row r="13" spans="2:8" x14ac:dyDescent="0.3">
      <c r="B13" s="18" t="s">
        <v>145</v>
      </c>
      <c r="C13" s="18" t="s">
        <v>146</v>
      </c>
      <c r="D13" s="64">
        <f>SUMIFS(ModelData!BY:BY,ModelData!BX:BX,'Route OriginationTerminal'!B13)</f>
        <v>8.1373293059646503</v>
      </c>
      <c r="E13" s="64">
        <f>SUMIFS(SurveyData!BY:BY,SurveyData!BX:BX,'Route OriginationTerminal'!C13)</f>
        <v>8.5978071882957217</v>
      </c>
      <c r="F13" s="24">
        <f t="shared" ref="F13:F15" si="1">D13/E13-1</f>
        <v>-5.3557595820237114E-2</v>
      </c>
    </row>
    <row r="14" spans="2:8" x14ac:dyDescent="0.3">
      <c r="B14" s="18" t="s">
        <v>147</v>
      </c>
      <c r="C14" s="18" t="s">
        <v>115</v>
      </c>
      <c r="D14" s="64">
        <f>SUMIFS(ModelData!BY:BY,ModelData!BX:BX,'Route OriginationTerminal'!B14)</f>
        <v>11.68559702793087</v>
      </c>
      <c r="E14" s="64">
        <f>SUMIFS(SurveyData!BY:BY,SurveyData!BX:BX,'Route OriginationTerminal'!C14)</f>
        <v>11.567138183566049</v>
      </c>
      <c r="F14" s="24">
        <f t="shared" si="1"/>
        <v>1.0240981173123664E-2</v>
      </c>
    </row>
    <row r="15" spans="2:8" x14ac:dyDescent="0.3">
      <c r="B15" s="18" t="s">
        <v>148</v>
      </c>
      <c r="C15" s="18" t="s">
        <v>149</v>
      </c>
      <c r="D15" s="64">
        <f>SUMIFS(ModelData!BY:BY,ModelData!BX:BX,'Route OriginationTerminal'!B15)</f>
        <v>11.567004852198449</v>
      </c>
      <c r="E15" s="64">
        <f>SUMIFS(SurveyData!BY:BY,SurveyData!BX:BX,'Route OriginationTerminal'!C15)</f>
        <v>12.116323185553689</v>
      </c>
      <c r="F15" s="24">
        <f t="shared" si="1"/>
        <v>-4.5337048619683018E-2</v>
      </c>
    </row>
    <row r="19" spans="2:8" x14ac:dyDescent="0.3">
      <c r="B19" s="28" t="s">
        <v>151</v>
      </c>
      <c r="C19" s="28"/>
      <c r="D19" s="30"/>
      <c r="E19" s="30"/>
      <c r="F19" s="30"/>
      <c r="G19" s="30"/>
      <c r="H19" s="30"/>
    </row>
    <row r="20" spans="2:8" x14ac:dyDescent="0.3">
      <c r="B20" s="28" t="s">
        <v>141</v>
      </c>
      <c r="C20" s="28" t="s">
        <v>142</v>
      </c>
      <c r="D20" s="28" t="s">
        <v>2</v>
      </c>
      <c r="E20" s="28" t="s">
        <v>3</v>
      </c>
      <c r="F20" s="28" t="s">
        <v>2</v>
      </c>
      <c r="G20" s="28" t="s">
        <v>3</v>
      </c>
      <c r="H20" s="28" t="s">
        <v>21</v>
      </c>
    </row>
    <row r="21" spans="2:8" x14ac:dyDescent="0.3">
      <c r="B21" s="18" t="s">
        <v>143</v>
      </c>
      <c r="C21" s="18" t="s">
        <v>144</v>
      </c>
      <c r="D21" s="7">
        <f>SUMIFS(ModelData!CF:CF,ModelData!CD:CD,'Route OriginationTerminal'!B21)</f>
        <v>121402</v>
      </c>
      <c r="E21" s="7">
        <f>SUMIFS(SurveyData!CF:CF,SurveyData!CD:CD,'Route OriginationTerminal'!C21)</f>
        <v>119136.86989285289</v>
      </c>
      <c r="F21" s="15">
        <f>D21/$D$25</f>
        <v>0.54603434472460355</v>
      </c>
      <c r="G21" s="15">
        <f>E21/$E$25</f>
        <v>0.54862402531416421</v>
      </c>
      <c r="H21" s="24">
        <f>F21-G21</f>
        <v>-2.5896805895606612E-3</v>
      </c>
    </row>
    <row r="22" spans="2:8" x14ac:dyDescent="0.3">
      <c r="B22" s="18" t="s">
        <v>145</v>
      </c>
      <c r="C22" s="18" t="s">
        <v>146</v>
      </c>
      <c r="D22" s="7">
        <f>SUMIFS(ModelData!CF:CF,ModelData!CD:CD,'Route OriginationTerminal'!B22)</f>
        <v>5345</v>
      </c>
      <c r="E22" s="7">
        <f>SUMIFS(SurveyData!CF:CF,SurveyData!CD:CD,'Route OriginationTerminal'!C22)</f>
        <v>5048.1793040302946</v>
      </c>
      <c r="F22" s="15">
        <f>D22/$D$25</f>
        <v>2.4040407674939507E-2</v>
      </c>
      <c r="G22" s="15">
        <f>E22/$E$25</f>
        <v>2.3246812282172468E-2</v>
      </c>
      <c r="H22" s="24">
        <f t="shared" ref="H22:H24" si="2">F22-G22</f>
        <v>7.9359539276703875E-4</v>
      </c>
    </row>
    <row r="23" spans="2:8" x14ac:dyDescent="0.3">
      <c r="B23" s="18" t="s">
        <v>147</v>
      </c>
      <c r="C23" s="18" t="s">
        <v>115</v>
      </c>
      <c r="D23" s="7">
        <f>SUMIFS(ModelData!CF:CF,ModelData!CD:CD,'Route OriginationTerminal'!B23)</f>
        <v>45212</v>
      </c>
      <c r="E23" s="7">
        <f>SUMIFS(SurveyData!CF:CF,SurveyData!CD:CD,'Route OriginationTerminal'!C23)</f>
        <v>43927.166592895643</v>
      </c>
      <c r="F23" s="15">
        <f>D23/$D$25</f>
        <v>0.20335171408781383</v>
      </c>
      <c r="G23" s="15">
        <f>E23/$E$25</f>
        <v>0.20228413738345188</v>
      </c>
      <c r="H23" s="24">
        <f t="shared" si="2"/>
        <v>1.0675767043619444E-3</v>
      </c>
    </row>
    <row r="24" spans="2:8" x14ac:dyDescent="0.3">
      <c r="B24" s="18" t="s">
        <v>148</v>
      </c>
      <c r="C24" s="18" t="s">
        <v>149</v>
      </c>
      <c r="D24" s="7">
        <f>SUMIFS(ModelData!CF:CF,ModelData!CD:CD,'Route OriginationTerminal'!B24)</f>
        <v>50375</v>
      </c>
      <c r="E24" s="7">
        <f>SUMIFS(SurveyData!CF:CF,SurveyData!CD:CD,'Route OriginationTerminal'!C24)</f>
        <v>49043.549170806553</v>
      </c>
      <c r="F24" s="15">
        <f>D24/$D$25</f>
        <v>0.22657353351264314</v>
      </c>
      <c r="G24" s="15">
        <f>E24/$E$25</f>
        <v>0.22584502502021139</v>
      </c>
      <c r="H24" s="24">
        <f t="shared" si="2"/>
        <v>7.2850849243175086E-4</v>
      </c>
    </row>
    <row r="25" spans="2:8" x14ac:dyDescent="0.3">
      <c r="B25" s="18"/>
      <c r="C25" s="18" t="s">
        <v>27</v>
      </c>
      <c r="D25" s="7">
        <f>SUM(D21:D24)</f>
        <v>222334</v>
      </c>
      <c r="E25" s="7">
        <f>SUM(E21:E24)</f>
        <v>217155.76496058539</v>
      </c>
      <c r="F25" s="10"/>
      <c r="G25" s="10"/>
      <c r="H25" s="10"/>
    </row>
    <row r="28" spans="2:8" x14ac:dyDescent="0.3">
      <c r="B28" s="28" t="s">
        <v>152</v>
      </c>
      <c r="C28" s="28"/>
      <c r="D28" s="30"/>
      <c r="E28" s="30"/>
      <c r="F28" s="30"/>
    </row>
    <row r="29" spans="2:8" x14ac:dyDescent="0.3">
      <c r="B29" s="28" t="s">
        <v>153</v>
      </c>
      <c r="C29" s="28"/>
      <c r="D29" s="132" t="s">
        <v>139</v>
      </c>
      <c r="E29" s="132"/>
      <c r="F29" s="28"/>
    </row>
    <row r="30" spans="2:8" x14ac:dyDescent="0.3">
      <c r="B30" s="28" t="s">
        <v>141</v>
      </c>
      <c r="C30" s="28" t="s">
        <v>142</v>
      </c>
      <c r="D30" s="28" t="s">
        <v>2</v>
      </c>
      <c r="E30" s="28" t="s">
        <v>3</v>
      </c>
      <c r="F30" s="28" t="s">
        <v>21</v>
      </c>
    </row>
    <row r="31" spans="2:8" x14ac:dyDescent="0.3">
      <c r="B31" s="18" t="s">
        <v>145</v>
      </c>
      <c r="C31" s="18" t="s">
        <v>146</v>
      </c>
      <c r="D31" s="64">
        <f>SUMIFS(ModelData!CO:CO,ModelData!CN:CN,'Route OriginationTerminal'!B31)</f>
        <v>2.8146218423570448</v>
      </c>
      <c r="E31" s="64">
        <f>SUMIFS(SurveyData!CO:CO, SurveyData!CN:CN,'Route OriginationTerminal'!C31)</f>
        <v>2.809159998115264</v>
      </c>
      <c r="F31" s="24">
        <f>D31/E31-1</f>
        <v>1.9442980269708254E-3</v>
      </c>
    </row>
    <row r="32" spans="2:8" x14ac:dyDescent="0.3">
      <c r="B32" s="18" t="s">
        <v>147</v>
      </c>
      <c r="C32" s="18" t="s">
        <v>115</v>
      </c>
      <c r="D32" s="64">
        <f>SUMIFS(ModelData!CO:CO,ModelData!CN:CN,'Route OriginationTerminal'!B32)</f>
        <v>3.6492876509115679</v>
      </c>
      <c r="E32" s="64">
        <f>SUMIFS(SurveyData!CO:CO, SurveyData!CN:CN,'Route OriginationTerminal'!C32)</f>
        <v>3.6935119444395021</v>
      </c>
      <c r="F32" s="24">
        <f t="shared" ref="F32:F33" si="3">D32/E32-1</f>
        <v>-1.1973507651576121E-2</v>
      </c>
    </row>
    <row r="33" spans="2:6" x14ac:dyDescent="0.3">
      <c r="B33" s="18" t="s">
        <v>148</v>
      </c>
      <c r="C33" s="18" t="s">
        <v>149</v>
      </c>
      <c r="D33" s="64">
        <f>SUMIFS(ModelData!CO:CO,ModelData!CN:CN,'Route OriginationTerminal'!B33)</f>
        <v>5.032723008095072</v>
      </c>
      <c r="E33" s="64">
        <f>SUMIFS(SurveyData!CO:CO, SurveyData!CN:CN,'Route OriginationTerminal'!C33)</f>
        <v>5.1767599485765201</v>
      </c>
      <c r="F33" s="24">
        <f t="shared" si="3"/>
        <v>-2.7823762722676504E-2</v>
      </c>
    </row>
  </sheetData>
  <mergeCells count="4">
    <mergeCell ref="D3:E3"/>
    <mergeCell ref="D11:E11"/>
    <mergeCell ref="F3:G3"/>
    <mergeCell ref="D29:E29"/>
  </mergeCells>
  <conditionalFormatting sqref="F13:F15">
    <cfRule type="colorScale" priority="10">
      <colorScale>
        <cfvo type="min"/>
        <cfvo type="percentile" val="50"/>
        <cfvo type="max"/>
        <color rgb="FFF8696B"/>
        <color rgb="FFFCFCFF"/>
        <color rgb="FF5A8AC6"/>
      </colorScale>
    </cfRule>
  </conditionalFormatting>
  <conditionalFormatting sqref="F31:F33">
    <cfRule type="colorScale" priority="6">
      <colorScale>
        <cfvo type="min"/>
        <cfvo type="percentile" val="50"/>
        <cfvo type="max"/>
        <color rgb="FFF8696B"/>
        <color rgb="FFFCFCFF"/>
        <color rgb="FF5A8AC6"/>
      </colorScale>
    </cfRule>
  </conditionalFormatting>
  <conditionalFormatting sqref="H5:H8">
    <cfRule type="colorScale" priority="9">
      <colorScale>
        <cfvo type="min"/>
        <cfvo type="percentile" val="50"/>
        <cfvo type="max"/>
        <color rgb="FFF8696B"/>
        <color rgb="FFFCFCFF"/>
        <color rgb="FF5A8AC6"/>
      </colorScale>
    </cfRule>
  </conditionalFormatting>
  <conditionalFormatting sqref="H21:H2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BF9A-0163-4E4A-AE3D-66EE1A5478C9}">
  <dimension ref="A1:AK82"/>
  <sheetViews>
    <sheetView topLeftCell="N48" workbookViewId="0">
      <selection activeCell="AF55" sqref="AF55"/>
    </sheetView>
  </sheetViews>
  <sheetFormatPr defaultRowHeight="14.4" x14ac:dyDescent="0.3"/>
  <cols>
    <col min="1" max="1" width="17.44140625" customWidth="1"/>
    <col min="2" max="2" width="17.77734375" customWidth="1"/>
    <col min="3" max="3" width="17.44140625" customWidth="1"/>
    <col min="4" max="4" width="10.44140625" bestFit="1" customWidth="1"/>
    <col min="5" max="5" width="13.77734375" customWidth="1"/>
    <col min="6" max="6" width="10.88671875" bestFit="1" customWidth="1"/>
    <col min="7" max="7" width="9.33203125" bestFit="1" customWidth="1"/>
    <col min="8" max="8" width="11.44140625" bestFit="1" customWidth="1"/>
    <col min="9" max="9" width="9" bestFit="1" customWidth="1"/>
    <col min="10" max="11" width="11.44140625" bestFit="1" customWidth="1"/>
    <col min="12" max="12" width="10.77734375" bestFit="1" customWidth="1"/>
    <col min="14" max="14" width="17.21875" customWidth="1"/>
    <col min="28" max="28" width="18.21875" customWidth="1"/>
    <col min="29" max="29" width="11.77734375" bestFit="1" customWidth="1"/>
    <col min="30" max="30" width="12.44140625" bestFit="1" customWidth="1"/>
    <col min="31" max="31" width="13.77734375" bestFit="1" customWidth="1"/>
    <col min="32" max="32" width="12.77734375" bestFit="1" customWidth="1"/>
    <col min="33" max="33" width="10.44140625" bestFit="1" customWidth="1"/>
  </cols>
  <sheetData>
    <row r="1" spans="1:33" ht="23.4" x14ac:dyDescent="0.45">
      <c r="A1" s="137" t="s">
        <v>154</v>
      </c>
      <c r="B1" s="66"/>
      <c r="C1" s="139" t="s">
        <v>155</v>
      </c>
      <c r="D1" s="139"/>
      <c r="E1" s="139"/>
      <c r="F1" s="139"/>
      <c r="G1" s="139"/>
      <c r="H1" s="139"/>
      <c r="I1" s="139"/>
      <c r="J1" s="139"/>
      <c r="K1" s="139"/>
      <c r="L1" s="139"/>
      <c r="M1" s="139"/>
      <c r="N1" s="139"/>
      <c r="O1" s="139"/>
      <c r="P1" s="139"/>
      <c r="Q1" s="139"/>
      <c r="R1" s="139"/>
      <c r="S1" s="139"/>
      <c r="T1" s="139"/>
      <c r="U1" s="139"/>
      <c r="V1" s="139"/>
      <c r="W1" s="139"/>
      <c r="AB1" s="95" t="s">
        <v>156</v>
      </c>
    </row>
    <row r="2" spans="1:33" ht="15" hidden="1" customHeight="1" x14ac:dyDescent="0.3">
      <c r="A2" s="137"/>
      <c r="B2" s="66"/>
      <c r="C2" s="66"/>
      <c r="D2" s="66">
        <v>2</v>
      </c>
      <c r="E2" s="66">
        <v>3</v>
      </c>
      <c r="F2" s="66">
        <v>4</v>
      </c>
      <c r="G2" s="66">
        <v>5</v>
      </c>
      <c r="H2" s="66">
        <v>6</v>
      </c>
      <c r="I2" s="66">
        <v>7</v>
      </c>
      <c r="J2" s="66">
        <v>8</v>
      </c>
      <c r="K2" s="66">
        <v>9</v>
      </c>
      <c r="L2" s="66"/>
      <c r="M2" s="66"/>
      <c r="N2" s="66"/>
      <c r="O2" s="66"/>
      <c r="P2" s="66"/>
      <c r="Q2" s="66"/>
      <c r="R2" s="66"/>
      <c r="S2" s="66"/>
      <c r="T2" s="66"/>
      <c r="U2" s="66"/>
      <c r="V2" s="66"/>
      <c r="W2" s="66"/>
    </row>
    <row r="3" spans="1:33" ht="57.6" x14ac:dyDescent="0.3">
      <c r="A3" s="137"/>
      <c r="B3" s="138" t="s">
        <v>157</v>
      </c>
      <c r="C3" s="111" t="s">
        <v>158</v>
      </c>
      <c r="D3" s="65" t="s">
        <v>144</v>
      </c>
      <c r="E3" s="65" t="s">
        <v>159</v>
      </c>
      <c r="F3" s="65" t="s">
        <v>160</v>
      </c>
      <c r="G3" s="65" t="s">
        <v>161</v>
      </c>
      <c r="H3" s="65" t="s">
        <v>162</v>
      </c>
      <c r="I3" s="65" t="s">
        <v>163</v>
      </c>
      <c r="J3" s="65" t="s">
        <v>6</v>
      </c>
      <c r="K3" s="65" t="s">
        <v>164</v>
      </c>
      <c r="L3" s="68" t="s">
        <v>27</v>
      </c>
      <c r="M3" s="66"/>
      <c r="N3" s="112" t="s">
        <v>158</v>
      </c>
      <c r="O3" s="65" t="s">
        <v>144</v>
      </c>
      <c r="P3" s="65" t="s">
        <v>159</v>
      </c>
      <c r="Q3" s="65" t="s">
        <v>160</v>
      </c>
      <c r="R3" s="65" t="s">
        <v>161</v>
      </c>
      <c r="S3" s="65" t="s">
        <v>162</v>
      </c>
      <c r="T3" s="65" t="s">
        <v>163</v>
      </c>
      <c r="U3" s="65" t="s">
        <v>6</v>
      </c>
      <c r="V3" s="65" t="s">
        <v>164</v>
      </c>
      <c r="W3" s="68" t="s">
        <v>27</v>
      </c>
      <c r="AB3" s="86" t="s">
        <v>127</v>
      </c>
      <c r="AC3" s="86" t="s">
        <v>2</v>
      </c>
      <c r="AD3" s="86" t="s">
        <v>165</v>
      </c>
      <c r="AE3" s="86" t="s">
        <v>3</v>
      </c>
      <c r="AF3" s="86" t="s">
        <v>166</v>
      </c>
      <c r="AG3" s="86" t="s">
        <v>4</v>
      </c>
    </row>
    <row r="4" spans="1:33" x14ac:dyDescent="0.3">
      <c r="A4" s="137"/>
      <c r="B4" s="138"/>
      <c r="C4" s="70" t="s">
        <v>144</v>
      </c>
      <c r="D4" s="146">
        <f>VLOOKUP($C4,SurveyData!$CS:$DA,D$2,FALSE)</f>
        <v>0</v>
      </c>
      <c r="E4" s="146">
        <f>VLOOKUP($C4,SurveyData!$CS:$DA,E$2,FALSE)</f>
        <v>13070.087903797379</v>
      </c>
      <c r="F4" s="146">
        <f>VLOOKUP($C4,SurveyData!$CS:$DA,F$2,FALSE)</f>
        <v>1907.752647782193</v>
      </c>
      <c r="G4" s="146">
        <f>VLOOKUP($C4,SurveyData!$CS:$DA,G$2,FALSE)</f>
        <v>808.8978405367634</v>
      </c>
      <c r="H4" s="146">
        <f>VLOOKUP($C4,SurveyData!$CS:$DA,H$2,FALSE)</f>
        <v>21830.191815115169</v>
      </c>
      <c r="I4" s="146">
        <f>VLOOKUP($C4,SurveyData!$CS:$DA,I$2,FALSE)</f>
        <v>0</v>
      </c>
      <c r="J4" s="146">
        <f>VLOOKUP($C4,SurveyData!$CS:$DA,J$2,FALSE)</f>
        <v>31606.29624564428</v>
      </c>
      <c r="K4" s="146">
        <f>VLOOKUP($C4,SurveyData!$CS:$DA,K$2,FALSE)</f>
        <v>6928.3529339234383</v>
      </c>
      <c r="L4" s="72">
        <f>SUM(D4:K4)</f>
        <v>76151.579386799218</v>
      </c>
      <c r="M4" s="66"/>
      <c r="N4" s="73" t="s">
        <v>144</v>
      </c>
      <c r="O4" s="74">
        <f>IFERROR(D4/$L$12,0)</f>
        <v>0</v>
      </c>
      <c r="P4" s="74">
        <f t="shared" ref="P4:W4" si="0">IFERROR(E4/$L$12,0)</f>
        <v>7.8545704851909568E-3</v>
      </c>
      <c r="Q4" s="74">
        <f t="shared" si="0"/>
        <v>1.1464787192411537E-3</v>
      </c>
      <c r="R4" s="74">
        <f t="shared" si="0"/>
        <v>4.8611341794945438E-4</v>
      </c>
      <c r="S4" s="74">
        <f t="shared" si="0"/>
        <v>1.3119022731839692E-2</v>
      </c>
      <c r="T4" s="74">
        <f t="shared" si="0"/>
        <v>0</v>
      </c>
      <c r="U4" s="74">
        <f t="shared" si="0"/>
        <v>1.8994048354113342E-2</v>
      </c>
      <c r="V4" s="74">
        <f t="shared" si="0"/>
        <v>4.1636473194621949E-3</v>
      </c>
      <c r="W4" s="74">
        <f t="shared" si="0"/>
        <v>4.5763881027796792E-2</v>
      </c>
      <c r="AB4" s="86" t="s">
        <v>132</v>
      </c>
      <c r="AC4" s="84">
        <f>VLOOKUP(AB4,ModelData!DD:DE,2,FALSE)</f>
        <v>266464</v>
      </c>
      <c r="AD4" s="89">
        <f>AC4/$AC$9</f>
        <v>0.1716272461087201</v>
      </c>
      <c r="AE4" s="85">
        <f>VLOOKUP(AB4,SurveyData!DD:DE,2,FALSE)</f>
        <v>287913.0949700349</v>
      </c>
      <c r="AF4" s="89">
        <f>AE4/$AE$9</f>
        <v>0.17302360280182824</v>
      </c>
      <c r="AG4" s="90">
        <f>AD4-AF4</f>
        <v>-1.3963566931081417E-3</v>
      </c>
    </row>
    <row r="5" spans="1:33" x14ac:dyDescent="0.3">
      <c r="A5" s="137"/>
      <c r="B5" s="138"/>
      <c r="C5" s="70" t="s">
        <v>159</v>
      </c>
      <c r="D5" s="146">
        <f>VLOOKUP($C5,SurveyData!$CS:$DA,D$2,FALSE)</f>
        <v>16149.30844862421</v>
      </c>
      <c r="E5" s="146">
        <f>VLOOKUP($C5,SurveyData!$CS:$DA,E$2,FALSE)</f>
        <v>251373.31129752041</v>
      </c>
      <c r="F5" s="146">
        <f>VLOOKUP($C5,SurveyData!$CS:$DA,F$2,FALSE)</f>
        <v>6006.7669668255348</v>
      </c>
      <c r="G5" s="146">
        <f>VLOOKUP($C5,SurveyData!$CS:$DA,G$2,FALSE)</f>
        <v>886.44353329391788</v>
      </c>
      <c r="H5" s="146">
        <f>VLOOKUP($C5,SurveyData!$CS:$DA,H$2,FALSE)</f>
        <v>27124.686061155429</v>
      </c>
      <c r="I5" s="146">
        <f>VLOOKUP($C5,SurveyData!$CS:$DA,I$2,FALSE)</f>
        <v>0</v>
      </c>
      <c r="J5" s="146">
        <f>VLOOKUP($C5,SurveyData!$CS:$DA,J$2,FALSE)</f>
        <v>6559.1077760102862</v>
      </c>
      <c r="K5" s="146">
        <f>VLOOKUP($C5,SurveyData!$CS:$DA,K$2,FALSE)</f>
        <v>23793.75744809477</v>
      </c>
      <c r="L5" s="72">
        <f t="shared" ref="L5:L10" si="1">SUM(D5:K5)</f>
        <v>331893.38153152459</v>
      </c>
      <c r="M5" s="66"/>
      <c r="N5" s="73" t="s">
        <v>159</v>
      </c>
      <c r="O5" s="74">
        <f t="shared" ref="O5:O12" si="2">IFERROR(D5/$L$12,0)</f>
        <v>9.7050519040468679E-3</v>
      </c>
      <c r="P5" s="74">
        <f t="shared" ref="P5:P12" si="3">IFERROR(E5/$L$12,0)</f>
        <v>0.15106473699450579</v>
      </c>
      <c r="Q5" s="74">
        <f t="shared" ref="Q5:Q12" si="4">IFERROR(F5/$L$12,0)</f>
        <v>3.6098130996762481E-3</v>
      </c>
      <c r="R5" s="74">
        <f t="shared" ref="R5:R12" si="5">IFERROR(G5/$L$12,0)</f>
        <v>5.327151021972755E-4</v>
      </c>
      <c r="S5" s="74">
        <f t="shared" ref="S5:S12" si="6">IFERROR(H5/$L$12,0)</f>
        <v>1.6300790027136827E-2</v>
      </c>
      <c r="T5" s="74">
        <f t="shared" ref="T5:T12" si="7">IFERROR(I5/$L$12,0)</f>
        <v>0</v>
      </c>
      <c r="U5" s="74">
        <f t="shared" ref="U5:U12" si="8">IFERROR(J5/$L$12,0)</f>
        <v>3.9417465839436767E-3</v>
      </c>
      <c r="V5" s="74">
        <f t="shared" ref="V5:V12" si="9">IFERROR(K5/$L$12,0)</f>
        <v>1.4299042696514596E-2</v>
      </c>
      <c r="W5" s="74">
        <f t="shared" ref="W5:W12" si="10">IFERROR(L5/$L$12,0)</f>
        <v>0.19945389640802128</v>
      </c>
      <c r="AB5" s="86" t="s">
        <v>133</v>
      </c>
      <c r="AC5" s="84">
        <f>VLOOKUP(AB5,ModelData!DD:DE,2,FALSE)</f>
        <v>990006</v>
      </c>
      <c r="AD5" s="89">
        <f t="shared" ref="AD5:AD9" si="11">AC5/$AC$9</f>
        <v>0.63765463031069691</v>
      </c>
      <c r="AE5" s="85">
        <f>VLOOKUP(AB5,SurveyData!DD:DE,2,FALSE)</f>
        <v>1146784.4457111461</v>
      </c>
      <c r="AF5" s="89">
        <f t="shared" ref="AF5:AF9" si="12">AE5/$AE$9</f>
        <v>0.68916898849179165</v>
      </c>
      <c r="AG5" s="90">
        <f t="shared" ref="AG5:AG8" si="13">AD5-AF5</f>
        <v>-5.1514358181094733E-2</v>
      </c>
    </row>
    <row r="6" spans="1:33" x14ac:dyDescent="0.3">
      <c r="A6" s="137"/>
      <c r="B6" s="138"/>
      <c r="C6" s="70" t="s">
        <v>160</v>
      </c>
      <c r="D6" s="146">
        <f>VLOOKUP($C6,SurveyData!$CS:$DA,D$2,FALSE)</f>
        <v>1956.1551503626019</v>
      </c>
      <c r="E6" s="146">
        <f>VLOOKUP($C6,SurveyData!$CS:$DA,E$2,FALSE)</f>
        <v>13067.77106047662</v>
      </c>
      <c r="F6" s="146">
        <f>VLOOKUP($C6,SurveyData!$CS:$DA,F$2,FALSE)</f>
        <v>9459.7956809250427</v>
      </c>
      <c r="G6" s="146">
        <f>VLOOKUP($C6,SurveyData!$CS:$DA,G$2,FALSE)</f>
        <v>0</v>
      </c>
      <c r="H6" s="146">
        <f>VLOOKUP($C6,SurveyData!$CS:$DA,H$2,FALSE)</f>
        <v>4304.0083725896629</v>
      </c>
      <c r="I6" s="146">
        <f>VLOOKUP($C6,SurveyData!$CS:$DA,I$2,FALSE)</f>
        <v>0</v>
      </c>
      <c r="J6" s="146">
        <f>VLOOKUP($C6,SurveyData!$CS:$DA,J$2,FALSE)</f>
        <v>4003.655648909642</v>
      </c>
      <c r="K6" s="146">
        <f>VLOOKUP($C6,SurveyData!$CS:$DA,K$2,FALSE)</f>
        <v>4886.0531410233216</v>
      </c>
      <c r="L6" s="72">
        <f t="shared" si="1"/>
        <v>37677.439054286893</v>
      </c>
      <c r="M6" s="66"/>
      <c r="N6" s="73" t="s">
        <v>160</v>
      </c>
      <c r="O6" s="74">
        <f t="shared" si="2"/>
        <v>1.1755665777908272E-3</v>
      </c>
      <c r="P6" s="74">
        <f t="shared" si="3"/>
        <v>7.8531781602655254E-3</v>
      </c>
      <c r="Q6" s="74">
        <f t="shared" si="4"/>
        <v>5.6849374310438162E-3</v>
      </c>
      <c r="R6" s="74">
        <f t="shared" si="5"/>
        <v>0</v>
      </c>
      <c r="S6" s="74">
        <f t="shared" si="6"/>
        <v>2.5865271435194792E-3</v>
      </c>
      <c r="T6" s="74">
        <f t="shared" si="7"/>
        <v>0</v>
      </c>
      <c r="U6" s="74">
        <f t="shared" si="8"/>
        <v>2.4060278495645865E-3</v>
      </c>
      <c r="V6" s="74">
        <f t="shared" si="9"/>
        <v>2.9363114519991916E-3</v>
      </c>
      <c r="W6" s="74">
        <f t="shared" si="10"/>
        <v>2.2642548614183428E-2</v>
      </c>
      <c r="AB6" s="86" t="s">
        <v>134</v>
      </c>
      <c r="AC6" s="84">
        <f>VLOOKUP(AB6,ModelData!DD:DE,2,FALSE)</f>
        <v>194604</v>
      </c>
      <c r="AD6" s="89">
        <f t="shared" si="11"/>
        <v>0.12534281779805664</v>
      </c>
      <c r="AE6" s="85">
        <f>VLOOKUP(AB6,SurveyData!DD:DE,2,FALSE)</f>
        <v>151237.34956727439</v>
      </c>
      <c r="AF6" s="89">
        <f t="shared" si="12"/>
        <v>9.0887255763940772E-2</v>
      </c>
      <c r="AG6" s="90">
        <f t="shared" si="13"/>
        <v>3.4455562034115872E-2</v>
      </c>
    </row>
    <row r="7" spans="1:33" x14ac:dyDescent="0.3">
      <c r="A7" s="137"/>
      <c r="B7" s="138"/>
      <c r="C7" s="70" t="s">
        <v>161</v>
      </c>
      <c r="D7" s="146">
        <f>VLOOKUP($C7,SurveyData!$CS:$DA,D$2,FALSE)</f>
        <v>784.37807287895987</v>
      </c>
      <c r="E7" s="146">
        <f>VLOOKUP($C7,SurveyData!$CS:$DA,E$2,FALSE)</f>
        <v>545.23966393599324</v>
      </c>
      <c r="F7" s="146">
        <f>VLOOKUP($C7,SurveyData!$CS:$DA,F$2,FALSE)</f>
        <v>0</v>
      </c>
      <c r="G7" s="146">
        <f>VLOOKUP($C7,SurveyData!$CS:$DA,G$2,FALSE)</f>
        <v>0</v>
      </c>
      <c r="H7" s="146">
        <f>VLOOKUP($C7,SurveyData!$CS:$DA,H$2,FALSE)</f>
        <v>6070.3980766536761</v>
      </c>
      <c r="I7" s="146">
        <f>VLOOKUP($C7,SurveyData!$CS:$DA,I$2,FALSE)</f>
        <v>0</v>
      </c>
      <c r="J7" s="146">
        <f>VLOOKUP($C7,SurveyData!$CS:$DA,J$2,FALSE)</f>
        <v>5318.7666284389588</v>
      </c>
      <c r="K7" s="146">
        <f>VLOOKUP($C7,SurveyData!$CS:$DA,K$2,FALSE)</f>
        <v>1470.961703842765</v>
      </c>
      <c r="L7" s="72">
        <f t="shared" si="1"/>
        <v>14189.744145750352</v>
      </c>
      <c r="M7" s="66"/>
      <c r="N7" s="73" t="s">
        <v>161</v>
      </c>
      <c r="O7" s="74">
        <f t="shared" si="2"/>
        <v>4.7137807379826714E-4</v>
      </c>
      <c r="P7" s="74">
        <f t="shared" si="3"/>
        <v>3.2766599606899485E-4</v>
      </c>
      <c r="Q7" s="74">
        <f t="shared" si="4"/>
        <v>0</v>
      </c>
      <c r="R7" s="74">
        <f t="shared" si="5"/>
        <v>0</v>
      </c>
      <c r="S7" s="74">
        <f t="shared" si="6"/>
        <v>3.6480527076172822E-3</v>
      </c>
      <c r="T7" s="74">
        <f t="shared" si="7"/>
        <v>0</v>
      </c>
      <c r="U7" s="74">
        <f t="shared" si="8"/>
        <v>3.1963539713621585E-3</v>
      </c>
      <c r="V7" s="74">
        <f t="shared" si="9"/>
        <v>8.8398582082166064E-4</v>
      </c>
      <c r="W7" s="74">
        <f t="shared" si="10"/>
        <v>8.5274365696683622E-3</v>
      </c>
      <c r="AB7" s="86" t="s">
        <v>135</v>
      </c>
      <c r="AC7" s="84">
        <f>VLOOKUP(AB7,ModelData!DD:DE,2,FALSE)</f>
        <v>66939</v>
      </c>
      <c r="AD7" s="89">
        <f t="shared" si="11"/>
        <v>4.3114853140655454E-2</v>
      </c>
      <c r="AE7" s="85">
        <f>VLOOKUP(AB7,SurveyData!DD:DE,2,FALSE)</f>
        <v>38796.39961615052</v>
      </c>
      <c r="AF7" s="89">
        <f t="shared" si="12"/>
        <v>2.3314996624326744E-2</v>
      </c>
      <c r="AG7" s="90">
        <f t="shared" si="13"/>
        <v>1.979985651632871E-2</v>
      </c>
    </row>
    <row r="8" spans="1:33" x14ac:dyDescent="0.3">
      <c r="A8" s="137"/>
      <c r="B8" s="138"/>
      <c r="C8" s="70" t="s">
        <v>162</v>
      </c>
      <c r="D8" s="146">
        <f>VLOOKUP($C8,SurveyData!$CS:$DA,D$2,FALSE)</f>
        <v>16672.90528221631</v>
      </c>
      <c r="E8" s="146">
        <f>VLOOKUP($C8,SurveyData!$CS:$DA,E$2,FALSE)</f>
        <v>22941.866730442842</v>
      </c>
      <c r="F8" s="146">
        <f>VLOOKUP($C8,SurveyData!$CS:$DA,F$2,FALSE)</f>
        <v>7579.5075032146297</v>
      </c>
      <c r="G8" s="146">
        <f>VLOOKUP($C8,SurveyData!$CS:$DA,G$2,FALSE)</f>
        <v>4263.8802133373683</v>
      </c>
      <c r="H8" s="146">
        <f>VLOOKUP($C8,SurveyData!$CS:$DA,H$2,FALSE)</f>
        <v>139383.0465034814</v>
      </c>
      <c r="I8" s="146">
        <f>VLOOKUP($C8,SurveyData!$CS:$DA,I$2,FALSE)</f>
        <v>0</v>
      </c>
      <c r="J8" s="146">
        <f>VLOOKUP($C8,SurveyData!$CS:$DA,J$2,FALSE)</f>
        <v>106158.20155570129</v>
      </c>
      <c r="K8" s="146">
        <f>VLOOKUP($C8,SurveyData!$CS:$DA,K$2,FALSE)</f>
        <v>73350.329698904708</v>
      </c>
      <c r="L8" s="72">
        <f t="shared" si="1"/>
        <v>370349.73748729855</v>
      </c>
      <c r="M8" s="66"/>
      <c r="N8" s="73" t="s">
        <v>162</v>
      </c>
      <c r="O8" s="74">
        <f t="shared" si="2"/>
        <v>1.0019711473710287E-2</v>
      </c>
      <c r="P8" s="74">
        <f t="shared" si="3"/>
        <v>1.3787092376308034E-2</v>
      </c>
      <c r="Q8" s="74">
        <f t="shared" si="4"/>
        <v>4.5549636976608332E-3</v>
      </c>
      <c r="R8" s="74">
        <f t="shared" si="5"/>
        <v>2.5624118156343054E-3</v>
      </c>
      <c r="S8" s="74">
        <f t="shared" si="6"/>
        <v>8.3763320588238932E-2</v>
      </c>
      <c r="T8" s="74">
        <f t="shared" si="7"/>
        <v>0</v>
      </c>
      <c r="U8" s="74">
        <f t="shared" si="8"/>
        <v>6.3796592864391086E-2</v>
      </c>
      <c r="V8" s="74">
        <f t="shared" si="9"/>
        <v>4.4080448346843368E-2</v>
      </c>
      <c r="W8" s="74">
        <f t="shared" si="10"/>
        <v>0.22256454116278684</v>
      </c>
      <c r="AB8" s="86" t="s">
        <v>136</v>
      </c>
      <c r="AC8" s="84">
        <f>VLOOKUP(AB8,ModelData!DD:DE,2,FALSE)</f>
        <v>34561</v>
      </c>
      <c r="AD8" s="89">
        <f t="shared" si="11"/>
        <v>2.2260452641870855E-2</v>
      </c>
      <c r="AE8" s="85">
        <f>VLOOKUP(AB8,SurveyData!DD:DE,2,FALSE)</f>
        <v>39279.228398586361</v>
      </c>
      <c r="AF8" s="89">
        <f t="shared" si="12"/>
        <v>2.3605156318112691E-2</v>
      </c>
      <c r="AG8" s="90">
        <f t="shared" si="13"/>
        <v>-1.344703676241836E-3</v>
      </c>
    </row>
    <row r="9" spans="1:33" x14ac:dyDescent="0.3">
      <c r="A9" s="137"/>
      <c r="B9" s="138"/>
      <c r="C9" s="70" t="s">
        <v>163</v>
      </c>
      <c r="D9" s="146">
        <f>VLOOKUP($C9,SurveyData!$CS:$DA,D$2,FALSE)</f>
        <v>8260.4940189659937</v>
      </c>
      <c r="E9" s="146">
        <f>VLOOKUP($C9,SurveyData!$CS:$DA,E$2,FALSE)</f>
        <v>25495.36232844436</v>
      </c>
      <c r="F9" s="146">
        <f>VLOOKUP($C9,SurveyData!$CS:$DA,F$2,FALSE)</f>
        <v>9804.2685456068648</v>
      </c>
      <c r="G9" s="146">
        <f>VLOOKUP($C9,SurveyData!$CS:$DA,G$2,FALSE)</f>
        <v>2927.740106538181</v>
      </c>
      <c r="H9" s="146">
        <f>VLOOKUP($C9,SurveyData!$CS:$DA,H$2,FALSE)</f>
        <v>60046.985565945222</v>
      </c>
      <c r="I9" s="146">
        <f>VLOOKUP($C9,SurveyData!$CS:$DA,I$2,FALSE)</f>
        <v>0</v>
      </c>
      <c r="J9" s="146">
        <f>VLOOKUP($C9,SurveyData!$CS:$DA,J$2,FALSE)</f>
        <v>109932.5133405917</v>
      </c>
      <c r="K9" s="146">
        <f>VLOOKUP($C9,SurveyData!$CS:$DA,K$2,FALSE)</f>
        <v>5764.3759929631497</v>
      </c>
      <c r="L9" s="72">
        <f t="shared" si="1"/>
        <v>222231.73989905545</v>
      </c>
      <c r="M9" s="66"/>
      <c r="N9" s="73" t="s">
        <v>167</v>
      </c>
      <c r="O9" s="74">
        <f t="shared" si="2"/>
        <v>4.9642078149769557E-3</v>
      </c>
      <c r="P9" s="74">
        <f t="shared" si="3"/>
        <v>1.5321635319381931E-2</v>
      </c>
      <c r="Q9" s="74">
        <f t="shared" si="4"/>
        <v>5.8919510652132474E-3</v>
      </c>
      <c r="R9" s="74">
        <f t="shared" si="5"/>
        <v>1.7594480770434095E-3</v>
      </c>
      <c r="S9" s="74">
        <f t="shared" si="6"/>
        <v>3.6085700725389129E-2</v>
      </c>
      <c r="T9" s="74">
        <f t="shared" si="7"/>
        <v>0</v>
      </c>
      <c r="U9" s="74">
        <f t="shared" si="8"/>
        <v>6.6064794743805791E-2</v>
      </c>
      <c r="V9" s="74">
        <f t="shared" si="9"/>
        <v>3.4641463678845644E-3</v>
      </c>
      <c r="W9" s="74">
        <f t="shared" si="10"/>
        <v>0.13355188411369501</v>
      </c>
      <c r="AB9" s="86" t="s">
        <v>27</v>
      </c>
      <c r="AC9" s="87">
        <f>SUM(AC4:AC8)</f>
        <v>1552574</v>
      </c>
      <c r="AD9" s="91">
        <f t="shared" si="11"/>
        <v>1</v>
      </c>
      <c r="AE9" s="87">
        <f>SUM(AE4:AE8)</f>
        <v>1664010.5182631921</v>
      </c>
      <c r="AF9" s="91">
        <f t="shared" si="12"/>
        <v>1</v>
      </c>
      <c r="AG9" s="86"/>
    </row>
    <row r="10" spans="1:33" x14ac:dyDescent="0.3">
      <c r="A10" s="137"/>
      <c r="B10" s="138"/>
      <c r="C10" s="70" t="s">
        <v>6</v>
      </c>
      <c r="D10" s="146">
        <f>VLOOKUP($C10,SurveyData!$CS:$DA,D$2,FALSE)</f>
        <v>32328.338413751149</v>
      </c>
      <c r="E10" s="146">
        <f>VLOOKUP($C10,SurveyData!$CS:$DA,E$2,FALSE)</f>
        <v>5399.7425469069549</v>
      </c>
      <c r="F10" s="146">
        <f>VLOOKUP($C10,SurveyData!$CS:$DA,F$2,FALSE)</f>
        <v>2919.347709932631</v>
      </c>
      <c r="G10" s="146">
        <f>VLOOKUP($C10,SurveyData!$CS:$DA,G$2,FALSE)</f>
        <v>5302.7824520441227</v>
      </c>
      <c r="H10" s="146">
        <f>VLOOKUP($C10,SurveyData!$CS:$DA,H$2,FALSE)</f>
        <v>111590.421092358</v>
      </c>
      <c r="I10" s="146">
        <f>VLOOKUP($C10,SurveyData!$CS:$DA,I$2,FALSE)</f>
        <v>0</v>
      </c>
      <c r="J10" s="146">
        <f>VLOOKUP($C10,SurveyData!$CS:$DA,J$2,FALSE)</f>
        <v>347938.3555631811</v>
      </c>
      <c r="K10" s="146">
        <f>VLOOKUP($C10,SurveyData!$CS:$DA,K$2,FALSE)</f>
        <v>106037.9089803033</v>
      </c>
      <c r="L10" s="72">
        <f t="shared" si="1"/>
        <v>611516.89675847732</v>
      </c>
      <c r="M10" s="66"/>
      <c r="N10" s="73" t="s">
        <v>164</v>
      </c>
      <c r="O10" s="74">
        <f t="shared" si="2"/>
        <v>1.9427965183473592E-2</v>
      </c>
      <c r="P10" s="74">
        <f t="shared" si="3"/>
        <v>3.2450170763000498E-3</v>
      </c>
      <c r="Q10" s="74">
        <f t="shared" si="4"/>
        <v>1.7544046013481299E-3</v>
      </c>
      <c r="R10" s="74">
        <f t="shared" si="5"/>
        <v>3.186748156843919E-3</v>
      </c>
      <c r="S10" s="74">
        <f t="shared" si="6"/>
        <v>6.7061127239045504E-2</v>
      </c>
      <c r="T10" s="74">
        <f t="shared" si="7"/>
        <v>0</v>
      </c>
      <c r="U10" s="74">
        <f t="shared" si="8"/>
        <v>0.2090962477366676</v>
      </c>
      <c r="V10" s="74">
        <f t="shared" si="9"/>
        <v>6.372430211016944E-2</v>
      </c>
      <c r="W10" s="74">
        <f t="shared" si="10"/>
        <v>0.36749581210384824</v>
      </c>
    </row>
    <row r="11" spans="1:33" x14ac:dyDescent="0.3">
      <c r="A11" s="137"/>
      <c r="B11" s="138"/>
      <c r="C11" s="70" t="s">
        <v>164</v>
      </c>
      <c r="D11" s="146">
        <f>VLOOKUP($C11,SurveyData!$CS:$DA,D$2,FALSE)</f>
        <v>0</v>
      </c>
      <c r="E11" s="146">
        <f>VLOOKUP($C11,SurveyData!$CS:$DA,E$2,FALSE)</f>
        <v>0</v>
      </c>
      <c r="F11" s="146">
        <f>VLOOKUP($C11,SurveyData!$CS:$DA,F$2,FALSE)</f>
        <v>0</v>
      </c>
      <c r="G11" s="146">
        <f>VLOOKUP($C11,SurveyData!$CS:$DA,G$2,FALSE)</f>
        <v>0</v>
      </c>
      <c r="H11" s="146">
        <f>VLOOKUP($C11,SurveyData!$CS:$DA,H$2,FALSE)</f>
        <v>0</v>
      </c>
      <c r="I11" s="146">
        <f>VLOOKUP($C11,SurveyData!$CS:$DA,I$2,FALSE)</f>
        <v>0</v>
      </c>
      <c r="J11" s="146">
        <f>VLOOKUP($C11,SurveyData!$CS:$DA,J$2,FALSE)</f>
        <v>0</v>
      </c>
      <c r="K11" s="146">
        <f>VLOOKUP($C11,SurveyData!$CS:$DA,K$2,FALSE)</f>
        <v>0</v>
      </c>
      <c r="L11" s="79" t="s">
        <v>168</v>
      </c>
      <c r="M11" s="66"/>
      <c r="N11" s="73" t="s">
        <v>163</v>
      </c>
      <c r="O11" s="74">
        <f t="shared" si="2"/>
        <v>0</v>
      </c>
      <c r="P11" s="74">
        <f t="shared" si="3"/>
        <v>0</v>
      </c>
      <c r="Q11" s="74">
        <f t="shared" si="4"/>
        <v>0</v>
      </c>
      <c r="R11" s="74">
        <f t="shared" si="5"/>
        <v>0</v>
      </c>
      <c r="S11" s="74">
        <f t="shared" si="6"/>
        <v>0</v>
      </c>
      <c r="T11" s="74">
        <f t="shared" si="7"/>
        <v>0</v>
      </c>
      <c r="U11" s="74">
        <f t="shared" si="8"/>
        <v>0</v>
      </c>
      <c r="V11" s="74">
        <f t="shared" si="9"/>
        <v>0</v>
      </c>
      <c r="W11" s="74">
        <f t="shared" si="10"/>
        <v>0</v>
      </c>
    </row>
    <row r="12" spans="1:33" x14ac:dyDescent="0.3">
      <c r="A12" s="137"/>
      <c r="B12" s="138"/>
      <c r="C12" s="68" t="s">
        <v>27</v>
      </c>
      <c r="D12" s="72">
        <f>SUM(D4:D11)</f>
        <v>76151.579386799218</v>
      </c>
      <c r="E12" s="72">
        <f t="shared" ref="E12:K12" si="14">SUM(E4:E11)</f>
        <v>331893.38153152453</v>
      </c>
      <c r="F12" s="72">
        <f t="shared" si="14"/>
        <v>37677.439054286901</v>
      </c>
      <c r="G12" s="72">
        <f t="shared" si="14"/>
        <v>14189.744145750354</v>
      </c>
      <c r="H12" s="72">
        <f t="shared" si="14"/>
        <v>370349.73748729855</v>
      </c>
      <c r="I12" s="72">
        <f t="shared" si="14"/>
        <v>0</v>
      </c>
      <c r="J12" s="72">
        <f t="shared" si="14"/>
        <v>611516.8967584772</v>
      </c>
      <c r="K12" s="72">
        <f t="shared" si="14"/>
        <v>222231.73989905545</v>
      </c>
      <c r="L12" s="72">
        <f>SUM(D12:K12)</f>
        <v>1664010.5182631924</v>
      </c>
      <c r="M12" s="66"/>
      <c r="N12" s="73" t="s">
        <v>27</v>
      </c>
      <c r="O12" s="74">
        <f t="shared" si="2"/>
        <v>4.5763881027796792E-2</v>
      </c>
      <c r="P12" s="74">
        <f t="shared" si="3"/>
        <v>0.19945389640802125</v>
      </c>
      <c r="Q12" s="74">
        <f t="shared" si="4"/>
        <v>2.2642548614183432E-2</v>
      </c>
      <c r="R12" s="74">
        <f t="shared" si="5"/>
        <v>8.5274365696683639E-3</v>
      </c>
      <c r="S12" s="74">
        <f t="shared" si="6"/>
        <v>0.22256454116278684</v>
      </c>
      <c r="T12" s="74">
        <f t="shared" si="7"/>
        <v>0</v>
      </c>
      <c r="U12" s="74">
        <f t="shared" si="8"/>
        <v>0.36749581210384819</v>
      </c>
      <c r="V12" s="74">
        <f t="shared" si="9"/>
        <v>0.13355188411369501</v>
      </c>
      <c r="W12" s="74">
        <f t="shared" si="10"/>
        <v>1</v>
      </c>
    </row>
    <row r="13" spans="1:33" x14ac:dyDescent="0.3">
      <c r="A13" s="137"/>
      <c r="B13" s="66"/>
      <c r="C13" s="66"/>
      <c r="D13" s="66"/>
      <c r="E13" s="66"/>
      <c r="F13" s="66"/>
      <c r="G13" s="66"/>
      <c r="H13" s="66"/>
      <c r="I13" s="66"/>
      <c r="J13" s="66"/>
      <c r="K13" s="66"/>
      <c r="L13" s="66"/>
      <c r="M13" s="66"/>
      <c r="N13" s="66"/>
      <c r="O13" s="66"/>
      <c r="P13" s="66"/>
      <c r="Q13" s="66"/>
      <c r="R13" s="66"/>
      <c r="S13" s="66"/>
      <c r="T13" s="66"/>
      <c r="U13" s="66"/>
      <c r="V13" s="66"/>
      <c r="W13" s="66"/>
    </row>
    <row r="14" spans="1:33" x14ac:dyDescent="0.3">
      <c r="A14" s="137"/>
      <c r="B14" s="66"/>
      <c r="C14" s="66"/>
      <c r="D14" s="66"/>
      <c r="E14" s="66"/>
      <c r="F14" s="66"/>
      <c r="G14" s="66"/>
      <c r="H14" s="66"/>
      <c r="I14" s="66"/>
      <c r="J14" s="66"/>
      <c r="K14" s="66"/>
      <c r="L14" s="66"/>
      <c r="M14" s="66"/>
      <c r="N14" s="66"/>
      <c r="O14" s="66"/>
      <c r="P14" s="66"/>
      <c r="Q14" s="66"/>
      <c r="R14" s="66"/>
      <c r="S14" s="66"/>
      <c r="T14" s="66"/>
      <c r="U14" s="66"/>
      <c r="V14" s="66"/>
      <c r="W14" s="66"/>
    </row>
    <row r="15" spans="1:33" x14ac:dyDescent="0.3">
      <c r="A15" s="137"/>
      <c r="B15" s="66"/>
      <c r="C15" s="66"/>
      <c r="D15" s="66"/>
      <c r="E15" s="66"/>
      <c r="F15" s="66"/>
      <c r="G15" s="66"/>
      <c r="H15" s="66"/>
      <c r="I15" s="66"/>
      <c r="J15" s="66"/>
      <c r="K15" s="66"/>
      <c r="L15" s="66"/>
      <c r="M15" s="66"/>
      <c r="N15" s="66"/>
      <c r="O15" s="66"/>
      <c r="P15" s="66"/>
      <c r="Q15" s="66"/>
      <c r="R15" s="66"/>
      <c r="S15" s="66"/>
      <c r="T15" s="66"/>
      <c r="U15" s="66"/>
      <c r="V15" s="66"/>
      <c r="W15" s="66"/>
    </row>
    <row r="16" spans="1:33" ht="57.6" x14ac:dyDescent="0.3">
      <c r="A16" s="137"/>
      <c r="B16" s="138" t="s">
        <v>169</v>
      </c>
      <c r="C16" s="111" t="s">
        <v>158</v>
      </c>
      <c r="D16" s="65" t="s">
        <v>143</v>
      </c>
      <c r="E16" s="65" t="s">
        <v>170</v>
      </c>
      <c r="F16" s="65" t="s">
        <v>171</v>
      </c>
      <c r="G16" s="65" t="s">
        <v>172</v>
      </c>
      <c r="H16" s="65" t="s">
        <v>173</v>
      </c>
      <c r="I16" s="65" t="s">
        <v>174</v>
      </c>
      <c r="J16" s="65" t="s">
        <v>175</v>
      </c>
      <c r="K16" s="65" t="s">
        <v>176</v>
      </c>
      <c r="L16" s="68" t="s">
        <v>27</v>
      </c>
      <c r="M16" s="66"/>
      <c r="N16" s="112" t="s">
        <v>158</v>
      </c>
      <c r="O16" s="65" t="s">
        <v>143</v>
      </c>
      <c r="P16" s="65" t="s">
        <v>170</v>
      </c>
      <c r="Q16" s="65" t="s">
        <v>171</v>
      </c>
      <c r="R16" s="65" t="s">
        <v>172</v>
      </c>
      <c r="S16" s="65" t="s">
        <v>173</v>
      </c>
      <c r="T16" s="65" t="s">
        <v>174</v>
      </c>
      <c r="U16" s="65" t="s">
        <v>175</v>
      </c>
      <c r="V16" s="65" t="s">
        <v>176</v>
      </c>
      <c r="W16" s="68" t="s">
        <v>27</v>
      </c>
    </row>
    <row r="17" spans="1:23" x14ac:dyDescent="0.3">
      <c r="A17" s="137"/>
      <c r="B17" s="138"/>
      <c r="C17" s="70" t="s">
        <v>143</v>
      </c>
      <c r="D17" s="71">
        <f>VLOOKUP($C17,ModelData!$CS:$DA,D$2,FALSE)</f>
        <v>0</v>
      </c>
      <c r="E17" s="71">
        <f>VLOOKUP($C17,ModelData!$CS:$DA,E$2,FALSE)</f>
        <v>84</v>
      </c>
      <c r="F17" s="71">
        <f>VLOOKUP($C17,ModelData!$CS:$DA,F$2,FALSE)</f>
        <v>12</v>
      </c>
      <c r="G17" s="71">
        <f>VLOOKUP($C17,ModelData!$CS:$DA,G$2,FALSE)</f>
        <v>0</v>
      </c>
      <c r="H17" s="71">
        <f>VLOOKUP($C17,ModelData!$CS:$DA,H$2,FALSE)</f>
        <v>22823</v>
      </c>
      <c r="I17" s="71">
        <f>VLOOKUP($C17,ModelData!$CS:$DA,I$2,FALSE)</f>
        <v>0</v>
      </c>
      <c r="J17" s="71">
        <f>VLOOKUP($C17,ModelData!$CS:$DA,J$2,FALSE)</f>
        <v>45687</v>
      </c>
      <c r="K17" s="71">
        <f>VLOOKUP($C17,ModelData!$CS:$DA,K$2,FALSE)</f>
        <v>114</v>
      </c>
      <c r="L17" s="72">
        <f>SUM(D17:K17)</f>
        <v>68720</v>
      </c>
      <c r="M17" s="66"/>
      <c r="N17" s="70" t="s">
        <v>143</v>
      </c>
      <c r="O17" s="75">
        <f>IFERROR(D17/$L$25,0)</f>
        <v>0</v>
      </c>
      <c r="P17" s="75">
        <f t="shared" ref="P17:W17" si="15">IFERROR(E17/$L$25,0)</f>
        <v>5.4103701337263154E-5</v>
      </c>
      <c r="Q17" s="75">
        <f t="shared" si="15"/>
        <v>7.7291001910375936E-6</v>
      </c>
      <c r="R17" s="75">
        <f t="shared" si="15"/>
        <v>0</v>
      </c>
      <c r="S17" s="75">
        <f t="shared" si="15"/>
        <v>1.4700104471670916E-2</v>
      </c>
      <c r="T17" s="75">
        <f t="shared" si="15"/>
        <v>0</v>
      </c>
      <c r="U17" s="75">
        <f t="shared" si="15"/>
        <v>2.9426616702327876E-2</v>
      </c>
      <c r="V17" s="75">
        <f t="shared" si="15"/>
        <v>7.3426451814857132E-5</v>
      </c>
      <c r="W17" s="75">
        <f t="shared" si="15"/>
        <v>4.4261980427341953E-2</v>
      </c>
    </row>
    <row r="18" spans="1:23" x14ac:dyDescent="0.3">
      <c r="A18" s="137"/>
      <c r="B18" s="138"/>
      <c r="C18" s="70" t="s">
        <v>170</v>
      </c>
      <c r="D18" s="71">
        <f>VLOOKUP($C18,ModelData!$CS:$DA,D$2,FALSE)</f>
        <v>7349</v>
      </c>
      <c r="E18" s="71">
        <f>VLOOKUP($C18,ModelData!$CS:$DA,E$2,FALSE)</f>
        <v>214809</v>
      </c>
      <c r="F18" s="71">
        <f>VLOOKUP($C18,ModelData!$CS:$DA,F$2,FALSE)</f>
        <v>5654</v>
      </c>
      <c r="G18" s="71">
        <f>VLOOKUP($C18,ModelData!$CS:$DA,G$2,FALSE)</f>
        <v>536</v>
      </c>
      <c r="H18" s="71">
        <f>VLOOKUP($C18,ModelData!$CS:$DA,H$2,FALSE)</f>
        <v>30568</v>
      </c>
      <c r="I18" s="71">
        <f>VLOOKUP($C18,ModelData!$CS:$DA,I$2,FALSE)</f>
        <v>0</v>
      </c>
      <c r="J18" s="71">
        <f>VLOOKUP($C18,ModelData!$CS:$DA,J$2,FALSE)</f>
        <v>5144</v>
      </c>
      <c r="K18" s="71">
        <f>VLOOKUP($C18,ModelData!$CS:$DA,K$2,FALSE)</f>
        <v>22485</v>
      </c>
      <c r="L18" s="72">
        <f t="shared" ref="L18:L25" si="16">SUM(D18:K18)</f>
        <v>286545</v>
      </c>
      <c r="M18" s="66"/>
      <c r="N18" s="70" t="s">
        <v>170</v>
      </c>
      <c r="O18" s="75">
        <f t="shared" ref="O18:O25" si="17">IFERROR(D18/$L$25,0)</f>
        <v>4.7334297753279389E-3</v>
      </c>
      <c r="P18" s="75">
        <f t="shared" ref="P18:P25" si="18">IFERROR(E18/$L$25,0)</f>
        <v>0.1383566902447162</v>
      </c>
      <c r="Q18" s="75">
        <f t="shared" ref="Q18:Q25" si="19">IFERROR(F18/$L$25,0)</f>
        <v>3.6416943733438793E-3</v>
      </c>
      <c r="R18" s="75">
        <f t="shared" ref="R18:R25" si="20">IFERROR(G18/$L$25,0)</f>
        <v>3.4523314186634584E-4</v>
      </c>
      <c r="S18" s="75">
        <f t="shared" ref="S18:S25" si="21">IFERROR(H18/$L$25,0)</f>
        <v>1.9688594553303095E-2</v>
      </c>
      <c r="T18" s="75">
        <f t="shared" ref="T18:T25" si="22">IFERROR(I18/$L$25,0)</f>
        <v>0</v>
      </c>
      <c r="U18" s="75">
        <f t="shared" ref="U18:U25" si="23">IFERROR(J18/$L$25,0)</f>
        <v>3.3132076152247816E-3</v>
      </c>
      <c r="V18" s="75">
        <f t="shared" ref="V18:V25" si="24">IFERROR(K18/$L$25,0)</f>
        <v>1.4482401482956689E-2</v>
      </c>
      <c r="W18" s="75">
        <f t="shared" ref="W18:W25" si="25">IFERROR(L18/$L$25,0)</f>
        <v>0.18456125118673891</v>
      </c>
    </row>
    <row r="19" spans="1:23" x14ac:dyDescent="0.3">
      <c r="A19" s="137"/>
      <c r="B19" s="138"/>
      <c r="C19" s="70" t="s">
        <v>171</v>
      </c>
      <c r="D19" s="71">
        <f>VLOOKUP($C19,ModelData!$CS:$DA,D$2,FALSE)</f>
        <v>1278</v>
      </c>
      <c r="E19" s="71">
        <f>VLOOKUP($C19,ModelData!$CS:$DA,E$2,FALSE)</f>
        <v>15004</v>
      </c>
      <c r="F19" s="71">
        <f>VLOOKUP($C19,ModelData!$CS:$DA,F$2,FALSE)</f>
        <v>5463</v>
      </c>
      <c r="G19" s="71">
        <f>VLOOKUP($C19,ModelData!$CS:$DA,G$2,FALSE)</f>
        <v>116</v>
      </c>
      <c r="H19" s="71">
        <f>VLOOKUP($C19,ModelData!$CS:$DA,H$2,FALSE)</f>
        <v>5024</v>
      </c>
      <c r="I19" s="71">
        <f>VLOOKUP($C19,ModelData!$CS:$DA,I$2,FALSE)</f>
        <v>0</v>
      </c>
      <c r="J19" s="71">
        <f>VLOOKUP($C19,ModelData!$CS:$DA,J$2,FALSE)</f>
        <v>4020</v>
      </c>
      <c r="K19" s="71">
        <f>VLOOKUP($C19,ModelData!$CS:$DA,K$2,FALSE)</f>
        <v>3142</v>
      </c>
      <c r="L19" s="72">
        <f t="shared" si="16"/>
        <v>34047</v>
      </c>
      <c r="M19" s="66"/>
      <c r="N19" s="70" t="s">
        <v>171</v>
      </c>
      <c r="O19" s="75">
        <f t="shared" si="17"/>
        <v>8.2314917034550367E-4</v>
      </c>
      <c r="P19" s="75">
        <f t="shared" si="18"/>
        <v>9.6639516055273371E-3</v>
      </c>
      <c r="Q19" s="75">
        <f t="shared" si="19"/>
        <v>3.5186728619698644E-3</v>
      </c>
      <c r="R19" s="75">
        <f t="shared" si="20"/>
        <v>7.4714635180030063E-5</v>
      </c>
      <c r="S19" s="75">
        <f t="shared" si="21"/>
        <v>3.2359166133144055E-3</v>
      </c>
      <c r="T19" s="75">
        <f t="shared" si="22"/>
        <v>0</v>
      </c>
      <c r="U19" s="75">
        <f t="shared" si="23"/>
        <v>2.5892485639975936E-3</v>
      </c>
      <c r="V19" s="75">
        <f t="shared" si="24"/>
        <v>2.0237360666866765E-3</v>
      </c>
      <c r="W19" s="75">
        <f t="shared" si="25"/>
        <v>2.1929389517021412E-2</v>
      </c>
    </row>
    <row r="20" spans="1:23" x14ac:dyDescent="0.3">
      <c r="A20" s="137"/>
      <c r="B20" s="138"/>
      <c r="C20" s="70" t="s">
        <v>172</v>
      </c>
      <c r="D20" s="71">
        <f>VLOOKUP($C20,ModelData!$CS:$DA,D$2,FALSE)</f>
        <v>1218</v>
      </c>
      <c r="E20" s="71">
        <f>VLOOKUP($C20,ModelData!$CS:$DA,E$2,FALSE)</f>
        <v>666</v>
      </c>
      <c r="F20" s="71">
        <f>VLOOKUP($C20,ModelData!$CS:$DA,F$2,FALSE)</f>
        <v>116</v>
      </c>
      <c r="G20" s="71">
        <f>VLOOKUP($C20,ModelData!$CS:$DA,G$2,FALSE)</f>
        <v>0</v>
      </c>
      <c r="H20" s="71">
        <f>VLOOKUP($C20,ModelData!$CS:$DA,H$2,FALSE)</f>
        <v>5101</v>
      </c>
      <c r="I20" s="71">
        <f>VLOOKUP($C20,ModelData!$CS:$DA,I$2,FALSE)</f>
        <v>0</v>
      </c>
      <c r="J20" s="71">
        <f>VLOOKUP($C20,ModelData!$CS:$DA,J$2,FALSE)</f>
        <v>2669</v>
      </c>
      <c r="K20" s="71">
        <f>VLOOKUP($C20,ModelData!$CS:$DA,K$2,FALSE)</f>
        <v>1991</v>
      </c>
      <c r="L20" s="72">
        <f t="shared" si="16"/>
        <v>11761</v>
      </c>
      <c r="M20" s="66"/>
      <c r="N20" s="70" t="s">
        <v>172</v>
      </c>
      <c r="O20" s="75">
        <f t="shared" si="17"/>
        <v>7.8450366939031573E-4</v>
      </c>
      <c r="P20" s="75">
        <f t="shared" si="18"/>
        <v>4.2896506060258644E-4</v>
      </c>
      <c r="Q20" s="75">
        <f t="shared" si="19"/>
        <v>7.4714635180030063E-5</v>
      </c>
      <c r="R20" s="75">
        <f t="shared" si="20"/>
        <v>0</v>
      </c>
      <c r="S20" s="75">
        <f t="shared" si="21"/>
        <v>3.2855116728735634E-3</v>
      </c>
      <c r="T20" s="75">
        <f t="shared" si="22"/>
        <v>0</v>
      </c>
      <c r="U20" s="75">
        <f t="shared" si="23"/>
        <v>1.7190807008232779E-3</v>
      </c>
      <c r="V20" s="75">
        <f t="shared" si="24"/>
        <v>1.282386540029654E-3</v>
      </c>
      <c r="W20" s="75">
        <f t="shared" si="25"/>
        <v>7.5751622788994277E-3</v>
      </c>
    </row>
    <row r="21" spans="1:23" x14ac:dyDescent="0.3">
      <c r="A21" s="137"/>
      <c r="B21" s="138"/>
      <c r="C21" s="70" t="s">
        <v>173</v>
      </c>
      <c r="D21" s="71">
        <f>VLOOKUP($C21,ModelData!$CS:$DA,D$2,FALSE)</f>
        <v>15428</v>
      </c>
      <c r="E21" s="71">
        <f>VLOOKUP($C21,ModelData!$CS:$DA,E$2,FALSE)</f>
        <v>30287</v>
      </c>
      <c r="F21" s="71">
        <f>VLOOKUP($C21,ModelData!$CS:$DA,F$2,FALSE)</f>
        <v>10416</v>
      </c>
      <c r="G21" s="71">
        <f>VLOOKUP($C21,ModelData!$CS:$DA,G$2,FALSE)</f>
        <v>2758</v>
      </c>
      <c r="H21" s="71">
        <f>VLOOKUP($C21,ModelData!$CS:$DA,H$2,FALSE)</f>
        <v>144493</v>
      </c>
      <c r="I21" s="71">
        <f>VLOOKUP($C21,ModelData!$CS:$DA,I$2,FALSE)</f>
        <v>0</v>
      </c>
      <c r="J21" s="71">
        <f>VLOOKUP($C21,ModelData!$CS:$DA,J$2,FALSE)</f>
        <v>75645</v>
      </c>
      <c r="K21" s="71">
        <f>VLOOKUP($C21,ModelData!$CS:$DA,K$2,FALSE)</f>
        <v>65065</v>
      </c>
      <c r="L21" s="72">
        <f t="shared" si="16"/>
        <v>344092</v>
      </c>
      <c r="M21" s="66"/>
      <c r="N21" s="70" t="s">
        <v>173</v>
      </c>
      <c r="O21" s="75">
        <f t="shared" si="17"/>
        <v>9.9370464789439988E-3</v>
      </c>
      <c r="P21" s="75">
        <f t="shared" si="18"/>
        <v>1.9507604790496298E-2</v>
      </c>
      <c r="Q21" s="75">
        <f t="shared" si="19"/>
        <v>6.7088589658206308E-3</v>
      </c>
      <c r="R21" s="75">
        <f t="shared" si="20"/>
        <v>1.7764048605734735E-3</v>
      </c>
      <c r="S21" s="75">
        <f t="shared" si="21"/>
        <v>9.3066739491966241E-2</v>
      </c>
      <c r="T21" s="75">
        <f t="shared" si="22"/>
        <v>0</v>
      </c>
      <c r="U21" s="75">
        <f t="shared" si="23"/>
        <v>4.8722315329253224E-2</v>
      </c>
      <c r="V21" s="75">
        <f t="shared" si="24"/>
        <v>4.1907825327488414E-2</v>
      </c>
      <c r="W21" s="75">
        <f t="shared" si="25"/>
        <v>0.22162679524454229</v>
      </c>
    </row>
    <row r="22" spans="1:23" x14ac:dyDescent="0.3">
      <c r="A22" s="137"/>
      <c r="B22" s="138"/>
      <c r="C22" s="70" t="s">
        <v>174</v>
      </c>
      <c r="D22" s="71">
        <f>VLOOKUP($C22,ModelData!$CS:$DA,D$2,FALSE)</f>
        <v>3587</v>
      </c>
      <c r="E22" s="71">
        <f>VLOOKUP($C22,ModelData!$CS:$DA,E$2,FALSE)</f>
        <v>5530</v>
      </c>
      <c r="F22" s="71">
        <f>VLOOKUP($C22,ModelData!$CS:$DA,F$2,FALSE)</f>
        <v>1407</v>
      </c>
      <c r="G22" s="71">
        <f>VLOOKUP($C22,ModelData!$CS:$DA,G$2,FALSE)</f>
        <v>53</v>
      </c>
      <c r="H22" s="71">
        <f>VLOOKUP($C22,ModelData!$CS:$DA,H$2,FALSE)</f>
        <v>48506</v>
      </c>
      <c r="I22" s="71">
        <f>VLOOKUP($C22,ModelData!$CS:$DA,I$2,FALSE)</f>
        <v>0</v>
      </c>
      <c r="J22" s="71">
        <f>VLOOKUP($C22,ModelData!$CS:$DA,J$2,FALSE)</f>
        <v>161939</v>
      </c>
      <c r="K22" s="71">
        <f>VLOOKUP($C22,ModelData!$CS:$DA,K$2,FALSE)</f>
        <v>1312</v>
      </c>
      <c r="L22" s="72">
        <f t="shared" si="16"/>
        <v>222334</v>
      </c>
      <c r="M22" s="66"/>
      <c r="N22" s="70" t="s">
        <v>174</v>
      </c>
      <c r="O22" s="75">
        <f t="shared" si="17"/>
        <v>2.3103568654376538E-3</v>
      </c>
      <c r="P22" s="75">
        <f t="shared" si="18"/>
        <v>3.5618270047031576E-3</v>
      </c>
      <c r="Q22" s="75">
        <f t="shared" si="19"/>
        <v>9.0623699739915777E-4</v>
      </c>
      <c r="R22" s="75">
        <f t="shared" si="20"/>
        <v>3.4136859177082703E-5</v>
      </c>
      <c r="S22" s="75">
        <f t="shared" si="21"/>
        <v>3.1242311155539125E-2</v>
      </c>
      <c r="T22" s="75">
        <f t="shared" si="22"/>
        <v>0</v>
      </c>
      <c r="U22" s="75">
        <f t="shared" si="23"/>
        <v>0.10430356298636974</v>
      </c>
      <c r="V22" s="75">
        <f t="shared" si="24"/>
        <v>8.4504828755344356E-4</v>
      </c>
      <c r="W22" s="75">
        <f t="shared" si="25"/>
        <v>0.14320348015617934</v>
      </c>
    </row>
    <row r="23" spans="1:23" x14ac:dyDescent="0.3">
      <c r="A23" s="137"/>
      <c r="B23" s="138"/>
      <c r="C23" s="70" t="s">
        <v>175</v>
      </c>
      <c r="D23" s="71">
        <f>VLOOKUP($C23,ModelData!$CS:$DA,D$2,FALSE)</f>
        <v>39860</v>
      </c>
      <c r="E23" s="71">
        <f>VLOOKUP($C23,ModelData!$CS:$DA,E$2,FALSE)</f>
        <v>20165</v>
      </c>
      <c r="F23" s="71">
        <f>VLOOKUP($C23,ModelData!$CS:$DA,F$2,FALSE)</f>
        <v>10979</v>
      </c>
      <c r="G23" s="71">
        <f>VLOOKUP($C23,ModelData!$CS:$DA,G$2,FALSE)</f>
        <v>8298</v>
      </c>
      <c r="H23" s="71">
        <f>VLOOKUP($C23,ModelData!$CS:$DA,H$2,FALSE)</f>
        <v>87577</v>
      </c>
      <c r="I23" s="71">
        <f>VLOOKUP($C23,ModelData!$CS:$DA,I$2,FALSE)</f>
        <v>0</v>
      </c>
      <c r="J23" s="71">
        <f>VLOOKUP($C23,ModelData!$CS:$DA,J$2,FALSE)</f>
        <v>289971</v>
      </c>
      <c r="K23" s="71">
        <f>VLOOKUP($C23,ModelData!$CS:$DA,K$2,FALSE)</f>
        <v>128225</v>
      </c>
      <c r="L23" s="72">
        <f t="shared" si="16"/>
        <v>585075</v>
      </c>
      <c r="M23" s="66"/>
      <c r="N23" s="70" t="s">
        <v>175</v>
      </c>
      <c r="O23" s="75">
        <f t="shared" si="17"/>
        <v>2.5673494467896539E-2</v>
      </c>
      <c r="P23" s="75">
        <f t="shared" si="18"/>
        <v>1.2988108779356088E-2</v>
      </c>
      <c r="Q23" s="75">
        <f t="shared" si="19"/>
        <v>7.0714825831168114E-3</v>
      </c>
      <c r="R23" s="75">
        <f t="shared" si="20"/>
        <v>5.3446727821024956E-3</v>
      </c>
      <c r="S23" s="75">
        <f t="shared" si="21"/>
        <v>5.6407617285874942E-2</v>
      </c>
      <c r="T23" s="75">
        <f t="shared" si="22"/>
        <v>0</v>
      </c>
      <c r="U23" s="75">
        <f t="shared" si="23"/>
        <v>0.18676790929128015</v>
      </c>
      <c r="V23" s="75">
        <f t="shared" si="24"/>
        <v>8.258865599964961E-2</v>
      </c>
      <c r="W23" s="75">
        <f t="shared" si="25"/>
        <v>0.37684194118927666</v>
      </c>
    </row>
    <row r="24" spans="1:23" x14ac:dyDescent="0.3">
      <c r="A24" s="137"/>
      <c r="B24" s="138"/>
      <c r="C24" s="70" t="s">
        <v>176</v>
      </c>
      <c r="D24" s="71">
        <f>VLOOKUP($C24,ModelData!$CS:$DA,D$2,FALSE)</f>
        <v>0</v>
      </c>
      <c r="E24" s="71">
        <f>VLOOKUP($C24,ModelData!$CS:$DA,E$2,FALSE)</f>
        <v>0</v>
      </c>
      <c r="F24" s="71">
        <f>VLOOKUP($C24,ModelData!$CS:$DA,F$2,FALSE)</f>
        <v>0</v>
      </c>
      <c r="G24" s="71">
        <f>VLOOKUP($C24,ModelData!$CS:$DA,G$2,FALSE)</f>
        <v>0</v>
      </c>
      <c r="H24" s="71">
        <f>VLOOKUP($C24,ModelData!$CS:$DA,H$2,FALSE)</f>
        <v>0</v>
      </c>
      <c r="I24" s="71">
        <f>VLOOKUP($C24,ModelData!$CS:$DA,I$2,FALSE)</f>
        <v>0</v>
      </c>
      <c r="J24" s="71">
        <f>VLOOKUP($C24,ModelData!$CS:$DA,J$2,FALSE)</f>
        <v>0</v>
      </c>
      <c r="K24" s="71">
        <f>VLOOKUP($C24,ModelData!$CS:$DA,K$2,FALSE)</f>
        <v>0</v>
      </c>
      <c r="L24" s="72">
        <f t="shared" si="16"/>
        <v>0</v>
      </c>
      <c r="M24" s="66"/>
      <c r="N24" s="70" t="s">
        <v>176</v>
      </c>
      <c r="O24" s="75">
        <f t="shared" si="17"/>
        <v>0</v>
      </c>
      <c r="P24" s="75">
        <f t="shared" si="18"/>
        <v>0</v>
      </c>
      <c r="Q24" s="75">
        <f t="shared" si="19"/>
        <v>0</v>
      </c>
      <c r="R24" s="75">
        <f t="shared" si="20"/>
        <v>0</v>
      </c>
      <c r="S24" s="75">
        <f t="shared" si="21"/>
        <v>0</v>
      </c>
      <c r="T24" s="75">
        <f t="shared" si="22"/>
        <v>0</v>
      </c>
      <c r="U24" s="75">
        <f t="shared" si="23"/>
        <v>0</v>
      </c>
      <c r="V24" s="75">
        <f t="shared" si="24"/>
        <v>0</v>
      </c>
      <c r="W24" s="75">
        <f t="shared" si="25"/>
        <v>0</v>
      </c>
    </row>
    <row r="25" spans="1:23" x14ac:dyDescent="0.3">
      <c r="A25" s="137"/>
      <c r="B25" s="138"/>
      <c r="C25" s="68" t="s">
        <v>27</v>
      </c>
      <c r="D25" s="72">
        <f>SUM(D17:D24)</f>
        <v>68720</v>
      </c>
      <c r="E25" s="72">
        <f t="shared" ref="E25:K25" si="26">SUM(E17:E24)</f>
        <v>286545</v>
      </c>
      <c r="F25" s="72">
        <f t="shared" si="26"/>
        <v>34047</v>
      </c>
      <c r="G25" s="72">
        <f t="shared" si="26"/>
        <v>11761</v>
      </c>
      <c r="H25" s="72">
        <f t="shared" si="26"/>
        <v>344092</v>
      </c>
      <c r="I25" s="72">
        <f t="shared" si="26"/>
        <v>0</v>
      </c>
      <c r="J25" s="72">
        <f t="shared" si="26"/>
        <v>585075</v>
      </c>
      <c r="K25" s="72">
        <f t="shared" si="26"/>
        <v>222334</v>
      </c>
      <c r="L25" s="72">
        <f t="shared" si="16"/>
        <v>1552574</v>
      </c>
      <c r="M25" s="66"/>
      <c r="N25" s="76" t="s">
        <v>27</v>
      </c>
      <c r="O25" s="75">
        <f t="shared" si="17"/>
        <v>4.4261980427341953E-2</v>
      </c>
      <c r="P25" s="75">
        <f t="shared" si="18"/>
        <v>0.18456125118673891</v>
      </c>
      <c r="Q25" s="75">
        <f t="shared" si="19"/>
        <v>2.1929389517021412E-2</v>
      </c>
      <c r="R25" s="75">
        <f t="shared" si="20"/>
        <v>7.5751622788994277E-3</v>
      </c>
      <c r="S25" s="75">
        <f t="shared" si="21"/>
        <v>0.22162679524454229</v>
      </c>
      <c r="T25" s="75">
        <f t="shared" si="22"/>
        <v>0</v>
      </c>
      <c r="U25" s="75">
        <f t="shared" si="23"/>
        <v>0.37684194118927666</v>
      </c>
      <c r="V25" s="75">
        <f t="shared" si="24"/>
        <v>0.14320348015617934</v>
      </c>
      <c r="W25" s="75">
        <f t="shared" si="25"/>
        <v>1</v>
      </c>
    </row>
    <row r="26" spans="1:23" x14ac:dyDescent="0.3">
      <c r="A26" s="137"/>
      <c r="B26" s="66"/>
      <c r="C26" s="66"/>
      <c r="D26" s="66"/>
      <c r="E26" s="66"/>
      <c r="F26" s="66"/>
      <c r="G26" s="66"/>
      <c r="H26" s="66"/>
      <c r="I26" s="66"/>
      <c r="J26" s="66"/>
      <c r="K26" s="66"/>
      <c r="L26" s="66"/>
      <c r="M26" s="66"/>
      <c r="N26" s="66"/>
      <c r="O26" s="66"/>
      <c r="P26" s="66"/>
      <c r="Q26" s="66"/>
      <c r="R26" s="66"/>
      <c r="S26" s="66"/>
      <c r="T26" s="66"/>
      <c r="U26" s="66"/>
      <c r="V26" s="66"/>
      <c r="W26" s="66"/>
    </row>
    <row r="27" spans="1:23" x14ac:dyDescent="0.3">
      <c r="A27" s="137"/>
      <c r="B27" s="66"/>
      <c r="C27" s="66"/>
      <c r="D27" s="66"/>
      <c r="E27" s="66"/>
      <c r="F27" s="66"/>
      <c r="G27" s="66"/>
      <c r="H27" s="66"/>
      <c r="I27" s="66"/>
      <c r="J27" s="66"/>
      <c r="K27" s="66"/>
      <c r="L27" s="66"/>
      <c r="M27" s="66"/>
      <c r="N27" s="66"/>
      <c r="O27" s="66"/>
      <c r="P27" s="66"/>
      <c r="Q27" s="66"/>
      <c r="R27" s="66"/>
      <c r="S27" s="66"/>
      <c r="T27" s="66"/>
      <c r="U27" s="66"/>
      <c r="V27" s="66"/>
      <c r="W27" s="66"/>
    </row>
    <row r="28" spans="1:23" x14ac:dyDescent="0.3">
      <c r="A28" s="137"/>
      <c r="B28" s="66"/>
      <c r="C28" s="66"/>
      <c r="D28" s="66"/>
      <c r="E28" s="66"/>
      <c r="F28" s="66"/>
      <c r="G28" s="66"/>
      <c r="H28" s="77"/>
      <c r="I28" s="66"/>
      <c r="J28" s="66"/>
      <c r="K28" s="66"/>
      <c r="L28" s="66"/>
      <c r="M28" s="66"/>
      <c r="N28" s="66"/>
      <c r="O28" s="66"/>
      <c r="P28" s="66"/>
      <c r="Q28" s="66"/>
      <c r="R28" s="66"/>
      <c r="S28" s="66"/>
      <c r="T28" s="66"/>
      <c r="U28" s="66"/>
      <c r="V28" s="66"/>
      <c r="W28" s="66"/>
    </row>
    <row r="29" spans="1:23" ht="57.6" x14ac:dyDescent="0.3">
      <c r="A29" s="137"/>
      <c r="B29" s="66"/>
      <c r="C29" s="66"/>
      <c r="D29" s="66"/>
      <c r="E29" s="66"/>
      <c r="F29" s="66"/>
      <c r="G29" s="66"/>
      <c r="H29" s="77"/>
      <c r="I29" s="66"/>
      <c r="J29" s="66"/>
      <c r="K29" s="66"/>
      <c r="L29" s="140"/>
      <c r="M29" s="66"/>
      <c r="N29" s="113" t="s">
        <v>158</v>
      </c>
      <c r="O29" s="80" t="s">
        <v>143</v>
      </c>
      <c r="P29" s="80" t="s">
        <v>170</v>
      </c>
      <c r="Q29" s="80" t="s">
        <v>171</v>
      </c>
      <c r="R29" s="80" t="s">
        <v>172</v>
      </c>
      <c r="S29" s="80" t="s">
        <v>173</v>
      </c>
      <c r="T29" s="80" t="s">
        <v>174</v>
      </c>
      <c r="U29" s="80" t="s">
        <v>175</v>
      </c>
      <c r="V29" s="80" t="s">
        <v>176</v>
      </c>
      <c r="W29" s="81" t="s">
        <v>27</v>
      </c>
    </row>
    <row r="30" spans="1:23" x14ac:dyDescent="0.3">
      <c r="A30" s="137"/>
      <c r="B30" s="66"/>
      <c r="C30" s="66"/>
      <c r="D30" s="66"/>
      <c r="E30" s="66"/>
      <c r="F30" s="66"/>
      <c r="G30" s="66"/>
      <c r="H30" s="66"/>
      <c r="I30" s="66"/>
      <c r="J30" s="66"/>
      <c r="K30" s="66"/>
      <c r="L30" s="140"/>
      <c r="M30" s="66"/>
      <c r="N30" s="81" t="s">
        <v>143</v>
      </c>
      <c r="O30" s="83">
        <f>O17-O4</f>
        <v>0</v>
      </c>
      <c r="P30" s="83">
        <f t="shared" ref="P30:W30" si="27">P17-P4</f>
        <v>-7.8004667838536936E-3</v>
      </c>
      <c r="Q30" s="83">
        <f t="shared" si="27"/>
        <v>-1.138749619050116E-3</v>
      </c>
      <c r="R30" s="83">
        <f t="shared" si="27"/>
        <v>-4.8611341794945438E-4</v>
      </c>
      <c r="S30" s="83">
        <f t="shared" si="27"/>
        <v>1.5810817398312239E-3</v>
      </c>
      <c r="T30" s="83">
        <f t="shared" si="27"/>
        <v>0</v>
      </c>
      <c r="U30" s="83">
        <f t="shared" si="27"/>
        <v>1.0432568348214533E-2</v>
      </c>
      <c r="V30" s="83">
        <f t="shared" si="27"/>
        <v>-4.090220867647338E-3</v>
      </c>
      <c r="W30" s="83">
        <f t="shared" si="27"/>
        <v>-1.5019006004548391E-3</v>
      </c>
    </row>
    <row r="31" spans="1:23" x14ac:dyDescent="0.3">
      <c r="A31" s="137"/>
      <c r="B31" s="66"/>
      <c r="C31" s="66"/>
      <c r="D31" s="66"/>
      <c r="E31" s="66"/>
      <c r="F31" s="66"/>
      <c r="G31" s="66"/>
      <c r="H31" s="66"/>
      <c r="I31" s="66"/>
      <c r="J31" s="66"/>
      <c r="K31" s="66"/>
      <c r="L31" s="140"/>
      <c r="M31" s="66"/>
      <c r="N31" s="81" t="s">
        <v>170</v>
      </c>
      <c r="O31" s="83">
        <f t="shared" ref="O31:W31" si="28">O18-O5</f>
        <v>-4.9716221287189289E-3</v>
      </c>
      <c r="P31" s="83">
        <f t="shared" si="28"/>
        <v>-1.2708046749789592E-2</v>
      </c>
      <c r="Q31" s="83">
        <f t="shared" si="28"/>
        <v>3.1881273667631188E-5</v>
      </c>
      <c r="R31" s="83">
        <f t="shared" si="28"/>
        <v>-1.8748196033092966E-4</v>
      </c>
      <c r="S31" s="83">
        <f t="shared" si="28"/>
        <v>3.387804526166268E-3</v>
      </c>
      <c r="T31" s="83">
        <f t="shared" si="28"/>
        <v>0</v>
      </c>
      <c r="U31" s="83">
        <f t="shared" si="28"/>
        <v>-6.2853896871889513E-4</v>
      </c>
      <c r="V31" s="83">
        <f t="shared" si="28"/>
        <v>1.8335878644209352E-4</v>
      </c>
      <c r="W31" s="83">
        <f t="shared" si="28"/>
        <v>-1.4892645221282363E-2</v>
      </c>
    </row>
    <row r="32" spans="1:23" x14ac:dyDescent="0.3">
      <c r="A32" s="137"/>
      <c r="B32" s="66"/>
      <c r="C32" s="66"/>
      <c r="D32" s="66"/>
      <c r="E32" s="66"/>
      <c r="F32" s="66"/>
      <c r="G32" s="66"/>
      <c r="H32" s="66"/>
      <c r="I32" s="66"/>
      <c r="J32" s="66"/>
      <c r="K32" s="77"/>
      <c r="L32" s="140"/>
      <c r="M32" s="66"/>
      <c r="N32" s="81" t="s">
        <v>171</v>
      </c>
      <c r="O32" s="83">
        <f t="shared" ref="O32:W32" si="29">O19-O6</f>
        <v>-3.5241740744532352E-4</v>
      </c>
      <c r="P32" s="83">
        <f t="shared" si="29"/>
        <v>1.8107734452618117E-3</v>
      </c>
      <c r="Q32" s="83">
        <f t="shared" si="29"/>
        <v>-2.1662645690739518E-3</v>
      </c>
      <c r="R32" s="83">
        <f t="shared" si="29"/>
        <v>7.4714635180030063E-5</v>
      </c>
      <c r="S32" s="83">
        <f t="shared" si="29"/>
        <v>6.4938946979492627E-4</v>
      </c>
      <c r="T32" s="83">
        <f t="shared" si="29"/>
        <v>0</v>
      </c>
      <c r="U32" s="83">
        <f t="shared" si="29"/>
        <v>1.8322071443300711E-4</v>
      </c>
      <c r="V32" s="83">
        <f t="shared" si="29"/>
        <v>-9.1257538531251507E-4</v>
      </c>
      <c r="W32" s="83">
        <f t="shared" si="29"/>
        <v>-7.1315909716201595E-4</v>
      </c>
    </row>
    <row r="33" spans="1:33" x14ac:dyDescent="0.3">
      <c r="A33" s="137"/>
      <c r="B33" s="66"/>
      <c r="C33" s="66"/>
      <c r="D33" s="66"/>
      <c r="E33" s="66"/>
      <c r="F33" s="66"/>
      <c r="G33" s="66"/>
      <c r="H33" s="78"/>
      <c r="I33" s="66"/>
      <c r="J33" s="66"/>
      <c r="K33" s="66"/>
      <c r="L33" s="140"/>
      <c r="M33" s="66"/>
      <c r="N33" s="81" t="s">
        <v>172</v>
      </c>
      <c r="O33" s="83">
        <f t="shared" ref="O33:W33" si="30">O20-O7</f>
        <v>3.1312559559204859E-4</v>
      </c>
      <c r="P33" s="83">
        <f t="shared" si="30"/>
        <v>1.0129906453359159E-4</v>
      </c>
      <c r="Q33" s="83">
        <f t="shared" si="30"/>
        <v>7.4714635180030063E-5</v>
      </c>
      <c r="R33" s="83">
        <f t="shared" si="30"/>
        <v>0</v>
      </c>
      <c r="S33" s="83">
        <f t="shared" si="30"/>
        <v>-3.6254103474371883E-4</v>
      </c>
      <c r="T33" s="83">
        <f t="shared" si="30"/>
        <v>0</v>
      </c>
      <c r="U33" s="83">
        <f t="shared" si="30"/>
        <v>-1.4772732705388807E-3</v>
      </c>
      <c r="V33" s="83">
        <f t="shared" si="30"/>
        <v>3.9840071920799333E-4</v>
      </c>
      <c r="W33" s="83">
        <f t="shared" si="30"/>
        <v>-9.5227429076893445E-4</v>
      </c>
    </row>
    <row r="34" spans="1:33" x14ac:dyDescent="0.3">
      <c r="A34" s="137"/>
      <c r="B34" s="66"/>
      <c r="C34" s="66"/>
      <c r="D34" s="66"/>
      <c r="E34" s="66"/>
      <c r="F34" s="66"/>
      <c r="G34" s="66"/>
      <c r="H34" s="66"/>
      <c r="I34" s="66"/>
      <c r="J34" s="66"/>
      <c r="K34" s="66"/>
      <c r="L34" s="140"/>
      <c r="M34" s="66"/>
      <c r="N34" s="81" t="s">
        <v>173</v>
      </c>
      <c r="O34" s="83">
        <f t="shared" ref="O34:W34" si="31">O21-O8</f>
        <v>-8.2664994766288094E-5</v>
      </c>
      <c r="P34" s="83">
        <f t="shared" si="31"/>
        <v>5.7205124141882641E-3</v>
      </c>
      <c r="Q34" s="83">
        <f t="shared" si="31"/>
        <v>2.1538952681597976E-3</v>
      </c>
      <c r="R34" s="83">
        <f t="shared" si="31"/>
        <v>-7.8600695506083197E-4</v>
      </c>
      <c r="S34" s="83">
        <f t="shared" si="31"/>
        <v>9.3034189037273091E-3</v>
      </c>
      <c r="T34" s="83">
        <f t="shared" si="31"/>
        <v>0</v>
      </c>
      <c r="U34" s="83">
        <f t="shared" si="31"/>
        <v>-1.5074277535137862E-2</v>
      </c>
      <c r="V34" s="83">
        <f t="shared" si="31"/>
        <v>-2.1726230193549537E-3</v>
      </c>
      <c r="W34" s="83">
        <f t="shared" si="31"/>
        <v>-9.3774591824455356E-4</v>
      </c>
    </row>
    <row r="35" spans="1:33" x14ac:dyDescent="0.3">
      <c r="A35" s="137"/>
      <c r="B35" s="66"/>
      <c r="C35" s="66"/>
      <c r="D35" s="66"/>
      <c r="E35" s="66"/>
      <c r="F35" s="66"/>
      <c r="G35" s="66"/>
      <c r="H35" s="66"/>
      <c r="I35" s="66"/>
      <c r="J35" s="66"/>
      <c r="K35" s="66"/>
      <c r="L35" s="140"/>
      <c r="M35" s="66"/>
      <c r="N35" s="81" t="s">
        <v>174</v>
      </c>
      <c r="O35" s="83">
        <f t="shared" ref="O35:W35" si="32">O22-O9</f>
        <v>-2.6538509495393019E-3</v>
      </c>
      <c r="P35" s="83">
        <f t="shared" si="32"/>
        <v>-1.1759808314678773E-2</v>
      </c>
      <c r="Q35" s="83">
        <f t="shared" si="32"/>
        <v>-4.9857140678140899E-3</v>
      </c>
      <c r="R35" s="83">
        <f t="shared" si="32"/>
        <v>-1.7253112178663267E-3</v>
      </c>
      <c r="S35" s="83">
        <f t="shared" si="32"/>
        <v>-4.843389569850004E-3</v>
      </c>
      <c r="T35" s="83">
        <f t="shared" si="32"/>
        <v>0</v>
      </c>
      <c r="U35" s="83">
        <f t="shared" si="32"/>
        <v>3.8238768242563947E-2</v>
      </c>
      <c r="V35" s="83">
        <f t="shared" si="32"/>
        <v>-2.6190980803311209E-3</v>
      </c>
      <c r="W35" s="83">
        <f t="shared" si="32"/>
        <v>9.6515960424843339E-3</v>
      </c>
    </row>
    <row r="36" spans="1:33" x14ac:dyDescent="0.3">
      <c r="A36" s="137"/>
      <c r="B36" s="66"/>
      <c r="C36" s="66"/>
      <c r="D36" s="66"/>
      <c r="E36" s="66"/>
      <c r="F36" s="66"/>
      <c r="G36" s="66"/>
      <c r="H36" s="66"/>
      <c r="I36" s="66"/>
      <c r="J36" s="66"/>
      <c r="K36" s="66"/>
      <c r="L36" s="140"/>
      <c r="M36" s="66"/>
      <c r="N36" s="81" t="s">
        <v>175</v>
      </c>
      <c r="O36" s="83">
        <f t="shared" ref="O36:W36" si="33">O23-O10</f>
        <v>6.2455292844229467E-3</v>
      </c>
      <c r="P36" s="83">
        <f t="shared" si="33"/>
        <v>9.7430917030560393E-3</v>
      </c>
      <c r="Q36" s="83">
        <f t="shared" si="33"/>
        <v>5.3170779817686819E-3</v>
      </c>
      <c r="R36" s="83">
        <f t="shared" si="33"/>
        <v>2.1579246252585766E-3</v>
      </c>
      <c r="S36" s="83">
        <f t="shared" si="33"/>
        <v>-1.0653509953170562E-2</v>
      </c>
      <c r="T36" s="83">
        <f t="shared" si="33"/>
        <v>0</v>
      </c>
      <c r="U36" s="83">
        <f t="shared" si="33"/>
        <v>-2.2328338445387452E-2</v>
      </c>
      <c r="V36" s="83">
        <f t="shared" si="33"/>
        <v>1.886435388948017E-2</v>
      </c>
      <c r="W36" s="83">
        <f t="shared" si="33"/>
        <v>9.3461290854284229E-3</v>
      </c>
    </row>
    <row r="37" spans="1:33" x14ac:dyDescent="0.3">
      <c r="A37" s="137"/>
      <c r="B37" s="66"/>
      <c r="C37" s="66"/>
      <c r="D37" s="66"/>
      <c r="E37" s="66"/>
      <c r="F37" s="66"/>
      <c r="G37" s="66"/>
      <c r="H37" s="66"/>
      <c r="I37" s="66"/>
      <c r="J37" s="66"/>
      <c r="K37" s="66"/>
      <c r="L37" s="140"/>
      <c r="M37" s="66"/>
      <c r="N37" s="81" t="s">
        <v>176</v>
      </c>
      <c r="O37" s="83">
        <f t="shared" ref="O37:W37" si="34">O24-O11</f>
        <v>0</v>
      </c>
      <c r="P37" s="83">
        <f t="shared" si="34"/>
        <v>0</v>
      </c>
      <c r="Q37" s="83">
        <f t="shared" si="34"/>
        <v>0</v>
      </c>
      <c r="R37" s="83">
        <f t="shared" si="34"/>
        <v>0</v>
      </c>
      <c r="S37" s="83">
        <f t="shared" si="34"/>
        <v>0</v>
      </c>
      <c r="T37" s="83">
        <f t="shared" si="34"/>
        <v>0</v>
      </c>
      <c r="U37" s="83">
        <f t="shared" si="34"/>
        <v>0</v>
      </c>
      <c r="V37" s="83">
        <f t="shared" si="34"/>
        <v>0</v>
      </c>
      <c r="W37" s="83">
        <f t="shared" si="34"/>
        <v>0</v>
      </c>
    </row>
    <row r="38" spans="1:33" x14ac:dyDescent="0.3">
      <c r="A38" s="137"/>
      <c r="B38" s="66"/>
      <c r="C38" s="66"/>
      <c r="D38" s="66"/>
      <c r="E38" s="66"/>
      <c r="F38" s="66"/>
      <c r="G38" s="66"/>
      <c r="H38" s="66"/>
      <c r="I38" s="66"/>
      <c r="J38" s="66"/>
      <c r="K38" s="66"/>
      <c r="L38" s="140"/>
      <c r="M38" s="66"/>
      <c r="N38" s="81" t="s">
        <v>27</v>
      </c>
      <c r="O38" s="83">
        <f t="shared" ref="O38:W38" si="35">O25-O12</f>
        <v>-1.5019006004548391E-3</v>
      </c>
      <c r="P38" s="83">
        <f t="shared" si="35"/>
        <v>-1.4892645221282336E-2</v>
      </c>
      <c r="Q38" s="83">
        <f t="shared" si="35"/>
        <v>-7.1315909716201942E-4</v>
      </c>
      <c r="R38" s="83">
        <f t="shared" si="35"/>
        <v>-9.5227429076893619E-4</v>
      </c>
      <c r="S38" s="83">
        <f t="shared" si="35"/>
        <v>-9.3774591824455356E-4</v>
      </c>
      <c r="T38" s="83">
        <f t="shared" si="35"/>
        <v>0</v>
      </c>
      <c r="U38" s="83">
        <f t="shared" si="35"/>
        <v>9.3461290854284784E-3</v>
      </c>
      <c r="V38" s="83">
        <f t="shared" si="35"/>
        <v>9.6515960424843339E-3</v>
      </c>
      <c r="W38" s="83">
        <f t="shared" si="35"/>
        <v>0</v>
      </c>
    </row>
    <row r="43" spans="1:33" ht="23.4" x14ac:dyDescent="0.45">
      <c r="B43" s="66"/>
      <c r="C43" s="139" t="s">
        <v>177</v>
      </c>
      <c r="D43" s="139"/>
      <c r="E43" s="139"/>
      <c r="F43" s="139"/>
      <c r="G43" s="139"/>
      <c r="H43" s="139"/>
      <c r="I43" s="139"/>
      <c r="J43" s="139"/>
      <c r="K43" s="139"/>
      <c r="L43" s="139"/>
      <c r="M43" s="139"/>
      <c r="N43" s="139"/>
      <c r="O43" s="139"/>
      <c r="P43" s="139"/>
      <c r="Q43" s="139"/>
      <c r="R43" s="139"/>
      <c r="S43" s="139"/>
      <c r="T43" s="139"/>
      <c r="U43" s="139"/>
      <c r="V43" s="139"/>
      <c r="W43" s="139"/>
      <c r="AB43" s="95" t="s">
        <v>156</v>
      </c>
    </row>
    <row r="44" spans="1:33" x14ac:dyDescent="0.3">
      <c r="D44">
        <v>2</v>
      </c>
      <c r="E44">
        <v>3</v>
      </c>
      <c r="F44">
        <v>4</v>
      </c>
      <c r="G44">
        <v>5</v>
      </c>
      <c r="H44">
        <v>6</v>
      </c>
      <c r="I44">
        <v>7</v>
      </c>
      <c r="J44">
        <v>8</v>
      </c>
      <c r="K44">
        <v>9</v>
      </c>
    </row>
    <row r="45" spans="1:33" ht="57.6" x14ac:dyDescent="0.3">
      <c r="A45" s="137" t="s">
        <v>178</v>
      </c>
      <c r="B45" s="138" t="s">
        <v>3</v>
      </c>
      <c r="C45" s="114" t="s">
        <v>158</v>
      </c>
      <c r="D45" s="99" t="s">
        <v>144</v>
      </c>
      <c r="E45" s="99" t="s">
        <v>159</v>
      </c>
      <c r="F45" s="99" t="s">
        <v>160</v>
      </c>
      <c r="G45" s="99" t="s">
        <v>161</v>
      </c>
      <c r="H45" s="99" t="s">
        <v>162</v>
      </c>
      <c r="I45" s="99" t="s">
        <v>163</v>
      </c>
      <c r="J45" s="99" t="s">
        <v>6</v>
      </c>
      <c r="K45" s="99" t="s">
        <v>164</v>
      </c>
      <c r="L45" s="99" t="s">
        <v>27</v>
      </c>
      <c r="M45" s="66"/>
      <c r="N45" s="114" t="s">
        <v>158</v>
      </c>
      <c r="O45" s="99" t="s">
        <v>144</v>
      </c>
      <c r="P45" s="99" t="s">
        <v>159</v>
      </c>
      <c r="Q45" s="99" t="s">
        <v>160</v>
      </c>
      <c r="R45" s="99" t="s">
        <v>161</v>
      </c>
      <c r="S45" s="99" t="s">
        <v>162</v>
      </c>
      <c r="T45" s="99" t="s">
        <v>163</v>
      </c>
      <c r="U45" s="99" t="s">
        <v>6</v>
      </c>
      <c r="V45" s="99" t="s">
        <v>164</v>
      </c>
      <c r="W45" s="99" t="s">
        <v>27</v>
      </c>
      <c r="AB45" s="86" t="s">
        <v>127</v>
      </c>
      <c r="AC45" s="86" t="s">
        <v>2</v>
      </c>
      <c r="AD45" s="86" t="s">
        <v>165</v>
      </c>
      <c r="AE45" s="106" t="s">
        <v>3</v>
      </c>
      <c r="AF45" s="86" t="s">
        <v>166</v>
      </c>
      <c r="AG45" s="86" t="s">
        <v>4</v>
      </c>
    </row>
    <row r="46" spans="1:33" x14ac:dyDescent="0.3">
      <c r="A46" s="137"/>
      <c r="B46" s="138"/>
      <c r="C46" s="71" t="s">
        <v>144</v>
      </c>
      <c r="D46" s="102">
        <f>VLOOKUP($C46,SurveyData!$DQ:$DY,D$44,FALSE)</f>
        <v>0</v>
      </c>
      <c r="E46" s="102">
        <f>VLOOKUP($C46,SurveyData!$DQ:$DY,E$44,FALSE)</f>
        <v>46.169539999999998</v>
      </c>
      <c r="F46" s="102">
        <f>VLOOKUP($C46,SurveyData!$DQ:$DY,F$44,FALSE)</f>
        <v>268.91323999999997</v>
      </c>
      <c r="G46" s="102">
        <f>VLOOKUP($C46,SurveyData!$DQ:$DY,G$44,FALSE)</f>
        <v>12.86792</v>
      </c>
      <c r="H46" s="102">
        <f>VLOOKUP($C46,SurveyData!$DQ:$DY,H$44,FALSE)</f>
        <v>341.22708999999998</v>
      </c>
      <c r="I46" s="102">
        <f>VLOOKUP($C46,SurveyData!$DQ:$DY,I$44,FALSE)</f>
        <v>0</v>
      </c>
      <c r="J46" s="102">
        <f>VLOOKUP($C46,SurveyData!$DQ:$DY,J$44,FALSE)</f>
        <v>25.73584</v>
      </c>
      <c r="K46" s="102">
        <f>VLOOKUP($C46,SurveyData!$DQ:$DY,K$44,FALSE)</f>
        <v>55.254570000000001</v>
      </c>
      <c r="L46" s="101">
        <v>750</v>
      </c>
      <c r="M46" s="66"/>
      <c r="N46" s="71" t="s">
        <v>144</v>
      </c>
      <c r="O46" s="74">
        <f>IFERROR(D46/$L$54,0)</f>
        <v>0</v>
      </c>
      <c r="P46" s="74">
        <f t="shared" ref="P46:W54" si="36">IFERROR(E46/$L$54,0)</f>
        <v>7.577181024871094E-4</v>
      </c>
      <c r="Q46" s="74">
        <f t="shared" si="36"/>
        <v>4.4133086434575836E-3</v>
      </c>
      <c r="R46" s="74">
        <f t="shared" si="36"/>
        <v>2.1118373553983698E-4</v>
      </c>
      <c r="S46" s="74">
        <f t="shared" si="36"/>
        <v>5.600097881676926E-3</v>
      </c>
      <c r="T46" s="74">
        <f t="shared" si="36"/>
        <v>0</v>
      </c>
      <c r="U46" s="74">
        <f t="shared" si="36"/>
        <v>4.2236747107967396E-4</v>
      </c>
      <c r="V46" s="74">
        <f t="shared" si="36"/>
        <v>9.0681839009314712E-4</v>
      </c>
      <c r="W46" s="74">
        <f t="shared" si="36"/>
        <v>1.2308733785637285E-2</v>
      </c>
      <c r="AB46" s="86" t="s">
        <v>132</v>
      </c>
      <c r="AC46" s="84">
        <f>VLOOKUP(AB46,ModelData!EO:EP,2,FALSE)</f>
        <v>2276</v>
      </c>
      <c r="AD46" s="104">
        <f>AC46/$AC$51</f>
        <v>3.8070386725545295E-2</v>
      </c>
      <c r="AE46" s="85">
        <f>VLOOKUP(AB46,SurveyData!EO:EP,2,FALSE)</f>
        <v>1810.5372500000001</v>
      </c>
      <c r="AF46" s="105">
        <f>AE46/$AE$51</f>
        <v>2.9713812669148101E-2</v>
      </c>
      <c r="AG46" s="90">
        <f>AD46-AF46</f>
        <v>8.3565740563971945E-3</v>
      </c>
    </row>
    <row r="47" spans="1:33" x14ac:dyDescent="0.3">
      <c r="A47" s="137"/>
      <c r="B47" s="138"/>
      <c r="C47" s="71" t="s">
        <v>159</v>
      </c>
      <c r="D47" s="102">
        <f>VLOOKUP($C47,SurveyData!$DQ:$DY,D$44,FALSE)</f>
        <v>293.12983000000003</v>
      </c>
      <c r="E47" s="102">
        <f>VLOOKUP($C47,SurveyData!$DQ:$DY,E$44,FALSE)</f>
        <v>15220.037050000001</v>
      </c>
      <c r="F47" s="102">
        <f>VLOOKUP($C47,SurveyData!$DQ:$DY,F$44,FALSE)</f>
        <v>5480.2077799999997</v>
      </c>
      <c r="G47" s="102">
        <f>VLOOKUP($C47,SurveyData!$DQ:$DY,G$44,FALSE)</f>
        <v>368.65014000000002</v>
      </c>
      <c r="H47" s="102">
        <f>VLOOKUP($C47,SurveyData!$DQ:$DY,H$44,FALSE)</f>
        <v>3959.33502</v>
      </c>
      <c r="I47" s="102">
        <f>VLOOKUP($C47,SurveyData!$DQ:$DY,I$44,FALSE)</f>
        <v>0</v>
      </c>
      <c r="J47" s="102">
        <f>VLOOKUP($C47,SurveyData!$DQ:$DY,J$44,FALSE)</f>
        <v>339.50166999999999</v>
      </c>
      <c r="K47" s="102">
        <f>VLOOKUP($C47,SurveyData!$DQ:$DY,K$44,FALSE)</f>
        <v>2120.2679400000002</v>
      </c>
      <c r="L47" s="101">
        <f>SUM(D47:K47)</f>
        <v>27781.129430000005</v>
      </c>
      <c r="M47" s="66"/>
      <c r="N47" s="71" t="s">
        <v>159</v>
      </c>
      <c r="O47" s="74">
        <f t="shared" ref="O47:O54" si="37">IFERROR(D47/$L$54,0)</f>
        <v>4.8107427227988189E-3</v>
      </c>
      <c r="P47" s="74">
        <f t="shared" si="36"/>
        <v>0.24978584567464832</v>
      </c>
      <c r="Q47" s="74">
        <f t="shared" si="36"/>
        <v>8.9939224871997722E-2</v>
      </c>
      <c r="R47" s="74">
        <f t="shared" si="36"/>
        <v>6.0501552443972201E-3</v>
      </c>
      <c r="S47" s="74">
        <f t="shared" si="36"/>
        <v>6.497920097244117E-2</v>
      </c>
      <c r="T47" s="74">
        <f t="shared" si="36"/>
        <v>0</v>
      </c>
      <c r="U47" s="74">
        <f t="shared" si="36"/>
        <v>5.5717809010790396E-3</v>
      </c>
      <c r="V47" s="74">
        <f t="shared" si="36"/>
        <v>3.4797084836908757E-2</v>
      </c>
      <c r="W47" s="74">
        <f t="shared" si="36"/>
        <v>0.45593403522427112</v>
      </c>
      <c r="AB47" s="86" t="s">
        <v>133</v>
      </c>
      <c r="AC47" s="84">
        <f>VLOOKUP(AB47,ModelData!EO:EP,2,FALSE)</f>
        <v>24152</v>
      </c>
      <c r="AD47" s="104">
        <f t="shared" ref="AD47:AD50" si="38">AC47/$AC$51</f>
        <v>0.40398768901378296</v>
      </c>
      <c r="AE47" s="85">
        <f>VLOOKUP(AB47,SurveyData!EO:EP,2,FALSE)</f>
        <v>24848.498080000001</v>
      </c>
      <c r="AF47" s="105">
        <f t="shared" ref="AF47:AF50" si="39">AE47/$AE$51</f>
        <v>0.40780360473600102</v>
      </c>
      <c r="AG47" s="90">
        <f t="shared" ref="AG47:AG50" si="40">AD47-AF47</f>
        <v>-3.8159157222180662E-3</v>
      </c>
    </row>
    <row r="48" spans="1:33" x14ac:dyDescent="0.3">
      <c r="A48" s="137"/>
      <c r="B48" s="138"/>
      <c r="C48" s="71" t="s">
        <v>160</v>
      </c>
      <c r="D48" s="102">
        <f>VLOOKUP($C48,SurveyData!$DQ:$DY,D$44,FALSE)</f>
        <v>80.620149999999995</v>
      </c>
      <c r="E48" s="102">
        <f>VLOOKUP($C48,SurveyData!$DQ:$DY,E$44,FALSE)</f>
        <v>10212.805200000001</v>
      </c>
      <c r="F48" s="102">
        <f>VLOOKUP($C48,SurveyData!$DQ:$DY,F$44,FALSE)</f>
        <v>1537.61547</v>
      </c>
      <c r="G48" s="102">
        <f>VLOOKUP($C48,SurveyData!$DQ:$DY,G$44,FALSE)</f>
        <v>112.97508000000001</v>
      </c>
      <c r="H48" s="102">
        <f>VLOOKUP($C48,SurveyData!$DQ:$DY,H$44,FALSE)</f>
        <v>639.08262999999999</v>
      </c>
      <c r="I48" s="102">
        <f>VLOOKUP($C48,SurveyData!$DQ:$DY,I$44,FALSE)</f>
        <v>0</v>
      </c>
      <c r="J48" s="102">
        <f>VLOOKUP($C48,SurveyData!$DQ:$DY,J$44,FALSE)</f>
        <v>16.65081</v>
      </c>
      <c r="K48" s="102">
        <f>VLOOKUP($C48,SurveyData!$DQ:$DY,K$44,FALSE)</f>
        <v>633.20019000000002</v>
      </c>
      <c r="L48" s="101">
        <f t="shared" ref="L48:L53" si="41">SUM(D48:K48)</f>
        <v>13232.949530000002</v>
      </c>
      <c r="M48" s="66"/>
      <c r="N48" s="71" t="s">
        <v>160</v>
      </c>
      <c r="O48" s="74">
        <f t="shared" si="37"/>
        <v>1.3231092854775275E-3</v>
      </c>
      <c r="P48" s="74">
        <f t="shared" si="36"/>
        <v>0.16760893388182954</v>
      </c>
      <c r="Q48" s="74">
        <f t="shared" si="36"/>
        <v>2.5234799313210071E-2</v>
      </c>
      <c r="R48" s="74">
        <f t="shared" si="36"/>
        <v>1.8541069121747668E-3</v>
      </c>
      <c r="S48" s="74">
        <f t="shared" si="36"/>
        <v>1.0488397279593243E-2</v>
      </c>
      <c r="T48" s="74">
        <f t="shared" si="36"/>
        <v>0</v>
      </c>
      <c r="U48" s="74">
        <f t="shared" si="36"/>
        <v>2.7326718347363618E-4</v>
      </c>
      <c r="V48" s="74">
        <f t="shared" si="36"/>
        <v>1.0391856762299931E-2</v>
      </c>
      <c r="W48" s="74">
        <f t="shared" si="36"/>
        <v>0.21717447061805872</v>
      </c>
      <c r="AB48" s="86" t="s">
        <v>134</v>
      </c>
      <c r="AC48" s="84">
        <f>VLOOKUP(AB48,ModelData!EO:EP,2,FALSE)</f>
        <v>16313</v>
      </c>
      <c r="AD48" s="104">
        <f t="shared" si="38"/>
        <v>0.2728656496721531</v>
      </c>
      <c r="AE48" s="85">
        <f>VLOOKUP(AB48,SurveyData!EO:EP,2,FALSE)</f>
        <v>18945.441439999999</v>
      </c>
      <c r="AF48" s="105">
        <f t="shared" si="39"/>
        <v>0.31092500189238048</v>
      </c>
      <c r="AG48" s="90">
        <f t="shared" si="40"/>
        <v>-3.8059352220227383E-2</v>
      </c>
    </row>
    <row r="49" spans="1:37" x14ac:dyDescent="0.3">
      <c r="A49" s="137"/>
      <c r="B49" s="138"/>
      <c r="C49" s="71" t="s">
        <v>161</v>
      </c>
      <c r="D49" s="102">
        <f>VLOOKUP($C49,SurveyData!$DQ:$DY,D$44,FALSE)</f>
        <v>0</v>
      </c>
      <c r="E49" s="102">
        <f>VLOOKUP($C49,SurveyData!$DQ:$DY,E$44,FALSE)</f>
        <v>59.037460000000003</v>
      </c>
      <c r="F49" s="102">
        <f>VLOOKUP($C49,SurveyData!$DQ:$DY,F$44,FALSE)</f>
        <v>308.46368999999999</v>
      </c>
      <c r="G49" s="102">
        <f>VLOOKUP($C49,SurveyData!$DQ:$DY,G$44,FALSE)</f>
        <v>0</v>
      </c>
      <c r="H49" s="102">
        <f>VLOOKUP($C49,SurveyData!$DQ:$DY,H$44,FALSE)</f>
        <v>386.8202</v>
      </c>
      <c r="I49" s="102">
        <f>VLOOKUP($C49,SurveyData!$DQ:$DY,I$44,FALSE)</f>
        <v>0</v>
      </c>
      <c r="J49" s="102">
        <f>VLOOKUP($C49,SurveyData!$DQ:$DY,J$44,FALSE)</f>
        <v>12.86792</v>
      </c>
      <c r="K49" s="102">
        <f>VLOOKUP($C49,SurveyData!$DQ:$DY,K$44,FALSE)</f>
        <v>131.72157000000001</v>
      </c>
      <c r="L49" s="101">
        <f t="shared" si="41"/>
        <v>898.91084000000001</v>
      </c>
      <c r="M49" s="66"/>
      <c r="N49" s="71" t="s">
        <v>161</v>
      </c>
      <c r="O49" s="74">
        <f t="shared" si="37"/>
        <v>0</v>
      </c>
      <c r="P49" s="74">
        <f t="shared" si="36"/>
        <v>9.6890183802694643E-4</v>
      </c>
      <c r="Q49" s="74">
        <f t="shared" si="36"/>
        <v>5.0623965903271277E-3</v>
      </c>
      <c r="R49" s="74">
        <f t="shared" si="36"/>
        <v>0</v>
      </c>
      <c r="S49" s="74">
        <f t="shared" si="36"/>
        <v>6.3483558196092953E-3</v>
      </c>
      <c r="T49" s="74">
        <f t="shared" si="36"/>
        <v>0</v>
      </c>
      <c r="U49" s="74">
        <f t="shared" si="36"/>
        <v>2.1118373553983698E-4</v>
      </c>
      <c r="V49" s="74">
        <f t="shared" si="36"/>
        <v>2.1617676519415825E-3</v>
      </c>
      <c r="W49" s="74">
        <f t="shared" si="36"/>
        <v>1.4752605635444789E-2</v>
      </c>
      <c r="AB49" s="86" t="s">
        <v>135</v>
      </c>
      <c r="AC49" s="84">
        <f>VLOOKUP(AB49,ModelData!EO:EP,2,FALSE)</f>
        <v>16736</v>
      </c>
      <c r="AD49" s="104">
        <f t="shared" si="38"/>
        <v>0.27994112137026628</v>
      </c>
      <c r="AE49" s="85">
        <f>VLOOKUP(AB49,SurveyData!EO:EP,2,FALSE)</f>
        <v>15197.66505</v>
      </c>
      <c r="AF49" s="105">
        <f t="shared" si="39"/>
        <v>0.24941799584855781</v>
      </c>
      <c r="AG49" s="90">
        <f>AD49-AF49</f>
        <v>3.0523125521708466E-2</v>
      </c>
    </row>
    <row r="50" spans="1:37" x14ac:dyDescent="0.3">
      <c r="A50" s="137"/>
      <c r="B50" s="138"/>
      <c r="C50" s="71" t="s">
        <v>162</v>
      </c>
      <c r="D50" s="102">
        <f>VLOOKUP($C50,SurveyData!$DQ:$DY,D$44,FALSE)</f>
        <v>298.26400999999998</v>
      </c>
      <c r="E50" s="102">
        <f>VLOOKUP($C50,SurveyData!$DQ:$DY,E$44,FALSE)</f>
        <v>1119.93686</v>
      </c>
      <c r="F50" s="102">
        <f>VLOOKUP($C50,SurveyData!$DQ:$DY,F$44,FALSE)</f>
        <v>3386.7065299999999</v>
      </c>
      <c r="G50" s="102">
        <f>VLOOKUP($C50,SurveyData!$DQ:$DY,G$44,FALSE)</f>
        <v>368.65014000000002</v>
      </c>
      <c r="H50" s="102">
        <f>VLOOKUP($C50,SurveyData!$DQ:$DY,H$44,FALSE)</f>
        <v>4760.4289399999998</v>
      </c>
      <c r="I50" s="102">
        <f>VLOOKUP($C50,SurveyData!$DQ:$DY,I$44,FALSE)</f>
        <v>0</v>
      </c>
      <c r="J50" s="102">
        <f>VLOOKUP($C50,SurveyData!$DQ:$DY,J$44,FALSE)</f>
        <v>302.41716000000002</v>
      </c>
      <c r="K50" s="102">
        <f>VLOOKUP($C50,SurveyData!$DQ:$DY,K$44,FALSE)</f>
        <v>1809.3460500000001</v>
      </c>
      <c r="L50" s="101">
        <f t="shared" si="41"/>
        <v>12045.749690000001</v>
      </c>
      <c r="M50" s="66"/>
      <c r="N50" s="71" t="s">
        <v>162</v>
      </c>
      <c r="O50" s="74">
        <f t="shared" si="37"/>
        <v>4.8950030625688756E-3</v>
      </c>
      <c r="P50" s="74">
        <f t="shared" si="36"/>
        <v>1.8380006221950046E-2</v>
      </c>
      <c r="Q50" s="74">
        <f t="shared" si="36"/>
        <v>5.5581425450465884E-2</v>
      </c>
      <c r="R50" s="74">
        <f t="shared" si="36"/>
        <v>6.0501552443972201E-3</v>
      </c>
      <c r="S50" s="74">
        <f t="shared" si="36"/>
        <v>7.8126470037204646E-2</v>
      </c>
      <c r="T50" s="74">
        <f t="shared" si="36"/>
        <v>0</v>
      </c>
      <c r="U50" s="74">
        <f t="shared" si="36"/>
        <v>4.9631630861979694E-3</v>
      </c>
      <c r="V50" s="74">
        <f t="shared" si="36"/>
        <v>2.9694345140725824E-2</v>
      </c>
      <c r="W50" s="74">
        <f t="shared" si="36"/>
        <v>0.19769056824351047</v>
      </c>
      <c r="AB50" s="86" t="s">
        <v>136</v>
      </c>
      <c r="AC50" s="84">
        <f>VLOOKUP(AB50,ModelData!EO:EP,2,FALSE)</f>
        <v>307</v>
      </c>
      <c r="AD50" s="104">
        <f t="shared" si="38"/>
        <v>5.1351532182523753E-3</v>
      </c>
      <c r="AE50" s="85">
        <f>VLOOKUP(AB50,SurveyData!EO:EP,2,FALSE)</f>
        <v>130.37028000000001</v>
      </c>
      <c r="AF50" s="105">
        <f t="shared" si="39"/>
        <v>2.1395848539124975E-3</v>
      </c>
      <c r="AG50" s="90">
        <f t="shared" si="40"/>
        <v>2.9955683643398778E-3</v>
      </c>
    </row>
    <row r="51" spans="1:37" x14ac:dyDescent="0.3">
      <c r="A51" s="137"/>
      <c r="B51" s="138"/>
      <c r="C51" s="71" t="s">
        <v>163</v>
      </c>
      <c r="D51" s="102">
        <f>VLOOKUP($C51,SurveyData!$DQ:$DY,D$44,FALSE)</f>
        <v>31.984670000000001</v>
      </c>
      <c r="E51" s="102">
        <f>VLOOKUP($C51,SurveyData!$DQ:$DY,E$44,FALSE)</f>
        <v>1025.8723600000001</v>
      </c>
      <c r="F51" s="102">
        <f>VLOOKUP($C51,SurveyData!$DQ:$DY,F$44,FALSE)</f>
        <v>1952.77881</v>
      </c>
      <c r="G51" s="102">
        <f>VLOOKUP($C51,SurveyData!$DQ:$DY,G$44,FALSE)</f>
        <v>31.984670000000001</v>
      </c>
      <c r="H51" s="102">
        <f>VLOOKUP($C51,SurveyData!$DQ:$DY,H$44,FALSE)</f>
        <v>1657.58764</v>
      </c>
      <c r="I51" s="102">
        <f>VLOOKUP($C51,SurveyData!$DQ:$DY,I$44,FALSE)</f>
        <v>0</v>
      </c>
      <c r="J51" s="102">
        <f>VLOOKUP($C51,SurveyData!$DQ:$DY,J$44,FALSE)</f>
        <v>203.62694999999999</v>
      </c>
      <c r="K51" s="102">
        <f>VLOOKUP($C51,SurveyData!$DQ:$DY,K$44,FALSE)</f>
        <v>115.44101999999999</v>
      </c>
      <c r="L51" s="101">
        <f t="shared" si="41"/>
        <v>5019.2761199999995</v>
      </c>
      <c r="M51" s="66"/>
      <c r="N51" s="71" t="s">
        <v>163</v>
      </c>
      <c r="O51" s="74">
        <f t="shared" si="37"/>
        <v>5.2492105100194575E-4</v>
      </c>
      <c r="P51" s="74">
        <f t="shared" si="36"/>
        <v>1.6836253036377941E-2</v>
      </c>
      <c r="Q51" s="74">
        <f t="shared" si="36"/>
        <v>3.2048312686031429E-2</v>
      </c>
      <c r="R51" s="74">
        <f t="shared" si="36"/>
        <v>5.2492105100194575E-4</v>
      </c>
      <c r="S51" s="74">
        <f t="shared" si="36"/>
        <v>2.7203739982830363E-2</v>
      </c>
      <c r="T51" s="74">
        <f t="shared" si="36"/>
        <v>0</v>
      </c>
      <c r="U51" s="74">
        <f t="shared" si="36"/>
        <v>3.3418532255083656E-3</v>
      </c>
      <c r="V51" s="74">
        <f t="shared" si="36"/>
        <v>1.8945770441632392E-3</v>
      </c>
      <c r="W51" s="74">
        <f t="shared" si="36"/>
        <v>8.2374578076915228E-2</v>
      </c>
      <c r="AB51" s="86" t="s">
        <v>27</v>
      </c>
      <c r="AC51" s="87">
        <f>SUM(AC46:AC50)</f>
        <v>59784</v>
      </c>
      <c r="AD51" s="91"/>
      <c r="AE51" s="107">
        <f>SUM(AE46:AE50)</f>
        <v>60932.512100000007</v>
      </c>
      <c r="AF51" s="91"/>
      <c r="AG51" s="86"/>
    </row>
    <row r="52" spans="1:37" x14ac:dyDescent="0.3">
      <c r="A52" s="137"/>
      <c r="B52" s="138"/>
      <c r="C52" s="71" t="s">
        <v>6</v>
      </c>
      <c r="D52" s="102">
        <f>VLOOKUP($C52,SurveyData!$DQ:$DY,D$44,FALSE)</f>
        <v>46.169539999999998</v>
      </c>
      <c r="E52" s="102">
        <f>VLOOKUP($C52,SurveyData!$DQ:$DY,E$44,FALSE)</f>
        <v>97.270960000000002</v>
      </c>
      <c r="F52" s="102">
        <f>VLOOKUP($C52,SurveyData!$DQ:$DY,F$44,FALSE)</f>
        <v>298.26400999999998</v>
      </c>
      <c r="G52" s="102">
        <f>VLOOKUP($C52,SurveyData!$DQ:$DY,G$44,FALSE)</f>
        <v>3.7828900000000001</v>
      </c>
      <c r="H52" s="102">
        <f>VLOOKUP($C52,SurveyData!$DQ:$DY,H$44,FALSE)</f>
        <v>301.26817</v>
      </c>
      <c r="I52" s="102">
        <f>VLOOKUP($C52,SurveyData!$DQ:$DY,I$44,FALSE)</f>
        <v>0</v>
      </c>
      <c r="J52" s="102">
        <f>VLOOKUP($C52,SurveyData!$DQ:$DY,J$44,FALSE)</f>
        <v>303.52794</v>
      </c>
      <c r="K52" s="102">
        <f>VLOOKUP($C52,SurveyData!$DQ:$DY,K$44,FALSE)</f>
        <v>154.04478</v>
      </c>
      <c r="L52" s="101">
        <f t="shared" si="41"/>
        <v>1204.3282899999999</v>
      </c>
      <c r="M52" s="66"/>
      <c r="N52" s="71" t="s">
        <v>6</v>
      </c>
      <c r="O52" s="74">
        <f t="shared" si="37"/>
        <v>7.577181024871094E-4</v>
      </c>
      <c r="P52" s="74">
        <f t="shared" si="36"/>
        <v>1.596376468951164E-3</v>
      </c>
      <c r="Q52" s="74">
        <f t="shared" si="36"/>
        <v>4.8950030625688756E-3</v>
      </c>
      <c r="R52" s="74">
        <f t="shared" si="36"/>
        <v>6.2083447933799233E-5</v>
      </c>
      <c r="S52" s="74">
        <f t="shared" si="36"/>
        <v>4.9443062701548229E-3</v>
      </c>
      <c r="T52" s="74">
        <f t="shared" si="36"/>
        <v>0</v>
      </c>
      <c r="U52" s="74">
        <f t="shared" si="36"/>
        <v>4.9813928132838485E-3</v>
      </c>
      <c r="V52" s="74">
        <f t="shared" si="36"/>
        <v>2.5281282507827502E-3</v>
      </c>
      <c r="W52" s="74">
        <f t="shared" si="36"/>
        <v>1.9765008416162369E-2</v>
      </c>
    </row>
    <row r="53" spans="1:37" x14ac:dyDescent="0.3">
      <c r="A53" s="137"/>
      <c r="B53" s="138"/>
      <c r="C53" s="71" t="s">
        <v>164</v>
      </c>
      <c r="D53" s="102">
        <f>VLOOKUP($C53,SurveyData!$DQ:$DY,D$44,FALSE)</f>
        <v>0</v>
      </c>
      <c r="E53" s="102">
        <f>VLOOKUP($C53,SurveyData!$DQ:$DY,E$44,FALSE)</f>
        <v>0</v>
      </c>
      <c r="F53" s="102">
        <f>VLOOKUP($C53,SurveyData!$DQ:$DY,F$44,FALSE)</f>
        <v>0</v>
      </c>
      <c r="G53" s="102">
        <f>VLOOKUP($C53,SurveyData!$DQ:$DY,G$44,FALSE)</f>
        <v>0</v>
      </c>
      <c r="H53" s="102">
        <f>VLOOKUP($C53,SurveyData!$DQ:$DY,H$44,FALSE)</f>
        <v>0</v>
      </c>
      <c r="I53" s="102">
        <f>VLOOKUP($C53,SurveyData!$DQ:$DY,I$44,FALSE)</f>
        <v>0</v>
      </c>
      <c r="J53" s="102">
        <f>VLOOKUP($C53,SurveyData!$DQ:$DY,J$44,FALSE)</f>
        <v>0</v>
      </c>
      <c r="K53" s="102">
        <f>VLOOKUP($C53,SurveyData!$DQ:$DY,K$44,FALSE)</f>
        <v>0</v>
      </c>
      <c r="L53" s="101">
        <f t="shared" si="41"/>
        <v>0</v>
      </c>
      <c r="M53" s="66"/>
      <c r="N53" s="71" t="s">
        <v>164</v>
      </c>
      <c r="O53" s="74">
        <f t="shared" si="37"/>
        <v>0</v>
      </c>
      <c r="P53" s="74">
        <f t="shared" si="36"/>
        <v>0</v>
      </c>
      <c r="Q53" s="74">
        <f t="shared" si="36"/>
        <v>0</v>
      </c>
      <c r="R53" s="74">
        <f t="shared" si="36"/>
        <v>0</v>
      </c>
      <c r="S53" s="74">
        <f t="shared" si="36"/>
        <v>0</v>
      </c>
      <c r="T53" s="74">
        <f t="shared" si="36"/>
        <v>0</v>
      </c>
      <c r="U53" s="74">
        <f t="shared" si="36"/>
        <v>0</v>
      </c>
      <c r="V53" s="74">
        <f t="shared" si="36"/>
        <v>0</v>
      </c>
      <c r="W53" s="74">
        <f t="shared" si="36"/>
        <v>0</v>
      </c>
    </row>
    <row r="54" spans="1:37" x14ac:dyDescent="0.3">
      <c r="A54" s="137"/>
      <c r="B54" s="66"/>
      <c r="C54" s="73" t="s">
        <v>27</v>
      </c>
      <c r="D54" s="109">
        <f>SUM(D46:D53)</f>
        <v>750.16820000000007</v>
      </c>
      <c r="E54" s="109">
        <f t="shared" ref="E54:J54" si="42">SUM(E46:E53)</f>
        <v>27781.129430000008</v>
      </c>
      <c r="F54" s="109">
        <f t="shared" si="42"/>
        <v>13232.94953</v>
      </c>
      <c r="G54" s="109">
        <f t="shared" si="42"/>
        <v>898.91084000000001</v>
      </c>
      <c r="H54" s="109">
        <f t="shared" si="42"/>
        <v>12045.749689999999</v>
      </c>
      <c r="I54" s="109">
        <f t="shared" si="42"/>
        <v>0</v>
      </c>
      <c r="J54" s="109">
        <f t="shared" si="42"/>
        <v>1204.3282899999999</v>
      </c>
      <c r="K54" s="109">
        <f>SUM(K46:K53)</f>
        <v>5019.2761200000004</v>
      </c>
      <c r="L54" s="110">
        <f>SUM(L46:L53)</f>
        <v>60932.343900000007</v>
      </c>
      <c r="M54" s="66"/>
      <c r="N54" s="73" t="s">
        <v>27</v>
      </c>
      <c r="O54" s="74">
        <f t="shared" si="37"/>
        <v>1.2311494224334278E-2</v>
      </c>
      <c r="P54" s="74">
        <f t="shared" si="36"/>
        <v>0.45593403522427117</v>
      </c>
      <c r="Q54" s="74">
        <f t="shared" si="36"/>
        <v>0.2171744706180587</v>
      </c>
      <c r="R54" s="74">
        <f t="shared" si="36"/>
        <v>1.4752605635444789E-2</v>
      </c>
      <c r="S54" s="74">
        <f t="shared" si="36"/>
        <v>0.19769056824351044</v>
      </c>
      <c r="T54" s="74">
        <f t="shared" si="36"/>
        <v>0</v>
      </c>
      <c r="U54" s="74">
        <f t="shared" si="36"/>
        <v>1.9765008416162369E-2</v>
      </c>
      <c r="V54" s="74">
        <f t="shared" si="36"/>
        <v>8.2374578076915242E-2</v>
      </c>
      <c r="W54" s="74">
        <f t="shared" si="36"/>
        <v>1</v>
      </c>
    </row>
    <row r="55" spans="1:37" x14ac:dyDescent="0.3">
      <c r="A55" s="137"/>
      <c r="B55" s="66"/>
      <c r="C55" s="70"/>
      <c r="D55" s="66"/>
      <c r="E55" s="66"/>
      <c r="F55" s="66"/>
      <c r="G55" s="66"/>
      <c r="H55" s="66"/>
      <c r="I55" s="66"/>
      <c r="J55" s="66"/>
      <c r="K55" s="66"/>
      <c r="L55" s="66"/>
      <c r="M55" s="66"/>
      <c r="N55" s="66"/>
      <c r="O55" s="66"/>
      <c r="P55" s="66"/>
      <c r="Q55" s="66"/>
      <c r="R55" s="66"/>
      <c r="S55" s="66"/>
      <c r="T55" s="66"/>
      <c r="U55" s="66"/>
      <c r="V55" s="66"/>
      <c r="W55" s="66"/>
    </row>
    <row r="56" spans="1:37" x14ac:dyDescent="0.3">
      <c r="A56" s="137"/>
      <c r="B56" s="66"/>
      <c r="C56" s="70"/>
      <c r="D56" s="66"/>
      <c r="E56" s="66"/>
      <c r="F56" s="66"/>
      <c r="G56" s="66"/>
      <c r="H56" s="66"/>
      <c r="I56" s="66"/>
      <c r="J56" s="66"/>
      <c r="K56" s="66"/>
      <c r="L56" s="66"/>
      <c r="M56" s="66"/>
      <c r="N56" s="66"/>
      <c r="O56" s="66"/>
      <c r="P56" s="66"/>
      <c r="Q56" s="66"/>
      <c r="R56" s="66"/>
      <c r="S56" s="66"/>
      <c r="T56" s="66"/>
      <c r="U56" s="66"/>
      <c r="V56" s="66"/>
      <c r="W56" s="66"/>
    </row>
    <row r="57" spans="1:37" ht="57.6" x14ac:dyDescent="0.3">
      <c r="A57" s="137"/>
      <c r="B57" s="138" t="s">
        <v>2</v>
      </c>
      <c r="C57" s="114" t="s">
        <v>158</v>
      </c>
      <c r="D57" s="99" t="s">
        <v>143</v>
      </c>
      <c r="E57" s="99" t="s">
        <v>170</v>
      </c>
      <c r="F57" s="99" t="s">
        <v>171</v>
      </c>
      <c r="G57" s="99" t="s">
        <v>172</v>
      </c>
      <c r="H57" s="99" t="s">
        <v>173</v>
      </c>
      <c r="I57" s="99" t="s">
        <v>174</v>
      </c>
      <c r="J57" s="99" t="s">
        <v>175</v>
      </c>
      <c r="K57" s="99" t="s">
        <v>176</v>
      </c>
      <c r="L57" s="99" t="s">
        <v>27</v>
      </c>
      <c r="M57" s="66"/>
      <c r="N57" s="114" t="s">
        <v>158</v>
      </c>
      <c r="O57" s="99" t="s">
        <v>144</v>
      </c>
      <c r="P57" s="99" t="s">
        <v>159</v>
      </c>
      <c r="Q57" s="99" t="s">
        <v>160</v>
      </c>
      <c r="R57" s="99" t="s">
        <v>161</v>
      </c>
      <c r="S57" s="99" t="s">
        <v>162</v>
      </c>
      <c r="T57" s="99" t="s">
        <v>163</v>
      </c>
      <c r="U57" s="99" t="s">
        <v>6</v>
      </c>
      <c r="V57" s="99" t="s">
        <v>164</v>
      </c>
      <c r="W57" s="99" t="s">
        <v>27</v>
      </c>
      <c r="AB57" s="66"/>
      <c r="AC57" s="66"/>
      <c r="AK57" s="66"/>
    </row>
    <row r="58" spans="1:37" x14ac:dyDescent="0.3">
      <c r="A58" s="137"/>
      <c r="B58" s="138"/>
      <c r="C58" s="71" t="s">
        <v>143</v>
      </c>
      <c r="D58" s="101">
        <f>VLOOKUP($C58,ModelData!$DQ:$DY,D$44,FALSE)</f>
        <v>0</v>
      </c>
      <c r="E58" s="101">
        <f>VLOOKUP($C58,ModelData!$DQ:$DY,E$44,FALSE)</f>
        <v>55</v>
      </c>
      <c r="F58" s="101">
        <f>VLOOKUP($C58,ModelData!$DQ:$DY,F$44,FALSE)</f>
        <v>287</v>
      </c>
      <c r="G58" s="101">
        <f>VLOOKUP($C58,ModelData!$DQ:$DY,G$44,FALSE)</f>
        <v>0</v>
      </c>
      <c r="H58" s="101">
        <f>VLOOKUP($C58,ModelData!$DQ:$DY,H$44,FALSE)</f>
        <v>388</v>
      </c>
      <c r="I58" s="101">
        <f>VLOOKUP($C58,ModelData!$DQ:$DY,I$44,FALSE)</f>
        <v>0</v>
      </c>
      <c r="J58" s="101">
        <f>VLOOKUP($C58,ModelData!$DQ:$DY,J$44,FALSE)</f>
        <v>26</v>
      </c>
      <c r="K58" s="101">
        <f>VLOOKUP($C58,ModelData!$DQ:$DY,K$44,FALSE)</f>
        <v>22</v>
      </c>
      <c r="L58" s="101">
        <f>SUM(D58:K58)</f>
        <v>778</v>
      </c>
      <c r="M58" s="66"/>
      <c r="N58" s="71" t="s">
        <v>144</v>
      </c>
      <c r="O58" s="74">
        <f>IFERROR(D58/$L$66,0)</f>
        <v>0</v>
      </c>
      <c r="P58" s="74">
        <f t="shared" ref="P58:W66" si="43">IFERROR(E58/$L$66,0)</f>
        <v>9.199785895891877E-4</v>
      </c>
      <c r="Q58" s="74">
        <f t="shared" si="43"/>
        <v>4.8006155493108523E-3</v>
      </c>
      <c r="R58" s="74">
        <f t="shared" si="43"/>
        <v>0</v>
      </c>
      <c r="S58" s="74">
        <f t="shared" si="43"/>
        <v>6.4900307774655424E-3</v>
      </c>
      <c r="T58" s="74">
        <f t="shared" si="43"/>
        <v>0</v>
      </c>
      <c r="U58" s="74">
        <f t="shared" si="43"/>
        <v>4.3489896962397965E-4</v>
      </c>
      <c r="V58" s="74">
        <f t="shared" si="43"/>
        <v>3.6799143583567508E-4</v>
      </c>
      <c r="W58" s="74">
        <f t="shared" si="43"/>
        <v>1.3013515321825238E-2</v>
      </c>
      <c r="AB58" s="66"/>
      <c r="AC58" s="66"/>
      <c r="AK58" s="66"/>
    </row>
    <row r="59" spans="1:37" x14ac:dyDescent="0.3">
      <c r="A59" s="137"/>
      <c r="B59" s="138"/>
      <c r="C59" s="71" t="s">
        <v>170</v>
      </c>
      <c r="D59" s="101">
        <f>VLOOKUP($C59,ModelData!$DQ:$DY,D$44,FALSE)</f>
        <v>320</v>
      </c>
      <c r="E59" s="101">
        <f>VLOOKUP($C59,ModelData!$DQ:$DY,E$44,FALSE)</f>
        <v>14061</v>
      </c>
      <c r="F59" s="101">
        <f>VLOOKUP($C59,ModelData!$DQ:$DY,F$44,FALSE)</f>
        <v>5495</v>
      </c>
      <c r="G59" s="101">
        <f>VLOOKUP($C59,ModelData!$DQ:$DY,G$44,FALSE)</f>
        <v>361</v>
      </c>
      <c r="H59" s="101">
        <f>VLOOKUP($C59,ModelData!$DQ:$DY,H$44,FALSE)</f>
        <v>3867</v>
      </c>
      <c r="I59" s="101">
        <f>VLOOKUP($C59,ModelData!$DQ:$DY,I$44,FALSE)</f>
        <v>0</v>
      </c>
      <c r="J59" s="101">
        <f>VLOOKUP($C59,ModelData!$DQ:$DY,J$44,FALSE)</f>
        <v>367</v>
      </c>
      <c r="K59" s="101">
        <f>VLOOKUP($C59,ModelData!$DQ:$DY,K$44,FALSE)</f>
        <v>2294</v>
      </c>
      <c r="L59" s="101">
        <f t="shared" ref="L59:L66" si="44">SUM(D59:K59)</f>
        <v>26765</v>
      </c>
      <c r="M59" s="66"/>
      <c r="N59" s="71" t="s">
        <v>159</v>
      </c>
      <c r="O59" s="74">
        <f t="shared" ref="O59:O66" si="45">IFERROR(D59/$L$66,0)</f>
        <v>5.3526027030643651E-3</v>
      </c>
      <c r="P59" s="74">
        <f t="shared" si="43"/>
        <v>0.2351967081493376</v>
      </c>
      <c r="Q59" s="74">
        <f t="shared" si="43"/>
        <v>9.1914224541683395E-2</v>
      </c>
      <c r="R59" s="74">
        <f t="shared" si="43"/>
        <v>6.038404924394487E-3</v>
      </c>
      <c r="S59" s="74">
        <f t="shared" si="43"/>
        <v>6.4682858289843437E-2</v>
      </c>
      <c r="T59" s="74">
        <f t="shared" si="43"/>
        <v>0</v>
      </c>
      <c r="U59" s="74">
        <f t="shared" si="43"/>
        <v>6.1387662250769436E-3</v>
      </c>
      <c r="V59" s="74">
        <f t="shared" si="43"/>
        <v>3.837147062759267E-2</v>
      </c>
      <c r="W59" s="74">
        <f t="shared" si="43"/>
        <v>0.44769503546099293</v>
      </c>
      <c r="AB59" s="66"/>
      <c r="AC59" s="66"/>
      <c r="AK59" s="66"/>
    </row>
    <row r="60" spans="1:37" x14ac:dyDescent="0.3">
      <c r="A60" s="137"/>
      <c r="B60" s="138"/>
      <c r="C60" s="71" t="s">
        <v>171</v>
      </c>
      <c r="D60" s="101">
        <f>VLOOKUP($C60,ModelData!$DQ:$DY,D$44,FALSE)</f>
        <v>101</v>
      </c>
      <c r="E60" s="101">
        <f>VLOOKUP($C60,ModelData!$DQ:$DY,E$44,FALSE)</f>
        <v>10436</v>
      </c>
      <c r="F60" s="101">
        <f>VLOOKUP($C60,ModelData!$DQ:$DY,F$44,FALSE)</f>
        <v>1620</v>
      </c>
      <c r="G60" s="101">
        <f>VLOOKUP($C60,ModelData!$DQ:$DY,G$44,FALSE)</f>
        <v>134</v>
      </c>
      <c r="H60" s="101">
        <f>VLOOKUP($C60,ModelData!$DQ:$DY,H$44,FALSE)</f>
        <v>708</v>
      </c>
      <c r="I60" s="101">
        <f>VLOOKUP($C60,ModelData!$DQ:$DY,I$44,FALSE)</f>
        <v>0</v>
      </c>
      <c r="J60" s="101">
        <f>VLOOKUP($C60,ModelData!$DQ:$DY,J$44,FALSE)</f>
        <v>23</v>
      </c>
      <c r="K60" s="101">
        <f>VLOOKUP($C60,ModelData!$DQ:$DY,K$44,FALSE)</f>
        <v>293</v>
      </c>
      <c r="L60" s="101">
        <f t="shared" si="44"/>
        <v>13315</v>
      </c>
      <c r="M60" s="66"/>
      <c r="N60" s="71" t="s">
        <v>160</v>
      </c>
      <c r="O60" s="74">
        <f t="shared" si="45"/>
        <v>1.6894152281546901E-3</v>
      </c>
      <c r="P60" s="74">
        <f t="shared" si="43"/>
        <v>0.17456175565368662</v>
      </c>
      <c r="Q60" s="74">
        <f t="shared" si="43"/>
        <v>2.7097551184263349E-2</v>
      </c>
      <c r="R60" s="74">
        <f t="shared" si="43"/>
        <v>2.241402381908203E-3</v>
      </c>
      <c r="S60" s="74">
        <f t="shared" si="43"/>
        <v>1.1842633480529908E-2</v>
      </c>
      <c r="T60" s="74">
        <f t="shared" si="43"/>
        <v>0</v>
      </c>
      <c r="U60" s="74">
        <f t="shared" si="43"/>
        <v>3.8471831928275126E-4</v>
      </c>
      <c r="V60" s="74">
        <f t="shared" si="43"/>
        <v>4.9009768499933088E-3</v>
      </c>
      <c r="W60" s="74">
        <f t="shared" si="43"/>
        <v>0.22271845309781882</v>
      </c>
      <c r="AB60" s="66"/>
      <c r="AC60" s="66"/>
      <c r="AK60" s="66"/>
    </row>
    <row r="61" spans="1:37" x14ac:dyDescent="0.3">
      <c r="A61" s="137"/>
      <c r="B61" s="138"/>
      <c r="C61" s="71" t="s">
        <v>172</v>
      </c>
      <c r="D61" s="101">
        <f>VLOOKUP($C61,ModelData!$DQ:$DY,D$44,FALSE)</f>
        <v>0</v>
      </c>
      <c r="E61" s="101">
        <f>VLOOKUP($C61,ModelData!$DQ:$DY,E$44,FALSE)</f>
        <v>55</v>
      </c>
      <c r="F61" s="101">
        <f>VLOOKUP($C61,ModelData!$DQ:$DY,F$44,FALSE)</f>
        <v>313</v>
      </c>
      <c r="G61" s="101">
        <f>VLOOKUP($C61,ModelData!$DQ:$DY,G$44,FALSE)</f>
        <v>0</v>
      </c>
      <c r="H61" s="101">
        <f>VLOOKUP($C61,ModelData!$DQ:$DY,H$44,FALSE)</f>
        <v>374</v>
      </c>
      <c r="I61" s="101">
        <f>VLOOKUP($C61,ModelData!$DQ:$DY,I$44,FALSE)</f>
        <v>0</v>
      </c>
      <c r="J61" s="101">
        <f>VLOOKUP($C61,ModelData!$DQ:$DY,J$44,FALSE)</f>
        <v>18</v>
      </c>
      <c r="K61" s="101">
        <f>VLOOKUP($C61,ModelData!$DQ:$DY,K$44,FALSE)</f>
        <v>106</v>
      </c>
      <c r="L61" s="101">
        <f t="shared" si="44"/>
        <v>866</v>
      </c>
      <c r="M61" s="66"/>
      <c r="N61" s="71" t="s">
        <v>161</v>
      </c>
      <c r="O61" s="74">
        <f t="shared" si="45"/>
        <v>0</v>
      </c>
      <c r="P61" s="74">
        <f t="shared" si="43"/>
        <v>9.199785895891877E-4</v>
      </c>
      <c r="Q61" s="74">
        <f t="shared" si="43"/>
        <v>5.2355145189348319E-3</v>
      </c>
      <c r="R61" s="74">
        <f t="shared" si="43"/>
        <v>0</v>
      </c>
      <c r="S61" s="74">
        <f t="shared" si="43"/>
        <v>6.2558544092064768E-3</v>
      </c>
      <c r="T61" s="74">
        <f t="shared" si="43"/>
        <v>0</v>
      </c>
      <c r="U61" s="74">
        <f t="shared" si="43"/>
        <v>3.0108390204737056E-4</v>
      </c>
      <c r="V61" s="74">
        <f t="shared" si="43"/>
        <v>1.7730496453900709E-3</v>
      </c>
      <c r="W61" s="74">
        <f t="shared" si="43"/>
        <v>1.4485481065167938E-2</v>
      </c>
      <c r="AB61" s="66"/>
      <c r="AC61" s="66"/>
      <c r="AK61" s="66"/>
    </row>
    <row r="62" spans="1:37" x14ac:dyDescent="0.3">
      <c r="A62" s="137"/>
      <c r="B62" s="138"/>
      <c r="C62" s="71" t="s">
        <v>173</v>
      </c>
      <c r="D62" s="101">
        <f>VLOOKUP($C62,ModelData!$DQ:$DY,D$44,FALSE)</f>
        <v>309</v>
      </c>
      <c r="E62" s="101">
        <f>VLOOKUP($C62,ModelData!$DQ:$DY,E$44,FALSE)</f>
        <v>1078</v>
      </c>
      <c r="F62" s="101">
        <f>VLOOKUP($C62,ModelData!$DQ:$DY,F$44,FALSE)</f>
        <v>3185</v>
      </c>
      <c r="G62" s="101">
        <f>VLOOKUP($C62,ModelData!$DQ:$DY,G$44,FALSE)</f>
        <v>348</v>
      </c>
      <c r="H62" s="101">
        <f>VLOOKUP($C62,ModelData!$DQ:$DY,H$44,FALSE)</f>
        <v>4648</v>
      </c>
      <c r="I62" s="101">
        <f>VLOOKUP($C62,ModelData!$DQ:$DY,I$44,FALSE)</f>
        <v>0</v>
      </c>
      <c r="J62" s="101">
        <f>VLOOKUP($C62,ModelData!$DQ:$DY,J$44,FALSE)</f>
        <v>286</v>
      </c>
      <c r="K62" s="101">
        <f>VLOOKUP($C62,ModelData!$DQ:$DY,K$44,FALSE)</f>
        <v>1995</v>
      </c>
      <c r="L62" s="101">
        <f t="shared" si="44"/>
        <v>11849</v>
      </c>
      <c r="M62" s="66"/>
      <c r="N62" s="71" t="s">
        <v>162</v>
      </c>
      <c r="O62" s="74">
        <f t="shared" si="45"/>
        <v>5.1686069851465278E-3</v>
      </c>
      <c r="P62" s="74">
        <f t="shared" si="43"/>
        <v>1.8031580355948078E-2</v>
      </c>
      <c r="Q62" s="74">
        <f t="shared" si="43"/>
        <v>5.3275123778937505E-2</v>
      </c>
      <c r="R62" s="74">
        <f t="shared" si="43"/>
        <v>5.8209554395824972E-3</v>
      </c>
      <c r="S62" s="74">
        <f t="shared" si="43"/>
        <v>7.7746554262009895E-2</v>
      </c>
      <c r="T62" s="74">
        <f t="shared" si="43"/>
        <v>0</v>
      </c>
      <c r="U62" s="74">
        <f t="shared" si="43"/>
        <v>4.7838886658637765E-3</v>
      </c>
      <c r="V62" s="74">
        <f t="shared" si="43"/>
        <v>3.3370132476916899E-2</v>
      </c>
      <c r="W62" s="74">
        <f t="shared" si="43"/>
        <v>0.19819684196440518</v>
      </c>
      <c r="AB62" s="66"/>
      <c r="AC62" s="66"/>
      <c r="AK62" s="66"/>
    </row>
    <row r="63" spans="1:37" x14ac:dyDescent="0.3">
      <c r="A63" s="137"/>
      <c r="B63" s="138"/>
      <c r="C63" s="71" t="s">
        <v>174</v>
      </c>
      <c r="D63" s="101">
        <f>VLOOKUP($C63,ModelData!$DQ:$DY,D$44,FALSE)</f>
        <v>0</v>
      </c>
      <c r="E63" s="101">
        <f>VLOOKUP($C63,ModelData!$DQ:$DY,E$44,FALSE)</f>
        <v>990</v>
      </c>
      <c r="F63" s="101">
        <f>VLOOKUP($C63,ModelData!$DQ:$DY,F$44,FALSE)</f>
        <v>2113</v>
      </c>
      <c r="G63" s="101">
        <f>VLOOKUP($C63,ModelData!$DQ:$DY,G$44,FALSE)</f>
        <v>19</v>
      </c>
      <c r="H63" s="101">
        <f>VLOOKUP($C63,ModelData!$DQ:$DY,H$44,FALSE)</f>
        <v>1551</v>
      </c>
      <c r="I63" s="101">
        <f>VLOOKUP($C63,ModelData!$DQ:$DY,I$44,FALSE)</f>
        <v>0</v>
      </c>
      <c r="J63" s="101">
        <f>VLOOKUP($C63,ModelData!$DQ:$DY,J$44,FALSE)</f>
        <v>208</v>
      </c>
      <c r="K63" s="101">
        <f>VLOOKUP($C63,ModelData!$DQ:$DY,K$44,FALSE)</f>
        <v>135</v>
      </c>
      <c r="L63" s="101">
        <f t="shared" si="44"/>
        <v>5016</v>
      </c>
      <c r="M63" s="66"/>
      <c r="N63" s="71" t="s">
        <v>163</v>
      </c>
      <c r="O63" s="74">
        <f t="shared" si="45"/>
        <v>0</v>
      </c>
      <c r="P63" s="74">
        <f t="shared" si="43"/>
        <v>1.655961461260538E-2</v>
      </c>
      <c r="Q63" s="74">
        <f t="shared" si="43"/>
        <v>3.5343904723671889E-2</v>
      </c>
      <c r="R63" s="74">
        <f t="shared" si="43"/>
        <v>3.1781078549444669E-4</v>
      </c>
      <c r="S63" s="74">
        <f t="shared" si="43"/>
        <v>2.5943396226415096E-2</v>
      </c>
      <c r="T63" s="74">
        <f t="shared" si="43"/>
        <v>0</v>
      </c>
      <c r="U63" s="74">
        <f t="shared" si="43"/>
        <v>3.4791917569918372E-3</v>
      </c>
      <c r="V63" s="74">
        <f t="shared" si="43"/>
        <v>2.2581292653552792E-3</v>
      </c>
      <c r="W63" s="74">
        <f t="shared" si="43"/>
        <v>8.3902047370533916E-2</v>
      </c>
      <c r="AK63" s="66"/>
    </row>
    <row r="64" spans="1:37" x14ac:dyDescent="0.3">
      <c r="A64" s="137"/>
      <c r="B64" s="138"/>
      <c r="C64" s="71" t="s">
        <v>175</v>
      </c>
      <c r="D64" s="101">
        <f>VLOOKUP($C64,ModelData!$DQ:$DY,D$44,FALSE)</f>
        <v>48</v>
      </c>
      <c r="E64" s="101">
        <f>VLOOKUP($C64,ModelData!$DQ:$DY,E$44,FALSE)</f>
        <v>90</v>
      </c>
      <c r="F64" s="101">
        <f>VLOOKUP($C64,ModelData!$DQ:$DY,F$44,FALSE)</f>
        <v>302</v>
      </c>
      <c r="G64" s="101">
        <f>VLOOKUP($C64,ModelData!$DQ:$DY,G$44,FALSE)</f>
        <v>4</v>
      </c>
      <c r="H64" s="101">
        <f>VLOOKUP($C64,ModelData!$DQ:$DY,H$44,FALSE)</f>
        <v>313</v>
      </c>
      <c r="I64" s="101">
        <f>VLOOKUP($C64,ModelData!$DQ:$DY,I$44,FALSE)</f>
        <v>0</v>
      </c>
      <c r="J64" s="101">
        <f>VLOOKUP($C64,ModelData!$DQ:$DY,J$44,FALSE)</f>
        <v>267</v>
      </c>
      <c r="K64" s="101">
        <f>VLOOKUP($C64,ModelData!$DQ:$DY,K$44,FALSE)</f>
        <v>171</v>
      </c>
      <c r="L64" s="101">
        <f t="shared" si="44"/>
        <v>1195</v>
      </c>
      <c r="M64" s="66"/>
      <c r="N64" s="71" t="s">
        <v>6</v>
      </c>
      <c r="O64" s="74">
        <f t="shared" si="45"/>
        <v>8.0289040545965479E-4</v>
      </c>
      <c r="P64" s="74">
        <f t="shared" si="43"/>
        <v>1.5054195102368526E-3</v>
      </c>
      <c r="Q64" s="74">
        <f t="shared" si="43"/>
        <v>5.0515188010169946E-3</v>
      </c>
      <c r="R64" s="74">
        <f t="shared" si="43"/>
        <v>6.6907533788304561E-5</v>
      </c>
      <c r="S64" s="74">
        <f t="shared" si="43"/>
        <v>5.2355145189348319E-3</v>
      </c>
      <c r="T64" s="74">
        <f t="shared" si="43"/>
        <v>0</v>
      </c>
      <c r="U64" s="74">
        <f t="shared" si="43"/>
        <v>4.4660778803693292E-3</v>
      </c>
      <c r="V64" s="74">
        <f t="shared" si="43"/>
        <v>2.8602970694500199E-3</v>
      </c>
      <c r="W64" s="74">
        <f t="shared" si="43"/>
        <v>1.9988625719255988E-2</v>
      </c>
    </row>
    <row r="65" spans="1:23" x14ac:dyDescent="0.3">
      <c r="A65" s="137"/>
      <c r="B65" s="138"/>
      <c r="C65" s="71" t="s">
        <v>176</v>
      </c>
      <c r="D65" s="101">
        <f>VLOOKUP($C65,ModelData!$DQ:$DY,D$44,FALSE)</f>
        <v>0</v>
      </c>
      <c r="E65" s="101">
        <f>VLOOKUP($C65,ModelData!$DQ:$DY,E$44,FALSE)</f>
        <v>0</v>
      </c>
      <c r="F65" s="101">
        <f>VLOOKUP($C65,ModelData!$DQ:$DY,F$44,FALSE)</f>
        <v>0</v>
      </c>
      <c r="G65" s="101">
        <f>VLOOKUP($C65,ModelData!$DQ:$DY,G$44,FALSE)</f>
        <v>0</v>
      </c>
      <c r="H65" s="101">
        <f>VLOOKUP($C65,ModelData!$DQ:$DY,H$44,FALSE)</f>
        <v>0</v>
      </c>
      <c r="I65" s="101">
        <f>VLOOKUP($C65,ModelData!$DQ:$DY,I$44,FALSE)</f>
        <v>0</v>
      </c>
      <c r="J65" s="101">
        <f>VLOOKUP($C65,ModelData!$DQ:$DY,J$44,FALSE)</f>
        <v>0</v>
      </c>
      <c r="K65" s="101">
        <f>VLOOKUP($C65,ModelData!$DQ:$DY,K$44,FALSE)</f>
        <v>0</v>
      </c>
      <c r="L65" s="101">
        <f t="shared" si="44"/>
        <v>0</v>
      </c>
      <c r="M65" s="66"/>
      <c r="N65" s="71" t="s">
        <v>164</v>
      </c>
      <c r="O65" s="74">
        <f t="shared" si="45"/>
        <v>0</v>
      </c>
      <c r="P65" s="74">
        <f t="shared" si="43"/>
        <v>0</v>
      </c>
      <c r="Q65" s="74">
        <f t="shared" si="43"/>
        <v>0</v>
      </c>
      <c r="R65" s="74">
        <f t="shared" si="43"/>
        <v>0</v>
      </c>
      <c r="S65" s="74">
        <f t="shared" si="43"/>
        <v>0</v>
      </c>
      <c r="T65" s="74">
        <f t="shared" si="43"/>
        <v>0</v>
      </c>
      <c r="U65" s="74">
        <f t="shared" si="43"/>
        <v>0</v>
      </c>
      <c r="V65" s="74">
        <f t="shared" si="43"/>
        <v>0</v>
      </c>
      <c r="W65" s="74">
        <f t="shared" si="43"/>
        <v>0</v>
      </c>
    </row>
    <row r="66" spans="1:23" x14ac:dyDescent="0.3">
      <c r="A66" s="137"/>
      <c r="B66" s="66"/>
      <c r="C66" s="73" t="s">
        <v>27</v>
      </c>
      <c r="D66" s="110">
        <f>SUM(D58:D65)</f>
        <v>778</v>
      </c>
      <c r="E66" s="110">
        <f t="shared" ref="E66:K66" si="46">SUM(E58:E65)</f>
        <v>26765</v>
      </c>
      <c r="F66" s="110">
        <f t="shared" si="46"/>
        <v>13315</v>
      </c>
      <c r="G66" s="110">
        <f t="shared" si="46"/>
        <v>866</v>
      </c>
      <c r="H66" s="110">
        <f t="shared" si="46"/>
        <v>11849</v>
      </c>
      <c r="I66" s="110">
        <f t="shared" si="46"/>
        <v>0</v>
      </c>
      <c r="J66" s="110">
        <f t="shared" si="46"/>
        <v>1195</v>
      </c>
      <c r="K66" s="110">
        <f t="shared" si="46"/>
        <v>5016</v>
      </c>
      <c r="L66" s="110">
        <f t="shared" si="44"/>
        <v>59784</v>
      </c>
      <c r="M66" s="66"/>
      <c r="N66" s="73" t="s">
        <v>27</v>
      </c>
      <c r="O66" s="74">
        <f t="shared" si="45"/>
        <v>1.3013515321825238E-2</v>
      </c>
      <c r="P66" s="74">
        <f t="shared" si="43"/>
        <v>0.44769503546099293</v>
      </c>
      <c r="Q66" s="74">
        <f t="shared" si="43"/>
        <v>0.22271845309781882</v>
      </c>
      <c r="R66" s="74">
        <f t="shared" si="43"/>
        <v>1.4485481065167938E-2</v>
      </c>
      <c r="S66" s="74">
        <f t="shared" si="43"/>
        <v>0.19819684196440518</v>
      </c>
      <c r="T66" s="74">
        <f t="shared" si="43"/>
        <v>0</v>
      </c>
      <c r="U66" s="74">
        <f t="shared" si="43"/>
        <v>1.9988625719255988E-2</v>
      </c>
      <c r="V66" s="74">
        <f t="shared" si="43"/>
        <v>8.3902047370533916E-2</v>
      </c>
      <c r="W66" s="74">
        <f t="shared" si="43"/>
        <v>1</v>
      </c>
    </row>
    <row r="67" spans="1:23" x14ac:dyDescent="0.3">
      <c r="A67" s="137"/>
      <c r="B67" s="66"/>
      <c r="C67" s="70"/>
      <c r="D67" s="66"/>
      <c r="E67" s="66"/>
      <c r="F67" s="66"/>
      <c r="G67" s="66"/>
      <c r="H67" s="66"/>
      <c r="I67" s="66"/>
      <c r="J67" s="66"/>
      <c r="K67" s="66"/>
      <c r="L67" s="66"/>
      <c r="M67" s="66"/>
      <c r="N67" s="66"/>
      <c r="O67" s="66"/>
      <c r="P67" s="66"/>
      <c r="Q67" s="66"/>
      <c r="R67" s="66"/>
      <c r="S67" s="66"/>
      <c r="T67" s="66"/>
      <c r="U67" s="66"/>
      <c r="V67" s="66"/>
      <c r="W67" s="66"/>
    </row>
    <row r="68" spans="1:23" x14ac:dyDescent="0.3">
      <c r="A68" s="137"/>
      <c r="B68" s="66"/>
      <c r="C68" s="70"/>
      <c r="D68" s="66"/>
      <c r="E68" s="66"/>
      <c r="F68" s="66"/>
      <c r="G68" s="66"/>
      <c r="H68" s="66"/>
      <c r="I68" s="66"/>
      <c r="J68" s="66"/>
      <c r="K68" s="66"/>
      <c r="L68" s="66"/>
      <c r="M68" s="66"/>
      <c r="N68" s="66"/>
      <c r="O68" s="66"/>
      <c r="P68" s="66"/>
      <c r="Q68" s="66"/>
      <c r="R68" s="66"/>
      <c r="S68" s="66"/>
      <c r="T68" s="66"/>
      <c r="U68" s="66"/>
      <c r="V68" s="66"/>
      <c r="W68" s="66"/>
    </row>
    <row r="69" spans="1:23" x14ac:dyDescent="0.3">
      <c r="A69" s="137"/>
      <c r="B69" s="66"/>
      <c r="C69" s="70"/>
      <c r="D69" s="66"/>
      <c r="E69" s="66"/>
      <c r="F69" s="66"/>
      <c r="G69" s="66"/>
      <c r="H69" s="66"/>
      <c r="I69" s="66"/>
      <c r="J69" s="66"/>
      <c r="K69" s="66"/>
      <c r="L69" s="66"/>
      <c r="M69" s="66"/>
      <c r="N69" s="66"/>
      <c r="O69" s="66"/>
      <c r="P69" s="66"/>
      <c r="Q69" s="66"/>
      <c r="R69" s="66"/>
      <c r="S69" s="66"/>
      <c r="T69" s="66"/>
      <c r="U69" s="66"/>
      <c r="V69" s="66"/>
      <c r="W69" s="66"/>
    </row>
    <row r="70" spans="1:23" x14ac:dyDescent="0.3">
      <c r="A70" s="137"/>
      <c r="B70" s="66"/>
      <c r="C70" s="70"/>
      <c r="D70" s="66"/>
      <c r="E70" s="66"/>
      <c r="F70" s="66"/>
      <c r="G70" s="66"/>
      <c r="H70" s="66"/>
      <c r="I70" s="66"/>
      <c r="J70" s="66"/>
      <c r="K70" s="66"/>
      <c r="L70" s="66"/>
      <c r="M70" s="66"/>
      <c r="N70" s="66"/>
      <c r="O70" s="66"/>
      <c r="P70" s="66"/>
      <c r="Q70" s="66"/>
      <c r="R70" s="66"/>
      <c r="S70" s="66"/>
      <c r="T70" s="66"/>
      <c r="U70" s="66"/>
      <c r="V70" s="66"/>
      <c r="W70" s="66"/>
    </row>
    <row r="71" spans="1:23" ht="57.6" x14ac:dyDescent="0.3">
      <c r="A71" s="137"/>
      <c r="B71" s="66"/>
      <c r="C71" s="66"/>
      <c r="D71" s="66"/>
      <c r="E71" s="66"/>
      <c r="F71" s="66"/>
      <c r="G71" s="66"/>
      <c r="H71" s="66"/>
      <c r="I71" s="66"/>
      <c r="J71" s="66"/>
      <c r="K71" s="66"/>
      <c r="L71" s="66"/>
      <c r="M71" s="66"/>
      <c r="N71" s="114" t="s">
        <v>158</v>
      </c>
      <c r="O71" s="103" t="s">
        <v>144</v>
      </c>
      <c r="P71" s="103" t="s">
        <v>159</v>
      </c>
      <c r="Q71" s="103" t="s">
        <v>160</v>
      </c>
      <c r="R71" s="103" t="s">
        <v>161</v>
      </c>
      <c r="S71" s="103" t="s">
        <v>162</v>
      </c>
      <c r="T71" s="103" t="s">
        <v>163</v>
      </c>
      <c r="U71" s="103" t="s">
        <v>6</v>
      </c>
      <c r="V71" s="103" t="s">
        <v>164</v>
      </c>
      <c r="W71" s="103" t="s">
        <v>27</v>
      </c>
    </row>
    <row r="72" spans="1:23" x14ac:dyDescent="0.3">
      <c r="A72" s="137"/>
      <c r="B72" s="66"/>
      <c r="C72" s="66"/>
      <c r="D72" s="66"/>
      <c r="E72" s="66"/>
      <c r="F72" s="66"/>
      <c r="G72" s="66"/>
      <c r="H72" s="66"/>
      <c r="I72" s="66"/>
      <c r="J72" s="66"/>
      <c r="K72" s="66"/>
      <c r="L72" s="66"/>
      <c r="M72" s="66"/>
      <c r="N72" s="79" t="s">
        <v>144</v>
      </c>
      <c r="O72" s="82">
        <f>O58-O46</f>
        <v>0</v>
      </c>
      <c r="P72" s="82">
        <f t="shared" ref="P72:W72" si="47">P58-P46</f>
        <v>1.622604871020783E-4</v>
      </c>
      <c r="Q72" s="82">
        <f t="shared" si="47"/>
        <v>3.8730690585326872E-4</v>
      </c>
      <c r="R72" s="82">
        <f t="shared" si="47"/>
        <v>-2.1118373553983698E-4</v>
      </c>
      <c r="S72" s="82">
        <f t="shared" si="47"/>
        <v>8.8993289578861642E-4</v>
      </c>
      <c r="T72" s="82">
        <f t="shared" si="47"/>
        <v>0</v>
      </c>
      <c r="U72" s="82">
        <f t="shared" si="47"/>
        <v>1.2531498544305698E-5</v>
      </c>
      <c r="V72" s="82">
        <f t="shared" si="47"/>
        <v>-5.3882695425747204E-4</v>
      </c>
      <c r="W72" s="82">
        <f t="shared" si="47"/>
        <v>7.0478153618795322E-4</v>
      </c>
    </row>
    <row r="73" spans="1:23" x14ac:dyDescent="0.3">
      <c r="A73" s="137"/>
      <c r="B73" s="66"/>
      <c r="C73" s="66"/>
      <c r="D73" s="66"/>
      <c r="E73" s="66"/>
      <c r="F73" s="66"/>
      <c r="G73" s="66"/>
      <c r="H73" s="66"/>
      <c r="I73" s="66"/>
      <c r="J73" s="66"/>
      <c r="K73" s="66"/>
      <c r="L73" s="66"/>
      <c r="M73" s="66"/>
      <c r="N73" s="79" t="s">
        <v>159</v>
      </c>
      <c r="O73" s="82">
        <f t="shared" ref="O73:W80" si="48">O59-O47</f>
        <v>5.4185998026554626E-4</v>
      </c>
      <c r="P73" s="82">
        <f t="shared" si="48"/>
        <v>-1.4589137525310714E-2</v>
      </c>
      <c r="Q73" s="82">
        <f t="shared" si="48"/>
        <v>1.9749996696856731E-3</v>
      </c>
      <c r="R73" s="82">
        <f t="shared" si="48"/>
        <v>-1.1750320002733121E-5</v>
      </c>
      <c r="S73" s="82">
        <f t="shared" si="48"/>
        <v>-2.9634268259773333E-4</v>
      </c>
      <c r="T73" s="82">
        <f t="shared" si="48"/>
        <v>0</v>
      </c>
      <c r="U73" s="82">
        <f t="shared" si="48"/>
        <v>5.6698532399790391E-4</v>
      </c>
      <c r="V73" s="82">
        <f t="shared" si="48"/>
        <v>3.5743857906839135E-3</v>
      </c>
      <c r="W73" s="82">
        <f t="shared" si="48"/>
        <v>-8.2389997632781875E-3</v>
      </c>
    </row>
    <row r="74" spans="1:23" x14ac:dyDescent="0.3">
      <c r="A74" s="137"/>
      <c r="B74" s="66"/>
      <c r="C74" s="128"/>
      <c r="D74" s="66"/>
      <c r="E74" s="66"/>
      <c r="F74" s="66"/>
      <c r="G74" s="66"/>
      <c r="H74" s="66"/>
      <c r="I74" s="66"/>
      <c r="J74" s="66"/>
      <c r="K74" s="66"/>
      <c r="L74" s="66"/>
      <c r="M74" s="66"/>
      <c r="N74" s="79" t="s">
        <v>160</v>
      </c>
      <c r="O74" s="82">
        <f t="shared" si="48"/>
        <v>3.663059426771626E-4</v>
      </c>
      <c r="P74" s="82">
        <f t="shared" si="48"/>
        <v>6.9528217718570762E-3</v>
      </c>
      <c r="Q74" s="82">
        <f t="shared" si="48"/>
        <v>1.8627518710532774E-3</v>
      </c>
      <c r="R74" s="82">
        <f t="shared" si="48"/>
        <v>3.8729546973343613E-4</v>
      </c>
      <c r="S74" s="82">
        <f t="shared" si="48"/>
        <v>1.3542362009366649E-3</v>
      </c>
      <c r="T74" s="82">
        <f t="shared" si="48"/>
        <v>0</v>
      </c>
      <c r="U74" s="82">
        <f t="shared" si="48"/>
        <v>1.1145113580911508E-4</v>
      </c>
      <c r="V74" s="82">
        <f t="shared" si="48"/>
        <v>-5.4908799123066223E-3</v>
      </c>
      <c r="W74" s="82">
        <f t="shared" si="48"/>
        <v>5.5439824797600956E-3</v>
      </c>
    </row>
    <row r="75" spans="1:23" x14ac:dyDescent="0.3">
      <c r="A75" s="137"/>
      <c r="B75" s="66"/>
      <c r="C75" s="128"/>
      <c r="D75" s="66"/>
      <c r="E75" s="66"/>
      <c r="F75" s="66"/>
      <c r="G75" s="66"/>
      <c r="H75" s="66"/>
      <c r="I75" s="66"/>
      <c r="J75" s="66"/>
      <c r="K75" s="66"/>
      <c r="L75" s="66"/>
      <c r="M75" s="66"/>
      <c r="N75" s="79" t="s">
        <v>161</v>
      </c>
      <c r="O75" s="82">
        <f t="shared" si="48"/>
        <v>0</v>
      </c>
      <c r="P75" s="82">
        <f t="shared" si="48"/>
        <v>-4.8923248437758734E-5</v>
      </c>
      <c r="Q75" s="82">
        <f t="shared" si="48"/>
        <v>1.7311792860770416E-4</v>
      </c>
      <c r="R75" s="82">
        <f t="shared" si="48"/>
        <v>0</v>
      </c>
      <c r="S75" s="82">
        <f t="shared" si="48"/>
        <v>-9.2501410402818542E-5</v>
      </c>
      <c r="T75" s="82">
        <f t="shared" si="48"/>
        <v>0</v>
      </c>
      <c r="U75" s="82">
        <f t="shared" si="48"/>
        <v>8.9900166507533581E-5</v>
      </c>
      <c r="V75" s="82">
        <f t="shared" si="48"/>
        <v>-3.8871800655151164E-4</v>
      </c>
      <c r="W75" s="82">
        <f t="shared" si="48"/>
        <v>-2.6712457027685058E-4</v>
      </c>
    </row>
    <row r="76" spans="1:23" x14ac:dyDescent="0.3">
      <c r="A76" s="137"/>
      <c r="B76" s="66"/>
      <c r="C76" s="128"/>
      <c r="D76" s="66"/>
      <c r="E76" s="66"/>
      <c r="F76" s="66"/>
      <c r="G76" s="66"/>
      <c r="H76" s="66"/>
      <c r="I76" s="66"/>
      <c r="J76" s="66"/>
      <c r="K76" s="66"/>
      <c r="L76" s="66"/>
      <c r="M76" s="66"/>
      <c r="N76" s="79" t="s">
        <v>162</v>
      </c>
      <c r="O76" s="82">
        <f t="shared" si="48"/>
        <v>2.7360392257765216E-4</v>
      </c>
      <c r="P76" s="82">
        <f t="shared" si="48"/>
        <v>-3.4842586600196748E-4</v>
      </c>
      <c r="Q76" s="82">
        <f t="shared" si="48"/>
        <v>-2.3063016715283782E-3</v>
      </c>
      <c r="R76" s="82">
        <f t="shared" si="48"/>
        <v>-2.2919980481472292E-4</v>
      </c>
      <c r="S76" s="82">
        <f t="shared" si="48"/>
        <v>-3.7991577519475017E-4</v>
      </c>
      <c r="T76" s="82">
        <f t="shared" si="48"/>
        <v>0</v>
      </c>
      <c r="U76" s="82">
        <f t="shared" si="48"/>
        <v>-1.792744203341929E-4</v>
      </c>
      <c r="V76" s="82">
        <f t="shared" si="48"/>
        <v>3.6757873361910748E-3</v>
      </c>
      <c r="W76" s="82">
        <f t="shared" si="48"/>
        <v>5.0627372089470657E-4</v>
      </c>
    </row>
    <row r="77" spans="1:23" x14ac:dyDescent="0.3">
      <c r="A77" s="137"/>
      <c r="B77" s="66"/>
      <c r="C77" s="128"/>
      <c r="D77" s="66"/>
      <c r="E77" s="66"/>
      <c r="F77" s="66"/>
      <c r="G77" s="66"/>
      <c r="H77" s="66"/>
      <c r="I77" s="66"/>
      <c r="J77" s="66"/>
      <c r="K77" s="66"/>
      <c r="L77" s="66"/>
      <c r="M77" s="66"/>
      <c r="N77" s="79" t="s">
        <v>163</v>
      </c>
      <c r="O77" s="82">
        <f t="shared" si="48"/>
        <v>-5.2492105100194575E-4</v>
      </c>
      <c r="P77" s="82">
        <f t="shared" si="48"/>
        <v>-2.7663842377256137E-4</v>
      </c>
      <c r="Q77" s="82">
        <f t="shared" si="48"/>
        <v>3.2955920376404602E-3</v>
      </c>
      <c r="R77" s="82">
        <f t="shared" si="48"/>
        <v>-2.0711026550749906E-4</v>
      </c>
      <c r="S77" s="82">
        <f t="shared" si="48"/>
        <v>-1.2603437564152678E-3</v>
      </c>
      <c r="T77" s="82">
        <f t="shared" si="48"/>
        <v>0</v>
      </c>
      <c r="U77" s="82">
        <f t="shared" si="48"/>
        <v>1.3733853148347169E-4</v>
      </c>
      <c r="V77" s="82">
        <f t="shared" si="48"/>
        <v>3.6355222119204E-4</v>
      </c>
      <c r="W77" s="82">
        <f t="shared" si="48"/>
        <v>1.5274692936186884E-3</v>
      </c>
    </row>
    <row r="78" spans="1:23" x14ac:dyDescent="0.3">
      <c r="A78" s="137"/>
      <c r="B78" s="66"/>
      <c r="C78" s="128"/>
      <c r="D78" s="66"/>
      <c r="E78" s="66"/>
      <c r="F78" s="66"/>
      <c r="G78" s="66"/>
      <c r="H78" s="66"/>
      <c r="I78" s="66"/>
      <c r="J78" s="66"/>
      <c r="K78" s="66"/>
      <c r="L78" s="66"/>
      <c r="M78" s="66"/>
      <c r="N78" s="79" t="s">
        <v>6</v>
      </c>
      <c r="O78" s="82">
        <f t="shared" si="48"/>
        <v>4.5172302972545388E-5</v>
      </c>
      <c r="P78" s="82">
        <f t="shared" si="48"/>
        <v>-9.095695871431139E-5</v>
      </c>
      <c r="Q78" s="82">
        <f t="shared" si="48"/>
        <v>1.5651573844811893E-4</v>
      </c>
      <c r="R78" s="82">
        <f t="shared" si="48"/>
        <v>4.8240858545053287E-6</v>
      </c>
      <c r="S78" s="82">
        <f t="shared" si="48"/>
        <v>2.9120824878000901E-4</v>
      </c>
      <c r="T78" s="82">
        <f t="shared" si="48"/>
        <v>0</v>
      </c>
      <c r="U78" s="82">
        <f t="shared" si="48"/>
        <v>-5.153149329145193E-4</v>
      </c>
      <c r="V78" s="82">
        <f t="shared" si="48"/>
        <v>3.321688186672697E-4</v>
      </c>
      <c r="W78" s="82">
        <f t="shared" si="48"/>
        <v>2.2361730309361852E-4</v>
      </c>
    </row>
    <row r="79" spans="1:23" x14ac:dyDescent="0.3">
      <c r="A79" s="137"/>
      <c r="B79" s="66"/>
      <c r="C79" s="128"/>
      <c r="D79" s="66"/>
      <c r="E79" s="66"/>
      <c r="F79" s="66"/>
      <c r="G79" s="66"/>
      <c r="H79" s="66"/>
      <c r="I79" s="66"/>
      <c r="J79" s="66"/>
      <c r="K79" s="66"/>
      <c r="L79" s="66"/>
      <c r="M79" s="66"/>
      <c r="N79" s="79" t="s">
        <v>164</v>
      </c>
      <c r="O79" s="82">
        <f t="shared" si="48"/>
        <v>0</v>
      </c>
      <c r="P79" s="82">
        <f t="shared" si="48"/>
        <v>0</v>
      </c>
      <c r="Q79" s="82">
        <f t="shared" si="48"/>
        <v>0</v>
      </c>
      <c r="R79" s="82">
        <f t="shared" si="48"/>
        <v>0</v>
      </c>
      <c r="S79" s="82">
        <f t="shared" si="48"/>
        <v>0</v>
      </c>
      <c r="T79" s="82">
        <f t="shared" si="48"/>
        <v>0</v>
      </c>
      <c r="U79" s="82">
        <f t="shared" si="48"/>
        <v>0</v>
      </c>
      <c r="V79" s="82">
        <f t="shared" si="48"/>
        <v>0</v>
      </c>
      <c r="W79" s="82">
        <f t="shared" si="48"/>
        <v>0</v>
      </c>
    </row>
    <row r="80" spans="1:23" x14ac:dyDescent="0.3">
      <c r="A80" s="137"/>
      <c r="B80" s="66"/>
      <c r="C80" s="128"/>
      <c r="D80" s="66"/>
      <c r="E80" s="66"/>
      <c r="F80" s="66"/>
      <c r="G80" s="66"/>
      <c r="H80" s="66"/>
      <c r="I80" s="66"/>
      <c r="J80" s="66"/>
      <c r="K80" s="66"/>
      <c r="L80" s="66"/>
      <c r="M80" s="66"/>
      <c r="N80" s="81" t="s">
        <v>27</v>
      </c>
      <c r="O80" s="82">
        <f t="shared" si="48"/>
        <v>7.0202109749096034E-4</v>
      </c>
      <c r="P80" s="82">
        <f t="shared" si="48"/>
        <v>-8.238999763278243E-3</v>
      </c>
      <c r="Q80" s="82">
        <f t="shared" si="48"/>
        <v>5.5439824797601234E-3</v>
      </c>
      <c r="R80" s="82">
        <f t="shared" si="48"/>
        <v>-2.6712457027685058E-4</v>
      </c>
      <c r="S80" s="82">
        <f t="shared" si="48"/>
        <v>5.0627372089473432E-4</v>
      </c>
      <c r="T80" s="82">
        <f t="shared" si="48"/>
        <v>0</v>
      </c>
      <c r="U80" s="82">
        <f t="shared" si="48"/>
        <v>2.2361730309361852E-4</v>
      </c>
      <c r="V80" s="82">
        <f t="shared" si="48"/>
        <v>1.5274692936186746E-3</v>
      </c>
      <c r="W80" s="82">
        <f t="shared" si="48"/>
        <v>0</v>
      </c>
    </row>
    <row r="81" spans="1:1" x14ac:dyDescent="0.3">
      <c r="A81" s="137"/>
    </row>
    <row r="82" spans="1:1" x14ac:dyDescent="0.3">
      <c r="A82" s="137"/>
    </row>
  </sheetData>
  <mergeCells count="9">
    <mergeCell ref="A45:A82"/>
    <mergeCell ref="B45:B53"/>
    <mergeCell ref="B57:B65"/>
    <mergeCell ref="C1:W1"/>
    <mergeCell ref="B3:B12"/>
    <mergeCell ref="B16:B25"/>
    <mergeCell ref="L29:L38"/>
    <mergeCell ref="C43:W43"/>
    <mergeCell ref="A1:A38"/>
  </mergeCells>
  <conditionalFormatting sqref="O30:W38">
    <cfRule type="colorScale" priority="6">
      <colorScale>
        <cfvo type="min"/>
        <cfvo type="percentile" val="50"/>
        <cfvo type="max"/>
        <color rgb="FFF8696B"/>
        <color rgb="FFFCFCFF"/>
        <color rgb="FF5A8AC6"/>
      </colorScale>
    </cfRule>
  </conditionalFormatting>
  <conditionalFormatting sqref="O72:W80">
    <cfRule type="colorScale" priority="1">
      <colorScale>
        <cfvo type="min"/>
        <cfvo type="percentile" val="50"/>
        <cfvo type="max"/>
        <color rgb="FFF8696B"/>
        <color rgb="FFFCFCFF"/>
        <color rgb="FF5A8AC6"/>
      </colorScale>
    </cfRule>
  </conditionalFormatting>
  <conditionalFormatting sqref="AG4:AG8">
    <cfRule type="colorScale" priority="4">
      <colorScale>
        <cfvo type="min"/>
        <cfvo type="percentile" val="50"/>
        <cfvo type="max"/>
        <color rgb="FFF8696B"/>
        <color rgb="FFFCFCFF"/>
        <color rgb="FF5A8AC6"/>
      </colorScale>
    </cfRule>
  </conditionalFormatting>
  <conditionalFormatting sqref="AG46:AG50">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7161-84C2-4440-A12E-4EC79CD53368}">
  <dimension ref="A4:N30"/>
  <sheetViews>
    <sheetView tabSelected="1" topLeftCell="B6" workbookViewId="0">
      <selection activeCell="H29" sqref="H29"/>
    </sheetView>
  </sheetViews>
  <sheetFormatPr defaultRowHeight="14.4" x14ac:dyDescent="0.3"/>
  <cols>
    <col min="5" max="5" width="15.77734375" customWidth="1"/>
    <col min="6" max="6" width="20.21875" customWidth="1"/>
    <col min="7" max="7" width="9.33203125" bestFit="1" customWidth="1"/>
    <col min="9" max="9" width="12.44140625" bestFit="1" customWidth="1"/>
  </cols>
  <sheetData>
    <row r="4" spans="5:14" ht="15.6" x14ac:dyDescent="0.3">
      <c r="E4" s="94" t="s">
        <v>179</v>
      </c>
      <c r="F4" s="66"/>
      <c r="G4" s="66"/>
      <c r="H4" s="66"/>
      <c r="I4" s="66"/>
      <c r="J4" s="66"/>
      <c r="K4" s="66"/>
    </row>
    <row r="5" spans="5:14" x14ac:dyDescent="0.3">
      <c r="E5" s="66"/>
      <c r="F5" s="66"/>
      <c r="G5" s="66"/>
      <c r="H5" s="66"/>
      <c r="I5" s="66"/>
      <c r="J5" s="66"/>
      <c r="K5" s="66"/>
    </row>
    <row r="6" spans="5:14" ht="28.8" x14ac:dyDescent="0.3">
      <c r="E6" s="69" t="s">
        <v>180</v>
      </c>
      <c r="F6" s="67" t="s">
        <v>181</v>
      </c>
      <c r="G6" s="68" t="s">
        <v>182</v>
      </c>
      <c r="H6" s="68" t="s">
        <v>183</v>
      </c>
      <c r="I6" s="68" t="s">
        <v>184</v>
      </c>
      <c r="J6" s="68" t="s">
        <v>185</v>
      </c>
      <c r="K6" s="68" t="s">
        <v>186</v>
      </c>
    </row>
    <row r="7" spans="5:14" x14ac:dyDescent="0.3">
      <c r="E7" s="73" t="s">
        <v>149</v>
      </c>
      <c r="F7" s="92" t="s">
        <v>148</v>
      </c>
      <c r="G7" s="72">
        <f>VLOOKUP(F7,ModelData!DH:DI,2,FALSE)</f>
        <v>772157</v>
      </c>
      <c r="H7" s="74">
        <f>G7/$G$12</f>
        <v>0.49733990135091788</v>
      </c>
      <c r="I7" s="72">
        <f>VLOOKUP(E7,SurveyData!DH:DI,2,FALSE)</f>
        <v>837063.37765390216</v>
      </c>
      <c r="J7" s="74">
        <f>I7/$I$12</f>
        <v>0.50303971547462645</v>
      </c>
      <c r="K7" s="88">
        <f>H7-J7</f>
        <v>-5.6998141237085687E-3</v>
      </c>
      <c r="N7" s="144" t="s">
        <v>149</v>
      </c>
    </row>
    <row r="8" spans="5:14" x14ac:dyDescent="0.3">
      <c r="E8" s="73" t="s">
        <v>115</v>
      </c>
      <c r="F8" s="92" t="s">
        <v>147</v>
      </c>
      <c r="G8" s="72">
        <f>VLOOKUP(F8,ModelData!DH:DI,2,FALSE)</f>
        <v>519251</v>
      </c>
      <c r="H8" s="74">
        <f t="shared" ref="H8:H11" si="0">G8/$G$12</f>
        <v>0.33444525027470512</v>
      </c>
      <c r="I8" s="72">
        <f>VLOOKUP(E8,SurveyData!DH:DI,2,FALSE)</f>
        <v>554102.56438641949</v>
      </c>
      <c r="J8" s="74">
        <f t="shared" ref="J8:J11" si="1">I8/$I$12</f>
        <v>0.33299222469144174</v>
      </c>
      <c r="K8" s="88">
        <f t="shared" ref="K8:K11" si="2">H8-J8</f>
        <v>1.4530255832633787E-3</v>
      </c>
      <c r="N8" s="144" t="s">
        <v>115</v>
      </c>
    </row>
    <row r="9" spans="5:14" x14ac:dyDescent="0.3">
      <c r="E9" s="73" t="s">
        <v>144</v>
      </c>
      <c r="F9" s="92" t="s">
        <v>143</v>
      </c>
      <c r="G9" s="72">
        <f>VLOOKUP(F9,ModelData!DH:DI,2,FALSE)</f>
        <v>190122</v>
      </c>
      <c r="H9" s="74">
        <f t="shared" si="0"/>
        <v>0.12245599887670411</v>
      </c>
      <c r="I9" s="72">
        <f>VLOOKUP(E9,SurveyData!DH:DI,2,FALSE)</f>
        <v>195288.44927965209</v>
      </c>
      <c r="J9" s="74">
        <f t="shared" si="1"/>
        <v>0.11736010508123711</v>
      </c>
      <c r="K9" s="88">
        <f t="shared" si="2"/>
        <v>5.0958937954670019E-3</v>
      </c>
      <c r="N9" s="144" t="s">
        <v>144</v>
      </c>
    </row>
    <row r="10" spans="5:14" x14ac:dyDescent="0.3">
      <c r="E10" s="73" t="s">
        <v>146</v>
      </c>
      <c r="F10" s="92" t="s">
        <v>145</v>
      </c>
      <c r="G10" s="72">
        <f>VLOOKUP(F10,ModelData!DH:DI,2,FALSE)</f>
        <v>64662</v>
      </c>
      <c r="H10" s="74">
        <f t="shared" si="0"/>
        <v>4.1648256379406071E-2</v>
      </c>
      <c r="I10" s="72">
        <f>VLOOKUP(E10,SurveyData!DH:DI,2,FALSE)</f>
        <v>71129.835011350646</v>
      </c>
      <c r="J10" s="74">
        <f t="shared" si="1"/>
        <v>4.2746024878251528E-2</v>
      </c>
      <c r="K10" s="88">
        <f t="shared" si="2"/>
        <v>-1.097768498845457E-3</v>
      </c>
      <c r="N10" s="144" t="s">
        <v>146</v>
      </c>
    </row>
    <row r="11" spans="5:14" x14ac:dyDescent="0.3">
      <c r="E11" s="73" t="s">
        <v>187</v>
      </c>
      <c r="F11" s="92" t="s">
        <v>188</v>
      </c>
      <c r="G11" s="72">
        <f>VLOOKUP(F11,ModelData!DH:DI,2,FALSE)</f>
        <v>6382</v>
      </c>
      <c r="H11" s="74">
        <f t="shared" si="0"/>
        <v>4.1105931182668269E-3</v>
      </c>
      <c r="I11" s="72">
        <f>VLOOKUP(E11,SurveyData!DH:DI,2,FALSE)</f>
        <v>6426.2919318680724</v>
      </c>
      <c r="J11" s="74">
        <f t="shared" si="1"/>
        <v>3.8619298744430419E-3</v>
      </c>
      <c r="K11" s="88">
        <f t="shared" si="2"/>
        <v>2.4866324382378504E-4</v>
      </c>
      <c r="N11" s="144" t="s">
        <v>187</v>
      </c>
    </row>
    <row r="12" spans="5:14" x14ac:dyDescent="0.3">
      <c r="E12" s="73" t="s">
        <v>27</v>
      </c>
      <c r="F12" s="92" t="s">
        <v>189</v>
      </c>
      <c r="G12" s="93">
        <f>SUM(G7:G11)</f>
        <v>1552574</v>
      </c>
      <c r="H12" s="92" t="s">
        <v>189</v>
      </c>
      <c r="I12" s="93">
        <f>SUM(I7:I11)</f>
        <v>1664010.5182631926</v>
      </c>
      <c r="J12" s="92" t="s">
        <v>189</v>
      </c>
      <c r="K12" s="92" t="s">
        <v>189</v>
      </c>
    </row>
    <row r="17" spans="1:9" ht="18" x14ac:dyDescent="0.35">
      <c r="F17" s="96" t="s">
        <v>190</v>
      </c>
    </row>
    <row r="19" spans="1:9" x14ac:dyDescent="0.3">
      <c r="A19" s="141" t="s">
        <v>154</v>
      </c>
      <c r="F19" s="97" t="s">
        <v>191</v>
      </c>
      <c r="G19" s="98" t="s">
        <v>2</v>
      </c>
      <c r="H19" s="98" t="s">
        <v>3</v>
      </c>
      <c r="I19" s="98" t="s">
        <v>21</v>
      </c>
    </row>
    <row r="20" spans="1:9" x14ac:dyDescent="0.3">
      <c r="A20" s="141"/>
      <c r="F20" s="73" t="s">
        <v>119</v>
      </c>
      <c r="G20" s="126">
        <f>VLOOKUP(F20,ModelData!DL:DM,2,FALSE)</f>
        <v>7.5262608565698468</v>
      </c>
      <c r="H20" s="126">
        <f>VLOOKUP(F20,SurveyData!DL:DM,2,FALSE)</f>
        <v>7.468115315411108</v>
      </c>
      <c r="I20" s="74">
        <f>G20/H20-1</f>
        <v>7.785838689280844E-3</v>
      </c>
    </row>
    <row r="21" spans="1:9" x14ac:dyDescent="0.3">
      <c r="A21" s="141"/>
      <c r="F21" s="73" t="s">
        <v>121</v>
      </c>
      <c r="G21" s="126">
        <f>VLOOKUP(F21,ModelData!DL:DM,2,FALSE)</f>
        <v>6.3122684903274857</v>
      </c>
      <c r="H21" s="126">
        <f>VLOOKUP(F21,SurveyData!DL:DM,2,FALSE)</f>
        <v>6.1815367834944519</v>
      </c>
      <c r="I21" s="74">
        <f>G21/H21-1</f>
        <v>2.1148738802639677E-2</v>
      </c>
    </row>
    <row r="22" spans="1:9" x14ac:dyDescent="0.3">
      <c r="F22" s="73" t="s">
        <v>120</v>
      </c>
      <c r="G22" s="126">
        <f>VLOOKUP(F22,ModelData!DL:DM,2,FALSE)</f>
        <v>9.5712510638140351</v>
      </c>
      <c r="H22" s="126">
        <f>VLOOKUP(F22,SurveyData!DL:DM,2,FALSE)</f>
        <v>9.7722522918152901</v>
      </c>
      <c r="I22" s="74">
        <f>G22/H22-1</f>
        <v>-2.056856720426703E-2</v>
      </c>
    </row>
    <row r="25" spans="1:9" ht="18" x14ac:dyDescent="0.35">
      <c r="F25" s="96" t="s">
        <v>192</v>
      </c>
    </row>
    <row r="27" spans="1:9" x14ac:dyDescent="0.3">
      <c r="A27" s="142" t="s">
        <v>178</v>
      </c>
      <c r="F27" s="97" t="s">
        <v>191</v>
      </c>
      <c r="G27" s="98" t="s">
        <v>2</v>
      </c>
      <c r="H27" s="100" t="s">
        <v>3</v>
      </c>
      <c r="I27" s="98" t="s">
        <v>21</v>
      </c>
    </row>
    <row r="28" spans="1:9" x14ac:dyDescent="0.3">
      <c r="A28" s="142"/>
      <c r="F28" s="73" t="s">
        <v>119</v>
      </c>
      <c r="G28" s="127">
        <f>VLOOKUP(F28,ModelData!EJ:EK,2,FALSE)</f>
        <v>4.2284547359780822</v>
      </c>
      <c r="H28" s="108">
        <f>VLOOKUP(F28,SurveyData!EJ:EK,2,FALSE)</f>
        <v>4.2344819130082092</v>
      </c>
      <c r="I28" s="74">
        <f>G28/H28-1</f>
        <v>-1.4233564232761786E-3</v>
      </c>
    </row>
    <row r="29" spans="1:9" x14ac:dyDescent="0.3">
      <c r="A29" s="142"/>
      <c r="F29" s="73" t="s">
        <v>121</v>
      </c>
      <c r="G29" s="126"/>
      <c r="H29" s="126"/>
      <c r="I29" s="74"/>
    </row>
    <row r="30" spans="1:9" x14ac:dyDescent="0.3">
      <c r="F30" s="73" t="s">
        <v>120</v>
      </c>
      <c r="G30" s="126"/>
      <c r="H30" s="126"/>
      <c r="I30" s="74"/>
    </row>
  </sheetData>
  <mergeCells count="2">
    <mergeCell ref="A19:A21"/>
    <mergeCell ref="A27:A29"/>
  </mergeCells>
  <conditionalFormatting sqref="I20:I22">
    <cfRule type="colorScale" priority="2">
      <colorScale>
        <cfvo type="min"/>
        <cfvo type="percentile" val="50"/>
        <cfvo type="max"/>
        <color rgb="FFF8696B"/>
        <color rgb="FFFCFCFF"/>
        <color rgb="FF5A8AC6"/>
      </colorScale>
    </cfRule>
  </conditionalFormatting>
  <conditionalFormatting sqref="I28:I30">
    <cfRule type="colorScale" priority="3">
      <colorScale>
        <cfvo type="min"/>
        <cfvo type="percentile" val="50"/>
        <cfvo type="max"/>
        <color rgb="FFF8696B"/>
        <color rgb="FFFCFCFF"/>
        <color rgb="FF5A8AC6"/>
      </colorScale>
    </cfRule>
  </conditionalFormatting>
  <conditionalFormatting sqref="K7:K11">
    <cfRule type="colorScale" priority="1">
      <colorScale>
        <cfvo type="min"/>
        <cfvo type="percentile" val="50"/>
        <cfvo type="max"/>
        <color rgb="FFF8696B"/>
        <color rgb="FFFCFCFF"/>
        <color rgb="FF5A8AC6"/>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D9AA5C7921F342991554F4D6B3A08A" ma:contentTypeVersion="15" ma:contentTypeDescription="Create a new document." ma:contentTypeScope="" ma:versionID="0206a618f35c0824d2fb24aead71b636">
  <xsd:schema xmlns:xsd="http://www.w3.org/2001/XMLSchema" xmlns:xs="http://www.w3.org/2001/XMLSchema" xmlns:p="http://schemas.microsoft.com/office/2006/metadata/properties" xmlns:ns1="http://schemas.microsoft.com/sharepoint/v3" xmlns:ns2="608512b1-9b7f-4b66-9287-846c132e154a" xmlns:ns3="8a8ccdf0-e2fe-48b3-ba2f-122b2fdfcc3b" targetNamespace="http://schemas.microsoft.com/office/2006/metadata/properties" ma:root="true" ma:fieldsID="92f8997cce93524906d692cae9c8e282" ns1:_="" ns2:_="" ns3:_="">
    <xsd:import namespace="http://schemas.microsoft.com/sharepoint/v3"/>
    <xsd:import namespace="608512b1-9b7f-4b66-9287-846c132e154a"/>
    <xsd:import namespace="8a8ccdf0-e2fe-48b3-ba2f-122b2fdfcc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8512b1-9b7f-4b66-9287-846c132e15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5869760-63e5-4ad7-8e1d-ce12b2e8d0a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8ccdf0-e2fe-48b3-ba2f-122b2fdfcc3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9d45e87a-ae13-4e74-a5be-06086d19b581}" ma:internalName="TaxCatchAll" ma:showField="CatchAllData" ma:web="8a8ccdf0-e2fe-48b3-ba2f-122b2fdfcc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08512b1-9b7f-4b66-9287-846c132e154a">
      <Terms xmlns="http://schemas.microsoft.com/office/infopath/2007/PartnerControls"/>
    </lcf76f155ced4ddcb4097134ff3c332f>
    <_ip_UnifiedCompliancePolicyProperties xmlns="http://schemas.microsoft.com/sharepoint/v3" xsi:nil="true"/>
    <TaxCatchAll xmlns="8a8ccdf0-e2fe-48b3-ba2f-122b2fdfcc3b" xsi:nil="true"/>
  </documentManagement>
</p:properties>
</file>

<file path=customXml/itemProps1.xml><?xml version="1.0" encoding="utf-8"?>
<ds:datastoreItem xmlns:ds="http://schemas.openxmlformats.org/officeDocument/2006/customXml" ds:itemID="{54D2D9C9-6CE7-42B3-B73E-F50E2DED2F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8512b1-9b7f-4b66-9287-846c132e154a"/>
    <ds:schemaRef ds:uri="8a8ccdf0-e2fe-48b3-ba2f-122b2fdfc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BB1708-1A79-483C-A626-7FB01DBF8F72}">
  <ds:schemaRefs>
    <ds:schemaRef ds:uri="http://schemas.microsoft.com/sharepoint/v3/contenttype/forms"/>
  </ds:schemaRefs>
</ds:datastoreItem>
</file>

<file path=customXml/itemProps3.xml><?xml version="1.0" encoding="utf-8"?>
<ds:datastoreItem xmlns:ds="http://schemas.openxmlformats.org/officeDocument/2006/customXml" ds:itemID="{2752ED4C-9964-4342-8BFC-8B13FAE1D1E8}">
  <ds:schemaRefs>
    <ds:schemaRef ds:uri="608512b1-9b7f-4b66-9287-846c132e154a"/>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8a8ccdf0-e2fe-48b3-ba2f-122b2fdfcc3b"/>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Household Attractor</vt:lpstr>
      <vt:lpstr>Establishment Attractor</vt:lpstr>
      <vt:lpstr>Route Generation</vt:lpstr>
      <vt:lpstr>Route Generation TNC</vt:lpstr>
      <vt:lpstr>Route Purp Vehicle</vt:lpstr>
      <vt:lpstr>Route Start Time</vt:lpstr>
      <vt:lpstr>Route OriginationTerminal</vt:lpstr>
      <vt:lpstr>Next StopPurpose</vt:lpstr>
      <vt:lpstr>Stop Location</vt:lpstr>
      <vt:lpstr>ModelData</vt:lpstr>
      <vt:lpstr>SurveyData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Vivek Yadav</cp:lastModifiedBy>
  <cp:revision/>
  <dcterms:created xsi:type="dcterms:W3CDTF">2024-02-07T12:10:22Z</dcterms:created>
  <dcterms:modified xsi:type="dcterms:W3CDTF">2024-04-09T23:11:14Z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0x010100A5D9AA5C7921F342991554F4D6B3A08A</vt:lpwstr>
  </property>
  <property fmtid="{D5CDD505-2E9C-101B-9397-08002B2CF9AE}" pid="3" name="MediaServiceImageTags">
    <vt:lpwstr/>
  </property>
</Properties>
</file>