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qaqc_scenarios/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C29" i="70" l="1"/>
  <c r="C30" i="70" s="1"/>
  <c r="F21" i="70"/>
  <c r="F20" i="70"/>
  <c r="F29" i="70" s="1"/>
  <c r="B20" i="70"/>
  <c r="B29" i="70" s="1"/>
  <c r="B21" i="70" l="1"/>
  <c r="C21" i="70"/>
  <c r="F30" i="70"/>
  <c r="B30" i="70"/>
  <c r="B32" i="70" s="1"/>
  <c r="F31" i="70" l="1"/>
  <c r="F32" i="70" l="1"/>
  <c r="F33" i="70" s="1"/>
  <c r="B31" i="70"/>
  <c r="B33" i="70" s="1"/>
  <c r="C31" i="70"/>
  <c r="C32" i="70"/>
  <c r="F35" i="70" l="1"/>
  <c r="F36" i="70" s="1"/>
  <c r="B35" i="70"/>
  <c r="B36" i="70" s="1"/>
  <c r="C33" i="70"/>
  <c r="C35" i="70" l="1"/>
  <c r="C36" i="70" s="1"/>
  <c r="E13" i="66"/>
  <c r="E17" i="70" s="1"/>
  <c r="E7" i="66"/>
  <c r="E20" i="70" l="1"/>
  <c r="E29" i="70" s="1"/>
  <c r="E21" i="70"/>
  <c r="D20" i="70"/>
  <c r="D29" i="70" s="1"/>
  <c r="D21" i="70"/>
  <c r="D30" i="70" l="1"/>
  <c r="D32" i="70" s="1"/>
  <c r="D31" i="70"/>
  <c r="E30" i="70"/>
  <c r="E32" i="70" s="1"/>
  <c r="E31" i="70"/>
  <c r="D33" i="70" l="1"/>
  <c r="E33" i="70"/>
  <c r="E35" i="70" l="1"/>
  <c r="E36" i="70" s="1"/>
  <c r="D35" i="70"/>
  <c r="D36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Deleted the 3 year factor for how long the behavior change lasts after direction from Krystal.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Moved CO2 emissions to Main Sheet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<sst xmlns="http://schemas.openxmlformats.org/spreadsheetml/2006/main" count="178" uniqueCount="128">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</sst>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164" fontId="2" fillId="33" borderId="0" xfId="2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0" fillId="0" borderId="0" xfId="0" applyNumberFormat="1" applyFont="1" applyFill="1" applyBorder="1"/>
    <xf numFmtId="3" fontId="41" fillId="0" borderId="0" xfId="0" applyNumberFormat="1" applyFont="1" applyFill="1" applyBorder="1" applyAlignment="1">
      <alignment horizontal="right" vertical="center"/>
    </xf>
    <xf numFmtId="3" fontId="41" fillId="33" borderId="0" xfId="0" applyNumberFormat="1" applyFont="1" applyFill="1" applyBorder="1" applyAlignment="1">
      <alignment horizontal="right" vertical="center"/>
    </xf>
    <xf numFmtId="2" fontId="40" fillId="0" borderId="0" xfId="0" applyNumberFormat="1" applyFont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8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9" t="s">
        <v>57</v>
      </c>
      <c r="C6" s="50" t="s">
        <v>58</v>
      </c>
      <c r="D6" s="50" t="s">
        <v>59</v>
      </c>
      <c r="E6" s="51" t="s">
        <v>60</v>
      </c>
    </row>
    <row r="7" spans="2:5" ht="28.8" x14ac:dyDescent="0.3">
      <c r="B7" s="52" t="s">
        <v>62</v>
      </c>
      <c r="C7" s="118" t="s">
        <v>123</v>
      </c>
      <c r="D7" s="60" t="s">
        <v>62</v>
      </c>
      <c r="E7" s="55" t="s">
        <v>63</v>
      </c>
    </row>
    <row r="8" spans="2:5" x14ac:dyDescent="0.3">
      <c r="B8" s="22"/>
      <c r="C8" s="56"/>
      <c r="D8" s="56"/>
      <c r="E8" s="57"/>
    </row>
    <row r="9" spans="2:5" x14ac:dyDescent="0.3">
      <c r="B9" s="58" t="s">
        <v>65</v>
      </c>
      <c r="C9" s="53" t="s">
        <v>124</v>
      </c>
      <c r="D9" s="54" t="s">
        <v>66</v>
      </c>
      <c r="E9" s="55" t="s">
        <v>61</v>
      </c>
    </row>
    <row r="10" spans="2:5" x14ac:dyDescent="0.3">
      <c r="B10" s="22"/>
      <c r="C10" s="56"/>
      <c r="D10" s="56"/>
      <c r="E10" s="57"/>
    </row>
    <row r="11" spans="2:5" x14ac:dyDescent="0.3">
      <c r="B11" s="22"/>
      <c r="C11" s="56"/>
      <c r="D11" s="56"/>
      <c r="E11" s="57"/>
    </row>
    <row r="12" spans="2:5" x14ac:dyDescent="0.3">
      <c r="B12" s="23"/>
      <c r="C12" s="24"/>
      <c r="D12" s="24"/>
      <c r="E12" s="59"/>
    </row>
    <row r="13" spans="2:5" ht="28.8" x14ac:dyDescent="0.3">
      <c r="B13" s="58" t="s">
        <v>64</v>
      </c>
      <c r="C13" s="53" t="s">
        <v>124</v>
      </c>
      <c r="D13" s="54" t="s">
        <v>66</v>
      </c>
      <c r="E13" s="55" t="s">
        <v>61</v>
      </c>
    </row>
    <row r="14" spans="2:5" x14ac:dyDescent="0.3">
      <c r="B14" s="22"/>
      <c r="C14" s="56"/>
      <c r="D14" s="56"/>
      <c r="E14" s="57"/>
    </row>
    <row r="15" spans="2:5" x14ac:dyDescent="0.3">
      <c r="B15" s="22"/>
      <c r="C15" s="56"/>
      <c r="D15" s="56"/>
      <c r="E15" s="57"/>
    </row>
    <row r="16" spans="2:5" x14ac:dyDescent="0.3">
      <c r="B16" s="23"/>
      <c r="C16" s="24"/>
      <c r="D16" s="24"/>
      <c r="E16" s="59"/>
    </row>
    <row r="17" spans="2:5" x14ac:dyDescent="0.3">
      <c r="B17" s="61" t="s">
        <v>67</v>
      </c>
      <c r="C17" s="62" t="s">
        <v>114</v>
      </c>
      <c r="D17" s="63" t="s">
        <v>68</v>
      </c>
      <c r="E17" s="64" t="s">
        <v>61</v>
      </c>
    </row>
    <row r="18" spans="2:5" x14ac:dyDescent="0.3">
      <c r="B18" s="65"/>
      <c r="C18" s="66"/>
      <c r="D18" s="67"/>
      <c r="E18" s="68" t="s">
        <v>69</v>
      </c>
    </row>
    <row r="19" spans="2:5" x14ac:dyDescent="0.3">
      <c r="B19" s="65"/>
      <c r="C19" s="66"/>
      <c r="D19" s="66"/>
      <c r="E19" s="68" t="s">
        <v>70</v>
      </c>
    </row>
    <row r="20" spans="2:5" x14ac:dyDescent="0.3">
      <c r="B20" s="65"/>
      <c r="C20" s="66"/>
      <c r="D20" s="66"/>
      <c r="E20" s="68" t="s">
        <v>71</v>
      </c>
    </row>
    <row r="21" spans="2:5" x14ac:dyDescent="0.3">
      <c r="B21" s="69"/>
      <c r="C21" s="70"/>
      <c r="D21" s="70"/>
      <c r="E21" s="71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0"/>
  <sheetViews>
    <sheetView tabSelected="1" zoomScaleNormal="100" zoomScalePageLayoutView="90" workbookViewId="0">
      <selection activeCell="C20" sqref="C2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30" t="s">
        <v>16</v>
      </c>
    </row>
    <row r="3" spans="1:7" x14ac:dyDescent="0.3">
      <c r="G3" s="14"/>
    </row>
    <row r="4" spans="1:7" ht="15.6" x14ac:dyDescent="0.3">
      <c r="A4" s="31" t="s">
        <v>17</v>
      </c>
      <c r="B4" s="1"/>
      <c r="C4" s="1"/>
      <c r="D4" s="1"/>
      <c r="E4" s="119"/>
      <c r="F4" s="119"/>
      <c r="G4" s="1"/>
    </row>
    <row r="5" spans="1:7" x14ac:dyDescent="0.3">
      <c r="A5" s="120" t="s">
        <v>2</v>
      </c>
      <c r="B5" s="120" t="s">
        <v>115</v>
      </c>
      <c r="C5" s="120"/>
      <c r="D5" s="120"/>
      <c r="E5" s="120"/>
      <c r="F5" s="120"/>
      <c r="G5" s="121" t="s">
        <v>15</v>
      </c>
    </row>
    <row r="6" spans="1:7" ht="15.6" x14ac:dyDescent="0.3">
      <c r="A6" s="31" t="s">
        <v>88</v>
      </c>
      <c r="B6" s="1">
        <v>2014</v>
      </c>
      <c r="C6" s="1"/>
      <c r="D6" s="1"/>
      <c r="E6" s="119"/>
      <c r="F6" s="119"/>
      <c r="G6" s="1" t="s">
        <v>116</v>
      </c>
    </row>
    <row r="7" spans="1:7" ht="27.6" x14ac:dyDescent="0.3">
      <c r="A7" s="31" t="s">
        <v>89</v>
      </c>
      <c r="B7" s="80" t="s">
        <v>119</v>
      </c>
      <c r="C7" s="1"/>
      <c r="D7" s="1"/>
      <c r="E7" s="119"/>
      <c r="F7" s="119"/>
      <c r="G7" s="122" t="s">
        <v>117</v>
      </c>
    </row>
    <row r="8" spans="1:7" ht="15.6" x14ac:dyDescent="0.3">
      <c r="A8" s="31"/>
    </row>
    <row r="9" spans="1:7" ht="14.4" x14ac:dyDescent="0.3">
      <c r="A9" s="28" t="s">
        <v>2</v>
      </c>
      <c r="B9" s="28">
        <v>2016</v>
      </c>
      <c r="C9" s="28">
        <v>2020</v>
      </c>
      <c r="D9" s="28">
        <v>2025</v>
      </c>
      <c r="E9" s="28" t="s">
        <v>122</v>
      </c>
      <c r="F9" s="28"/>
      <c r="G9" s="28" t="s">
        <v>15</v>
      </c>
    </row>
    <row r="10" spans="1:7" x14ac:dyDescent="0.3">
      <c r="A10" s="32" t="s">
        <v>0</v>
      </c>
    </row>
    <row r="11" spans="1:7" x14ac:dyDescent="0.3">
      <c r="A11" s="7" t="s">
        <v>102</v>
      </c>
      <c r="B11" s="77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8">
        <f>'CBTP Case Studies'!C13</f>
        <v>0.17352065322611779</v>
      </c>
      <c r="C12" s="125"/>
      <c r="D12" s="125"/>
      <c r="E12" s="125"/>
      <c r="F12" s="125"/>
      <c r="G12" s="6" t="s">
        <v>104</v>
      </c>
    </row>
    <row r="13" spans="1:7" x14ac:dyDescent="0.3">
      <c r="A13" s="7" t="s">
        <v>80</v>
      </c>
      <c r="B13" s="78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4">
        <v>7.8807710000000002</v>
      </c>
      <c r="C14" s="134">
        <v>7.8497079999999997</v>
      </c>
      <c r="D14" s="134">
        <v>7.7908210000000002</v>
      </c>
      <c r="E14" s="134">
        <v>7.3438489999999996</v>
      </c>
      <c r="F14" s="124"/>
      <c r="G14" s="6" t="s">
        <v>121</v>
      </c>
    </row>
    <row r="15" spans="1:7" x14ac:dyDescent="0.3">
      <c r="A15" s="7"/>
      <c r="B15" s="25"/>
      <c r="C15" s="10"/>
      <c r="D15" s="10"/>
      <c r="E15" s="10"/>
      <c r="F15" s="10"/>
    </row>
    <row r="16" spans="1:7" x14ac:dyDescent="0.3">
      <c r="A16" s="32" t="s">
        <v>1</v>
      </c>
      <c r="B16" s="72">
        <v>2016</v>
      </c>
      <c r="C16" s="72">
        <v>2020</v>
      </c>
      <c r="D16" s="72">
        <v>2025</v>
      </c>
      <c r="E16" s="72">
        <v>2035</v>
      </c>
      <c r="F16" s="72">
        <v>2050</v>
      </c>
    </row>
    <row r="17" spans="1:7" x14ac:dyDescent="0.3">
      <c r="A17" s="34" t="s">
        <v>74</v>
      </c>
      <c r="B17" s="26">
        <v>0</v>
      </c>
      <c r="C17" s="26">
        <v>0</v>
      </c>
      <c r="D17" s="26">
        <f>SUM('Community-Based Coverage Areas'!E7)</f>
        <v>88659</v>
      </c>
      <c r="E17" s="26">
        <f>SUM('Community-Based Coverage Areas'!E13)</f>
        <v>37039</v>
      </c>
      <c r="F17" s="26">
        <v>0</v>
      </c>
      <c r="G17" s="6" t="s">
        <v>18</v>
      </c>
    </row>
    <row r="18" spans="1:7" s="12" customFormat="1" ht="14.4" x14ac:dyDescent="0.3">
      <c r="A18" s="34" t="s">
        <v>85</v>
      </c>
      <c r="B18" s="76">
        <v>7.1884079999999999</v>
      </c>
      <c r="C18" s="76">
        <v>7.0701150000000004</v>
      </c>
      <c r="D18" s="76">
        <v>7.0206860000000004</v>
      </c>
      <c r="E18" s="76">
        <v>6.8360779999999997</v>
      </c>
      <c r="F18" s="76"/>
      <c r="G18" s="6" t="s">
        <v>121</v>
      </c>
    </row>
    <row r="19" spans="1:7" s="12" customFormat="1" ht="14.4" x14ac:dyDescent="0.3"/>
    <row r="20" spans="1:7" x14ac:dyDescent="0.3">
      <c r="A20" s="13" t="s">
        <v>73</v>
      </c>
      <c r="B20" s="74">
        <f>B17*$B$12</f>
        <v>0</v>
      </c>
      <c r="C20" s="74">
        <f>C17*$B$12</f>
        <v>0</v>
      </c>
      <c r="D20" s="74">
        <f>D17*$B$12</f>
        <v>15384.167594374378</v>
      </c>
      <c r="E20" s="74">
        <f>E17*$B$12</f>
        <v>6427.031474842177</v>
      </c>
      <c r="F20" s="74">
        <f>F17*$B$12</f>
        <v>0</v>
      </c>
    </row>
    <row r="21" spans="1:7" x14ac:dyDescent="0.3">
      <c r="A21" s="13" t="s">
        <v>78</v>
      </c>
      <c r="B21" s="73">
        <f>B17*$B$11</f>
        <v>0</v>
      </c>
      <c r="C21" s="73">
        <f t="shared" ref="C21" si="0">C17*$B$11</f>
        <v>0</v>
      </c>
      <c r="D21" s="73">
        <f>D17*$B$11</f>
        <v>1822390.0191903503</v>
      </c>
      <c r="E21" s="73">
        <f t="shared" ref="E21:F21" si="1">E17*$B$11</f>
        <v>761338.43062510726</v>
      </c>
      <c r="F21" s="73">
        <f t="shared" si="1"/>
        <v>0</v>
      </c>
    </row>
    <row r="22" spans="1:7" x14ac:dyDescent="0.3">
      <c r="A22" s="13"/>
      <c r="C22" s="21"/>
      <c r="D22" s="21"/>
      <c r="E22" s="21"/>
      <c r="F22" s="21"/>
    </row>
    <row r="23" spans="1:7" ht="15.6" x14ac:dyDescent="0.3">
      <c r="A23" s="35" t="s">
        <v>39</v>
      </c>
    </row>
    <row r="24" spans="1:7" s="12" customFormat="1" ht="14.4" x14ac:dyDescent="0.3">
      <c r="A24" s="36" t="s">
        <v>2</v>
      </c>
      <c r="B24" s="28">
        <v>2016</v>
      </c>
      <c r="C24" s="28">
        <v>2020</v>
      </c>
      <c r="D24" s="28">
        <v>2025</v>
      </c>
      <c r="E24" s="28" t="s">
        <v>122</v>
      </c>
      <c r="F24" s="28">
        <v>2050</v>
      </c>
      <c r="G24" s="29"/>
    </row>
    <row r="25" spans="1:7" s="12" customFormat="1" ht="14.4" x14ac:dyDescent="0.3">
      <c r="A25" s="128" t="s">
        <v>125</v>
      </c>
      <c r="B25" s="127"/>
      <c r="C25" s="127"/>
      <c r="D25" s="127"/>
      <c r="E25" s="127"/>
      <c r="F25" s="127"/>
      <c r="G25" s="127"/>
    </row>
    <row r="26" spans="1:7" s="12" customFormat="1" ht="14.4" x14ac:dyDescent="0.3">
      <c r="A26" s="129" t="s">
        <v>126</v>
      </c>
      <c r="B26" s="132">
        <f>SUM('Emission Factors'!B7,'Emission Factors'!B10)</f>
        <v>37488.92710117867</v>
      </c>
      <c r="C26" s="132">
        <f>SUM('Emission Factors'!C7,'Emission Factors'!C10)</f>
        <v>37590.432572651349</v>
      </c>
      <c r="D26" s="132">
        <f>SUM('Emission Factors'!D7,'Emission Factors'!D10)</f>
        <v>38625.48763595421</v>
      </c>
      <c r="E26" s="132">
        <f>SUM('Emission Factors'!E7,'Emission Factors'!E10)</f>
        <v>38897.620283462515</v>
      </c>
      <c r="F26" s="132">
        <f>SUM('Emission Factors'!F7,'Emission Factors'!F10)</f>
        <v>0</v>
      </c>
      <c r="G26" s="127"/>
    </row>
    <row r="27" spans="1:7" s="12" customFormat="1" ht="14.4" x14ac:dyDescent="0.3">
      <c r="A27" s="129" t="s">
        <v>127</v>
      </c>
      <c r="B27" s="131">
        <f>B26/B34*2000</f>
        <v>22.913325437317621</v>
      </c>
      <c r="C27" s="131">
        <f>C26/C34*2000</f>
        <v>22.275739292494958</v>
      </c>
      <c r="D27" s="131">
        <f>D26/D34*2000</f>
        <v>22.094098010729279</v>
      </c>
      <c r="E27" s="131">
        <f>E26/E34*2000</f>
        <v>21.007543618818033</v>
      </c>
      <c r="F27" s="131" t="e">
        <f>F26/F34*2000</f>
        <v>#DIV/0!</v>
      </c>
      <c r="G27" s="127"/>
    </row>
    <row r="28" spans="1:7" s="12" customFormat="1" ht="14.4" x14ac:dyDescent="0.3">
      <c r="A28" s="126"/>
      <c r="B28" s="127"/>
      <c r="C28" s="127"/>
      <c r="D28" s="127"/>
      <c r="E28" s="127"/>
      <c r="F28" s="127"/>
      <c r="G28" s="127"/>
    </row>
    <row r="29" spans="1:7" x14ac:dyDescent="0.3">
      <c r="A29" s="13" t="s">
        <v>5</v>
      </c>
      <c r="B29" s="11">
        <f>B20*$B$13*$B$14</f>
        <v>0</v>
      </c>
      <c r="C29" s="11">
        <f t="shared" ref="C29:F29" si="2">C20*$B$13*$B$14</f>
        <v>0</v>
      </c>
      <c r="D29" s="11">
        <f t="shared" si="2"/>
        <v>14528.898081350835</v>
      </c>
      <c r="E29" s="11">
        <f t="shared" si="2"/>
        <v>6069.7262098055862</v>
      </c>
      <c r="F29" s="11">
        <f t="shared" si="2"/>
        <v>0</v>
      </c>
      <c r="G29" s="75" t="s">
        <v>79</v>
      </c>
    </row>
    <row r="30" spans="1:7" x14ac:dyDescent="0.3">
      <c r="A30" s="13" t="s">
        <v>6</v>
      </c>
      <c r="B30" s="21">
        <f t="shared" ref="B30" si="3">B29*$B$14</f>
        <v>0</v>
      </c>
      <c r="C30" s="21">
        <f>C29*$C$18</f>
        <v>0</v>
      </c>
      <c r="D30" s="11">
        <f>D29*$D$18</f>
        <v>102002.83135516668</v>
      </c>
      <c r="E30" s="11">
        <f>E29*$E$18</f>
        <v>41493.121808875352</v>
      </c>
      <c r="F30" s="21">
        <f>F29*$F$18</f>
        <v>0</v>
      </c>
      <c r="G30" s="75" t="s">
        <v>81</v>
      </c>
    </row>
    <row r="31" spans="1:7" x14ac:dyDescent="0.3">
      <c r="A31" s="13" t="s">
        <v>40</v>
      </c>
      <c r="B31" s="37">
        <f>B29*'Emission Factors'!B12</f>
        <v>0</v>
      </c>
      <c r="C31" s="37">
        <f>C29*'Emission Factors'!C12</f>
        <v>0</v>
      </c>
      <c r="D31" s="37">
        <f>D29*'Emission Factors'!D12</f>
        <v>1.3579890782207034</v>
      </c>
      <c r="E31" s="37">
        <f>E29*'Emission Factors'!E12</f>
        <v>0.56428942736636722</v>
      </c>
      <c r="F31" s="37">
        <f>F29*'Emission Factors'!F12</f>
        <v>0</v>
      </c>
      <c r="G31" s="38" t="s">
        <v>41</v>
      </c>
    </row>
    <row r="32" spans="1:7" x14ac:dyDescent="0.3">
      <c r="A32" s="13" t="s">
        <v>42</v>
      </c>
      <c r="B32" s="39">
        <f>B30*'Emission Factors'!B9</f>
        <v>0</v>
      </c>
      <c r="C32" s="39">
        <f>C30*'Emission Factors'!C9</f>
        <v>0</v>
      </c>
      <c r="D32" s="39">
        <f>D30*'Emission Factors'!D9</f>
        <v>47.315063068818496</v>
      </c>
      <c r="E32" s="39">
        <f>E30*'Emission Factors'!E9</f>
        <v>18.951438890567609</v>
      </c>
      <c r="F32" s="39">
        <f>F30*'Emission Factors'!F9</f>
        <v>0</v>
      </c>
      <c r="G32" s="38" t="s">
        <v>43</v>
      </c>
    </row>
    <row r="33" spans="1:7" x14ac:dyDescent="0.3">
      <c r="A33" s="13" t="s">
        <v>75</v>
      </c>
      <c r="B33" s="39">
        <f>B31+B32</f>
        <v>0</v>
      </c>
      <c r="C33" s="39">
        <f t="shared" ref="C33:E33" si="4">C31+C32</f>
        <v>0</v>
      </c>
      <c r="D33" s="39">
        <f>D31+D32</f>
        <v>48.673052147039201</v>
      </c>
      <c r="E33" s="39">
        <f t="shared" si="4"/>
        <v>19.515728317933977</v>
      </c>
      <c r="F33" s="39">
        <f>F31+F32</f>
        <v>0</v>
      </c>
      <c r="G33" s="38" t="s">
        <v>76</v>
      </c>
    </row>
    <row r="34" spans="1:7" s="1" customFormat="1" ht="20.100000000000001" customHeight="1" x14ac:dyDescent="0.3">
      <c r="A34" s="130" t="s">
        <v>77</v>
      </c>
      <c r="B34" s="133">
        <v>3272238</v>
      </c>
      <c r="C34" s="133">
        <v>3375011</v>
      </c>
      <c r="D34" s="133">
        <v>3496453</v>
      </c>
      <c r="E34" s="133">
        <v>3703205</v>
      </c>
      <c r="F34" s="133">
        <v>0</v>
      </c>
      <c r="G34" s="27" t="s">
        <v>123</v>
      </c>
    </row>
    <row r="35" spans="1:7" s="1" customFormat="1" ht="20.100000000000001" customHeight="1" x14ac:dyDescent="0.3">
      <c r="A35" s="13" t="s">
        <v>44</v>
      </c>
      <c r="B35" s="40">
        <f>-1*B33*2000/B34</f>
        <v>0</v>
      </c>
      <c r="C35" s="40">
        <f t="shared" ref="C35:F35" si="5">-1*C33*2000/C34</f>
        <v>0</v>
      </c>
      <c r="D35" s="40">
        <f t="shared" si="5"/>
        <v>-2.7841387913430667E-2</v>
      </c>
      <c r="E35" s="40">
        <f t="shared" si="5"/>
        <v>-1.0539912490901247E-2</v>
      </c>
      <c r="F35" s="40" t="e">
        <f t="shared" si="5"/>
        <v>#DIV/0!</v>
      </c>
      <c r="G35" s="41" t="s">
        <v>45</v>
      </c>
    </row>
    <row r="36" spans="1:7" s="1" customFormat="1" ht="20.100000000000001" customHeight="1" x14ac:dyDescent="0.3">
      <c r="A36" s="42" t="s">
        <v>46</v>
      </c>
      <c r="B36" s="5">
        <f>(B35)/B27</f>
        <v>0</v>
      </c>
      <c r="C36" s="5">
        <f t="shared" ref="C36:F36" si="6">(C35)/C27</f>
        <v>0</v>
      </c>
      <c r="D36" s="5">
        <f t="shared" si="6"/>
        <v>-1.2601278359456178E-3</v>
      </c>
      <c r="E36" s="5">
        <f t="shared" si="6"/>
        <v>-5.0172036684288288E-4</v>
      </c>
      <c r="F36" s="5" t="e">
        <f t="shared" si="6"/>
        <v>#DIV/0!</v>
      </c>
      <c r="G36" s="38" t="s">
        <v>47</v>
      </c>
    </row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2" customFormat="1" ht="14.4" x14ac:dyDescent="0.3"/>
    <row r="119" spans="1:6" s="15" customFormat="1" x14ac:dyDescent="0.3">
      <c r="A119" s="16"/>
      <c r="B119" s="17"/>
      <c r="C119" s="18"/>
      <c r="D119" s="18"/>
      <c r="E119" s="19"/>
      <c r="F119" s="19"/>
    </row>
    <row r="120" spans="1:6" s="15" customFormat="1" x14ac:dyDescent="0.3">
      <c r="A120" s="16"/>
      <c r="B120" s="17"/>
      <c r="C120" s="20"/>
      <c r="D120" s="20"/>
      <c r="E120" s="20"/>
      <c r="F120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5" t="s">
        <v>31</v>
      </c>
      <c r="B7" s="135"/>
      <c r="C7" s="135"/>
      <c r="D7" s="135"/>
      <c r="E7" s="33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5" t="s">
        <v>31</v>
      </c>
      <c r="B13" s="135"/>
      <c r="C13" s="135"/>
      <c r="D13" s="135"/>
      <c r="E13" s="33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6" customWidth="1"/>
    <col min="5" max="5" width="21.44140625" style="106" customWidth="1"/>
    <col min="6" max="7" width="24" style="106" customWidth="1"/>
    <col min="8" max="8" width="80.5546875" customWidth="1"/>
  </cols>
  <sheetData>
    <row r="1" spans="1:8" s="12" customFormat="1" ht="18" x14ac:dyDescent="0.35">
      <c r="A1" s="115" t="s">
        <v>108</v>
      </c>
      <c r="B1" s="106"/>
      <c r="C1" s="106"/>
      <c r="D1" s="106"/>
      <c r="E1" s="106"/>
      <c r="F1" s="106"/>
      <c r="G1" s="106"/>
    </row>
    <row r="2" spans="1:8" ht="43.2" x14ac:dyDescent="0.3">
      <c r="A2" s="94"/>
      <c r="B2" s="95" t="s">
        <v>111</v>
      </c>
      <c r="C2" s="96" t="s">
        <v>106</v>
      </c>
      <c r="D2" s="97" t="s">
        <v>107</v>
      </c>
      <c r="E2" s="96" t="s">
        <v>98</v>
      </c>
      <c r="F2" s="96" t="s">
        <v>99</v>
      </c>
      <c r="G2" s="96" t="s">
        <v>100</v>
      </c>
      <c r="H2" s="111" t="s">
        <v>15</v>
      </c>
    </row>
    <row r="3" spans="1:8" x14ac:dyDescent="0.3">
      <c r="A3" s="98" t="s">
        <v>82</v>
      </c>
      <c r="B3" s="100">
        <v>0.10885714285714286</v>
      </c>
      <c r="C3" s="100">
        <v>0.28666666666666701</v>
      </c>
      <c r="D3" s="101">
        <v>20033.333333333299</v>
      </c>
      <c r="E3" s="102">
        <v>217271.25</v>
      </c>
      <c r="F3" s="103">
        <f>E3/D3</f>
        <v>10.845486688851931</v>
      </c>
      <c r="G3" s="103">
        <f t="shared" ref="G3" si="0">IF(C3 = "N/A", "N/A", F3/C3)</f>
        <v>37.833093100646224</v>
      </c>
      <c r="H3" t="s">
        <v>109</v>
      </c>
    </row>
    <row r="4" spans="1:8" ht="28.8" x14ac:dyDescent="0.3">
      <c r="A4" s="98" t="s">
        <v>101</v>
      </c>
      <c r="B4" s="104" t="s">
        <v>7</v>
      </c>
      <c r="C4" s="104" t="s">
        <v>7</v>
      </c>
      <c r="D4" s="104" t="s">
        <v>7</v>
      </c>
      <c r="E4" s="104" t="s">
        <v>7</v>
      </c>
      <c r="F4" s="104" t="s">
        <v>7</v>
      </c>
      <c r="G4" s="104" t="str">
        <f>IF(C4 = "N/A", "N/A", F4/C4)</f>
        <v>N/A</v>
      </c>
      <c r="H4" s="99" t="s">
        <v>103</v>
      </c>
    </row>
    <row r="5" spans="1:8" ht="28.8" x14ac:dyDescent="0.3">
      <c r="A5" s="99" t="s">
        <v>14</v>
      </c>
      <c r="B5" s="100">
        <v>0.13</v>
      </c>
      <c r="C5" s="100">
        <v>0.21987951807228914</v>
      </c>
      <c r="D5" s="101">
        <v>2324</v>
      </c>
      <c r="E5" s="102">
        <v>100000</v>
      </c>
      <c r="F5" s="103">
        <f t="shared" ref="F5:F11" si="1">E5/D5</f>
        <v>43.029259896729776</v>
      </c>
      <c r="G5" s="103">
        <f t="shared" ref="G5:G11" si="2">IF(C5 = "N/A", "N/A", F5/C5)</f>
        <v>195.69471624266146</v>
      </c>
      <c r="H5" t="s">
        <v>110</v>
      </c>
    </row>
    <row r="6" spans="1:8" ht="28.8" x14ac:dyDescent="0.3">
      <c r="A6" s="99" t="s">
        <v>13</v>
      </c>
      <c r="B6" s="104" t="s">
        <v>7</v>
      </c>
      <c r="C6" s="100">
        <v>0.10007600709399544</v>
      </c>
      <c r="D6" s="101">
        <v>3947</v>
      </c>
      <c r="E6" s="102">
        <v>130000</v>
      </c>
      <c r="F6" s="103">
        <f t="shared" si="1"/>
        <v>32.936407398023817</v>
      </c>
      <c r="G6" s="103">
        <f t="shared" si="2"/>
        <v>329.11392405063293</v>
      </c>
      <c r="H6" s="12" t="s">
        <v>110</v>
      </c>
    </row>
    <row r="7" spans="1:8" s="12" customFormat="1" ht="28.8" x14ac:dyDescent="0.3">
      <c r="A7" s="116" t="s">
        <v>12</v>
      </c>
      <c r="B7" s="117">
        <v>0.04</v>
      </c>
      <c r="C7" s="100">
        <v>0.22886133032694475</v>
      </c>
      <c r="D7" s="101">
        <v>6728</v>
      </c>
      <c r="E7" s="102">
        <v>125000</v>
      </c>
      <c r="F7" s="103">
        <f t="shared" si="1"/>
        <v>18.579072532699168</v>
      </c>
      <c r="G7" s="103">
        <f t="shared" si="2"/>
        <v>81.180479490168295</v>
      </c>
    </row>
    <row r="8" spans="1:8" s="12" customFormat="1" ht="28.8" x14ac:dyDescent="0.3">
      <c r="A8" s="99" t="s">
        <v>9</v>
      </c>
      <c r="B8" s="117">
        <v>0.08</v>
      </c>
      <c r="C8" s="100">
        <v>0.13928630159513239</v>
      </c>
      <c r="D8" s="101">
        <v>6081</v>
      </c>
      <c r="E8" s="102">
        <v>140000</v>
      </c>
      <c r="F8" s="103">
        <f t="shared" si="1"/>
        <v>23.022529189278078</v>
      </c>
      <c r="G8" s="103">
        <f t="shared" si="2"/>
        <v>165.28925619834709</v>
      </c>
    </row>
    <row r="9" spans="1:8" s="12" customFormat="1" ht="28.8" x14ac:dyDescent="0.3">
      <c r="A9" s="99" t="s">
        <v>10</v>
      </c>
      <c r="B9" s="100">
        <v>0.13</v>
      </c>
      <c r="C9" s="100">
        <v>8.1516227180527381E-2</v>
      </c>
      <c r="D9" s="101">
        <v>7888</v>
      </c>
      <c r="E9" s="102">
        <v>175000</v>
      </c>
      <c r="F9" s="103">
        <f t="shared" si="1"/>
        <v>22.185598377281949</v>
      </c>
      <c r="G9" s="103">
        <f t="shared" si="2"/>
        <v>272.16174183514778</v>
      </c>
      <c r="H9" s="12" t="s">
        <v>110</v>
      </c>
    </row>
    <row r="10" spans="1:8" x14ac:dyDescent="0.3">
      <c r="A10" s="99" t="s">
        <v>11</v>
      </c>
      <c r="B10" s="100">
        <v>0.25</v>
      </c>
      <c r="C10" s="100">
        <v>0.17340922951819476</v>
      </c>
      <c r="D10" s="101">
        <v>4919</v>
      </c>
      <c r="E10" s="102">
        <v>145000</v>
      </c>
      <c r="F10" s="103">
        <f t="shared" si="1"/>
        <v>29.477536084570033</v>
      </c>
      <c r="G10" s="103">
        <f t="shared" si="2"/>
        <v>169.98827667057444</v>
      </c>
      <c r="H10" s="12" t="s">
        <v>110</v>
      </c>
    </row>
    <row r="11" spans="1:8" x14ac:dyDescent="0.3">
      <c r="A11" s="94" t="s">
        <v>8</v>
      </c>
      <c r="B11" s="100">
        <v>0.1</v>
      </c>
      <c r="C11" s="100">
        <v>0.15846994535519127</v>
      </c>
      <c r="D11" s="101">
        <v>732</v>
      </c>
      <c r="E11" s="102">
        <v>50000</v>
      </c>
      <c r="F11" s="103">
        <f t="shared" si="1"/>
        <v>68.306010928961754</v>
      </c>
      <c r="G11" s="103">
        <f t="shared" si="2"/>
        <v>431.0344827586207</v>
      </c>
      <c r="H11" s="12" t="s">
        <v>110</v>
      </c>
    </row>
    <row r="12" spans="1:8" x14ac:dyDescent="0.3">
      <c r="A12" s="94"/>
      <c r="B12" s="100"/>
      <c r="C12" s="104"/>
      <c r="D12" s="105"/>
      <c r="E12" s="104"/>
      <c r="F12" s="104"/>
      <c r="G12" s="104"/>
    </row>
    <row r="13" spans="1:8" x14ac:dyDescent="0.3">
      <c r="A13" s="33" t="s">
        <v>105</v>
      </c>
      <c r="B13" s="114">
        <f>AVERAGE(B3:B11)</f>
        <v>0.11983673469387755</v>
      </c>
      <c r="C13" s="107">
        <f>AVERAGE(C3:C11)</f>
        <v>0.17352065322611779</v>
      </c>
      <c r="D13" s="109">
        <f>AVERAGE(D3:D11)</f>
        <v>6581.5416666666624</v>
      </c>
      <c r="E13" s="110">
        <f>AVERAGE(E3:E11)</f>
        <v>135283.90625</v>
      </c>
      <c r="F13" s="108">
        <f>SUM(E3:E11)/SUM(D3:D11)</f>
        <v>20.555048209322802</v>
      </c>
      <c r="G13" s="108">
        <f>IF(C13 = "N/A", "N/A", F13/C13)</f>
        <v>118.45879915249719</v>
      </c>
      <c r="H13" s="112"/>
    </row>
    <row r="15" spans="1:8" x14ac:dyDescent="0.3">
      <c r="B15" s="113"/>
      <c r="H15" s="79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3" t="s">
        <v>48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s="2" customFormat="1" x14ac:dyDescent="0.3">
      <c r="A3" s="44" t="s">
        <v>112</v>
      </c>
      <c r="B3" s="136" t="s">
        <v>87</v>
      </c>
      <c r="C3" s="137"/>
      <c r="D3" s="137"/>
      <c r="E3" s="137"/>
      <c r="F3" s="138"/>
      <c r="G3" s="44"/>
      <c r="H3" s="44"/>
      <c r="I3" s="44"/>
      <c r="J3" s="44"/>
      <c r="K3" s="44"/>
      <c r="L3" s="44"/>
    </row>
    <row r="4" spans="1:12" s="2" customFormat="1" x14ac:dyDescent="0.3">
      <c r="A4" s="44"/>
      <c r="B4" s="136">
        <f>'Main Sheet'!B6</f>
        <v>2014</v>
      </c>
      <c r="C4" s="137"/>
      <c r="D4" s="137"/>
      <c r="E4" s="137"/>
      <c r="F4" s="138"/>
      <c r="G4" s="44"/>
    </row>
    <row r="5" spans="1:12" s="3" customFormat="1" x14ac:dyDescent="0.3">
      <c r="A5" s="45" t="s">
        <v>3</v>
      </c>
      <c r="B5" s="82">
        <v>2016</v>
      </c>
      <c r="C5" s="82">
        <v>2020</v>
      </c>
      <c r="D5" s="123" t="s">
        <v>91</v>
      </c>
      <c r="E5" s="123" t="str">
        <f>'Main Sheet'!B7</f>
        <v>2035_E_minus</v>
      </c>
      <c r="F5" s="82">
        <v>2050</v>
      </c>
      <c r="G5" s="44"/>
    </row>
    <row r="6" spans="1:12" s="3" customFormat="1" x14ac:dyDescent="0.3">
      <c r="A6" s="46" t="s">
        <v>49</v>
      </c>
      <c r="B6" s="83">
        <f>HLOOKUP(B$5,$C$17:$J$18,2, FALSE)</f>
        <v>89</v>
      </c>
      <c r="C6" s="83">
        <f>HLOOKUP(C$5,$C$17:$J$18,2, FALSE)</f>
        <v>101</v>
      </c>
      <c r="D6" s="83">
        <f>HLOOKUP(D$5,$C$17:$J$18,2, FALSE)</f>
        <v>102</v>
      </c>
      <c r="E6" s="83">
        <f>HLOOKUP(E$5,$C$17:$J$18,2, FALSE)</f>
        <v>108</v>
      </c>
      <c r="F6" s="83">
        <f>HLOOKUP(F$5,$C$17:$J$18,2, FALSE)</f>
        <v>0</v>
      </c>
      <c r="G6" s="44"/>
    </row>
    <row r="7" spans="1:12" s="3" customFormat="1" x14ac:dyDescent="0.3">
      <c r="A7" s="45" t="s">
        <v>50</v>
      </c>
      <c r="B7" s="92">
        <f>IF($B$4=2014,HLOOKUP(B$5,$C$17:$J$24,3,FALSE),HLOOKUP(B$5,$C$17:$J$30,9,FALSE))</f>
        <v>36182.995559782001</v>
      </c>
      <c r="C7" s="92">
        <f>IF($B$4=2014,HLOOKUP(C$5,$C$17:$J$24,3,FALSE),HLOOKUP(C$5,$C$17:$J$30,9,FALSE))</f>
        <v>36272.901770769102</v>
      </c>
      <c r="D7" s="92">
        <f>IF($B$4=2014,HLOOKUP(D$5,$C$17:$J$24,3,FALSE),HLOOKUP(D$5,$C$17:$J$30,9,FALSE))</f>
        <v>37203.5531373255</v>
      </c>
      <c r="E7" s="92">
        <f>IF($B$4=2014,HLOOKUP(E$5,$C$17:$J$24,3,FALSE),HLOOKUP(E$5,$C$17:$J$30,9,FALSE))</f>
        <v>37323.261307387802</v>
      </c>
      <c r="F7" s="92">
        <f>IF($B$4=2014,HLOOKUP(F$5,$C$17:$J$24,3,FALSE),HLOOKUP(F$5,$C$17:$J$30,9,FALSE))</f>
        <v>0</v>
      </c>
      <c r="G7" s="44"/>
    </row>
    <row r="8" spans="1:12" s="3" customFormat="1" x14ac:dyDescent="0.3">
      <c r="A8" s="45" t="s">
        <v>51</v>
      </c>
      <c r="B8" s="92">
        <f>IF($B$4=2014,HLOOKUP(B$5,$C$17:$J$24,4,FALSE),HLOOKUP(B$5,$C$17:$J$30,10,FALSE))</f>
        <v>76918574.477191597</v>
      </c>
      <c r="C8" s="92">
        <f>IF($B$4=2014,HLOOKUP(C$5,$C$17:$J$24,4,FALSE),HLOOKUP(C$5,$C$17:$J$30,10,FALSE))</f>
        <v>77604533.0420921</v>
      </c>
      <c r="D8" s="92">
        <f>IF($B$4=2014,HLOOKUP(D$5,$C$17:$J$24,4,FALSE),HLOOKUP(D$5,$C$17:$J$30,10,FALSE))</f>
        <v>80204220.608563095</v>
      </c>
      <c r="E8" s="92">
        <f>IF($B$4=2014,HLOOKUP(E$5,$C$17:$J$24,4,FALSE),HLOOKUP(E$5,$C$17:$J$30,10,FALSE))</f>
        <v>81717205.573383406</v>
      </c>
      <c r="F8" s="92">
        <f>IF($B$4=2014,HLOOKUP(F$5,$C$17:$J$24,4,FALSE),HLOOKUP(F$5,$C$17:$J$30,10,FALSE))</f>
        <v>0</v>
      </c>
      <c r="G8" s="44"/>
    </row>
    <row r="9" spans="1:12" s="3" customFormat="1" x14ac:dyDescent="0.3">
      <c r="A9" s="47" t="s">
        <v>52</v>
      </c>
      <c r="B9" s="93">
        <f>IF($B$4=2014,HLOOKUP(B$5,$C$17:$J$24,5,FALSE),HLOOKUP(B$5,$C$17:$J$30,11,FALSE))</f>
        <v>4.7040647601329663E-4</v>
      </c>
      <c r="C9" s="93">
        <f>IF($B$4=2014,HLOOKUP(C$5,$C$17:$J$24,5,FALSE),HLOOKUP(C$5,$C$17:$J$30,11,FALSE))</f>
        <v>4.6740699736051451E-4</v>
      </c>
      <c r="D9" s="93">
        <f>IF($B$4=2014,HLOOKUP(D$5,$C$17:$J$24,5,FALSE),HLOOKUP(D$5,$C$17:$J$30,11,FALSE))</f>
        <v>4.6386029132927474E-4</v>
      </c>
      <c r="E9" s="93">
        <f>IF($B$4=2014,HLOOKUP(E$5,$C$17:$J$24,5,FALSE),HLOOKUP(E$5,$C$17:$J$30,11,FALSE))</f>
        <v>4.5673687744829811E-4</v>
      </c>
      <c r="F9" s="93">
        <f>IF($B$4=2014,HLOOKUP(F$5,$C$17:$J$24,5,FALSE),HLOOKUP(F$5,$C$17:$J$30,11,FALSE))</f>
        <v>0</v>
      </c>
      <c r="G9" s="44"/>
    </row>
    <row r="10" spans="1:12" s="2" customFormat="1" x14ac:dyDescent="0.3">
      <c r="A10" s="45" t="s">
        <v>53</v>
      </c>
      <c r="B10" s="92">
        <f>IF($B$4=2014,HLOOKUP(B$5,$C$17:$J$24,6,FALSE),HLOOKUP(B$5,$C$17:$J$30,12,FALSE))</f>
        <v>1305.9315413966699</v>
      </c>
      <c r="C10" s="92">
        <f>IF($B$4=2014,HLOOKUP(C$5,$C$17:$J$24,6,FALSE),HLOOKUP(C$5,$C$17:$J$30,12,FALSE))</f>
        <v>1317.53080188225</v>
      </c>
      <c r="D10" s="92">
        <f>IF($B$4=2014,HLOOKUP(D$5,$C$17:$J$24,6,FALSE),HLOOKUP(D$5,$C$17:$J$30,12,FALSE))</f>
        <v>1421.9344986287099</v>
      </c>
      <c r="E10" s="92">
        <f>IF($B$4=2014,HLOOKUP(E$5,$C$17:$J$24,6,FALSE),HLOOKUP(E$5,$C$17:$J$30,12,FALSE))</f>
        <v>1574.35897607471</v>
      </c>
      <c r="F10" s="92">
        <f>IF($B$4=2014,HLOOKUP(F$5,$C$17:$J$24,6,FALSE),HLOOKUP(F$5,$C$17:$J$30,12,FALSE))</f>
        <v>0</v>
      </c>
      <c r="G10" s="44"/>
    </row>
    <row r="11" spans="1:12" x14ac:dyDescent="0.3">
      <c r="A11" s="45" t="s">
        <v>54</v>
      </c>
      <c r="B11" s="92">
        <f>IF($B$4=2014,HLOOKUP(B$5,$C$17:$J$24,7,FALSE),HLOOKUP(B$5,$C$17:$J$30,13,FALSE))</f>
        <v>13712199.844203601</v>
      </c>
      <c r="C11" s="92">
        <f>IF($B$4=2014,HLOOKUP(C$5,$C$17:$J$24,7,FALSE),HLOOKUP(C$5,$C$17:$J$30,13,FALSE))</f>
        <v>13966884.2808196</v>
      </c>
      <c r="D11" s="92">
        <f>IF($B$4=2014,HLOOKUP(D$5,$C$17:$J$24,7,FALSE),HLOOKUP(D$5,$C$17:$J$30,13,FALSE))</f>
        <v>15213039.442115201</v>
      </c>
      <c r="E11" s="92">
        <f>IF($B$4=2014,HLOOKUP(E$5,$C$17:$J$24,7,FALSE),HLOOKUP(E$5,$C$17:$J$30,13,FALSE))</f>
        <v>16934444.4132552</v>
      </c>
      <c r="F11" s="92">
        <f>IF($B$4=2014,HLOOKUP(F$5,$C$17:$J$24,7,FALSE),HLOOKUP(F$5,$C$17:$J$30,13,FALSE))</f>
        <v>0</v>
      </c>
      <c r="G11" s="44"/>
    </row>
    <row r="12" spans="1:12" x14ac:dyDescent="0.3">
      <c r="A12" s="47" t="s">
        <v>55</v>
      </c>
      <c r="B12" s="93">
        <f>IF($B$4=2014,HLOOKUP(B$5,$C$17:$J$24,8,FALSE),HLOOKUP(B$5,$C$17:$J$30,14,FALSE))</f>
        <v>9.5238660188336682E-5</v>
      </c>
      <c r="C12" s="93">
        <f>IF($B$4=2014,HLOOKUP(C$5,$C$17:$J$24,8,FALSE),HLOOKUP(C$5,$C$17:$J$30,14,FALSE))</f>
        <v>9.4332477837708194E-5</v>
      </c>
      <c r="D12" s="93">
        <f>IF($B$4=2014,HLOOKUP(D$5,$C$17:$J$24,8,FALSE),HLOOKUP(D$5,$C$17:$J$30,14,FALSE))</f>
        <v>9.3468139883492343E-5</v>
      </c>
      <c r="E12" s="93">
        <f>IF($B$4=2014,HLOOKUP(E$5,$C$17:$J$24,8,FALSE),HLOOKUP(E$5,$C$17:$J$30,14,FALSE))</f>
        <v>9.296785519827284E-5</v>
      </c>
      <c r="F12" s="93">
        <f>IF($B$4=2014,HLOOKUP(F$5,$C$17:$J$24,8,FALSE),HLOOKUP(F$5,$C$17:$J$30,14,FALSE))</f>
        <v>0</v>
      </c>
      <c r="G12" s="44"/>
    </row>
    <row r="13" spans="1:12" x14ac:dyDescent="0.3">
      <c r="A13" s="44"/>
      <c r="B13" s="12"/>
      <c r="C13" s="12"/>
      <c r="D13" s="12"/>
      <c r="E13" s="12"/>
      <c r="F13" s="12"/>
      <c r="G13" s="44"/>
      <c r="H13" s="44"/>
      <c r="I13" s="44"/>
      <c r="J13" s="44"/>
      <c r="K13" s="44"/>
      <c r="L13" s="44"/>
    </row>
    <row r="14" spans="1:12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1" t="s">
        <v>3</v>
      </c>
      <c r="B17" s="82" t="s">
        <v>88</v>
      </c>
      <c r="C17" s="82">
        <v>2016</v>
      </c>
      <c r="D17" s="82">
        <v>2020</v>
      </c>
      <c r="E17" s="82" t="s">
        <v>91</v>
      </c>
      <c r="F17" s="82" t="s">
        <v>90</v>
      </c>
      <c r="G17" s="82" t="s">
        <v>118</v>
      </c>
      <c r="H17" s="82" t="s">
        <v>119</v>
      </c>
      <c r="I17" s="82" t="s">
        <v>120</v>
      </c>
      <c r="J17" s="82">
        <v>2050</v>
      </c>
    </row>
    <row r="18" spans="1:10" x14ac:dyDescent="0.3">
      <c r="A18" s="83" t="s">
        <v>49</v>
      </c>
      <c r="B18" s="84"/>
      <c r="C18" s="83">
        <v>89</v>
      </c>
      <c r="D18" s="83">
        <v>101</v>
      </c>
      <c r="E18" s="83">
        <v>102</v>
      </c>
      <c r="F18" s="83">
        <v>109</v>
      </c>
      <c r="G18" s="83">
        <v>104</v>
      </c>
      <c r="H18" s="83">
        <v>108</v>
      </c>
      <c r="I18" s="83">
        <v>103</v>
      </c>
      <c r="J18" s="83"/>
    </row>
    <row r="19" spans="1:10" x14ac:dyDescent="0.3">
      <c r="A19" s="81" t="s">
        <v>92</v>
      </c>
      <c r="B19" s="85">
        <v>2014</v>
      </c>
      <c r="C19" s="86">
        <v>36182.995559782001</v>
      </c>
      <c r="D19" s="86">
        <v>36272.901770769102</v>
      </c>
      <c r="E19" s="86">
        <v>37203.5531373255</v>
      </c>
      <c r="F19" s="86">
        <v>39978.766415218801</v>
      </c>
      <c r="G19" s="86">
        <v>40194.597889476201</v>
      </c>
      <c r="H19" s="86">
        <v>37323.261307387802</v>
      </c>
      <c r="I19" s="86">
        <v>39938.4555809882</v>
      </c>
      <c r="J19" s="86"/>
    </row>
    <row r="20" spans="1:10" x14ac:dyDescent="0.3">
      <c r="A20" s="81" t="s">
        <v>93</v>
      </c>
      <c r="B20" s="85">
        <v>2014</v>
      </c>
      <c r="C20" s="86">
        <v>76918574.477191597</v>
      </c>
      <c r="D20" s="86">
        <v>77604533.0420921</v>
      </c>
      <c r="E20" s="86">
        <v>80204220.608563095</v>
      </c>
      <c r="F20" s="86">
        <v>86675927.170268297</v>
      </c>
      <c r="G20" s="86">
        <v>86912523.131122604</v>
      </c>
      <c r="H20" s="86">
        <v>81717205.573383406</v>
      </c>
      <c r="I20" s="86">
        <v>86375999.198431298</v>
      </c>
      <c r="J20" s="86"/>
    </row>
    <row r="21" spans="1:10" ht="28.8" x14ac:dyDescent="0.3">
      <c r="A21" s="87" t="s">
        <v>94</v>
      </c>
      <c r="B21" s="88">
        <v>2014</v>
      </c>
      <c r="C21" s="89">
        <v>4.7040647601329663E-4</v>
      </c>
      <c r="D21" s="89">
        <v>4.6740699736051451E-4</v>
      </c>
      <c r="E21" s="89">
        <v>4.6386029132927474E-4</v>
      </c>
      <c r="F21" s="89">
        <v>4.6124417379099438E-4</v>
      </c>
      <c r="G21" s="89">
        <v>4.6247187909659098E-4</v>
      </c>
      <c r="H21" s="89">
        <v>4.5673687744829811E-4</v>
      </c>
      <c r="I21" s="89">
        <v>4.6237908622321944E-4</v>
      </c>
      <c r="J21" s="89"/>
    </row>
    <row r="22" spans="1:10" x14ac:dyDescent="0.3">
      <c r="A22" s="81" t="s">
        <v>95</v>
      </c>
      <c r="B22" s="85">
        <v>2014</v>
      </c>
      <c r="C22" s="86">
        <v>1305.9315413966699</v>
      </c>
      <c r="D22" s="86">
        <v>1317.53080188225</v>
      </c>
      <c r="E22" s="86">
        <v>1421.9344986287099</v>
      </c>
      <c r="F22" s="86">
        <v>1669.89342076304</v>
      </c>
      <c r="G22" s="86">
        <v>1674.45166491793</v>
      </c>
      <c r="H22" s="86">
        <v>1574.35897607471</v>
      </c>
      <c r="I22" s="86">
        <v>1664.11502573183</v>
      </c>
      <c r="J22" s="86"/>
    </row>
    <row r="23" spans="1:10" x14ac:dyDescent="0.3">
      <c r="A23" s="81" t="s">
        <v>96</v>
      </c>
      <c r="B23" s="85">
        <v>2014</v>
      </c>
      <c r="C23" s="86">
        <v>13712199.844203601</v>
      </c>
      <c r="D23" s="86">
        <v>13966884.2808196</v>
      </c>
      <c r="E23" s="86">
        <v>15213039.442115201</v>
      </c>
      <c r="F23" s="86">
        <v>17962051.691967402</v>
      </c>
      <c r="G23" s="86">
        <v>18011082.016969301</v>
      </c>
      <c r="H23" s="12">
        <v>16934444.4132552</v>
      </c>
      <c r="I23" s="86">
        <v>17899896.928702999</v>
      </c>
      <c r="J23" s="86"/>
    </row>
    <row r="24" spans="1:10" ht="28.8" x14ac:dyDescent="0.3">
      <c r="A24" s="87" t="s">
        <v>97</v>
      </c>
      <c r="B24" s="90">
        <v>2014</v>
      </c>
      <c r="C24" s="91">
        <v>9.5238660188336682E-5</v>
      </c>
      <c r="D24" s="91">
        <v>9.4332477837708194E-5</v>
      </c>
      <c r="E24" s="91">
        <v>9.3468139883492343E-5</v>
      </c>
      <c r="F24" s="91">
        <v>9.2967855198290825E-5</v>
      </c>
      <c r="G24" s="91">
        <v>9.2967855198279061E-5</v>
      </c>
      <c r="H24" s="91">
        <v>9.296785519827284E-5</v>
      </c>
      <c r="I24" s="91">
        <v>9.2967855198281826E-5</v>
      </c>
      <c r="J24" s="91"/>
    </row>
    <row r="25" spans="1:10" x14ac:dyDescent="0.3">
      <c r="A25" s="81" t="s">
        <v>92</v>
      </c>
      <c r="B25" s="85">
        <v>2017</v>
      </c>
      <c r="C25" s="86"/>
      <c r="D25" s="86"/>
      <c r="E25" s="86"/>
      <c r="F25" s="86"/>
      <c r="G25" s="86"/>
      <c r="H25" s="86"/>
      <c r="I25" s="86"/>
      <c r="J25" s="86"/>
    </row>
    <row r="26" spans="1:10" x14ac:dyDescent="0.3">
      <c r="A26" s="81" t="s">
        <v>93</v>
      </c>
      <c r="B26" s="85">
        <v>2017</v>
      </c>
      <c r="C26" s="86"/>
      <c r="D26" s="86"/>
      <c r="E26" s="86"/>
      <c r="F26" s="86"/>
      <c r="G26" s="86"/>
      <c r="H26" s="86"/>
      <c r="I26" s="86"/>
      <c r="J26" s="86"/>
    </row>
    <row r="27" spans="1:10" ht="28.8" x14ac:dyDescent="0.3">
      <c r="A27" s="87" t="s">
        <v>94</v>
      </c>
      <c r="B27" s="88">
        <v>2017</v>
      </c>
      <c r="C27" s="89"/>
      <c r="D27" s="89"/>
      <c r="E27" s="89"/>
      <c r="F27" s="89"/>
      <c r="G27" s="89"/>
      <c r="H27" s="89"/>
      <c r="I27" s="89"/>
      <c r="J27" s="89"/>
    </row>
    <row r="28" spans="1:10" x14ac:dyDescent="0.3">
      <c r="A28" s="81" t="s">
        <v>95</v>
      </c>
      <c r="B28" s="85">
        <v>2017</v>
      </c>
      <c r="C28" s="86"/>
      <c r="D28" s="86"/>
      <c r="E28" s="86"/>
      <c r="F28" s="86"/>
      <c r="G28" s="86"/>
      <c r="H28" s="86"/>
      <c r="I28" s="86"/>
      <c r="J28" s="86"/>
    </row>
    <row r="29" spans="1:10" x14ac:dyDescent="0.3">
      <c r="A29" s="81" t="s">
        <v>96</v>
      </c>
      <c r="B29" s="85">
        <v>2017</v>
      </c>
      <c r="C29" s="86"/>
      <c r="D29" s="86"/>
      <c r="E29" s="86"/>
      <c r="F29" s="86"/>
      <c r="G29" s="86"/>
      <c r="H29" s="86"/>
      <c r="I29" s="86"/>
      <c r="J29" s="86"/>
    </row>
    <row r="30" spans="1:10" ht="28.8" x14ac:dyDescent="0.3">
      <c r="A30" s="87" t="s">
        <v>97</v>
      </c>
      <c r="B30" s="90">
        <v>2017</v>
      </c>
      <c r="C30" s="91"/>
      <c r="D30" s="91"/>
      <c r="E30" s="91"/>
      <c r="F30" s="91"/>
      <c r="G30" s="91"/>
      <c r="H30" s="91"/>
      <c r="I30" s="91"/>
      <c r="J30" s="91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2018-09-24T20:34:08Z</dcterms:modified>
</cp:coreProperties>
</file>